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charts/chart14.xml" ContentType="application/vnd.openxmlformats-officedocument.drawingml.chart+xml"/>
  <Override PartName="/xl/drawings/drawing10.xml" ContentType="application/vnd.openxmlformats-officedocument.drawingml.chartshapes+xml"/>
  <Override PartName="/xl/comments8.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charts/chart15.xml" ContentType="application/vnd.openxmlformats-officedocument.drawingml.chart+xml"/>
  <Override PartName="/xl/charts/chart16.xml" ContentType="application/vnd.openxmlformats-officedocument.drawingml.chart+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activeX/activeX1.xml" ContentType="application/vnd.ms-office.activeX+xml"/>
  <Override PartName="/xl/activeX/activeX1.bin" ContentType="application/vnd.ms-office.activeX"/>
  <Override PartName="/xl/comments14.xml" ContentType="application/vnd.openxmlformats-officedocument.spreadsheetml.comments+xml"/>
  <Override PartName="/xl/charts/chart18.xml" ContentType="application/vnd.openxmlformats-officedocument.drawingml.chart+xml"/>
  <Override PartName="/xl/drawings/drawing16.xml" ContentType="application/vnd.openxmlformats-officedocument.drawing+xml"/>
  <Override PartName="/xl/activeX/activeX2.xml" ContentType="application/vnd.ms-office.activeX+xml"/>
  <Override PartName="/xl/activeX/activeX2.bin" ContentType="application/vnd.ms-office.activeX"/>
  <Override PartName="/xl/comments15.xml" ContentType="application/vnd.openxmlformats-officedocument.spreadsheetml.comments+xml"/>
  <Override PartName="/xl/charts/chart19.xml" ContentType="application/vnd.openxmlformats-officedocument.drawingml.chart+xml"/>
  <Override PartName="/xl/drawings/drawing17.xml" ContentType="application/vnd.openxmlformats-officedocument.drawing+xml"/>
  <Override PartName="/xl/activeX/activeX3.xml" ContentType="application/vnd.ms-office.activeX+xml"/>
  <Override PartName="/xl/activeX/activeX3.bin" ContentType="application/vnd.ms-office.activeX"/>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mc:AlternateContent xmlns:mc="http://schemas.openxmlformats.org/markup-compatibility/2006">
    <mc:Choice Requires="x15">
      <x15ac:absPath xmlns:x15ac="http://schemas.microsoft.com/office/spreadsheetml/2010/11/ac" url="C:\Projects\Shiny App\Aging Error\"/>
    </mc:Choice>
  </mc:AlternateContent>
  <xr:revisionPtr revIDLastSave="0" documentId="13_ncr:1_{3A38C8F4-0377-400F-AE38-94F0AB51B3D8}" xr6:coauthVersionLast="40" xr6:coauthVersionMax="40" xr10:uidLastSave="{00000000-0000-0000-0000-000000000000}"/>
  <bookViews>
    <workbookView xWindow="-26370" yWindow="60" windowWidth="24765" windowHeight="17490" tabRatio="882" xr2:uid="{00000000-000D-0000-FFFF-FFFF00000000}"/>
  </bookViews>
  <sheets>
    <sheet name="Brood_Tab" sheetId="7" r:id="rId1"/>
    <sheet name="Read_Me" sheetId="23" r:id="rId2"/>
    <sheet name="Harvests" sheetId="24" r:id="rId3"/>
    <sheet name="Escapements" sheetId="25" r:id="rId4"/>
    <sheet name="Total_Run_Size" sheetId="26" r:id="rId5"/>
    <sheet name="Exploitation rates" sheetId="21" r:id="rId6"/>
    <sheet name="Forecasts_Summary" sheetId="33" r:id="rId7"/>
    <sheet name="Mean_run_forecasts" sheetId="16" r:id="rId8"/>
    <sheet name="Mean_Run_Performance" sheetId="32" r:id="rId9"/>
    <sheet name="Brood_Forecasts" sheetId="30" r:id="rId10"/>
    <sheet name="Sibling_Forecast_Sumry" sheetId="2" r:id="rId11"/>
    <sheet name="Naive_AgeSpecific" sheetId="35" r:id="rId12"/>
    <sheet name="RunXAge" sheetId="31" r:id="rId13"/>
    <sheet name="Ricker" sheetId="14" r:id="rId14"/>
    <sheet name="UCRPercentage" sheetId="27" r:id="rId15"/>
    <sheet name="UCRNumber" sheetId="28" r:id="rId16"/>
    <sheet name="CCPercentage" sheetId="5" r:id="rId17"/>
    <sheet name="CCNumber" sheetId="6" r:id="rId18"/>
    <sheet name="Major Age Brood" sheetId="8" state="hidden" r:id="rId19"/>
    <sheet name="FBrood" sheetId="9" r:id="rId20"/>
    <sheet name="Ln1.3=Ln1.2_3" sheetId="36" r:id="rId21"/>
    <sheet name="Ln1.3=ln1.2" sheetId="10" r:id="rId22"/>
    <sheet name="Ln1.3=Ln1.2_2" sheetId="29" r:id="rId23"/>
    <sheet name="Ln1.4=Ln1.3" sheetId="11" r:id="rId24"/>
    <sheet name="RegOut" sheetId="12" r:id="rId25"/>
    <sheet name="ttab" sheetId="13" r:id="rId26"/>
  </sheets>
  <externalReferences>
    <externalReference r:id="rId27"/>
    <externalReference r:id="rId28"/>
    <externalReference r:id="rId29"/>
    <externalReference r:id="rId30"/>
    <externalReference r:id="rId31"/>
    <externalReference r:id="rId32"/>
    <externalReference r:id="rId33"/>
    <externalReference r:id="rId34"/>
  </externalReferences>
  <definedNames>
    <definedName name="__123Graph_A" hidden="1">[1]A7!$T$12:$T$83</definedName>
    <definedName name="__123Graph_A3CRWERC" hidden="1">[1]A7!$T$12:$T$83</definedName>
    <definedName name="__123Graph_A3CRWERD" hidden="1">[1]A7!$R$12:$R$83</definedName>
    <definedName name="__123Graph_A4CRWERC" hidden="1">[1]A7!$T$12:$T$83</definedName>
    <definedName name="__123Graph_A4CRWERD" hidden="1">[1]A7!$R$12:$R$83</definedName>
    <definedName name="__123Graph_ACUMULATIVE" hidden="1">[1]A7!$T$7:$T$85</definedName>
    <definedName name="__123Graph_B3CRWERD" hidden="1">[1]A7!$Q$12:$Q$84</definedName>
    <definedName name="__123Graph_B4CRWERD" hidden="1">[1]A7!$Q$12:$Q$84</definedName>
    <definedName name="__123Graph_BCUMULATIVE" hidden="1">[1]A7!$S$7:$S$86</definedName>
    <definedName name="__123Graph_X" hidden="1">[1]A7!$P$12:$P$84</definedName>
    <definedName name="__123Graph_X3CRWERC" hidden="1">[1]A7!$P$12:$P$84</definedName>
    <definedName name="__123Graph_X3CRWERD" hidden="1">[1]A7!$P$12:$P$84</definedName>
    <definedName name="__123Graph_X4CRWERC" hidden="1">[1]A7!$P$12:$P$84</definedName>
    <definedName name="__123Graph_X4CRWERD" hidden="1">[1]A7!$P$12:$P$84</definedName>
    <definedName name="__123Graph_XCUMULATIVE" hidden="1">[1]A7!$P$7:$P$85</definedName>
    <definedName name="__Cat1">[2]Overlay!$J$11</definedName>
    <definedName name="_2__123Graph_AMILES_DAILY" hidden="1">[1]A7!$R$7:$R$85</definedName>
    <definedName name="_27__123Graph_CCHART_15" hidden="1">Mean_Run_Performance!$B$9:$B$9</definedName>
    <definedName name="_3__123Graph_BCHART_1" hidden="1">[1]A7!#REF!</definedName>
    <definedName name="_4__123Graph_BMILES_DAILY" hidden="1">[1]A7!$Q$7:$Q$86</definedName>
    <definedName name="_48__123Graph_ECHART_15" hidden="1">Mean_Run_Performance!#REF!</definedName>
    <definedName name="_5__123Graph_XCHART_1" hidden="1">[1]A7!$P$9:$P$84</definedName>
    <definedName name="_6__123Graph_XMILES_DAILY" hidden="1">[1]A7!$P$7:$P$85</definedName>
    <definedName name="_63__123Graph_LBL_CCHART_15" hidden="1">Mean_Run_Performance!#REF!</definedName>
    <definedName name="_64__123Graph_LBL_ECHART_15" hidden="1">Mean_Run_Performance!#REF!</definedName>
    <definedName name="_Cat1">[3]Overlay!$J$11</definedName>
    <definedName name="_Order1" hidden="1">255</definedName>
    <definedName name="a_parameter_even">Ricker!$Q$11</definedName>
    <definedName name="AllYrs">'Ln1.3=ln1.2'!$B$13:$B$49</definedName>
    <definedName name="b_parameter_even">Ricker!$Q$13</definedName>
    <definedName name="c_even">Ricker!$Q$11</definedName>
    <definedName name="d_even">Ricker!$Q$13</definedName>
    <definedName name="DATE">#REF!</definedName>
    <definedName name="EhancedTotalRunForecast">'[4]Fcst Sumry'!$G$45</definedName>
    <definedName name="FcastYr" localSheetId="8">'[4]Fcst Sumry'!$B$3</definedName>
    <definedName name="FcastYR">Sibling_Forecast_Sumry!$B$3</definedName>
    <definedName name="FirstYR">'Ln1.3=ln1.2'!$B$13</definedName>
    <definedName name="FmDate9">[5]Overlay!$I$19</definedName>
    <definedName name="ForBrood">FBrood!$A$8:$M$36</definedName>
    <definedName name="FtDate9">[5]Overlay!$F$19</definedName>
    <definedName name="LLAKE">'[6]Comm Catch:Subs PU'!$A$54:$AJ$116</definedName>
    <definedName name="MainRegion">'Ln1.3=ln1.2'!$A$11:$AF$47</definedName>
    <definedName name="minus_a_over_b_even">Ricker!$Q$12</definedName>
    <definedName name="MSEAll">'Ln1.3=ln1.2'!$M$48</definedName>
    <definedName name="MSEcalcAll">'Ln1.3=ln1.2'!$O$51</definedName>
    <definedName name="MSEcalcL1O">'Ln1.3=ln1.2'!$O$50</definedName>
    <definedName name="MSEL1O">'Ln1.3=ln1.2'!$M$46</definedName>
    <definedName name="Partone">RegOut!$A$2:$E$2</definedName>
    <definedName name="Parttwo">RegOut!$G$2:$H$2</definedName>
    <definedName name="PGRAPH">[4]ln12rpsxBYE:ln23xln13!$A$54:$I$73</definedName>
    <definedName name="_xlnm.Print_Area" localSheetId="0">Brood_Tab!$M$63:$Y$113</definedName>
    <definedName name="_xlnm.Print_Area" localSheetId="5">'Exploitation rates'!$A$1:$H$32</definedName>
    <definedName name="_xlnm.Print_Area" localSheetId="6">Forecasts_Summary!$A$1:$R$18</definedName>
    <definedName name="_xlnm.Print_Area" localSheetId="2">Harvests!$T$19:$AE$61</definedName>
    <definedName name="_xlnm.Print_Area" localSheetId="7">Mean_run_forecasts!$AV$6:$BO$93</definedName>
    <definedName name="_xlnm.Print_Area" localSheetId="8">Mean_Run_Performance!$M$66:$Q$96</definedName>
    <definedName name="_xlnm.Print_Area" localSheetId="12">RunXAge!$L$60:$V$110</definedName>
    <definedName name="PTABLE">[4]ln12rpsxBYE:ln23xln13!$F$1:$AD$50</definedName>
    <definedName name="Rout">RegOut!$A$5:$J$25</definedName>
    <definedName name="Rslts2All">'Ln1.3=ln1.2'!$K$48</definedName>
    <definedName name="Rslts2L1O">'Ln1.3=ln1.2'!$K$46</definedName>
    <definedName name="RsltsAll">'Ln1.3=ln1.2'!$E$48</definedName>
    <definedName name="RsltsL1O">'Ln1.3=ln1.2'!$E$46</definedName>
    <definedName name="SamSize1">[7]AgeComp!$B$10</definedName>
    <definedName name="SAS_Data">'Ln1.3=Ln1.2_3'!$A$6:$F$43</definedName>
    <definedName name="SCAT">'[6]Comm Catch:Subs PU'!$A$51:$AJ$55</definedName>
    <definedName name="SmDate1">[5]Overlay!$G$11</definedName>
    <definedName name="StDate1">[5]Overlay!$D$11</definedName>
    <definedName name="TEXT">#REF!</definedName>
    <definedName name="TotalCatch">#REF!</definedName>
    <definedName name="tval">ttab!$A$5:$G$45</definedName>
    <definedName name="WL">#REF!</definedName>
    <definedName name="XRangeAll">'Ln1.3=ln1.2'!$C$13:$C$49</definedName>
    <definedName name="XRangeL1O">'Ln1.3=ln1.2'!$C$13:$C$48</definedName>
    <definedName name="YestAll">'Ln1.3=ln1.2'!$J$48</definedName>
    <definedName name="YestL1O">'Ln1.3=ln1.2'!$J$46</definedName>
    <definedName name="YRangeAll">'Ln1.3=ln1.2'!$D$13:$D$49</definedName>
    <definedName name="YRangeL1O">'Ln1.3=ln1.2'!$D$13:$D$48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2" i="7" l="1"/>
  <c r="G62" i="7"/>
  <c r="H62" i="7"/>
  <c r="I62" i="7"/>
  <c r="F62" i="7"/>
  <c r="I61" i="7"/>
  <c r="J60" i="7"/>
  <c r="K59" i="7"/>
  <c r="H61" i="7"/>
  <c r="I60" i="7"/>
  <c r="J59" i="7"/>
  <c r="G61" i="7"/>
  <c r="H60" i="7"/>
  <c r="I59" i="7"/>
  <c r="J58" i="7"/>
  <c r="F61" i="7"/>
  <c r="G60" i="7"/>
  <c r="H59" i="7"/>
  <c r="I58" i="7"/>
  <c r="F60" i="7"/>
  <c r="G59" i="7"/>
  <c r="H58" i="7"/>
  <c r="F59" i="7"/>
  <c r="G58" i="7"/>
  <c r="F58" i="7"/>
  <c r="C50" i="7"/>
  <c r="AB12" i="7" l="1"/>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11" i="7"/>
  <c r="AA41" i="7" l="1"/>
  <c r="W50" i="7" l="1"/>
  <c r="D51" i="7" s="1"/>
  <c r="E51" i="7"/>
  <c r="I51" i="7"/>
  <c r="K51" i="7"/>
  <c r="L51" i="7"/>
  <c r="M51" i="7"/>
  <c r="N51" i="7"/>
  <c r="O51" i="7"/>
  <c r="P51" i="7"/>
  <c r="Q51" i="7"/>
  <c r="R51" i="7"/>
  <c r="S51" i="7"/>
  <c r="T51" i="7"/>
  <c r="U51" i="7"/>
  <c r="V51" i="7"/>
  <c r="C51" i="7"/>
  <c r="D50" i="7"/>
  <c r="E50" i="7"/>
  <c r="F50" i="7"/>
  <c r="G50" i="7"/>
  <c r="H50" i="7"/>
  <c r="I50" i="7"/>
  <c r="J50" i="7"/>
  <c r="K50" i="7"/>
  <c r="L50" i="7"/>
  <c r="M50" i="7"/>
  <c r="N50" i="7"/>
  <c r="O50" i="7"/>
  <c r="P50" i="7"/>
  <c r="Q50" i="7"/>
  <c r="R50" i="7"/>
  <c r="S50" i="7"/>
  <c r="T50" i="7"/>
  <c r="U50" i="7"/>
  <c r="V50" i="7"/>
  <c r="C49" i="7"/>
  <c r="J51" i="7" l="1"/>
  <c r="H51" i="7"/>
  <c r="G51" i="7"/>
  <c r="F51" i="7"/>
  <c r="N47" i="25"/>
  <c r="C134" i="26" s="1"/>
  <c r="D134" i="26" s="1"/>
  <c r="B134" i="26"/>
  <c r="R47" i="25"/>
  <c r="O139" i="24"/>
  <c r="O136" i="24"/>
  <c r="I136" i="24"/>
  <c r="D136" i="24"/>
  <c r="T136" i="24" s="1"/>
  <c r="B46" i="10" l="1"/>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C25" i="16" l="1"/>
  <c r="L25" i="16"/>
  <c r="D44" i="10"/>
  <c r="AB44" i="10" s="1"/>
  <c r="P44" i="10"/>
  <c r="AC44" i="10"/>
  <c r="AA44" i="5"/>
  <c r="M44" i="25"/>
  <c r="U44" i="10" l="1"/>
  <c r="X44" i="10" s="1"/>
  <c r="Y44" i="10" s="1"/>
  <c r="N44" i="10"/>
  <c r="O44" i="10" s="1"/>
  <c r="L133" i="26"/>
  <c r="R46" i="25"/>
  <c r="B44" i="28" s="1"/>
  <c r="B143" i="24"/>
  <c r="D25" i="16"/>
  <c r="D135" i="24"/>
  <c r="B25" i="16" s="1"/>
  <c r="R135" i="24"/>
  <c r="I44" i="28" l="1"/>
  <c r="K44" i="28"/>
  <c r="T44" i="28"/>
  <c r="C44" i="28"/>
  <c r="L44" i="28"/>
  <c r="U44" i="28"/>
  <c r="F44" i="28"/>
  <c r="O44" i="28"/>
  <c r="H44" i="28"/>
  <c r="R44" i="28"/>
  <c r="J44" i="28"/>
  <c r="S44" i="28"/>
  <c r="D44" i="28"/>
  <c r="M44" i="28"/>
  <c r="V44" i="28"/>
  <c r="E44" i="28"/>
  <c r="N44" i="28"/>
  <c r="G44" i="28"/>
  <c r="P44" i="28"/>
  <c r="Q44" i="28"/>
  <c r="S44" i="10"/>
  <c r="T44" i="10" s="1"/>
  <c r="CS14" i="16"/>
  <c r="CS15" i="16" s="1"/>
  <c r="CR14" i="16"/>
  <c r="CR15" i="16" s="1"/>
  <c r="BS34" i="16"/>
  <c r="BT34" i="16"/>
  <c r="BU34" i="16"/>
  <c r="BV34" i="16"/>
  <c r="BW34" i="16"/>
  <c r="BR34" i="16"/>
  <c r="BR28" i="16"/>
  <c r="BW28" i="16"/>
  <c r="BV28" i="16"/>
  <c r="BU28" i="16"/>
  <c r="BT28" i="16"/>
  <c r="BS28" i="16"/>
  <c r="W44" i="28" l="1"/>
  <c r="Q11" i="14" l="1"/>
  <c r="H44" i="30" l="1"/>
  <c r="K50" i="36" l="1"/>
  <c r="H67" i="9" l="1"/>
  <c r="C67" i="9"/>
  <c r="C64" i="9"/>
  <c r="C8" i="9"/>
  <c r="C68" i="9" l="1"/>
  <c r="H68" i="9"/>
  <c r="C65" i="9"/>
  <c r="B48" i="30"/>
  <c r="I44" i="30"/>
  <c r="C13" i="33"/>
  <c r="Z46" i="5" l="1"/>
  <c r="Y46" i="5"/>
  <c r="X46" i="5"/>
  <c r="W46" i="5"/>
  <c r="V46" i="5"/>
  <c r="U46" i="5"/>
  <c r="T46" i="5"/>
  <c r="S46" i="5"/>
  <c r="R46" i="5"/>
  <c r="Q46" i="5"/>
  <c r="P46" i="5"/>
  <c r="O46" i="5"/>
  <c r="N46" i="5"/>
  <c r="M46" i="5"/>
  <c r="L46" i="5"/>
  <c r="K46" i="5"/>
  <c r="J46" i="5"/>
  <c r="I46" i="5"/>
  <c r="H46" i="5"/>
  <c r="Z45" i="5"/>
  <c r="Y45" i="5"/>
  <c r="X45" i="5"/>
  <c r="W45" i="5"/>
  <c r="V45" i="5"/>
  <c r="U45" i="5"/>
  <c r="T45" i="5"/>
  <c r="S45" i="5"/>
  <c r="R45" i="5"/>
  <c r="Q45" i="5"/>
  <c r="P45" i="5"/>
  <c r="O45" i="5"/>
  <c r="N45" i="5"/>
  <c r="M45" i="5"/>
  <c r="L45" i="5"/>
  <c r="K45" i="5"/>
  <c r="J45" i="5"/>
  <c r="I45" i="5"/>
  <c r="G45" i="5"/>
  <c r="H45"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B40" i="28"/>
  <c r="C40" i="28" s="1"/>
  <c r="R28" i="25"/>
  <c r="B26" i="28" s="1"/>
  <c r="S26" i="28" s="1"/>
  <c r="R29" i="25"/>
  <c r="B27" i="28" s="1"/>
  <c r="H27" i="28" s="1"/>
  <c r="R30" i="25"/>
  <c r="B28" i="28" s="1"/>
  <c r="K28" i="28" s="1"/>
  <c r="R31" i="25"/>
  <c r="B29" i="28" s="1"/>
  <c r="N29" i="28" s="1"/>
  <c r="R32" i="25"/>
  <c r="B30" i="28" s="1"/>
  <c r="R33" i="25"/>
  <c r="B31" i="28" s="1"/>
  <c r="V31" i="28" s="1"/>
  <c r="R34" i="25"/>
  <c r="B32" i="28" s="1"/>
  <c r="R35" i="25"/>
  <c r="B33" i="28" s="1"/>
  <c r="N33" i="28" s="1"/>
  <c r="R36" i="25"/>
  <c r="B34" i="28" s="1"/>
  <c r="I34" i="28" s="1"/>
  <c r="R37" i="25"/>
  <c r="B35" i="28" s="1"/>
  <c r="P35" i="28" s="1"/>
  <c r="R38" i="25"/>
  <c r="B36" i="28" s="1"/>
  <c r="S36" i="28" s="1"/>
  <c r="R39" i="25"/>
  <c r="B37" i="28" s="1"/>
  <c r="R40" i="25"/>
  <c r="B38" i="28" s="1"/>
  <c r="K38" i="28" s="1"/>
  <c r="R41" i="25"/>
  <c r="B39" i="28" s="1"/>
  <c r="G39" i="28" s="1"/>
  <c r="R42" i="25"/>
  <c r="R43" i="25"/>
  <c r="B41" i="28" s="1"/>
  <c r="R44" i="25"/>
  <c r="B42" i="28" s="1"/>
  <c r="U42" i="28" s="1"/>
  <c r="R45" i="25"/>
  <c r="B43" i="28" s="1"/>
  <c r="V43" i="28" s="1"/>
  <c r="T43" i="28"/>
  <c r="O37" i="28"/>
  <c r="M35" i="28"/>
  <c r="H35" i="28"/>
  <c r="M27" i="28"/>
  <c r="T26" i="28"/>
  <c r="Z47" i="27"/>
  <c r="Y47" i="27"/>
  <c r="X47" i="27"/>
  <c r="W47" i="27"/>
  <c r="V47" i="27"/>
  <c r="U47" i="27"/>
  <c r="T47" i="27"/>
  <c r="S47" i="27"/>
  <c r="R47" i="27"/>
  <c r="Q47" i="27"/>
  <c r="P47" i="27"/>
  <c r="O47" i="27"/>
  <c r="M47" i="27"/>
  <c r="L47" i="27"/>
  <c r="K47" i="27"/>
  <c r="J47" i="27"/>
  <c r="H47" i="27"/>
  <c r="G47" i="27"/>
  <c r="Z46" i="27"/>
  <c r="Y46" i="27"/>
  <c r="X46" i="27"/>
  <c r="W46" i="27"/>
  <c r="V46" i="27"/>
  <c r="U46" i="27"/>
  <c r="T46" i="27"/>
  <c r="S46" i="27"/>
  <c r="R46" i="27"/>
  <c r="Q46" i="27"/>
  <c r="P46" i="27"/>
  <c r="O46" i="27"/>
  <c r="N46" i="27"/>
  <c r="M46" i="27"/>
  <c r="L46" i="27"/>
  <c r="K46" i="27"/>
  <c r="J46" i="27"/>
  <c r="H46" i="27"/>
  <c r="G46" i="27"/>
  <c r="AA8" i="27"/>
  <c r="AA9" i="27"/>
  <c r="AA10" i="27"/>
  <c r="AA11" i="27"/>
  <c r="AA12" i="27"/>
  <c r="AA13" i="27"/>
  <c r="AA14" i="27"/>
  <c r="AA15" i="27"/>
  <c r="AA16"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7" i="27"/>
  <c r="I47" i="27"/>
  <c r="U27" i="28" l="1"/>
  <c r="D26" i="28"/>
  <c r="J34" i="28"/>
  <c r="F42" i="28"/>
  <c r="N35" i="28"/>
  <c r="H26" i="28"/>
  <c r="L34" i="28"/>
  <c r="M42" i="28"/>
  <c r="I26" i="28"/>
  <c r="M34" i="28"/>
  <c r="N42" i="28"/>
  <c r="D34" i="28"/>
  <c r="P26" i="28"/>
  <c r="T34" i="28"/>
  <c r="R42" i="28"/>
  <c r="V41" i="28"/>
  <c r="F41" i="28"/>
  <c r="K26" i="28"/>
  <c r="Q34" i="28"/>
  <c r="S40" i="28"/>
  <c r="V42" i="28"/>
  <c r="L26" i="28"/>
  <c r="R34" i="28"/>
  <c r="N43" i="28"/>
  <c r="AA45" i="5"/>
  <c r="Q26" i="28"/>
  <c r="E34" i="28"/>
  <c r="U34" i="28"/>
  <c r="J42" i="28"/>
  <c r="C26" i="28"/>
  <c r="K42" i="28"/>
  <c r="L32" i="28"/>
  <c r="D32" i="28"/>
  <c r="J32" i="28"/>
  <c r="R32" i="28"/>
  <c r="I32" i="28"/>
  <c r="T32" i="28"/>
  <c r="T30" i="28"/>
  <c r="Q30" i="28"/>
  <c r="J30" i="28"/>
  <c r="G41" i="28"/>
  <c r="V35" i="28"/>
  <c r="O41" i="28"/>
  <c r="Q41" i="28"/>
  <c r="E27" i="28"/>
  <c r="F31" i="28"/>
  <c r="G27" i="28"/>
  <c r="C42" i="28"/>
  <c r="S42" i="28"/>
  <c r="L27" i="28"/>
  <c r="F35" i="28"/>
  <c r="E42" i="28"/>
  <c r="T33" i="28"/>
  <c r="L33" i="28"/>
  <c r="D33" i="28"/>
  <c r="S33" i="28"/>
  <c r="K33" i="28"/>
  <c r="C33" i="28"/>
  <c r="R33" i="28"/>
  <c r="J33" i="28"/>
  <c r="O33" i="28"/>
  <c r="G33" i="28"/>
  <c r="M33" i="28"/>
  <c r="V33" i="28"/>
  <c r="U33" i="28"/>
  <c r="I33" i="28"/>
  <c r="F33" i="28"/>
  <c r="E33" i="28"/>
  <c r="H33" i="28"/>
  <c r="Q33" i="28"/>
  <c r="P33" i="28"/>
  <c r="U39" i="28"/>
  <c r="M39" i="28"/>
  <c r="E39" i="28"/>
  <c r="T39" i="28"/>
  <c r="L39" i="28"/>
  <c r="D39" i="28"/>
  <c r="S39" i="28"/>
  <c r="K39" i="28"/>
  <c r="C39" i="28"/>
  <c r="P39" i="28"/>
  <c r="H39" i="28"/>
  <c r="V39" i="28"/>
  <c r="F39" i="28"/>
  <c r="R39" i="28"/>
  <c r="Q39" i="28"/>
  <c r="O39" i="28"/>
  <c r="N39" i="28"/>
  <c r="J39" i="28"/>
  <c r="I39" i="28"/>
  <c r="T31" i="28"/>
  <c r="L31" i="28"/>
  <c r="D31" i="28"/>
  <c r="S31" i="28"/>
  <c r="K31" i="28"/>
  <c r="C31" i="28"/>
  <c r="R31" i="28"/>
  <c r="J31" i="28"/>
  <c r="O31" i="28"/>
  <c r="G31" i="28"/>
  <c r="U31" i="28"/>
  <c r="E31" i="28"/>
  <c r="M31" i="28"/>
  <c r="Q31" i="28"/>
  <c r="P31" i="28"/>
  <c r="N31" i="28"/>
  <c r="I31" i="28"/>
  <c r="H31" i="28"/>
  <c r="Q38" i="28"/>
  <c r="I38" i="28"/>
  <c r="P38" i="28"/>
  <c r="H38" i="28"/>
  <c r="O38" i="28"/>
  <c r="G38" i="28"/>
  <c r="T38" i="28"/>
  <c r="L38" i="28"/>
  <c r="D38" i="28"/>
  <c r="J38" i="28"/>
  <c r="V38" i="28"/>
  <c r="F38" i="28"/>
  <c r="S38" i="28"/>
  <c r="R38" i="28"/>
  <c r="U38" i="28"/>
  <c r="E38" i="28"/>
  <c r="C38" i="28"/>
  <c r="N38" i="28"/>
  <c r="M38" i="28"/>
  <c r="U37" i="28"/>
  <c r="M37" i="28"/>
  <c r="E37" i="28"/>
  <c r="T37" i="28"/>
  <c r="L37" i="28"/>
  <c r="D37" i="28"/>
  <c r="S37" i="28"/>
  <c r="K37" i="28"/>
  <c r="C37" i="28"/>
  <c r="P37" i="28"/>
  <c r="H37" i="28"/>
  <c r="N37" i="28"/>
  <c r="G37" i="28"/>
  <c r="F37" i="28"/>
  <c r="J37" i="28"/>
  <c r="I37" i="28"/>
  <c r="V37" i="28"/>
  <c r="R37" i="28"/>
  <c r="Q37" i="28"/>
  <c r="T29" i="28"/>
  <c r="L29" i="28"/>
  <c r="D29" i="28"/>
  <c r="S29" i="28"/>
  <c r="K29" i="28"/>
  <c r="C29" i="28"/>
  <c r="R29" i="28"/>
  <c r="J29" i="28"/>
  <c r="O29" i="28"/>
  <c r="G29" i="28"/>
  <c r="M29" i="28"/>
  <c r="V29" i="28"/>
  <c r="U29" i="28"/>
  <c r="I29" i="28"/>
  <c r="F29" i="28"/>
  <c r="H29" i="28"/>
  <c r="E29" i="28"/>
  <c r="Q29" i="28"/>
  <c r="P29" i="28"/>
  <c r="Q40" i="28"/>
  <c r="I40" i="28"/>
  <c r="P40" i="28"/>
  <c r="H40" i="28"/>
  <c r="O40" i="28"/>
  <c r="G40" i="28"/>
  <c r="T40" i="28"/>
  <c r="L40" i="28"/>
  <c r="D40" i="28"/>
  <c r="C28" i="28"/>
  <c r="L30" i="28"/>
  <c r="K36" i="28"/>
  <c r="E40" i="28"/>
  <c r="U40" i="28"/>
  <c r="U41" i="28"/>
  <c r="M41" i="28"/>
  <c r="E41" i="28"/>
  <c r="T41" i="28"/>
  <c r="L41" i="28"/>
  <c r="D41" i="28"/>
  <c r="S41" i="28"/>
  <c r="K41" i="28"/>
  <c r="C41" i="28"/>
  <c r="P41" i="28"/>
  <c r="H41" i="28"/>
  <c r="M30" i="28"/>
  <c r="E32" i="28"/>
  <c r="U32" i="28"/>
  <c r="I35" i="28"/>
  <c r="F40" i="28"/>
  <c r="V40" i="28"/>
  <c r="R41" i="28"/>
  <c r="R36" i="28"/>
  <c r="C36" i="28"/>
  <c r="U43" i="28"/>
  <c r="G43" i="28"/>
  <c r="F43" i="28"/>
  <c r="D43" i="28"/>
  <c r="O43" i="28"/>
  <c r="S27" i="28"/>
  <c r="K27" i="28"/>
  <c r="C27" i="28"/>
  <c r="R27" i="28"/>
  <c r="J27" i="28"/>
  <c r="Q27" i="28"/>
  <c r="I27" i="28"/>
  <c r="V27" i="28"/>
  <c r="N27" i="28"/>
  <c r="F27" i="28"/>
  <c r="O27" i="28"/>
  <c r="D30" i="28"/>
  <c r="M40" i="28"/>
  <c r="I41" i="28"/>
  <c r="Q42" i="28"/>
  <c r="I42" i="28"/>
  <c r="P42" i="28"/>
  <c r="H42" i="28"/>
  <c r="O42" i="28"/>
  <c r="G42" i="28"/>
  <c r="T42" i="28"/>
  <c r="L42" i="28"/>
  <c r="D42" i="28"/>
  <c r="P34" i="28"/>
  <c r="H34" i="28"/>
  <c r="O34" i="28"/>
  <c r="G34" i="28"/>
  <c r="V34" i="28"/>
  <c r="N34" i="28"/>
  <c r="F34" i="28"/>
  <c r="S34" i="28"/>
  <c r="K34" i="28"/>
  <c r="C34" i="28"/>
  <c r="O26" i="28"/>
  <c r="G26" i="28"/>
  <c r="V26" i="28"/>
  <c r="N26" i="28"/>
  <c r="F26" i="28"/>
  <c r="U26" i="28"/>
  <c r="M26" i="28"/>
  <c r="E26" i="28"/>
  <c r="R26" i="28"/>
  <c r="J26" i="28"/>
  <c r="J40" i="28"/>
  <c r="R28" i="28"/>
  <c r="S28" i="28"/>
  <c r="P30" i="28"/>
  <c r="H30" i="28"/>
  <c r="O30" i="28"/>
  <c r="G30" i="28"/>
  <c r="V30" i="28"/>
  <c r="N30" i="28"/>
  <c r="F30" i="28"/>
  <c r="S30" i="28"/>
  <c r="K30" i="28"/>
  <c r="C30" i="28"/>
  <c r="R30" i="28"/>
  <c r="K40" i="28"/>
  <c r="T35" i="28"/>
  <c r="L35" i="28"/>
  <c r="D35" i="28"/>
  <c r="S35" i="28"/>
  <c r="K35" i="28"/>
  <c r="C35" i="28"/>
  <c r="R35" i="28"/>
  <c r="J35" i="28"/>
  <c r="O35" i="28"/>
  <c r="G35" i="28"/>
  <c r="P32" i="28"/>
  <c r="H32" i="28"/>
  <c r="O32" i="28"/>
  <c r="G32" i="28"/>
  <c r="V32" i="28"/>
  <c r="N32" i="28"/>
  <c r="F32" i="28"/>
  <c r="S32" i="28"/>
  <c r="K32" i="28"/>
  <c r="C32" i="28"/>
  <c r="P27" i="28"/>
  <c r="E30" i="28"/>
  <c r="U30" i="28"/>
  <c r="M32" i="28"/>
  <c r="Q35" i="28"/>
  <c r="N40" i="28"/>
  <c r="J41" i="28"/>
  <c r="D27" i="28"/>
  <c r="T27" i="28"/>
  <c r="I30" i="28"/>
  <c r="Q32" i="28"/>
  <c r="E35" i="28"/>
  <c r="U35" i="28"/>
  <c r="R40" i="28"/>
  <c r="N41" i="28"/>
  <c r="L43" i="28"/>
  <c r="AA46" i="5"/>
  <c r="D28" i="28"/>
  <c r="L28" i="28"/>
  <c r="T28" i="28"/>
  <c r="D36" i="28"/>
  <c r="L36" i="28"/>
  <c r="T36" i="28"/>
  <c r="H43" i="28"/>
  <c r="P43" i="28"/>
  <c r="E28" i="28"/>
  <c r="M28" i="28"/>
  <c r="U28" i="28"/>
  <c r="E36" i="28"/>
  <c r="M36" i="28"/>
  <c r="U36" i="28"/>
  <c r="I43" i="28"/>
  <c r="Q43" i="28"/>
  <c r="F28" i="28"/>
  <c r="N28" i="28"/>
  <c r="V28" i="28"/>
  <c r="F36" i="28"/>
  <c r="N36" i="28"/>
  <c r="V36" i="28"/>
  <c r="J43" i="28"/>
  <c r="R43" i="28"/>
  <c r="G28" i="28"/>
  <c r="O28" i="28"/>
  <c r="G36" i="28"/>
  <c r="O36" i="28"/>
  <c r="C43" i="28"/>
  <c r="K43" i="28"/>
  <c r="S43" i="28"/>
  <c r="H28" i="28"/>
  <c r="P28" i="28"/>
  <c r="H36" i="28"/>
  <c r="P36" i="28"/>
  <c r="I28" i="28"/>
  <c r="Q28" i="28"/>
  <c r="I36" i="28"/>
  <c r="Q36" i="28"/>
  <c r="E43" i="28"/>
  <c r="M43" i="28"/>
  <c r="J28" i="28"/>
  <c r="J36" i="28"/>
  <c r="AA46" i="27"/>
  <c r="T10" i="33"/>
  <c r="Z27" i="33" l="1"/>
  <c r="Q8" i="25" l="1"/>
  <c r="Q9" i="25"/>
  <c r="Q10" i="25"/>
  <c r="Q11" i="25"/>
  <c r="Q12" i="25"/>
  <c r="Q13" i="25"/>
  <c r="Q14" i="25"/>
  <c r="Q15" i="25"/>
  <c r="Q16" i="25"/>
  <c r="Q17" i="25"/>
  <c r="Q18" i="25"/>
  <c r="Q19" i="25"/>
  <c r="Q20" i="25"/>
  <c r="Q21" i="25"/>
  <c r="Q22" i="25"/>
  <c r="Q23" i="25"/>
  <c r="Q24" i="25"/>
  <c r="Q25" i="25"/>
  <c r="Q26" i="25"/>
  <c r="Q27" i="25"/>
  <c r="Q7" i="25"/>
  <c r="A29" i="21" l="1"/>
  <c r="G7" i="25"/>
  <c r="I7" i="25" s="1"/>
  <c r="R9" i="24" l="1"/>
  <c r="R10" i="24"/>
  <c r="R11" i="24"/>
  <c r="R12" i="24"/>
  <c r="R13" i="24"/>
  <c r="R14" i="24"/>
  <c r="R15" i="24"/>
  <c r="R16" i="24"/>
  <c r="R17" i="24"/>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65" i="24"/>
  <c r="R66" i="24"/>
  <c r="R67" i="24"/>
  <c r="R68" i="24"/>
  <c r="R69" i="24"/>
  <c r="R70" i="24"/>
  <c r="R71" i="24"/>
  <c r="R72" i="24"/>
  <c r="R73" i="24"/>
  <c r="R74" i="24"/>
  <c r="R75" i="24"/>
  <c r="R76" i="24"/>
  <c r="R77" i="24"/>
  <c r="R78" i="24"/>
  <c r="R79" i="24"/>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109" i="24"/>
  <c r="R110" i="24"/>
  <c r="R111" i="24"/>
  <c r="R112" i="24"/>
  <c r="Q112" i="24" s="1"/>
  <c r="R113" i="24"/>
  <c r="R114" i="24"/>
  <c r="R115" i="24"/>
  <c r="R116" i="24"/>
  <c r="R117" i="24"/>
  <c r="R118" i="24"/>
  <c r="R119" i="24"/>
  <c r="R120" i="24"/>
  <c r="Q120" i="24" s="1"/>
  <c r="R121" i="24"/>
  <c r="R122" i="24"/>
  <c r="R123" i="24"/>
  <c r="R124" i="24"/>
  <c r="R125" i="24"/>
  <c r="R126" i="24"/>
  <c r="R127" i="24"/>
  <c r="R128" i="24"/>
  <c r="Q128" i="24" s="1"/>
  <c r="R129" i="24"/>
  <c r="R130" i="24"/>
  <c r="R131" i="24"/>
  <c r="R132" i="24"/>
  <c r="R133" i="24"/>
  <c r="R134" i="24"/>
  <c r="R8" i="24"/>
  <c r="Q96" i="24" l="1"/>
  <c r="Q127" i="24"/>
  <c r="Q103" i="24"/>
  <c r="Q87" i="24"/>
  <c r="Q134" i="24"/>
  <c r="Q126" i="24"/>
  <c r="Q118" i="24"/>
  <c r="Q110" i="24"/>
  <c r="Q102" i="24"/>
  <c r="Q94" i="24"/>
  <c r="Q86" i="24"/>
  <c r="Q78" i="24"/>
  <c r="Q77" i="24"/>
  <c r="Q104" i="24"/>
  <c r="Q80" i="24"/>
  <c r="Q119" i="24"/>
  <c r="Q95" i="24"/>
  <c r="Q132" i="24"/>
  <c r="Q116" i="24"/>
  <c r="Q100" i="24"/>
  <c r="Q84" i="24"/>
  <c r="Q131" i="24"/>
  <c r="Q123" i="24"/>
  <c r="Q107" i="24"/>
  <c r="Q75" i="24"/>
  <c r="Q88" i="24"/>
  <c r="Q135" i="24"/>
  <c r="Q111" i="24"/>
  <c r="Q79" i="24"/>
  <c r="Q124" i="24"/>
  <c r="Q108" i="24"/>
  <c r="Q92" i="24"/>
  <c r="Q76" i="24"/>
  <c r="Q115" i="24"/>
  <c r="Q99" i="24"/>
  <c r="Q91" i="24"/>
  <c r="Q83" i="24"/>
  <c r="Q129" i="24"/>
  <c r="Q121" i="24"/>
  <c r="Q113" i="24"/>
  <c r="Q105" i="24"/>
  <c r="Q97" i="24"/>
  <c r="Q89" i="24"/>
  <c r="Q81" i="24"/>
  <c r="Q15" i="24"/>
  <c r="Q117" i="24"/>
  <c r="Q85" i="24"/>
  <c r="Q45" i="24"/>
  <c r="Q70" i="24"/>
  <c r="Q62" i="24"/>
  <c r="Q54" i="24"/>
  <c r="Q46" i="24"/>
  <c r="Q38" i="24"/>
  <c r="Q30" i="24"/>
  <c r="Q22" i="24"/>
  <c r="Q14" i="24"/>
  <c r="Q68" i="24"/>
  <c r="Q60" i="24"/>
  <c r="Q52" i="24"/>
  <c r="Q44" i="24"/>
  <c r="Q36" i="24"/>
  <c r="Q28" i="24"/>
  <c r="Q20" i="24"/>
  <c r="Q12" i="24"/>
  <c r="Q109" i="24"/>
  <c r="Q69" i="24"/>
  <c r="Q37" i="24"/>
  <c r="Q13" i="24"/>
  <c r="Q67" i="24"/>
  <c r="Q59" i="24"/>
  <c r="Q51" i="24"/>
  <c r="Q43" i="24"/>
  <c r="Q35" i="24"/>
  <c r="Q27" i="24"/>
  <c r="Q19" i="24"/>
  <c r="Q11" i="24"/>
  <c r="Q125" i="24"/>
  <c r="Q93" i="24"/>
  <c r="Q53" i="24"/>
  <c r="Q21" i="24"/>
  <c r="Q122" i="24"/>
  <c r="Q106" i="24"/>
  <c r="Q90" i="24"/>
  <c r="Q74" i="24"/>
  <c r="Q58" i="24"/>
  <c r="Q42" i="24"/>
  <c r="Q34" i="24"/>
  <c r="Q18" i="24"/>
  <c r="Q10" i="24"/>
  <c r="Q133" i="24"/>
  <c r="Q101" i="24"/>
  <c r="Q61" i="24"/>
  <c r="Q29" i="24"/>
  <c r="Q130" i="24"/>
  <c r="Q114" i="24"/>
  <c r="Q98" i="24"/>
  <c r="Q82" i="24"/>
  <c r="Q66" i="24"/>
  <c r="Q50" i="24"/>
  <c r="Q26" i="24"/>
  <c r="Q73" i="24"/>
  <c r="Q65" i="24"/>
  <c r="Q57" i="24"/>
  <c r="Q49" i="24"/>
  <c r="Q41" i="24"/>
  <c r="Q33" i="24"/>
  <c r="Q25" i="24"/>
  <c r="Q17" i="24"/>
  <c r="Q9" i="24"/>
  <c r="Q72" i="24"/>
  <c r="Q64" i="24"/>
  <c r="Q56" i="24"/>
  <c r="Q48" i="24"/>
  <c r="Q40" i="24"/>
  <c r="Q32" i="24"/>
  <c r="Q24" i="24"/>
  <c r="Q16" i="24"/>
  <c r="Q8" i="24"/>
  <c r="Q71" i="24"/>
  <c r="Q63" i="24"/>
  <c r="Q55" i="24"/>
  <c r="Q47" i="24"/>
  <c r="Q39" i="24"/>
  <c r="Q31" i="24"/>
  <c r="Q23" i="24"/>
  <c r="L143" i="24"/>
  <c r="J143" i="24"/>
  <c r="L142" i="24"/>
  <c r="J142" i="24"/>
  <c r="L141" i="24"/>
  <c r="J141" i="24"/>
  <c r="L140" i="24"/>
  <c r="J140" i="24"/>
  <c r="L139" i="24"/>
  <c r="J139" i="24"/>
  <c r="F143" i="24"/>
  <c r="F142" i="24"/>
  <c r="F141" i="24"/>
  <c r="F140" i="24"/>
  <c r="F139" i="24"/>
  <c r="B139" i="24"/>
  <c r="B140" i="24"/>
  <c r="B141" i="24"/>
  <c r="B142" i="24"/>
  <c r="C143" i="24"/>
  <c r="C142" i="24"/>
  <c r="C141" i="24"/>
  <c r="C140" i="24"/>
  <c r="C139" i="24"/>
  <c r="G1" i="24" l="1"/>
  <c r="H1" i="24" s="1"/>
  <c r="L48" i="36" l="1"/>
  <c r="I27" i="30" s="1"/>
  <c r="L50" i="36"/>
  <c r="I28" i="30" s="1"/>
  <c r="K48" i="36"/>
  <c r="A1" i="36" l="1"/>
  <c r="B8" i="36" l="1"/>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7" i="36"/>
  <c r="N17" i="27" l="1"/>
  <c r="AA17" i="27" l="1"/>
  <c r="AA47" i="27" s="1"/>
  <c r="N47" i="27"/>
  <c r="AV6" i="16"/>
  <c r="B51" i="25" l="1"/>
  <c r="T19" i="24" l="1"/>
  <c r="B46" i="11" l="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28" i="29"/>
  <c r="B27" i="29"/>
  <c r="B26" i="29"/>
  <c r="B25" i="29"/>
  <c r="B24" i="29"/>
  <c r="B23" i="29"/>
  <c r="B22" i="29"/>
  <c r="B21" i="29"/>
  <c r="B20" i="29"/>
  <c r="B19" i="29"/>
  <c r="B18" i="29"/>
  <c r="B17" i="29"/>
  <c r="B16" i="29"/>
  <c r="B15" i="29"/>
  <c r="B14" i="29"/>
  <c r="B13" i="29"/>
  <c r="B12" i="29"/>
  <c r="B11" i="29"/>
  <c r="P45" i="11"/>
  <c r="U45" i="11" s="1"/>
  <c r="B30" i="29"/>
  <c r="F51" i="11"/>
  <c r="F50" i="11"/>
  <c r="F33" i="29"/>
  <c r="F32" i="29"/>
  <c r="F51" i="10"/>
  <c r="Q51" i="10" s="1"/>
  <c r="B12" i="10"/>
  <c r="B11" i="10"/>
  <c r="Q51" i="11" l="1"/>
  <c r="Q50" i="11"/>
  <c r="Q33" i="29"/>
  <c r="Q32" i="29"/>
  <c r="F52" i="10"/>
  <c r="Q52" i="10" s="1"/>
  <c r="B48" i="11"/>
  <c r="P44" i="11" l="1"/>
  <c r="U44" i="11" s="1"/>
  <c r="P27" i="29"/>
  <c r="U27" i="29" s="1"/>
  <c r="AC27" i="29"/>
  <c r="P42" i="10"/>
  <c r="U42" i="10" s="1"/>
  <c r="AC42" i="10"/>
  <c r="H2" i="12" l="1"/>
  <c r="G2" i="12"/>
  <c r="E2" i="12"/>
  <c r="D2" i="12"/>
  <c r="C2" i="12"/>
  <c r="B2" i="12"/>
  <c r="A2" i="12"/>
  <c r="U48" i="11"/>
  <c r="I18" i="2" s="1"/>
  <c r="P48" i="11"/>
  <c r="P46" i="11"/>
  <c r="U46" i="11" s="1"/>
  <c r="P43" i="11"/>
  <c r="U43" i="11" s="1"/>
  <c r="P42" i="11"/>
  <c r="U42" i="11" s="1"/>
  <c r="P41" i="11"/>
  <c r="U41" i="11" s="1"/>
  <c r="P40" i="11"/>
  <c r="U40" i="11" s="1"/>
  <c r="P39" i="11"/>
  <c r="U39" i="11" s="1"/>
  <c r="P38" i="11"/>
  <c r="U38" i="11" s="1"/>
  <c r="P37" i="11"/>
  <c r="U37" i="11" s="1"/>
  <c r="P36" i="11"/>
  <c r="U36" i="11" s="1"/>
  <c r="P35" i="11"/>
  <c r="U35" i="11" s="1"/>
  <c r="P34" i="11"/>
  <c r="U34" i="11" s="1"/>
  <c r="P33" i="11"/>
  <c r="U33" i="11" s="1"/>
  <c r="P32" i="11"/>
  <c r="P31" i="11"/>
  <c r="U31" i="11" s="1"/>
  <c r="P30" i="11"/>
  <c r="AC29" i="11"/>
  <c r="P29" i="11"/>
  <c r="P28" i="11"/>
  <c r="AC28" i="11"/>
  <c r="AC27" i="11"/>
  <c r="P27" i="11"/>
  <c r="P26" i="11"/>
  <c r="U26" i="11" s="1"/>
  <c r="AC26" i="11"/>
  <c r="P25" i="11"/>
  <c r="U25" i="11" s="1"/>
  <c r="AC25" i="11"/>
  <c r="P24" i="11"/>
  <c r="U24" i="11" s="1"/>
  <c r="AC24" i="11"/>
  <c r="P23" i="11"/>
  <c r="AC23" i="11"/>
  <c r="AC22" i="11"/>
  <c r="P22" i="11"/>
  <c r="U22" i="11" s="1"/>
  <c r="AC21" i="11"/>
  <c r="P21" i="11"/>
  <c r="U21" i="11" s="1"/>
  <c r="P20" i="11"/>
  <c r="U20" i="11" s="1"/>
  <c r="AC20" i="11"/>
  <c r="AC19" i="11"/>
  <c r="P19" i="11"/>
  <c r="AC18" i="11"/>
  <c r="P18" i="11"/>
  <c r="U18" i="11" s="1"/>
  <c r="P17" i="11"/>
  <c r="AC17" i="11"/>
  <c r="P16" i="11"/>
  <c r="AC16" i="11"/>
  <c r="P15" i="11"/>
  <c r="U15" i="11" s="1"/>
  <c r="AC15" i="11"/>
  <c r="AC14" i="11"/>
  <c r="P14" i="11"/>
  <c r="P13" i="11"/>
  <c r="AC13" i="11"/>
  <c r="P12" i="11"/>
  <c r="AC12" i="11"/>
  <c r="AC11" i="11"/>
  <c r="P11" i="11"/>
  <c r="U11" i="11" s="1"/>
  <c r="AB30" i="29"/>
  <c r="P30" i="29"/>
  <c r="U30" i="29" s="1"/>
  <c r="X30" i="29" s="1"/>
  <c r="Y30" i="29" s="1"/>
  <c r="N30" i="29"/>
  <c r="O30" i="29" s="1"/>
  <c r="AC30" i="29"/>
  <c r="P28" i="29"/>
  <c r="U28" i="29" s="1"/>
  <c r="AC28" i="29"/>
  <c r="P26" i="29"/>
  <c r="U26" i="29" s="1"/>
  <c r="AC26" i="29"/>
  <c r="AC25" i="29"/>
  <c r="P25" i="29"/>
  <c r="P24" i="29"/>
  <c r="AC24" i="29"/>
  <c r="P23" i="29"/>
  <c r="U23" i="29" s="1"/>
  <c r="AC23" i="29"/>
  <c r="AC22" i="29"/>
  <c r="P22" i="29"/>
  <c r="U22" i="29" s="1"/>
  <c r="AC21" i="29"/>
  <c r="P21" i="29"/>
  <c r="AC20" i="29"/>
  <c r="P20" i="29"/>
  <c r="U20" i="29" s="1"/>
  <c r="P19" i="29"/>
  <c r="U19" i="29" s="1"/>
  <c r="AC19" i="29"/>
  <c r="AC18" i="29"/>
  <c r="P18" i="29"/>
  <c r="U18" i="29" s="1"/>
  <c r="P17" i="29"/>
  <c r="U17" i="29" s="1"/>
  <c r="AC17" i="29"/>
  <c r="AC16" i="29"/>
  <c r="P16" i="29"/>
  <c r="P15" i="29"/>
  <c r="U15" i="29" s="1"/>
  <c r="AC15" i="29"/>
  <c r="AC14" i="29"/>
  <c r="P14" i="29"/>
  <c r="U14" i="29" s="1"/>
  <c r="AC13" i="29"/>
  <c r="P13" i="29"/>
  <c r="U13" i="29" s="1"/>
  <c r="P12" i="29"/>
  <c r="AC12" i="29"/>
  <c r="P11" i="29"/>
  <c r="AC11" i="29"/>
  <c r="AC43" i="10"/>
  <c r="P43" i="10"/>
  <c r="U43" i="10" s="1"/>
  <c r="P41" i="10"/>
  <c r="AC41" i="10"/>
  <c r="P40" i="10"/>
  <c r="U40" i="10" s="1"/>
  <c r="AC40" i="10"/>
  <c r="P39" i="10"/>
  <c r="U39" i="10" s="1"/>
  <c r="AC39" i="10"/>
  <c r="AC38" i="10"/>
  <c r="P38" i="10"/>
  <c r="P37" i="10"/>
  <c r="U37" i="10" s="1"/>
  <c r="AC37" i="10"/>
  <c r="AC36" i="10"/>
  <c r="P36" i="10"/>
  <c r="U36" i="10" s="1"/>
  <c r="P35" i="10"/>
  <c r="AC35" i="10"/>
  <c r="AC34" i="10"/>
  <c r="P34" i="10"/>
  <c r="AC33" i="10"/>
  <c r="P33" i="10"/>
  <c r="U33" i="10" s="1"/>
  <c r="P32" i="10"/>
  <c r="U32" i="10" s="1"/>
  <c r="AC32" i="10"/>
  <c r="P31" i="10"/>
  <c r="U31" i="10" s="1"/>
  <c r="AC31" i="10"/>
  <c r="AC30" i="10"/>
  <c r="P30" i="10"/>
  <c r="U30" i="10" s="1"/>
  <c r="AC29" i="10"/>
  <c r="P29" i="10"/>
  <c r="P28" i="10"/>
  <c r="AC28" i="10"/>
  <c r="P27" i="10"/>
  <c r="AC27" i="10"/>
  <c r="AC26" i="10"/>
  <c r="P26" i="10"/>
  <c r="U26" i="10" s="1"/>
  <c r="AC25" i="10"/>
  <c r="P25" i="10"/>
  <c r="P24" i="10"/>
  <c r="U24" i="10" s="1"/>
  <c r="AC24" i="10"/>
  <c r="P23" i="10"/>
  <c r="AC23" i="10"/>
  <c r="P22" i="10"/>
  <c r="U22" i="10" s="1"/>
  <c r="AC22" i="10"/>
  <c r="AC21" i="10"/>
  <c r="P21" i="10"/>
  <c r="U21" i="10" s="1"/>
  <c r="P20" i="10"/>
  <c r="U20" i="10" s="1"/>
  <c r="AC20" i="10"/>
  <c r="P19" i="10"/>
  <c r="U19" i="10" s="1"/>
  <c r="AC19" i="10"/>
  <c r="AC18" i="10"/>
  <c r="P18" i="10"/>
  <c r="U18" i="10" s="1"/>
  <c r="AC17" i="10"/>
  <c r="P17" i="10"/>
  <c r="P16" i="10"/>
  <c r="AC16" i="10"/>
  <c r="AC15" i="10"/>
  <c r="P15" i="10"/>
  <c r="U15" i="10" s="1"/>
  <c r="P14" i="10"/>
  <c r="U14" i="10" s="1"/>
  <c r="AC14" i="10"/>
  <c r="AC13" i="10"/>
  <c r="P13" i="10"/>
  <c r="AC46" i="10"/>
  <c r="P46" i="10"/>
  <c r="U46" i="10" s="1"/>
  <c r="AC45" i="10"/>
  <c r="P45" i="10"/>
  <c r="U45" i="10" s="1"/>
  <c r="AC12" i="10"/>
  <c r="P12" i="10"/>
  <c r="AC11" i="10"/>
  <c r="P11" i="10"/>
  <c r="U11" i="10" s="1"/>
  <c r="I1" i="7"/>
  <c r="D8" i="9"/>
  <c r="E8" i="9" s="1"/>
  <c r="M6" i="9"/>
  <c r="I6" i="9"/>
  <c r="E6" i="9"/>
  <c r="A1" i="9"/>
  <c r="C9" i="8"/>
  <c r="B9" i="8"/>
  <c r="G8" i="8"/>
  <c r="F8" i="8"/>
  <c r="E8" i="8"/>
  <c r="C8" i="8"/>
  <c r="B8" i="8"/>
  <c r="A1" i="8"/>
  <c r="A47" i="6"/>
  <c r="I1" i="6"/>
  <c r="G46" i="5"/>
  <c r="B46" i="5"/>
  <c r="A45" i="5"/>
  <c r="AA1" i="5"/>
  <c r="M1" i="5"/>
  <c r="A1" i="28"/>
  <c r="B47" i="27"/>
  <c r="I46" i="27"/>
  <c r="A46" i="27"/>
  <c r="AA1" i="27"/>
  <c r="M1" i="27"/>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Q12" i="14"/>
  <c r="Q13" i="14" s="1"/>
  <c r="B12" i="14"/>
  <c r="B11" i="14"/>
  <c r="A1" i="14"/>
  <c r="H1" i="31"/>
  <c r="I47" i="30"/>
  <c r="H47" i="30"/>
  <c r="I46" i="30"/>
  <c r="H46" i="30"/>
  <c r="I45" i="30"/>
  <c r="H45" i="30"/>
  <c r="A1" i="30"/>
  <c r="A22" i="2"/>
  <c r="A21" i="2"/>
  <c r="A19" i="2"/>
  <c r="O18" i="2"/>
  <c r="A18" i="2"/>
  <c r="A16" i="2"/>
  <c r="O15" i="2"/>
  <c r="A15" i="2"/>
  <c r="A13" i="2"/>
  <c r="A11" i="2"/>
  <c r="B4" i="2"/>
  <c r="B1" i="2"/>
  <c r="F28" i="16"/>
  <c r="R25" i="16"/>
  <c r="R24" i="16"/>
  <c r="L24" i="16"/>
  <c r="D24" i="16"/>
  <c r="R23" i="16"/>
  <c r="L23" i="16"/>
  <c r="H23" i="16"/>
  <c r="G23" i="16"/>
  <c r="E23" i="16"/>
  <c r="D23" i="16"/>
  <c r="C23" i="16"/>
  <c r="B23" i="16"/>
  <c r="R22" i="16"/>
  <c r="L22" i="16"/>
  <c r="H22" i="16"/>
  <c r="G22" i="16"/>
  <c r="E22" i="16"/>
  <c r="D22" i="16"/>
  <c r="C22" i="16"/>
  <c r="B22" i="16"/>
  <c r="R21" i="16"/>
  <c r="L21" i="16"/>
  <c r="H21" i="16"/>
  <c r="G21" i="16"/>
  <c r="E21" i="16"/>
  <c r="D21" i="16"/>
  <c r="C21" i="16"/>
  <c r="B21" i="16"/>
  <c r="R20" i="16"/>
  <c r="L20" i="16"/>
  <c r="H20" i="16"/>
  <c r="G20" i="16"/>
  <c r="E20" i="16"/>
  <c r="D20" i="16"/>
  <c r="C20" i="16"/>
  <c r="B20" i="16"/>
  <c r="R19" i="16"/>
  <c r="L19" i="16"/>
  <c r="H19" i="16"/>
  <c r="I19" i="16" s="1"/>
  <c r="G19" i="16"/>
  <c r="E19" i="16"/>
  <c r="D19" i="16"/>
  <c r="C19" i="16"/>
  <c r="B19" i="16"/>
  <c r="R18" i="16"/>
  <c r="L18" i="16"/>
  <c r="H18" i="16"/>
  <c r="G18" i="16"/>
  <c r="E18" i="16"/>
  <c r="D18" i="16"/>
  <c r="C18" i="16"/>
  <c r="B18" i="16"/>
  <c r="R17" i="16"/>
  <c r="L17" i="16"/>
  <c r="H17" i="16"/>
  <c r="G17" i="16"/>
  <c r="E17" i="16"/>
  <c r="D17" i="16"/>
  <c r="C17" i="16"/>
  <c r="B17" i="16"/>
  <c r="R16" i="16"/>
  <c r="L16" i="16"/>
  <c r="H16" i="16"/>
  <c r="G16" i="16"/>
  <c r="E16" i="16"/>
  <c r="D16" i="16"/>
  <c r="C16" i="16"/>
  <c r="B16" i="16"/>
  <c r="R15" i="16"/>
  <c r="L15" i="16"/>
  <c r="H15" i="16"/>
  <c r="I15" i="16" s="1"/>
  <c r="G15" i="16"/>
  <c r="E15" i="16"/>
  <c r="D15" i="16"/>
  <c r="C15" i="16"/>
  <c r="B15" i="16"/>
  <c r="R14" i="16"/>
  <c r="L14" i="16"/>
  <c r="H14" i="16"/>
  <c r="G14" i="16"/>
  <c r="E14" i="16"/>
  <c r="D14" i="16"/>
  <c r="C14" i="16"/>
  <c r="B14" i="16"/>
  <c r="R13" i="16"/>
  <c r="L13" i="16"/>
  <c r="H13" i="16"/>
  <c r="I13" i="16" s="1"/>
  <c r="G13" i="16"/>
  <c r="E13" i="16"/>
  <c r="D13" i="16"/>
  <c r="C13" i="16"/>
  <c r="B13" i="16"/>
  <c r="R12" i="16"/>
  <c r="L12" i="16"/>
  <c r="H12" i="16"/>
  <c r="I12" i="16" s="1"/>
  <c r="G12" i="16"/>
  <c r="E12" i="16"/>
  <c r="D12" i="16"/>
  <c r="C12" i="16"/>
  <c r="B12" i="16"/>
  <c r="R11" i="16"/>
  <c r="L11" i="16"/>
  <c r="H11" i="16"/>
  <c r="G11" i="16"/>
  <c r="E11" i="16"/>
  <c r="D11" i="16"/>
  <c r="C11" i="16"/>
  <c r="B11" i="16"/>
  <c r="R10" i="16"/>
  <c r="L10" i="16"/>
  <c r="H10" i="16"/>
  <c r="I10" i="16" s="1"/>
  <c r="G10" i="16"/>
  <c r="E10" i="16"/>
  <c r="D10" i="16"/>
  <c r="C10" i="16"/>
  <c r="B10" i="16"/>
  <c r="R9" i="16"/>
  <c r="L9" i="16"/>
  <c r="H9" i="16"/>
  <c r="G9" i="16"/>
  <c r="E9" i="16"/>
  <c r="D9" i="16"/>
  <c r="C9" i="16"/>
  <c r="B9" i="16"/>
  <c r="R8" i="16"/>
  <c r="L8" i="16"/>
  <c r="H8" i="16"/>
  <c r="G8" i="16"/>
  <c r="E8" i="16"/>
  <c r="D8" i="16"/>
  <c r="C8" i="16"/>
  <c r="B8" i="16"/>
  <c r="R7" i="16"/>
  <c r="L7" i="16"/>
  <c r="H7" i="16"/>
  <c r="I7" i="16" s="1"/>
  <c r="G7" i="16"/>
  <c r="E7" i="16"/>
  <c r="D7" i="16"/>
  <c r="C7" i="16"/>
  <c r="B7" i="16"/>
  <c r="A1" i="16"/>
  <c r="A1" i="33"/>
  <c r="A1" i="21"/>
  <c r="L131" i="26"/>
  <c r="L130" i="26"/>
  <c r="L129" i="26"/>
  <c r="L128" i="26"/>
  <c r="L127" i="26"/>
  <c r="L126" i="26"/>
  <c r="L125" i="26"/>
  <c r="L124" i="26"/>
  <c r="L123" i="26"/>
  <c r="L122" i="26"/>
  <c r="L121" i="26"/>
  <c r="L120" i="26"/>
  <c r="L119" i="26"/>
  <c r="L118" i="26"/>
  <c r="L117" i="26"/>
  <c r="L116" i="26"/>
  <c r="C114" i="26"/>
  <c r="B29" i="7" s="1"/>
  <c r="C113" i="26"/>
  <c r="B28" i="7" s="1"/>
  <c r="C112" i="26"/>
  <c r="B27" i="7" s="1"/>
  <c r="C111" i="26"/>
  <c r="B26" i="7" s="1"/>
  <c r="C110" i="26"/>
  <c r="B25" i="7" s="1"/>
  <c r="C109" i="26"/>
  <c r="B24" i="7" s="1"/>
  <c r="C108" i="26"/>
  <c r="B23" i="7" s="1"/>
  <c r="C107" i="26"/>
  <c r="B22" i="7" s="1"/>
  <c r="C106" i="26"/>
  <c r="B21" i="7" s="1"/>
  <c r="C105" i="26"/>
  <c r="B20" i="7" s="1"/>
  <c r="C104" i="26"/>
  <c r="B19" i="7" s="1"/>
  <c r="C103" i="26"/>
  <c r="B18" i="7" s="1"/>
  <c r="C102" i="26"/>
  <c r="B17" i="7" s="1"/>
  <c r="C101" i="26"/>
  <c r="B16" i="7" s="1"/>
  <c r="C100" i="26"/>
  <c r="B15" i="7" s="1"/>
  <c r="C99" i="26"/>
  <c r="B14" i="7" s="1"/>
  <c r="C98" i="26"/>
  <c r="B13" i="7" s="1"/>
  <c r="C97" i="26"/>
  <c r="B12" i="7" s="1"/>
  <c r="C96" i="26"/>
  <c r="A1" i="26"/>
  <c r="K52" i="25"/>
  <c r="B52" i="25"/>
  <c r="K51" i="25"/>
  <c r="K50" i="25"/>
  <c r="B50" i="25"/>
  <c r="N44" i="25"/>
  <c r="G44" i="25"/>
  <c r="N43" i="25"/>
  <c r="F43" i="25"/>
  <c r="F50" i="25" s="1"/>
  <c r="E43" i="25"/>
  <c r="E51" i="25" s="1"/>
  <c r="D43" i="25"/>
  <c r="D51" i="25" s="1"/>
  <c r="N42" i="25"/>
  <c r="G42" i="25"/>
  <c r="I42" i="25" s="1"/>
  <c r="N41" i="25"/>
  <c r="G41" i="25"/>
  <c r="I41" i="25" s="1"/>
  <c r="N40" i="25"/>
  <c r="G40" i="25"/>
  <c r="I40" i="25" s="1"/>
  <c r="J40" i="25" s="1"/>
  <c r="M40" i="25" s="1"/>
  <c r="N39" i="25"/>
  <c r="G39" i="25"/>
  <c r="I39" i="25" s="1"/>
  <c r="S39" i="25" s="1"/>
  <c r="T39" i="25" s="1"/>
  <c r="N38" i="25"/>
  <c r="G38" i="25"/>
  <c r="I38" i="25" s="1"/>
  <c r="J38" i="25" s="1"/>
  <c r="M38" i="25" s="1"/>
  <c r="N37" i="25"/>
  <c r="G37" i="25"/>
  <c r="I37" i="25" s="1"/>
  <c r="S37" i="25" s="1"/>
  <c r="T37" i="25" s="1"/>
  <c r="N36" i="25"/>
  <c r="G36" i="25"/>
  <c r="I36" i="25" s="1"/>
  <c r="N35" i="25"/>
  <c r="G35" i="25"/>
  <c r="I35" i="25" s="1"/>
  <c r="N34" i="25"/>
  <c r="G34" i="25"/>
  <c r="I34" i="25" s="1"/>
  <c r="J34" i="25" s="1"/>
  <c r="M34" i="25" s="1"/>
  <c r="N33" i="25"/>
  <c r="G33" i="25"/>
  <c r="I33" i="25" s="1"/>
  <c r="N32" i="25"/>
  <c r="G32" i="25"/>
  <c r="I32" i="25" s="1"/>
  <c r="J32" i="25" s="1"/>
  <c r="M32" i="25" s="1"/>
  <c r="N31" i="25"/>
  <c r="G31" i="25"/>
  <c r="I31" i="25" s="1"/>
  <c r="J31" i="25" s="1"/>
  <c r="M31" i="25" s="1"/>
  <c r="N30" i="25"/>
  <c r="G30" i="25"/>
  <c r="I30" i="25" s="1"/>
  <c r="J30" i="25" s="1"/>
  <c r="M30" i="25" s="1"/>
  <c r="N29" i="25"/>
  <c r="G29" i="25"/>
  <c r="I29" i="25" s="1"/>
  <c r="S29" i="25" s="1"/>
  <c r="T29" i="25" s="1"/>
  <c r="N28" i="25"/>
  <c r="G28" i="25"/>
  <c r="I28" i="25" s="1"/>
  <c r="S28" i="25" s="1"/>
  <c r="T28" i="25" s="1"/>
  <c r="G27" i="25"/>
  <c r="I27" i="25" s="1"/>
  <c r="J27" i="25" s="1"/>
  <c r="R27" i="25" s="1"/>
  <c r="B25" i="28" s="1"/>
  <c r="G26" i="25"/>
  <c r="I26" i="25" s="1"/>
  <c r="J26" i="25" s="1"/>
  <c r="R26" i="25" s="1"/>
  <c r="B24" i="28" s="1"/>
  <c r="G25" i="25"/>
  <c r="G24" i="25"/>
  <c r="I24" i="25" s="1"/>
  <c r="J24" i="25" s="1"/>
  <c r="G23" i="25"/>
  <c r="I23" i="25" s="1"/>
  <c r="J23" i="25" s="1"/>
  <c r="R23" i="25" s="1"/>
  <c r="B21" i="28" s="1"/>
  <c r="G22" i="25"/>
  <c r="I22" i="25" s="1"/>
  <c r="J22" i="25" s="1"/>
  <c r="R22" i="25" s="1"/>
  <c r="B20" i="28" s="1"/>
  <c r="G21" i="25"/>
  <c r="I21" i="25" s="1"/>
  <c r="J21" i="25" s="1"/>
  <c r="R21" i="25" s="1"/>
  <c r="B19" i="28" s="1"/>
  <c r="G20" i="25"/>
  <c r="I20" i="25" s="1"/>
  <c r="J20" i="25" s="1"/>
  <c r="R20" i="25" s="1"/>
  <c r="B18" i="28" s="1"/>
  <c r="G19" i="25"/>
  <c r="I19" i="25" s="1"/>
  <c r="J19" i="25" s="1"/>
  <c r="R19" i="25" s="1"/>
  <c r="B17" i="28" s="1"/>
  <c r="G18" i="25"/>
  <c r="I18" i="25" s="1"/>
  <c r="J18" i="25" s="1"/>
  <c r="R18" i="25" s="1"/>
  <c r="B16" i="28" s="1"/>
  <c r="G17" i="25"/>
  <c r="I17" i="25" s="1"/>
  <c r="J17" i="25" s="1"/>
  <c r="R17" i="25" s="1"/>
  <c r="B15" i="28" s="1"/>
  <c r="G16" i="25"/>
  <c r="I16" i="25" s="1"/>
  <c r="J16" i="25" s="1"/>
  <c r="R16" i="25" s="1"/>
  <c r="B14" i="28" s="1"/>
  <c r="G15" i="25"/>
  <c r="I15" i="25" s="1"/>
  <c r="J15" i="25" s="1"/>
  <c r="R15" i="25" s="1"/>
  <c r="B13" i="28" s="1"/>
  <c r="I14" i="25"/>
  <c r="J14" i="25" s="1"/>
  <c r="R14" i="25" s="1"/>
  <c r="B12" i="28" s="1"/>
  <c r="G14" i="25"/>
  <c r="G13" i="25"/>
  <c r="I13" i="25" s="1"/>
  <c r="J13" i="25" s="1"/>
  <c r="R13" i="25" s="1"/>
  <c r="B11" i="28" s="1"/>
  <c r="G12" i="25"/>
  <c r="I12" i="25" s="1"/>
  <c r="J12" i="25" s="1"/>
  <c r="R12" i="25" s="1"/>
  <c r="B10" i="28" s="1"/>
  <c r="G11" i="25"/>
  <c r="I11" i="25" s="1"/>
  <c r="J11" i="25" s="1"/>
  <c r="R11" i="25" s="1"/>
  <c r="B9" i="28" s="1"/>
  <c r="G10" i="25"/>
  <c r="I10" i="25" s="1"/>
  <c r="J10" i="25" s="1"/>
  <c r="R10" i="25" s="1"/>
  <c r="B8" i="28" s="1"/>
  <c r="G9" i="25"/>
  <c r="I9" i="25" s="1"/>
  <c r="G8" i="25"/>
  <c r="I8" i="25" s="1"/>
  <c r="J8" i="25" s="1"/>
  <c r="J7" i="25"/>
  <c r="A1" i="25"/>
  <c r="A138" i="24"/>
  <c r="D134" i="24"/>
  <c r="B24" i="16" s="1"/>
  <c r="D133" i="24"/>
  <c r="D132" i="24"/>
  <c r="D131" i="24"/>
  <c r="D130" i="24"/>
  <c r="I130" i="24" s="1"/>
  <c r="B39" i="6" s="1"/>
  <c r="D129" i="24"/>
  <c r="I129" i="24" s="1"/>
  <c r="D128" i="24"/>
  <c r="D127" i="24"/>
  <c r="I127" i="24" s="1"/>
  <c r="B36" i="6" s="1"/>
  <c r="D126" i="24"/>
  <c r="I126" i="24" s="1"/>
  <c r="B35" i="6" s="1"/>
  <c r="D125" i="24"/>
  <c r="I125" i="24" s="1"/>
  <c r="D124" i="24"/>
  <c r="D123" i="24"/>
  <c r="I123" i="24" s="1"/>
  <c r="B32" i="6" s="1"/>
  <c r="D122" i="24"/>
  <c r="I122" i="24" s="1"/>
  <c r="B31" i="6" s="1"/>
  <c r="D121" i="24"/>
  <c r="I121" i="24" s="1"/>
  <c r="B30" i="6" s="1"/>
  <c r="D120" i="24"/>
  <c r="D119" i="24"/>
  <c r="I119" i="24" s="1"/>
  <c r="B28" i="6" s="1"/>
  <c r="D118" i="24"/>
  <c r="I118" i="24" s="1"/>
  <c r="B27" i="6" s="1"/>
  <c r="D117" i="24"/>
  <c r="D116" i="24"/>
  <c r="I116" i="24" s="1"/>
  <c r="B25" i="6" s="1"/>
  <c r="D115" i="24"/>
  <c r="I115" i="24" s="1"/>
  <c r="B24" i="6" s="1"/>
  <c r="D114" i="24"/>
  <c r="I114" i="24" s="1"/>
  <c r="D113" i="24"/>
  <c r="I113" i="24" s="1"/>
  <c r="B22" i="6" s="1"/>
  <c r="D112" i="24"/>
  <c r="D111" i="24"/>
  <c r="I111" i="24" s="1"/>
  <c r="B20" i="6" s="1"/>
  <c r="D110" i="24"/>
  <c r="I110" i="24" s="1"/>
  <c r="B19" i="6" s="1"/>
  <c r="D109" i="24"/>
  <c r="D108" i="24"/>
  <c r="I108" i="24" s="1"/>
  <c r="B17" i="6" s="1"/>
  <c r="D107" i="24"/>
  <c r="D106" i="24"/>
  <c r="I106" i="24" s="1"/>
  <c r="D105" i="24"/>
  <c r="I105" i="24" s="1"/>
  <c r="B14" i="6" s="1"/>
  <c r="D104" i="24"/>
  <c r="I104" i="24" s="1"/>
  <c r="B13" i="6" s="1"/>
  <c r="D103" i="24"/>
  <c r="I103" i="24" s="1"/>
  <c r="B12" i="6" s="1"/>
  <c r="D102" i="24"/>
  <c r="I102" i="24" s="1"/>
  <c r="B11" i="6" s="1"/>
  <c r="D101" i="24"/>
  <c r="I101" i="24" s="1"/>
  <c r="B10" i="6" s="1"/>
  <c r="D100" i="24"/>
  <c r="I100" i="24" s="1"/>
  <c r="B9" i="6" s="1"/>
  <c r="D99" i="24"/>
  <c r="I99" i="24" s="1"/>
  <c r="B8" i="6" s="1"/>
  <c r="I98" i="24"/>
  <c r="O98" i="24" s="1"/>
  <c r="B96" i="26" s="1"/>
  <c r="D98" i="24"/>
  <c r="D97" i="24"/>
  <c r="I97" i="24" s="1"/>
  <c r="O97" i="24" s="1"/>
  <c r="B95" i="26" s="1"/>
  <c r="D96" i="24"/>
  <c r="D95" i="24"/>
  <c r="I95" i="24" s="1"/>
  <c r="O95" i="24" s="1"/>
  <c r="B93" i="26" s="1"/>
  <c r="N94" i="24"/>
  <c r="D94" i="24"/>
  <c r="N93" i="24"/>
  <c r="I93" i="24"/>
  <c r="D93" i="24"/>
  <c r="N92" i="24"/>
  <c r="D92" i="24"/>
  <c r="N91" i="24"/>
  <c r="D91" i="24"/>
  <c r="I91" i="24" s="1"/>
  <c r="N90" i="24"/>
  <c r="D90" i="24"/>
  <c r="N89" i="24"/>
  <c r="D89" i="24"/>
  <c r="N88" i="24"/>
  <c r="D88" i="24"/>
  <c r="N87" i="24"/>
  <c r="D87" i="24"/>
  <c r="I87" i="24" s="1"/>
  <c r="N86" i="24"/>
  <c r="D86" i="24"/>
  <c r="N85" i="24"/>
  <c r="D85" i="24"/>
  <c r="N84" i="24"/>
  <c r="D84" i="24"/>
  <c r="D83" i="24"/>
  <c r="I83" i="24" s="1"/>
  <c r="O83" i="24" s="1"/>
  <c r="B81" i="26" s="1"/>
  <c r="D82" i="24"/>
  <c r="I82" i="24" s="1"/>
  <c r="O82" i="24" s="1"/>
  <c r="B80" i="26" s="1"/>
  <c r="D81" i="24"/>
  <c r="I81" i="24" s="1"/>
  <c r="O81" i="24" s="1"/>
  <c r="B79" i="26" s="1"/>
  <c r="D80" i="24"/>
  <c r="I80" i="24" s="1"/>
  <c r="O80" i="24" s="1"/>
  <c r="B78" i="26" s="1"/>
  <c r="D79" i="24"/>
  <c r="I79" i="24" s="1"/>
  <c r="O79" i="24" s="1"/>
  <c r="B77" i="26" s="1"/>
  <c r="D78" i="24"/>
  <c r="D77" i="24"/>
  <c r="I77" i="24" s="1"/>
  <c r="O77" i="24" s="1"/>
  <c r="B75" i="26" s="1"/>
  <c r="D76" i="24"/>
  <c r="I76" i="24" s="1"/>
  <c r="O76" i="24" s="1"/>
  <c r="B74" i="26" s="1"/>
  <c r="D75" i="24"/>
  <c r="I75" i="24" s="1"/>
  <c r="O75" i="24" s="1"/>
  <c r="B73" i="26" s="1"/>
  <c r="D74" i="24"/>
  <c r="I74" i="24" s="1"/>
  <c r="O74" i="24" s="1"/>
  <c r="B72" i="26" s="1"/>
  <c r="D73" i="24"/>
  <c r="I73" i="24" s="1"/>
  <c r="O73" i="24" s="1"/>
  <c r="B71" i="26" s="1"/>
  <c r="D72" i="24"/>
  <c r="I72" i="24" s="1"/>
  <c r="O72" i="24" s="1"/>
  <c r="B70" i="26" s="1"/>
  <c r="D71" i="24"/>
  <c r="I71" i="24" s="1"/>
  <c r="O71" i="24" s="1"/>
  <c r="B69" i="26" s="1"/>
  <c r="D70" i="24"/>
  <c r="I70" i="24" s="1"/>
  <c r="O70" i="24" s="1"/>
  <c r="B68" i="26" s="1"/>
  <c r="D69" i="24"/>
  <c r="I69" i="24" s="1"/>
  <c r="O69" i="24" s="1"/>
  <c r="B67" i="26" s="1"/>
  <c r="D68" i="24"/>
  <c r="D67" i="24"/>
  <c r="I67" i="24" s="1"/>
  <c r="O67" i="24" s="1"/>
  <c r="B65" i="26" s="1"/>
  <c r="D66" i="24"/>
  <c r="I66" i="24" s="1"/>
  <c r="O66" i="24" s="1"/>
  <c r="B64" i="26" s="1"/>
  <c r="D65" i="24"/>
  <c r="I65" i="24" s="1"/>
  <c r="O65" i="24" s="1"/>
  <c r="B63" i="26" s="1"/>
  <c r="D64" i="24"/>
  <c r="I64" i="24" s="1"/>
  <c r="O64" i="24" s="1"/>
  <c r="B62" i="26" s="1"/>
  <c r="D63" i="24"/>
  <c r="I63" i="24" s="1"/>
  <c r="O63" i="24" s="1"/>
  <c r="B61" i="26" s="1"/>
  <c r="D62" i="24"/>
  <c r="I62" i="24" s="1"/>
  <c r="O62" i="24" s="1"/>
  <c r="B60" i="26" s="1"/>
  <c r="D61" i="24"/>
  <c r="I61" i="24" s="1"/>
  <c r="O61" i="24" s="1"/>
  <c r="B59" i="26" s="1"/>
  <c r="D60" i="24"/>
  <c r="I60" i="24" s="1"/>
  <c r="O60" i="24" s="1"/>
  <c r="B58" i="26" s="1"/>
  <c r="D59" i="24"/>
  <c r="I59" i="24" s="1"/>
  <c r="O59" i="24" s="1"/>
  <c r="B57" i="26" s="1"/>
  <c r="D58" i="24"/>
  <c r="D57" i="24"/>
  <c r="I57" i="24" s="1"/>
  <c r="O57" i="24" s="1"/>
  <c r="B55" i="26" s="1"/>
  <c r="D56" i="24"/>
  <c r="I56" i="24" s="1"/>
  <c r="O56" i="24" s="1"/>
  <c r="B54" i="26" s="1"/>
  <c r="D55" i="24"/>
  <c r="I55" i="24" s="1"/>
  <c r="O55" i="24" s="1"/>
  <c r="B53" i="26" s="1"/>
  <c r="D54" i="24"/>
  <c r="I54" i="24" s="1"/>
  <c r="O54" i="24" s="1"/>
  <c r="B52" i="26" s="1"/>
  <c r="D53" i="24"/>
  <c r="I53" i="24" s="1"/>
  <c r="O53" i="24" s="1"/>
  <c r="B51" i="26" s="1"/>
  <c r="D52" i="24"/>
  <c r="I52" i="24" s="1"/>
  <c r="O52" i="24" s="1"/>
  <c r="B50" i="26" s="1"/>
  <c r="D51" i="24"/>
  <c r="I51" i="24" s="1"/>
  <c r="O51" i="24" s="1"/>
  <c r="B49" i="26" s="1"/>
  <c r="D50" i="24"/>
  <c r="I50" i="24" s="1"/>
  <c r="O50" i="24" s="1"/>
  <c r="B48" i="26" s="1"/>
  <c r="D49" i="24"/>
  <c r="I49" i="24" s="1"/>
  <c r="O49" i="24" s="1"/>
  <c r="B47" i="26" s="1"/>
  <c r="D48" i="24"/>
  <c r="D47" i="24"/>
  <c r="I47" i="24" s="1"/>
  <c r="O47" i="24" s="1"/>
  <c r="B45" i="26" s="1"/>
  <c r="D46" i="24"/>
  <c r="I46" i="24" s="1"/>
  <c r="O46" i="24" s="1"/>
  <c r="B44" i="26" s="1"/>
  <c r="D45" i="24"/>
  <c r="I45" i="24" s="1"/>
  <c r="O45" i="24" s="1"/>
  <c r="B43" i="26" s="1"/>
  <c r="D44" i="24"/>
  <c r="I44" i="24" s="1"/>
  <c r="O44" i="24" s="1"/>
  <c r="B42" i="26" s="1"/>
  <c r="D43" i="24"/>
  <c r="I43" i="24" s="1"/>
  <c r="O43" i="24" s="1"/>
  <c r="B41" i="26" s="1"/>
  <c r="D42" i="24"/>
  <c r="I42" i="24" s="1"/>
  <c r="O42" i="24" s="1"/>
  <c r="B40" i="26" s="1"/>
  <c r="D41" i="24"/>
  <c r="I41" i="24" s="1"/>
  <c r="O41" i="24" s="1"/>
  <c r="B39" i="26" s="1"/>
  <c r="D40" i="24"/>
  <c r="I40" i="24" s="1"/>
  <c r="O40" i="24" s="1"/>
  <c r="B38" i="26" s="1"/>
  <c r="D39" i="24"/>
  <c r="I39" i="24" s="1"/>
  <c r="O39" i="24" s="1"/>
  <c r="B37" i="26" s="1"/>
  <c r="D38" i="24"/>
  <c r="D37" i="24"/>
  <c r="I37" i="24" s="1"/>
  <c r="O37" i="24" s="1"/>
  <c r="B35" i="26" s="1"/>
  <c r="D36" i="24"/>
  <c r="I36" i="24" s="1"/>
  <c r="O36" i="24" s="1"/>
  <c r="B34" i="26" s="1"/>
  <c r="D35" i="24"/>
  <c r="I35" i="24" s="1"/>
  <c r="O35" i="24" s="1"/>
  <c r="B33" i="26" s="1"/>
  <c r="D34" i="24"/>
  <c r="I34" i="24" s="1"/>
  <c r="O34" i="24" s="1"/>
  <c r="B32" i="26" s="1"/>
  <c r="D33" i="24"/>
  <c r="I33" i="24" s="1"/>
  <c r="O33" i="24" s="1"/>
  <c r="B31" i="26" s="1"/>
  <c r="D32" i="24"/>
  <c r="I32" i="24" s="1"/>
  <c r="O32" i="24" s="1"/>
  <c r="B30" i="26" s="1"/>
  <c r="D31" i="24"/>
  <c r="I31" i="24" s="1"/>
  <c r="O31" i="24" s="1"/>
  <c r="B29" i="26" s="1"/>
  <c r="D30" i="24"/>
  <c r="I30" i="24" s="1"/>
  <c r="O30" i="24" s="1"/>
  <c r="B28" i="26" s="1"/>
  <c r="D29" i="24"/>
  <c r="I29" i="24" s="1"/>
  <c r="O29" i="24" s="1"/>
  <c r="B27" i="26" s="1"/>
  <c r="D28" i="24"/>
  <c r="D27" i="24"/>
  <c r="D26" i="24"/>
  <c r="I26" i="24" s="1"/>
  <c r="O26" i="24" s="1"/>
  <c r="B24" i="26" s="1"/>
  <c r="D25" i="24"/>
  <c r="I25" i="24" s="1"/>
  <c r="O25" i="24" s="1"/>
  <c r="B23" i="26" s="1"/>
  <c r="D24" i="24"/>
  <c r="I24" i="24" s="1"/>
  <c r="O24" i="24" s="1"/>
  <c r="B22" i="26" s="1"/>
  <c r="D23" i="24"/>
  <c r="I23" i="24" s="1"/>
  <c r="O23" i="24" s="1"/>
  <c r="B21" i="26" s="1"/>
  <c r="D22" i="24"/>
  <c r="D21" i="24"/>
  <c r="I21" i="24" s="1"/>
  <c r="O21" i="24" s="1"/>
  <c r="B19" i="26" s="1"/>
  <c r="D20" i="24"/>
  <c r="I20" i="24" s="1"/>
  <c r="O20" i="24" s="1"/>
  <c r="B18" i="26" s="1"/>
  <c r="D19" i="24"/>
  <c r="I19" i="24" s="1"/>
  <c r="O19" i="24" s="1"/>
  <c r="B17" i="26" s="1"/>
  <c r="D18" i="24"/>
  <c r="I18" i="24" s="1"/>
  <c r="O18" i="24" s="1"/>
  <c r="B16" i="26" s="1"/>
  <c r="D17" i="24"/>
  <c r="I17" i="24" s="1"/>
  <c r="O17" i="24" s="1"/>
  <c r="B15" i="26" s="1"/>
  <c r="D16" i="24"/>
  <c r="I16" i="24" s="1"/>
  <c r="O16" i="24" s="1"/>
  <c r="B14" i="26" s="1"/>
  <c r="D15" i="24"/>
  <c r="I15" i="24" s="1"/>
  <c r="O15" i="24" s="1"/>
  <c r="B13" i="26" s="1"/>
  <c r="D14" i="24"/>
  <c r="I14" i="24" s="1"/>
  <c r="O14" i="24" s="1"/>
  <c r="B12" i="26" s="1"/>
  <c r="D13" i="24"/>
  <c r="I13" i="24" s="1"/>
  <c r="O13" i="24" s="1"/>
  <c r="B11" i="26" s="1"/>
  <c r="D12" i="24"/>
  <c r="I12" i="24" s="1"/>
  <c r="O12" i="24" s="1"/>
  <c r="B10" i="26" s="1"/>
  <c r="D11" i="24"/>
  <c r="I11" i="24" s="1"/>
  <c r="O11" i="24" s="1"/>
  <c r="B9" i="26" s="1"/>
  <c r="D10" i="24"/>
  <c r="I10" i="24" s="1"/>
  <c r="O10" i="24" s="1"/>
  <c r="B8" i="26" s="1"/>
  <c r="D9" i="24"/>
  <c r="I9" i="24" s="1"/>
  <c r="O9" i="24" s="1"/>
  <c r="B7" i="26" s="1"/>
  <c r="D8" i="24"/>
  <c r="O1" i="24"/>
  <c r="A1" i="24"/>
  <c r="A1" i="23"/>
  <c r="G25" i="16" l="1"/>
  <c r="M45" i="25"/>
  <c r="K143" i="24"/>
  <c r="K139" i="24"/>
  <c r="K142" i="24"/>
  <c r="K141" i="24"/>
  <c r="T8" i="6"/>
  <c r="L8" i="6"/>
  <c r="D8" i="6"/>
  <c r="M8" i="6"/>
  <c r="S8" i="6"/>
  <c r="K8" i="6"/>
  <c r="C8" i="6"/>
  <c r="Q8" i="6"/>
  <c r="I8" i="6"/>
  <c r="R8" i="6"/>
  <c r="J8" i="6"/>
  <c r="P8" i="6"/>
  <c r="H8" i="6"/>
  <c r="O8" i="6"/>
  <c r="G8" i="6"/>
  <c r="V8" i="6"/>
  <c r="N8" i="6"/>
  <c r="F8" i="6"/>
  <c r="U8" i="6"/>
  <c r="E8" i="6"/>
  <c r="M142" i="24"/>
  <c r="V11" i="6"/>
  <c r="N11" i="6"/>
  <c r="F11" i="6"/>
  <c r="U11" i="6"/>
  <c r="M11" i="6"/>
  <c r="E11" i="6"/>
  <c r="K11" i="6"/>
  <c r="C11" i="6"/>
  <c r="C13" i="7" s="1"/>
  <c r="G11" i="6"/>
  <c r="T11" i="6"/>
  <c r="L11" i="6"/>
  <c r="D11" i="6"/>
  <c r="S11" i="6"/>
  <c r="O11" i="6"/>
  <c r="R11" i="6"/>
  <c r="J11" i="6"/>
  <c r="Q11" i="6"/>
  <c r="I11" i="6"/>
  <c r="P11" i="6"/>
  <c r="H11" i="6"/>
  <c r="T135" i="24"/>
  <c r="M7" i="25"/>
  <c r="R7" i="25"/>
  <c r="O103" i="24"/>
  <c r="B101" i="26" s="1"/>
  <c r="D101" i="26" s="1"/>
  <c r="C24" i="16"/>
  <c r="C28" i="16" s="1"/>
  <c r="E143" i="24"/>
  <c r="E139" i="24"/>
  <c r="E142" i="24"/>
  <c r="E141" i="24"/>
  <c r="E140" i="24"/>
  <c r="S32" i="25"/>
  <c r="T32" i="25" s="1"/>
  <c r="Q9" i="6"/>
  <c r="H9" i="6"/>
  <c r="P9" i="6"/>
  <c r="G9" i="6"/>
  <c r="N9" i="6"/>
  <c r="O9" i="6"/>
  <c r="F9" i="6"/>
  <c r="E9" i="6"/>
  <c r="V9" i="6"/>
  <c r="M9" i="6"/>
  <c r="D9" i="6"/>
  <c r="U9" i="6"/>
  <c r="L9" i="6"/>
  <c r="C9" i="6"/>
  <c r="T9" i="6"/>
  <c r="K9" i="6"/>
  <c r="S9" i="6"/>
  <c r="I9" i="6"/>
  <c r="R9" i="6"/>
  <c r="J9" i="6"/>
  <c r="P10" i="6"/>
  <c r="G10" i="6"/>
  <c r="O10" i="6"/>
  <c r="E10" i="6"/>
  <c r="L10" i="6"/>
  <c r="C10" i="6"/>
  <c r="M10" i="6"/>
  <c r="D10" i="6"/>
  <c r="U10" i="6"/>
  <c r="K10" i="6"/>
  <c r="T10" i="6"/>
  <c r="J10" i="6"/>
  <c r="S10" i="6"/>
  <c r="I10" i="6"/>
  <c r="Q10" i="6"/>
  <c r="H10" i="6"/>
  <c r="R10" i="6"/>
  <c r="V10" i="6"/>
  <c r="N10" i="6"/>
  <c r="F10" i="6"/>
  <c r="M12" i="6"/>
  <c r="T12" i="6"/>
  <c r="P12" i="6"/>
  <c r="I12" i="6"/>
  <c r="L12" i="6"/>
  <c r="R12" i="6"/>
  <c r="O12" i="6"/>
  <c r="V12" i="6"/>
  <c r="J12" i="6"/>
  <c r="E12" i="6"/>
  <c r="N12" i="6"/>
  <c r="U12" i="6"/>
  <c r="D12" i="6"/>
  <c r="G12" i="6"/>
  <c r="F12" i="6"/>
  <c r="Q12" i="6"/>
  <c r="C12" i="6"/>
  <c r="K12" i="6"/>
  <c r="H12" i="6"/>
  <c r="S12" i="6"/>
  <c r="I22" i="24"/>
  <c r="O22" i="24" s="1"/>
  <c r="B20" i="26" s="1"/>
  <c r="H143" i="24"/>
  <c r="H140" i="24"/>
  <c r="H139" i="24"/>
  <c r="V14" i="28"/>
  <c r="N14" i="28"/>
  <c r="F14" i="28"/>
  <c r="U14" i="28"/>
  <c r="M14" i="28"/>
  <c r="E14" i="28"/>
  <c r="T14" i="28"/>
  <c r="L14" i="28"/>
  <c r="D14" i="28"/>
  <c r="Q14" i="28"/>
  <c r="I14" i="28"/>
  <c r="G14" i="28"/>
  <c r="P14" i="28"/>
  <c r="S14" i="28"/>
  <c r="C14" i="28"/>
  <c r="O14" i="28"/>
  <c r="R14" i="28"/>
  <c r="K14" i="28"/>
  <c r="J14" i="28"/>
  <c r="H14" i="28"/>
  <c r="O10" i="28"/>
  <c r="N9" i="31" s="1"/>
  <c r="G10" i="28"/>
  <c r="D10" i="28"/>
  <c r="K10" i="28"/>
  <c r="J9" i="31" s="1"/>
  <c r="V10" i="28"/>
  <c r="N10" i="28"/>
  <c r="F10" i="28"/>
  <c r="E9" i="31" s="1"/>
  <c r="T10" i="28"/>
  <c r="S10" i="28"/>
  <c r="U10" i="28"/>
  <c r="M10" i="28"/>
  <c r="E10" i="28"/>
  <c r="D9" i="31" s="1"/>
  <c r="L10" i="28"/>
  <c r="C10" i="28"/>
  <c r="R10" i="28"/>
  <c r="Q9" i="31" s="1"/>
  <c r="J10" i="28"/>
  <c r="I9" i="31" s="1"/>
  <c r="Q10" i="28"/>
  <c r="I10" i="28"/>
  <c r="P10" i="28"/>
  <c r="O9" i="31" s="1"/>
  <c r="H10" i="28"/>
  <c r="G9" i="31" s="1"/>
  <c r="R19" i="28"/>
  <c r="J19" i="28"/>
  <c r="Q19" i="28"/>
  <c r="I19" i="28"/>
  <c r="P19" i="28"/>
  <c r="H19" i="28"/>
  <c r="H19" i="7" s="1"/>
  <c r="G21" i="8" s="1"/>
  <c r="U19" i="28"/>
  <c r="M19" i="28"/>
  <c r="E19" i="28"/>
  <c r="S19" i="28"/>
  <c r="C19" i="28"/>
  <c r="C21" i="7" s="1"/>
  <c r="L19" i="28"/>
  <c r="O19" i="28"/>
  <c r="K19" i="28"/>
  <c r="N19" i="28"/>
  <c r="G19" i="28"/>
  <c r="V19" i="28"/>
  <c r="F19" i="28"/>
  <c r="T19" i="28"/>
  <c r="D19" i="28"/>
  <c r="O8" i="28"/>
  <c r="G8" i="28"/>
  <c r="T8" i="28"/>
  <c r="S7" i="31" s="1"/>
  <c r="S8" i="28"/>
  <c r="R7" i="31" s="1"/>
  <c r="V8" i="28"/>
  <c r="U7" i="31" s="1"/>
  <c r="N8" i="28"/>
  <c r="F8" i="28"/>
  <c r="L8" i="28"/>
  <c r="K8" i="28"/>
  <c r="U8" i="28"/>
  <c r="T7" i="31" s="1"/>
  <c r="M8" i="28"/>
  <c r="L7" i="31" s="1"/>
  <c r="E8" i="28"/>
  <c r="D7" i="31" s="1"/>
  <c r="D8" i="28"/>
  <c r="C7" i="31" s="1"/>
  <c r="C8" i="28"/>
  <c r="R8" i="28"/>
  <c r="J8" i="28"/>
  <c r="I7" i="31" s="1"/>
  <c r="Q8" i="28"/>
  <c r="P7" i="31" s="1"/>
  <c r="I8" i="28"/>
  <c r="H8" i="28"/>
  <c r="P8" i="28"/>
  <c r="O7" i="31" s="1"/>
  <c r="R20" i="28"/>
  <c r="S20" i="28"/>
  <c r="K20" i="28"/>
  <c r="C20" i="28"/>
  <c r="T20" i="28"/>
  <c r="O20" i="28"/>
  <c r="J20" i="28"/>
  <c r="N20" i="28"/>
  <c r="P20" i="28"/>
  <c r="Q20" i="28"/>
  <c r="L20" i="28"/>
  <c r="F20" i="28"/>
  <c r="H20" i="28"/>
  <c r="I20" i="28"/>
  <c r="E20" i="28"/>
  <c r="V20" i="28"/>
  <c r="M20" i="28"/>
  <c r="D20" i="28"/>
  <c r="U20" i="28"/>
  <c r="G20" i="28"/>
  <c r="S9" i="28"/>
  <c r="K9" i="28"/>
  <c r="J8" i="31" s="1"/>
  <c r="C9" i="28"/>
  <c r="B8" i="31" s="1"/>
  <c r="R9" i="28"/>
  <c r="J9" i="28"/>
  <c r="P9" i="28"/>
  <c r="O9" i="28"/>
  <c r="Q9" i="28"/>
  <c r="I9" i="28"/>
  <c r="H9" i="28"/>
  <c r="G9" i="28"/>
  <c r="V9" i="28"/>
  <c r="U8" i="31" s="1"/>
  <c r="N9" i="28"/>
  <c r="M8" i="31" s="1"/>
  <c r="F9" i="28"/>
  <c r="U9" i="28"/>
  <c r="M9" i="28"/>
  <c r="E9" i="28"/>
  <c r="D8" i="31" s="1"/>
  <c r="T9" i="28"/>
  <c r="S8" i="31" s="1"/>
  <c r="L9" i="28"/>
  <c r="D9" i="28"/>
  <c r="S21" i="28"/>
  <c r="K21" i="28"/>
  <c r="C21" i="28"/>
  <c r="R21" i="28"/>
  <c r="J21" i="28"/>
  <c r="Q21" i="28"/>
  <c r="I21" i="28"/>
  <c r="V21" i="28"/>
  <c r="N21" i="28"/>
  <c r="F21" i="28"/>
  <c r="L21" i="28"/>
  <c r="H21" i="28"/>
  <c r="E21" i="28"/>
  <c r="T21" i="28"/>
  <c r="G21" i="28"/>
  <c r="U21" i="28"/>
  <c r="D21" i="28"/>
  <c r="P21" i="28"/>
  <c r="O21" i="28"/>
  <c r="M21" i="28"/>
  <c r="V16" i="28"/>
  <c r="N16" i="28"/>
  <c r="F16" i="28"/>
  <c r="U16" i="28"/>
  <c r="M16" i="28"/>
  <c r="E16" i="28"/>
  <c r="T16" i="28"/>
  <c r="L16" i="28"/>
  <c r="D16" i="28"/>
  <c r="Q16" i="28"/>
  <c r="I16" i="28"/>
  <c r="O16" i="28"/>
  <c r="G16" i="28"/>
  <c r="K16" i="28"/>
  <c r="H16" i="28"/>
  <c r="J16" i="28"/>
  <c r="S16" i="28"/>
  <c r="C16" i="28"/>
  <c r="R16" i="28"/>
  <c r="P16" i="28"/>
  <c r="Q11" i="28"/>
  <c r="P10" i="31" s="1"/>
  <c r="I11" i="28"/>
  <c r="P11" i="28"/>
  <c r="O11" i="28"/>
  <c r="N10" i="31" s="1"/>
  <c r="G11" i="28"/>
  <c r="T11" i="28"/>
  <c r="L11" i="28"/>
  <c r="D11" i="28"/>
  <c r="C10" i="31" s="1"/>
  <c r="R11" i="28"/>
  <c r="Q10" i="31" s="1"/>
  <c r="C11" i="28"/>
  <c r="K11" i="28"/>
  <c r="J10" i="31" s="1"/>
  <c r="N11" i="28"/>
  <c r="M11" i="28"/>
  <c r="L10" i="31" s="1"/>
  <c r="J11" i="28"/>
  <c r="V11" i="28"/>
  <c r="H11" i="28"/>
  <c r="G10" i="31" s="1"/>
  <c r="U11" i="28"/>
  <c r="F11" i="28"/>
  <c r="E11" i="28"/>
  <c r="D10" i="31" s="1"/>
  <c r="S11" i="28"/>
  <c r="R17" i="28"/>
  <c r="J17" i="28"/>
  <c r="Q17" i="28"/>
  <c r="I17" i="28"/>
  <c r="P17" i="28"/>
  <c r="H17" i="28"/>
  <c r="U17" i="28"/>
  <c r="M17" i="28"/>
  <c r="E17" i="28"/>
  <c r="K17" i="28"/>
  <c r="D17" i="28"/>
  <c r="G17" i="28"/>
  <c r="T17" i="28"/>
  <c r="C17" i="28"/>
  <c r="V17" i="28"/>
  <c r="F17" i="28"/>
  <c r="S17" i="28"/>
  <c r="O17" i="28"/>
  <c r="N17" i="28"/>
  <c r="L17" i="28"/>
  <c r="O24" i="28"/>
  <c r="G24" i="28"/>
  <c r="V24" i="28"/>
  <c r="N24" i="28"/>
  <c r="F24" i="28"/>
  <c r="U24" i="28"/>
  <c r="M24" i="28"/>
  <c r="E24" i="28"/>
  <c r="R24" i="28"/>
  <c r="J24" i="28"/>
  <c r="P24" i="28"/>
  <c r="L24" i="28"/>
  <c r="H24" i="28"/>
  <c r="K24" i="28"/>
  <c r="I24" i="28"/>
  <c r="T24" i="28"/>
  <c r="D24" i="28"/>
  <c r="S24" i="28"/>
  <c r="C24" i="28"/>
  <c r="Q24" i="28"/>
  <c r="R15" i="28"/>
  <c r="J15" i="28"/>
  <c r="Q15" i="28"/>
  <c r="I15" i="28"/>
  <c r="P15" i="28"/>
  <c r="H15" i="28"/>
  <c r="U15" i="28"/>
  <c r="M15" i="28"/>
  <c r="E15" i="28"/>
  <c r="S15" i="28"/>
  <c r="C15" i="28"/>
  <c r="O15" i="28"/>
  <c r="N15" i="28"/>
  <c r="L15" i="28"/>
  <c r="K15" i="28"/>
  <c r="G15" i="28"/>
  <c r="V15" i="28"/>
  <c r="F15" i="28"/>
  <c r="D15" i="28"/>
  <c r="T15" i="28"/>
  <c r="M24" i="25"/>
  <c r="C26" i="14" s="1"/>
  <c r="H26" i="14" s="1"/>
  <c r="R24" i="25"/>
  <c r="B22" i="28" s="1"/>
  <c r="S25" i="28"/>
  <c r="K25" i="28"/>
  <c r="C25" i="28"/>
  <c r="R25" i="28"/>
  <c r="J25" i="28"/>
  <c r="Q25" i="28"/>
  <c r="I25" i="28"/>
  <c r="V25" i="28"/>
  <c r="N25" i="28"/>
  <c r="F25" i="28"/>
  <c r="L25" i="28"/>
  <c r="D25" i="28"/>
  <c r="H25" i="28"/>
  <c r="U25" i="28"/>
  <c r="E25" i="28"/>
  <c r="G25" i="28"/>
  <c r="T25" i="28"/>
  <c r="P25" i="28"/>
  <c r="O25" i="28"/>
  <c r="M25" i="28"/>
  <c r="R13" i="28"/>
  <c r="J13" i="28"/>
  <c r="Q13" i="28"/>
  <c r="I13" i="28"/>
  <c r="P13" i="28"/>
  <c r="H13" i="28"/>
  <c r="U13" i="28"/>
  <c r="M13" i="28"/>
  <c r="E13" i="28"/>
  <c r="K13" i="28"/>
  <c r="C13" i="28"/>
  <c r="G13" i="28"/>
  <c r="T13" i="28"/>
  <c r="S13" i="28"/>
  <c r="V13" i="28"/>
  <c r="F13" i="28"/>
  <c r="D13" i="28"/>
  <c r="O13" i="28"/>
  <c r="N13" i="28"/>
  <c r="L13" i="28"/>
  <c r="M8" i="25"/>
  <c r="R8" i="25"/>
  <c r="R12" i="28"/>
  <c r="Q11" i="31" s="1"/>
  <c r="S12" i="28"/>
  <c r="K12" i="28"/>
  <c r="C12" i="28"/>
  <c r="B11" i="31" s="1"/>
  <c r="N12" i="28"/>
  <c r="H12" i="28"/>
  <c r="I12" i="28"/>
  <c r="L12" i="28"/>
  <c r="E12" i="28"/>
  <c r="V12" i="28"/>
  <c r="P12" i="28"/>
  <c r="Q12" i="28"/>
  <c r="P11" i="31" s="1"/>
  <c r="U12" i="28"/>
  <c r="M12" i="28"/>
  <c r="J12" i="28"/>
  <c r="D12" i="28"/>
  <c r="F12" i="28"/>
  <c r="E11" i="31" s="1"/>
  <c r="T12" i="28"/>
  <c r="G12" i="28"/>
  <c r="F11" i="31" s="1"/>
  <c r="O12" i="28"/>
  <c r="N11" i="31" s="1"/>
  <c r="V18" i="28"/>
  <c r="N18" i="28"/>
  <c r="F18" i="28"/>
  <c r="U18" i="28"/>
  <c r="M18" i="28"/>
  <c r="E18" i="28"/>
  <c r="T18" i="28"/>
  <c r="L18" i="28"/>
  <c r="D18" i="28"/>
  <c r="Q18" i="28"/>
  <c r="I18" i="28"/>
  <c r="G18" i="28"/>
  <c r="O18" i="28"/>
  <c r="S18" i="28"/>
  <c r="C18" i="28"/>
  <c r="R18" i="28"/>
  <c r="P18" i="28"/>
  <c r="K18" i="28"/>
  <c r="J18" i="28"/>
  <c r="H18" i="28"/>
  <c r="S32" i="6"/>
  <c r="R31" i="31" s="1"/>
  <c r="R13" i="30" s="1"/>
  <c r="K32" i="6"/>
  <c r="J31" i="31" s="1"/>
  <c r="J13" i="30" s="1"/>
  <c r="C32" i="6"/>
  <c r="R32" i="6"/>
  <c r="Q31" i="31" s="1"/>
  <c r="Q13" i="30" s="1"/>
  <c r="J32" i="6"/>
  <c r="I31" i="31" s="1"/>
  <c r="Q32" i="6"/>
  <c r="P31" i="31" s="1"/>
  <c r="P13" i="30" s="1"/>
  <c r="I32" i="6"/>
  <c r="H31" i="31" s="1"/>
  <c r="H13" i="30" s="1"/>
  <c r="O32" i="6"/>
  <c r="N31" i="31" s="1"/>
  <c r="N13" i="30" s="1"/>
  <c r="P32" i="6"/>
  <c r="O31" i="31" s="1"/>
  <c r="O13" i="30" s="1"/>
  <c r="H32" i="6"/>
  <c r="G31" i="31" s="1"/>
  <c r="G13" i="30" s="1"/>
  <c r="G32" i="6"/>
  <c r="F31" i="31" s="1"/>
  <c r="F13" i="30" s="1"/>
  <c r="F32" i="6"/>
  <c r="E31" i="31" s="1"/>
  <c r="E13" i="30" s="1"/>
  <c r="N32" i="6"/>
  <c r="M31" i="31" s="1"/>
  <c r="M13" i="30" s="1"/>
  <c r="L32" i="6"/>
  <c r="E32" i="6"/>
  <c r="D31" i="31" s="1"/>
  <c r="D13" i="30" s="1"/>
  <c r="T32" i="6"/>
  <c r="M32" i="6"/>
  <c r="L31" i="31" s="1"/>
  <c r="L13" i="30" s="1"/>
  <c r="V32" i="6"/>
  <c r="D32" i="6"/>
  <c r="C31" i="31" s="1"/>
  <c r="C13" i="30" s="1"/>
  <c r="U32" i="6"/>
  <c r="S13" i="6"/>
  <c r="H13" i="6"/>
  <c r="M13" i="6"/>
  <c r="Q13" i="6"/>
  <c r="P12" i="31" s="1"/>
  <c r="G13" i="6"/>
  <c r="P13" i="6"/>
  <c r="E13" i="6"/>
  <c r="D12" i="31" s="1"/>
  <c r="O13" i="6"/>
  <c r="N12" i="31" s="1"/>
  <c r="D13" i="6"/>
  <c r="C13" i="6"/>
  <c r="L13" i="6"/>
  <c r="I13" i="6"/>
  <c r="T13" i="6"/>
  <c r="K13" i="6"/>
  <c r="U13" i="6"/>
  <c r="R13" i="6"/>
  <c r="V13" i="6"/>
  <c r="J13" i="6"/>
  <c r="N13" i="6"/>
  <c r="M12" i="31" s="1"/>
  <c r="F13" i="6"/>
  <c r="K25" i="6"/>
  <c r="J24" i="31" s="1"/>
  <c r="J6" i="30" s="1"/>
  <c r="C25" i="6"/>
  <c r="J25" i="6"/>
  <c r="I24" i="31" s="1"/>
  <c r="V25" i="6"/>
  <c r="F25" i="6"/>
  <c r="S25" i="6"/>
  <c r="U25" i="6"/>
  <c r="E25" i="6"/>
  <c r="D24" i="31" s="1"/>
  <c r="D6" i="30" s="1"/>
  <c r="M25" i="6"/>
  <c r="N25" i="6"/>
  <c r="R25" i="6"/>
  <c r="I25" i="6"/>
  <c r="P25" i="6"/>
  <c r="G25" i="6"/>
  <c r="F24" i="31" s="1"/>
  <c r="F6" i="30" s="1"/>
  <c r="H25" i="6"/>
  <c r="O25" i="6"/>
  <c r="T25" i="6"/>
  <c r="D25" i="6"/>
  <c r="C24" i="31" s="1"/>
  <c r="C6" i="30" s="1"/>
  <c r="Q25" i="6"/>
  <c r="L25" i="6"/>
  <c r="J17" i="6"/>
  <c r="I17" i="6"/>
  <c r="U17" i="6"/>
  <c r="E17" i="6"/>
  <c r="T17" i="6"/>
  <c r="D17" i="6"/>
  <c r="R17" i="6"/>
  <c r="M17" i="6"/>
  <c r="L17" i="6"/>
  <c r="Q17" i="6"/>
  <c r="P17" i="6"/>
  <c r="O16" i="31" s="1"/>
  <c r="K17" i="6"/>
  <c r="V17" i="6"/>
  <c r="H17" i="6"/>
  <c r="C17" i="6"/>
  <c r="B16" i="31" s="1"/>
  <c r="N17" i="6"/>
  <c r="M16" i="31" s="1"/>
  <c r="O17" i="6"/>
  <c r="G17" i="6"/>
  <c r="S17" i="6"/>
  <c r="F17" i="6"/>
  <c r="E16" i="31" s="1"/>
  <c r="P36" i="6"/>
  <c r="O35" i="31" s="1"/>
  <c r="O17" i="30" s="1"/>
  <c r="R36" i="6"/>
  <c r="Q35" i="31" s="1"/>
  <c r="Q17" i="30" s="1"/>
  <c r="K36" i="6"/>
  <c r="J35" i="31" s="1"/>
  <c r="J17" i="30" s="1"/>
  <c r="U36" i="6"/>
  <c r="S36" i="6"/>
  <c r="R35" i="31" s="1"/>
  <c r="R17" i="30" s="1"/>
  <c r="L36" i="6"/>
  <c r="V36" i="6"/>
  <c r="M36" i="6"/>
  <c r="L35" i="31" s="1"/>
  <c r="L17" i="30" s="1"/>
  <c r="H36" i="6"/>
  <c r="G35" i="31" s="1"/>
  <c r="G17" i="30" s="1"/>
  <c r="O36" i="6"/>
  <c r="N35" i="31" s="1"/>
  <c r="N17" i="30" s="1"/>
  <c r="E36" i="6"/>
  <c r="D35" i="31" s="1"/>
  <c r="D17" i="30" s="1"/>
  <c r="G36" i="6"/>
  <c r="F35" i="31" s="1"/>
  <c r="F17" i="30" s="1"/>
  <c r="D36" i="6"/>
  <c r="C35" i="31" s="1"/>
  <c r="C17" i="30" s="1"/>
  <c r="T36" i="6"/>
  <c r="J36" i="6"/>
  <c r="I35" i="31" s="1"/>
  <c r="C36" i="6"/>
  <c r="F36" i="6"/>
  <c r="E35" i="31" s="1"/>
  <c r="E17" i="30" s="1"/>
  <c r="I36" i="6"/>
  <c r="H35" i="31" s="1"/>
  <c r="H17" i="30" s="1"/>
  <c r="Q36" i="6"/>
  <c r="P35" i="31" s="1"/>
  <c r="P17" i="30" s="1"/>
  <c r="N36" i="6"/>
  <c r="M35" i="31" s="1"/>
  <c r="M17" i="30" s="1"/>
  <c r="S24" i="6"/>
  <c r="K24" i="6"/>
  <c r="C24" i="6"/>
  <c r="B23" i="31" s="1"/>
  <c r="R24" i="6"/>
  <c r="Q23" i="31" s="1"/>
  <c r="J24" i="6"/>
  <c r="I23" i="31" s="1"/>
  <c r="Q24" i="6"/>
  <c r="I24" i="6"/>
  <c r="H23" i="31" s="1"/>
  <c r="G24" i="6"/>
  <c r="F23" i="31" s="1"/>
  <c r="P24" i="6"/>
  <c r="O23" i="31" s="1"/>
  <c r="H24" i="6"/>
  <c r="O24" i="6"/>
  <c r="N23" i="31" s="1"/>
  <c r="T24" i="6"/>
  <c r="V24" i="6"/>
  <c r="N24" i="6"/>
  <c r="U24" i="6"/>
  <c r="M24" i="6"/>
  <c r="L23" i="31" s="1"/>
  <c r="F24" i="6"/>
  <c r="E24" i="6"/>
  <c r="L24" i="6"/>
  <c r="D24" i="6"/>
  <c r="C23" i="31" s="1"/>
  <c r="O129" i="24"/>
  <c r="G20" i="21" s="1"/>
  <c r="B38" i="6"/>
  <c r="R39" i="6"/>
  <c r="Q38" i="31" s="1"/>
  <c r="F39" i="6"/>
  <c r="E38" i="31" s="1"/>
  <c r="E39" i="6"/>
  <c r="D38" i="31" s="1"/>
  <c r="D39" i="6"/>
  <c r="C38" i="31" s="1"/>
  <c r="N39" i="6"/>
  <c r="M38" i="31" s="1"/>
  <c r="G39" i="6"/>
  <c r="F38" i="31" s="1"/>
  <c r="T39" i="6"/>
  <c r="J39" i="6"/>
  <c r="I38" i="31" s="1"/>
  <c r="M39" i="6"/>
  <c r="L38" i="31" s="1"/>
  <c r="L39" i="6"/>
  <c r="V39" i="6"/>
  <c r="O39" i="6"/>
  <c r="N38" i="31" s="1"/>
  <c r="C39" i="6"/>
  <c r="U39" i="6"/>
  <c r="S39" i="6"/>
  <c r="R38" i="31" s="1"/>
  <c r="K39" i="6"/>
  <c r="J38" i="31" s="1"/>
  <c r="H39" i="6"/>
  <c r="G38" i="31" s="1"/>
  <c r="I39" i="6"/>
  <c r="H38" i="31" s="1"/>
  <c r="Q39" i="6"/>
  <c r="P38" i="31" s="1"/>
  <c r="P39" i="6"/>
  <c r="O38" i="31" s="1"/>
  <c r="R31" i="6"/>
  <c r="Q30" i="31" s="1"/>
  <c r="Q12" i="30" s="1"/>
  <c r="S31" i="6"/>
  <c r="R30" i="31" s="1"/>
  <c r="R12" i="30" s="1"/>
  <c r="K31" i="6"/>
  <c r="J30" i="31" s="1"/>
  <c r="J12" i="30" s="1"/>
  <c r="C31" i="6"/>
  <c r="T31" i="6"/>
  <c r="O31" i="6"/>
  <c r="N30" i="31" s="1"/>
  <c r="N12" i="30" s="1"/>
  <c r="I31" i="6"/>
  <c r="H30" i="31" s="1"/>
  <c r="H12" i="30" s="1"/>
  <c r="P31" i="6"/>
  <c r="O30" i="31" s="1"/>
  <c r="O12" i="30" s="1"/>
  <c r="E31" i="6"/>
  <c r="D30" i="31" s="1"/>
  <c r="D12" i="30" s="1"/>
  <c r="M31" i="6"/>
  <c r="L30" i="31" s="1"/>
  <c r="L12" i="30" s="1"/>
  <c r="J31" i="6"/>
  <c r="I30" i="31" s="1"/>
  <c r="H31" i="6"/>
  <c r="G30" i="31" s="1"/>
  <c r="G12" i="30" s="1"/>
  <c r="Q31" i="6"/>
  <c r="P30" i="31" s="1"/>
  <c r="P12" i="30" s="1"/>
  <c r="U31" i="6"/>
  <c r="F31" i="6"/>
  <c r="E30" i="31" s="1"/>
  <c r="E12" i="30" s="1"/>
  <c r="D31" i="6"/>
  <c r="C30" i="31" s="1"/>
  <c r="C12" i="30" s="1"/>
  <c r="G31" i="6"/>
  <c r="F30" i="31" s="1"/>
  <c r="F12" i="30" s="1"/>
  <c r="L31" i="6"/>
  <c r="N31" i="6"/>
  <c r="M30" i="31" s="1"/>
  <c r="M12" i="30" s="1"/>
  <c r="V31" i="6"/>
  <c r="M20" i="6"/>
  <c r="N20" i="6"/>
  <c r="M19" i="31" s="1"/>
  <c r="H20" i="6"/>
  <c r="T20" i="6"/>
  <c r="O20" i="6"/>
  <c r="U20" i="6"/>
  <c r="L20" i="6"/>
  <c r="G20" i="6"/>
  <c r="F20" i="6"/>
  <c r="C20" i="6"/>
  <c r="P20" i="6"/>
  <c r="O19" i="31" s="1"/>
  <c r="D20" i="6"/>
  <c r="C19" i="31" s="1"/>
  <c r="S20" i="6"/>
  <c r="Q20" i="6"/>
  <c r="K20" i="6"/>
  <c r="J19" i="31" s="1"/>
  <c r="V20" i="6"/>
  <c r="I20" i="6"/>
  <c r="J20" i="6"/>
  <c r="I19" i="31" s="1"/>
  <c r="R20" i="6"/>
  <c r="Q19" i="31" s="1"/>
  <c r="E20" i="6"/>
  <c r="Q14" i="6"/>
  <c r="I14" i="6"/>
  <c r="H13" i="31" s="1"/>
  <c r="P14" i="6"/>
  <c r="O13" i="31" s="1"/>
  <c r="H14" i="6"/>
  <c r="E14" i="6"/>
  <c r="O14" i="6"/>
  <c r="N13" i="31" s="1"/>
  <c r="G14" i="6"/>
  <c r="M14" i="6"/>
  <c r="V14" i="6"/>
  <c r="N14" i="6"/>
  <c r="F14" i="6"/>
  <c r="E13" i="31" s="1"/>
  <c r="U14" i="6"/>
  <c r="J14" i="6"/>
  <c r="R14" i="6"/>
  <c r="K14" i="6"/>
  <c r="K13" i="7" s="1"/>
  <c r="K15" i="8" s="1"/>
  <c r="D14" i="6"/>
  <c r="C14" i="6"/>
  <c r="S14" i="6"/>
  <c r="L14" i="6"/>
  <c r="T14" i="6"/>
  <c r="V28" i="6"/>
  <c r="Q28" i="6"/>
  <c r="P27" i="31" s="1"/>
  <c r="P9" i="30" s="1"/>
  <c r="J28" i="6"/>
  <c r="I27" i="31" s="1"/>
  <c r="E28" i="6"/>
  <c r="D27" i="31" s="1"/>
  <c r="D9" i="30" s="1"/>
  <c r="H28" i="6"/>
  <c r="G27" i="31" s="1"/>
  <c r="G9" i="30" s="1"/>
  <c r="F28" i="6"/>
  <c r="E27" i="31" s="1"/>
  <c r="E9" i="30" s="1"/>
  <c r="T28" i="6"/>
  <c r="N28" i="6"/>
  <c r="M27" i="31" s="1"/>
  <c r="M9" i="30" s="1"/>
  <c r="O28" i="6"/>
  <c r="N27" i="31" s="1"/>
  <c r="N9" i="30" s="1"/>
  <c r="L28" i="6"/>
  <c r="S28" i="6"/>
  <c r="R27" i="31" s="1"/>
  <c r="R9" i="30" s="1"/>
  <c r="D28" i="6"/>
  <c r="C27" i="31" s="1"/>
  <c r="C9" i="30" s="1"/>
  <c r="G28" i="6"/>
  <c r="F27" i="31" s="1"/>
  <c r="F9" i="30" s="1"/>
  <c r="K28" i="6"/>
  <c r="J27" i="31" s="1"/>
  <c r="J9" i="30" s="1"/>
  <c r="M28" i="6"/>
  <c r="L27" i="31" s="1"/>
  <c r="L9" i="30" s="1"/>
  <c r="I28" i="6"/>
  <c r="H27" i="31" s="1"/>
  <c r="H9" i="30" s="1"/>
  <c r="R28" i="6"/>
  <c r="Q27" i="31" s="1"/>
  <c r="Q9" i="30" s="1"/>
  <c r="C28" i="6"/>
  <c r="B27" i="31" s="1"/>
  <c r="U28" i="6"/>
  <c r="P28" i="6"/>
  <c r="O27" i="31" s="1"/>
  <c r="O9" i="30" s="1"/>
  <c r="S35" i="6"/>
  <c r="R34" i="31" s="1"/>
  <c r="R16" i="30" s="1"/>
  <c r="K35" i="6"/>
  <c r="J34" i="31" s="1"/>
  <c r="J16" i="30" s="1"/>
  <c r="C35" i="6"/>
  <c r="V35" i="6"/>
  <c r="R35" i="6"/>
  <c r="Q34" i="31" s="1"/>
  <c r="Q16" i="30" s="1"/>
  <c r="J35" i="6"/>
  <c r="I34" i="31" s="1"/>
  <c r="Q35" i="6"/>
  <c r="P34" i="31" s="1"/>
  <c r="P16" i="30" s="1"/>
  <c r="I35" i="6"/>
  <c r="H34" i="31" s="1"/>
  <c r="H16" i="30" s="1"/>
  <c r="G35" i="6"/>
  <c r="F34" i="31" s="1"/>
  <c r="F16" i="30" s="1"/>
  <c r="P35" i="6"/>
  <c r="O34" i="31" s="1"/>
  <c r="O16" i="30" s="1"/>
  <c r="H35" i="6"/>
  <c r="G34" i="31" s="1"/>
  <c r="G16" i="30" s="1"/>
  <c r="O35" i="6"/>
  <c r="N34" i="31" s="1"/>
  <c r="N16" i="30" s="1"/>
  <c r="L35" i="6"/>
  <c r="M35" i="6"/>
  <c r="L34" i="31" s="1"/>
  <c r="L16" i="30" s="1"/>
  <c r="F35" i="6"/>
  <c r="E34" i="31" s="1"/>
  <c r="E16" i="30" s="1"/>
  <c r="U35" i="6"/>
  <c r="E35" i="6"/>
  <c r="D34" i="31" s="1"/>
  <c r="D16" i="30" s="1"/>
  <c r="T35" i="6"/>
  <c r="N35" i="6"/>
  <c r="M34" i="31" s="1"/>
  <c r="M16" i="30" s="1"/>
  <c r="D35" i="6"/>
  <c r="C34" i="31" s="1"/>
  <c r="C16" i="30" s="1"/>
  <c r="R19" i="6"/>
  <c r="J19" i="6"/>
  <c r="I18" i="31" s="1"/>
  <c r="V19" i="6"/>
  <c r="Q19" i="6"/>
  <c r="I19" i="6"/>
  <c r="P19" i="6"/>
  <c r="H19" i="6"/>
  <c r="F19" i="6"/>
  <c r="O19" i="6"/>
  <c r="G19" i="6"/>
  <c r="F18" i="31" s="1"/>
  <c r="N19" i="6"/>
  <c r="K19" i="6"/>
  <c r="S19" i="6"/>
  <c r="M19" i="6"/>
  <c r="E19" i="6"/>
  <c r="D18" i="31" s="1"/>
  <c r="L19" i="6"/>
  <c r="D19" i="6"/>
  <c r="T19" i="6"/>
  <c r="U19" i="6"/>
  <c r="C19" i="6"/>
  <c r="O125" i="24"/>
  <c r="F16" i="21" s="1"/>
  <c r="B34" i="6"/>
  <c r="R22" i="6"/>
  <c r="J22" i="6"/>
  <c r="Q22" i="6"/>
  <c r="I22" i="6"/>
  <c r="N22" i="6"/>
  <c r="P22" i="6"/>
  <c r="H22" i="6"/>
  <c r="O22" i="6"/>
  <c r="G22" i="6"/>
  <c r="V22" i="6"/>
  <c r="F22" i="6"/>
  <c r="T22" i="6"/>
  <c r="C22" i="6"/>
  <c r="S22" i="6"/>
  <c r="K22" i="6"/>
  <c r="M22" i="6"/>
  <c r="D22" i="6"/>
  <c r="U22" i="6"/>
  <c r="L22" i="6"/>
  <c r="E22" i="6"/>
  <c r="D143" i="24"/>
  <c r="D142" i="24"/>
  <c r="D141" i="24"/>
  <c r="D140" i="24"/>
  <c r="D139" i="24"/>
  <c r="S27" i="6"/>
  <c r="R26" i="31" s="1"/>
  <c r="R8" i="30" s="1"/>
  <c r="K27" i="6"/>
  <c r="J26" i="31" s="1"/>
  <c r="J8" i="30" s="1"/>
  <c r="C27" i="6"/>
  <c r="B26" i="31" s="1"/>
  <c r="R27" i="6"/>
  <c r="Q26" i="31" s="1"/>
  <c r="Q8" i="30" s="1"/>
  <c r="J27" i="6"/>
  <c r="I26" i="31" s="1"/>
  <c r="Q27" i="6"/>
  <c r="P26" i="31" s="1"/>
  <c r="P8" i="30" s="1"/>
  <c r="I27" i="6"/>
  <c r="H26" i="31" s="1"/>
  <c r="H8" i="30" s="1"/>
  <c r="O27" i="6"/>
  <c r="N26" i="31" s="1"/>
  <c r="N8" i="30" s="1"/>
  <c r="G27" i="6"/>
  <c r="F26" i="31" s="1"/>
  <c r="F8" i="30" s="1"/>
  <c r="P27" i="6"/>
  <c r="O26" i="31" s="1"/>
  <c r="O8" i="30" s="1"/>
  <c r="H27" i="6"/>
  <c r="G26" i="31" s="1"/>
  <c r="G8" i="30" s="1"/>
  <c r="U27" i="6"/>
  <c r="V27" i="6"/>
  <c r="T27" i="6"/>
  <c r="F27" i="6"/>
  <c r="E26" i="31" s="1"/>
  <c r="E8" i="30" s="1"/>
  <c r="E27" i="6"/>
  <c r="D26" i="31" s="1"/>
  <c r="D8" i="30" s="1"/>
  <c r="N27" i="6"/>
  <c r="M26" i="31" s="1"/>
  <c r="M8" i="30" s="1"/>
  <c r="L27" i="6"/>
  <c r="M27" i="6"/>
  <c r="L26" i="31" s="1"/>
  <c r="L8" i="30" s="1"/>
  <c r="D27" i="6"/>
  <c r="C26" i="31" s="1"/>
  <c r="C8" i="30" s="1"/>
  <c r="O106" i="24"/>
  <c r="B104" i="26" s="1"/>
  <c r="D104" i="26" s="1"/>
  <c r="B15" i="6"/>
  <c r="O114" i="24"/>
  <c r="B112" i="26" s="1"/>
  <c r="D112" i="26" s="1"/>
  <c r="B23" i="6"/>
  <c r="R30" i="6"/>
  <c r="Q29" i="31" s="1"/>
  <c r="Q11" i="30" s="1"/>
  <c r="J30" i="6"/>
  <c r="I29" i="31" s="1"/>
  <c r="Q30" i="6"/>
  <c r="P29" i="31" s="1"/>
  <c r="P11" i="30" s="1"/>
  <c r="I30" i="6"/>
  <c r="H29" i="31" s="1"/>
  <c r="H11" i="30" s="1"/>
  <c r="P30" i="6"/>
  <c r="O29" i="31" s="1"/>
  <c r="O11" i="30" s="1"/>
  <c r="H30" i="6"/>
  <c r="G29" i="31" s="1"/>
  <c r="G11" i="30" s="1"/>
  <c r="N30" i="6"/>
  <c r="M29" i="31" s="1"/>
  <c r="M11" i="30" s="1"/>
  <c r="O30" i="6"/>
  <c r="N29" i="31" s="1"/>
  <c r="N11" i="30" s="1"/>
  <c r="G30" i="6"/>
  <c r="F29" i="31" s="1"/>
  <c r="F11" i="30" s="1"/>
  <c r="V30" i="6"/>
  <c r="F30" i="6"/>
  <c r="E29" i="31" s="1"/>
  <c r="E11" i="30" s="1"/>
  <c r="K30" i="6"/>
  <c r="J29" i="31" s="1"/>
  <c r="J11" i="30" s="1"/>
  <c r="E30" i="6"/>
  <c r="D29" i="31" s="1"/>
  <c r="D11" i="30" s="1"/>
  <c r="D30" i="6"/>
  <c r="C29" i="31" s="1"/>
  <c r="C11" i="30" s="1"/>
  <c r="T30" i="6"/>
  <c r="S30" i="6"/>
  <c r="R29" i="31" s="1"/>
  <c r="R11" i="30" s="1"/>
  <c r="L30" i="6"/>
  <c r="U30" i="6"/>
  <c r="C30" i="6"/>
  <c r="M30" i="6"/>
  <c r="L29" i="31" s="1"/>
  <c r="L11" i="30" s="1"/>
  <c r="B9" i="21"/>
  <c r="Q29" i="25"/>
  <c r="C38" i="14"/>
  <c r="H38" i="14" s="1"/>
  <c r="G16" i="21"/>
  <c r="C16" i="21"/>
  <c r="Q36" i="25"/>
  <c r="C42" i="14"/>
  <c r="H42" i="14" s="1"/>
  <c r="C20" i="21"/>
  <c r="E20" i="21"/>
  <c r="Q40" i="25"/>
  <c r="C45" i="14"/>
  <c r="H45" i="14" s="1"/>
  <c r="Q43" i="25"/>
  <c r="C126" i="26"/>
  <c r="B41" i="7" s="1"/>
  <c r="Q39" i="25"/>
  <c r="Q33" i="25"/>
  <c r="Q30" i="25"/>
  <c r="C46" i="14"/>
  <c r="Q44" i="25"/>
  <c r="C34" i="14"/>
  <c r="F12" i="21"/>
  <c r="Q32" i="25"/>
  <c r="C17" i="21"/>
  <c r="G17" i="21"/>
  <c r="Q37" i="25"/>
  <c r="C36" i="14"/>
  <c r="H36" i="14" s="1"/>
  <c r="Q34" i="25"/>
  <c r="Q42" i="25"/>
  <c r="C30" i="14"/>
  <c r="H30" i="14" s="1"/>
  <c r="Q28" i="25"/>
  <c r="Q35" i="25"/>
  <c r="Q41" i="25"/>
  <c r="Q31" i="25"/>
  <c r="B18" i="21"/>
  <c r="Q38" i="25"/>
  <c r="L28" i="16"/>
  <c r="N7" i="16"/>
  <c r="N12" i="16"/>
  <c r="I20" i="16"/>
  <c r="N20" i="16" s="1"/>
  <c r="I22" i="16"/>
  <c r="N22" i="16" s="1"/>
  <c r="I23" i="16"/>
  <c r="N23" i="16" s="1"/>
  <c r="M23" i="25"/>
  <c r="C25" i="14" s="1"/>
  <c r="H25" i="14" s="1"/>
  <c r="J39" i="25"/>
  <c r="M39" i="25" s="1"/>
  <c r="C130" i="26"/>
  <c r="B45" i="7" s="1"/>
  <c r="P11" i="16"/>
  <c r="N140" i="24"/>
  <c r="N139" i="24"/>
  <c r="N143" i="24"/>
  <c r="N142" i="24"/>
  <c r="N141" i="24"/>
  <c r="D147" i="24"/>
  <c r="D149" i="24"/>
  <c r="D148" i="24"/>
  <c r="I131" i="24"/>
  <c r="S36" i="25"/>
  <c r="T36" i="25" s="1"/>
  <c r="J36" i="25"/>
  <c r="M36" i="25" s="1"/>
  <c r="O121" i="24"/>
  <c r="B12" i="21" s="1"/>
  <c r="C121" i="26"/>
  <c r="B36" i="7" s="1"/>
  <c r="H48" i="30"/>
  <c r="C48" i="30" s="1"/>
  <c r="O111" i="24"/>
  <c r="B109" i="26" s="1"/>
  <c r="D109" i="26" s="1"/>
  <c r="J29" i="25"/>
  <c r="M29" i="25" s="1"/>
  <c r="I48" i="30"/>
  <c r="E48" i="30" s="1"/>
  <c r="S34" i="25"/>
  <c r="T34" i="25" s="1"/>
  <c r="M15" i="25"/>
  <c r="C17" i="14" s="1"/>
  <c r="H17" i="14" s="1"/>
  <c r="G24" i="16"/>
  <c r="G28" i="16" s="1"/>
  <c r="E50" i="25"/>
  <c r="I9" i="16"/>
  <c r="N9" i="16" s="1"/>
  <c r="J22" i="16"/>
  <c r="C127" i="26"/>
  <c r="B42" i="7" s="1"/>
  <c r="N10" i="16"/>
  <c r="I17" i="16"/>
  <c r="N17" i="16" s="1"/>
  <c r="T90" i="24"/>
  <c r="T98" i="24"/>
  <c r="T106" i="24"/>
  <c r="T114" i="24"/>
  <c r="T122" i="24"/>
  <c r="T130" i="24"/>
  <c r="T91" i="24"/>
  <c r="T99" i="24"/>
  <c r="T115" i="24"/>
  <c r="T123" i="24"/>
  <c r="T131" i="24"/>
  <c r="T100" i="24"/>
  <c r="T124" i="24"/>
  <c r="T85" i="24"/>
  <c r="T109" i="24"/>
  <c r="T133" i="24"/>
  <c r="T89" i="24"/>
  <c r="T129" i="24"/>
  <c r="T107" i="24"/>
  <c r="T92" i="24"/>
  <c r="T108" i="24"/>
  <c r="T132" i="24"/>
  <c r="T101" i="24"/>
  <c r="T125" i="24"/>
  <c r="T86" i="24"/>
  <c r="T102" i="24"/>
  <c r="T118" i="24"/>
  <c r="T134" i="24"/>
  <c r="T97" i="24"/>
  <c r="T113" i="24"/>
  <c r="T84" i="24"/>
  <c r="T116" i="24"/>
  <c r="T93" i="24"/>
  <c r="T117" i="24"/>
  <c r="T94" i="24"/>
  <c r="T110" i="24"/>
  <c r="T126" i="24"/>
  <c r="T105" i="24"/>
  <c r="T87" i="24"/>
  <c r="T95" i="24"/>
  <c r="T103" i="24"/>
  <c r="T111" i="24"/>
  <c r="T119" i="24"/>
  <c r="T127" i="24"/>
  <c r="T88" i="24"/>
  <c r="T96" i="24"/>
  <c r="T104" i="24"/>
  <c r="T112" i="24"/>
  <c r="T120" i="24"/>
  <c r="T128" i="24"/>
  <c r="T121" i="24"/>
  <c r="I133" i="24"/>
  <c r="B42" i="6" s="1"/>
  <c r="J8" i="16"/>
  <c r="P9" i="16"/>
  <c r="J12" i="16"/>
  <c r="P17" i="16"/>
  <c r="I21" i="16"/>
  <c r="N21" i="16" s="1"/>
  <c r="C123" i="26"/>
  <c r="B38" i="7" s="1"/>
  <c r="I8" i="16"/>
  <c r="N8" i="16" s="1"/>
  <c r="J14" i="16"/>
  <c r="J13" i="16"/>
  <c r="J17" i="16"/>
  <c r="P18" i="16"/>
  <c r="P22" i="16"/>
  <c r="C119" i="26"/>
  <c r="B34" i="7" s="1"/>
  <c r="I11" i="16"/>
  <c r="N11" i="16" s="1"/>
  <c r="J18" i="16"/>
  <c r="P23" i="16"/>
  <c r="C131" i="26"/>
  <c r="B46" i="7" s="1"/>
  <c r="J7" i="16"/>
  <c r="J9" i="16"/>
  <c r="J20" i="16"/>
  <c r="P35" i="29"/>
  <c r="S30" i="29"/>
  <c r="T30" i="29" s="1"/>
  <c r="J42" i="25"/>
  <c r="M42" i="25" s="1"/>
  <c r="S42" i="25"/>
  <c r="T42" i="25" s="1"/>
  <c r="M20" i="25"/>
  <c r="C22" i="14" s="1"/>
  <c r="H22" i="14" s="1"/>
  <c r="M22" i="25"/>
  <c r="C24" i="14" s="1"/>
  <c r="H24" i="14" s="1"/>
  <c r="O115" i="24"/>
  <c r="B113" i="26" s="1"/>
  <c r="D113" i="26" s="1"/>
  <c r="M14" i="25"/>
  <c r="C16" i="14" s="1"/>
  <c r="H16" i="14" s="1"/>
  <c r="S35" i="25"/>
  <c r="T35" i="25" s="1"/>
  <c r="J35" i="25"/>
  <c r="M35" i="25" s="1"/>
  <c r="M12" i="25"/>
  <c r="C14" i="14" s="1"/>
  <c r="H14" i="14" s="1"/>
  <c r="I38" i="24"/>
  <c r="O38" i="24" s="1"/>
  <c r="B36" i="26" s="1"/>
  <c r="I78" i="24"/>
  <c r="O78" i="24" s="1"/>
  <c r="B76" i="26" s="1"/>
  <c r="M27" i="25"/>
  <c r="C29" i="14" s="1"/>
  <c r="H29" i="14" s="1"/>
  <c r="O102" i="24"/>
  <c r="B100" i="26" s="1"/>
  <c r="D100" i="26" s="1"/>
  <c r="O105" i="24"/>
  <c r="B103" i="26" s="1"/>
  <c r="D103" i="26" s="1"/>
  <c r="I128" i="24"/>
  <c r="B37" i="6" s="1"/>
  <c r="J9" i="25"/>
  <c r="R9" i="25" s="1"/>
  <c r="B7" i="28" s="1"/>
  <c r="C40" i="14"/>
  <c r="H40" i="14" s="1"/>
  <c r="C125" i="26"/>
  <c r="B40" i="7" s="1"/>
  <c r="B11" i="7"/>
  <c r="O101" i="24"/>
  <c r="B99" i="26" s="1"/>
  <c r="D99" i="26" s="1"/>
  <c r="M26" i="7"/>
  <c r="M28" i="8" s="1"/>
  <c r="E29" i="7"/>
  <c r="C31" i="8" s="1"/>
  <c r="B119" i="26"/>
  <c r="S121" i="24"/>
  <c r="S125" i="24"/>
  <c r="S129" i="24"/>
  <c r="C32" i="14"/>
  <c r="C117" i="26"/>
  <c r="B32" i="7" s="1"/>
  <c r="C39" i="14"/>
  <c r="C124" i="26"/>
  <c r="B39" i="7" s="1"/>
  <c r="J41" i="25"/>
  <c r="M41" i="25" s="1"/>
  <c r="S41" i="25"/>
  <c r="T41" i="25" s="1"/>
  <c r="E52" i="25"/>
  <c r="O87" i="24"/>
  <c r="B85" i="26" s="1"/>
  <c r="I89" i="24"/>
  <c r="O89" i="24" s="1"/>
  <c r="B87" i="26" s="1"/>
  <c r="I94" i="24"/>
  <c r="O94" i="24" s="1"/>
  <c r="B92" i="26" s="1"/>
  <c r="I96" i="24"/>
  <c r="O96" i="24" s="1"/>
  <c r="B94" i="26" s="1"/>
  <c r="I109" i="24"/>
  <c r="B18" i="6" s="1"/>
  <c r="O119" i="24"/>
  <c r="G10" i="21" s="1"/>
  <c r="M10" i="25"/>
  <c r="C12" i="14" s="1"/>
  <c r="M13" i="25"/>
  <c r="C15" i="14" s="1"/>
  <c r="H15" i="14" s="1"/>
  <c r="M18" i="25"/>
  <c r="C20" i="14" s="1"/>
  <c r="H20" i="14" s="1"/>
  <c r="M21" i="25"/>
  <c r="C23" i="14" s="1"/>
  <c r="H23" i="14" s="1"/>
  <c r="M26" i="25"/>
  <c r="C28" i="14" s="1"/>
  <c r="H28" i="14" s="1"/>
  <c r="S30" i="25"/>
  <c r="T30" i="25" s="1"/>
  <c r="C43" i="14"/>
  <c r="H43" i="14" s="1"/>
  <c r="C128" i="26"/>
  <c r="B43" i="7" s="1"/>
  <c r="F51" i="25"/>
  <c r="F52" i="25"/>
  <c r="P12" i="16"/>
  <c r="P13" i="16"/>
  <c r="BQ13" i="16" s="1"/>
  <c r="P15" i="16"/>
  <c r="N15" i="16"/>
  <c r="J16" i="16"/>
  <c r="P16" i="16"/>
  <c r="I90" i="24"/>
  <c r="O90" i="24" s="1"/>
  <c r="B88" i="26" s="1"/>
  <c r="O99" i="24"/>
  <c r="B97" i="26" s="1"/>
  <c r="D97" i="26" s="1"/>
  <c r="M11" i="25"/>
  <c r="C13" i="14" s="1"/>
  <c r="D96" i="26"/>
  <c r="I27" i="24"/>
  <c r="O27" i="24" s="1"/>
  <c r="B25" i="26" s="1"/>
  <c r="I120" i="24"/>
  <c r="B29" i="6" s="1"/>
  <c r="I124" i="24"/>
  <c r="B33" i="6" s="1"/>
  <c r="I132" i="24"/>
  <c r="B41" i="6" s="1"/>
  <c r="C33" i="14"/>
  <c r="H33" i="14" s="1"/>
  <c r="C118" i="26"/>
  <c r="B33" i="7" s="1"/>
  <c r="I8" i="24"/>
  <c r="O8" i="24" s="1"/>
  <c r="I88" i="24"/>
  <c r="O88" i="24" s="1"/>
  <c r="B86" i="26" s="1"/>
  <c r="O100" i="24"/>
  <c r="B98" i="26" s="1"/>
  <c r="D98" i="26" s="1"/>
  <c r="O110" i="24"/>
  <c r="B108" i="26" s="1"/>
  <c r="D108" i="26" s="1"/>
  <c r="O113" i="24"/>
  <c r="B111" i="26" s="1"/>
  <c r="D111" i="26" s="1"/>
  <c r="E24" i="16"/>
  <c r="E28" i="16" s="1"/>
  <c r="M17" i="25"/>
  <c r="C19" i="14" s="1"/>
  <c r="S31" i="25"/>
  <c r="T31" i="25" s="1"/>
  <c r="C35" i="14"/>
  <c r="H35" i="14" s="1"/>
  <c r="C120" i="26"/>
  <c r="B35" i="7" s="1"/>
  <c r="S38" i="25"/>
  <c r="T38" i="25" s="1"/>
  <c r="H34" i="14"/>
  <c r="Q17" i="14"/>
  <c r="AA84" i="14"/>
  <c r="AB84" i="14" s="1"/>
  <c r="Q14" i="14"/>
  <c r="AA34" i="14"/>
  <c r="AB34" i="14" s="1"/>
  <c r="I117" i="24"/>
  <c r="B26" i="6" s="1"/>
  <c r="I13" i="7"/>
  <c r="I15" i="8" s="1"/>
  <c r="I112" i="24"/>
  <c r="B21" i="6" s="1"/>
  <c r="O126" i="24"/>
  <c r="F17" i="21" s="1"/>
  <c r="M16" i="25"/>
  <c r="C18" i="14" s="1"/>
  <c r="H18" i="14" s="1"/>
  <c r="J33" i="25"/>
  <c r="M33" i="25" s="1"/>
  <c r="S33" i="25"/>
  <c r="T33" i="25" s="1"/>
  <c r="I86" i="24"/>
  <c r="O86" i="24" s="1"/>
  <c r="B84" i="26" s="1"/>
  <c r="O108" i="24"/>
  <c r="B106" i="26" s="1"/>
  <c r="D106" i="26" s="1"/>
  <c r="O118" i="24"/>
  <c r="H9" i="21" s="1"/>
  <c r="I134" i="24"/>
  <c r="B43" i="6" s="1"/>
  <c r="J28" i="25"/>
  <c r="J37" i="25"/>
  <c r="M37" i="25" s="1"/>
  <c r="S40" i="25"/>
  <c r="T40" i="25" s="1"/>
  <c r="P7" i="16"/>
  <c r="C41" i="14"/>
  <c r="H41" i="14" s="1"/>
  <c r="O104" i="24"/>
  <c r="B102" i="26" s="1"/>
  <c r="D102" i="26" s="1"/>
  <c r="I58" i="24"/>
  <c r="O58" i="24" s="1"/>
  <c r="B56" i="26" s="1"/>
  <c r="I85" i="24"/>
  <c r="O85" i="24" s="1"/>
  <c r="B83" i="26" s="1"/>
  <c r="I92" i="24"/>
  <c r="O92" i="24" s="1"/>
  <c r="B90" i="26" s="1"/>
  <c r="F11" i="7"/>
  <c r="E13" i="8" s="1"/>
  <c r="E12" i="7"/>
  <c r="C14" i="8" s="1"/>
  <c r="I107" i="24"/>
  <c r="B16" i="6" s="1"/>
  <c r="O122" i="24"/>
  <c r="G13" i="21" s="1"/>
  <c r="O130" i="24"/>
  <c r="F21" i="21" s="1"/>
  <c r="M19" i="25"/>
  <c r="C21" i="14" s="1"/>
  <c r="C31" i="14"/>
  <c r="C116" i="26"/>
  <c r="B31" i="7" s="1"/>
  <c r="I28" i="24"/>
  <c r="O28" i="24" s="1"/>
  <c r="B26" i="26" s="1"/>
  <c r="I48" i="24"/>
  <c r="O48" i="24" s="1"/>
  <c r="B46" i="26" s="1"/>
  <c r="I68" i="24"/>
  <c r="O68" i="24" s="1"/>
  <c r="B66" i="26" s="1"/>
  <c r="I84" i="24"/>
  <c r="O84" i="24" s="1"/>
  <c r="O91" i="24"/>
  <c r="B89" i="26" s="1"/>
  <c r="O93" i="24"/>
  <c r="B91" i="26" s="1"/>
  <c r="O116" i="24"/>
  <c r="B114" i="26" s="1"/>
  <c r="D114" i="26" s="1"/>
  <c r="G30" i="7"/>
  <c r="C30" i="36" s="1"/>
  <c r="N45" i="25"/>
  <c r="H24" i="16"/>
  <c r="D52" i="25"/>
  <c r="G43" i="25"/>
  <c r="G51" i="25" s="1"/>
  <c r="D50" i="25"/>
  <c r="J10" i="16"/>
  <c r="P10" i="16"/>
  <c r="I14" i="16"/>
  <c r="N14" i="16" s="1"/>
  <c r="P8" i="16"/>
  <c r="J11" i="16"/>
  <c r="N13" i="16"/>
  <c r="P14" i="16"/>
  <c r="J21" i="16"/>
  <c r="P21" i="16"/>
  <c r="B7" i="6"/>
  <c r="D28" i="16"/>
  <c r="J15" i="16"/>
  <c r="I18" i="16"/>
  <c r="N18" i="16" s="1"/>
  <c r="N19" i="16"/>
  <c r="G32" i="7"/>
  <c r="C32" i="36" s="1"/>
  <c r="I35" i="7"/>
  <c r="I37" i="8" s="1"/>
  <c r="I25" i="25"/>
  <c r="C122" i="26"/>
  <c r="B37" i="7" s="1"/>
  <c r="C37" i="14"/>
  <c r="C115" i="26"/>
  <c r="J19" i="16"/>
  <c r="P19" i="16"/>
  <c r="P20" i="16"/>
  <c r="J23" i="16"/>
  <c r="O123" i="24"/>
  <c r="S123" i="24" s="1"/>
  <c r="O127" i="24"/>
  <c r="S127" i="24" s="1"/>
  <c r="B28" i="16"/>
  <c r="L132" i="26"/>
  <c r="C44" i="14"/>
  <c r="C129" i="26"/>
  <c r="B44" i="7" s="1"/>
  <c r="I16" i="16"/>
  <c r="N16" i="16" s="1"/>
  <c r="D8" i="8"/>
  <c r="U24" i="29"/>
  <c r="U41" i="10"/>
  <c r="D9" i="8"/>
  <c r="H8" i="8"/>
  <c r="U34" i="10"/>
  <c r="U25" i="10"/>
  <c r="U16" i="11"/>
  <c r="P54" i="10"/>
  <c r="U11" i="29"/>
  <c r="U16" i="10"/>
  <c r="U17" i="11"/>
  <c r="U12" i="10"/>
  <c r="U12" i="29"/>
  <c r="U25" i="29"/>
  <c r="U29" i="11"/>
  <c r="U17" i="10"/>
  <c r="U32" i="11"/>
  <c r="U27" i="10"/>
  <c r="U28" i="10"/>
  <c r="U29" i="10"/>
  <c r="U13" i="10"/>
  <c r="U21" i="29"/>
  <c r="U38" i="10"/>
  <c r="U23" i="10"/>
  <c r="U16" i="29"/>
  <c r="U13" i="11"/>
  <c r="U23" i="11"/>
  <c r="U35" i="10"/>
  <c r="U30" i="11"/>
  <c r="U19" i="11"/>
  <c r="U12" i="11"/>
  <c r="U27" i="11"/>
  <c r="U28" i="11"/>
  <c r="U14" i="11"/>
  <c r="E12" i="31" l="1"/>
  <c r="N19" i="31"/>
  <c r="L12" i="31"/>
  <c r="R8" i="7"/>
  <c r="S10" i="8" s="1"/>
  <c r="B18" i="31"/>
  <c r="J18" i="31"/>
  <c r="P18" i="31"/>
  <c r="C13" i="31"/>
  <c r="J23" i="31"/>
  <c r="B12" i="31"/>
  <c r="Q8" i="7"/>
  <c r="R10" i="8" s="1"/>
  <c r="G18" i="31"/>
  <c r="L24" i="31"/>
  <c r="L6" i="30" s="1"/>
  <c r="R13" i="31"/>
  <c r="J16" i="31"/>
  <c r="N16" i="31"/>
  <c r="Q13" i="31"/>
  <c r="B19" i="31"/>
  <c r="L16" i="31"/>
  <c r="H24" i="31"/>
  <c r="H6" i="30" s="1"/>
  <c r="Q12" i="31"/>
  <c r="I16" i="31"/>
  <c r="C18" i="31"/>
  <c r="Q18" i="31"/>
  <c r="I13" i="31"/>
  <c r="D13" i="31"/>
  <c r="H19" i="31"/>
  <c r="E19" i="31"/>
  <c r="L19" i="31"/>
  <c r="Q24" i="31"/>
  <c r="Q6" i="30" s="1"/>
  <c r="H142" i="24"/>
  <c r="H141" i="24"/>
  <c r="L11" i="31"/>
  <c r="G11" i="31"/>
  <c r="B10" i="31"/>
  <c r="H10" i="31"/>
  <c r="E8" i="31"/>
  <c r="O8" i="31"/>
  <c r="B7" i="31"/>
  <c r="M7" i="31"/>
  <c r="BB13" i="35" s="1"/>
  <c r="F19" i="7"/>
  <c r="E21" i="8" s="1"/>
  <c r="B9" i="31"/>
  <c r="M9" i="31"/>
  <c r="Q8" i="31"/>
  <c r="O11" i="31"/>
  <c r="J11" i="31"/>
  <c r="L9" i="31"/>
  <c r="G8" i="31"/>
  <c r="H7" i="31"/>
  <c r="H9" i="31"/>
  <c r="C8" i="31"/>
  <c r="D11" i="31"/>
  <c r="F10" i="31"/>
  <c r="H8" i="31"/>
  <c r="R8" i="31"/>
  <c r="J7" i="31"/>
  <c r="N7" i="31"/>
  <c r="P9" i="31"/>
  <c r="R9" i="31"/>
  <c r="C11" i="31"/>
  <c r="L8" i="31"/>
  <c r="E10" i="31"/>
  <c r="M139" i="24"/>
  <c r="F14" i="7"/>
  <c r="E16" i="8" s="1"/>
  <c r="E18" i="21"/>
  <c r="B17" i="21"/>
  <c r="H20" i="21"/>
  <c r="J13" i="31"/>
  <c r="R23" i="31"/>
  <c r="M11" i="31"/>
  <c r="I8" i="31"/>
  <c r="M140" i="24"/>
  <c r="F8" i="31"/>
  <c r="G7" i="31"/>
  <c r="C9" i="31"/>
  <c r="E21" i="21"/>
  <c r="G14" i="21"/>
  <c r="E12" i="21"/>
  <c r="E10" i="21"/>
  <c r="B20" i="21"/>
  <c r="E18" i="31"/>
  <c r="G16" i="31"/>
  <c r="R11" i="31"/>
  <c r="I10" i="31"/>
  <c r="AB61" i="35" s="1"/>
  <c r="F7" i="31"/>
  <c r="F9" i="31"/>
  <c r="H25" i="16"/>
  <c r="I25" i="16" s="1"/>
  <c r="N25" i="16" s="1"/>
  <c r="M46" i="25"/>
  <c r="N46" i="25"/>
  <c r="C133" i="26" s="1"/>
  <c r="B48" i="7" s="1"/>
  <c r="G21" i="21"/>
  <c r="F12" i="31"/>
  <c r="M12" i="7"/>
  <c r="M14" i="8" s="1"/>
  <c r="O28" i="7"/>
  <c r="O30" i="8" s="1"/>
  <c r="B127" i="26"/>
  <c r="D127" i="26" s="1"/>
  <c r="W18" i="30" s="1"/>
  <c r="C21" i="21"/>
  <c r="C12" i="21"/>
  <c r="H13" i="21"/>
  <c r="F20" i="21"/>
  <c r="M13" i="31"/>
  <c r="P19" i="31"/>
  <c r="H12" i="31"/>
  <c r="R10" i="31"/>
  <c r="M10" i="31"/>
  <c r="BB16" i="35" s="1"/>
  <c r="P8" i="31"/>
  <c r="M143" i="24"/>
  <c r="G19" i="7"/>
  <c r="C19" i="36" s="1"/>
  <c r="E19" i="36" s="1"/>
  <c r="E31" i="7"/>
  <c r="C33" i="8" s="1"/>
  <c r="O17" i="7"/>
  <c r="O19" i="8" s="1"/>
  <c r="M141" i="24"/>
  <c r="BQ10" i="16"/>
  <c r="E17" i="21"/>
  <c r="H12" i="21"/>
  <c r="R18" i="31"/>
  <c r="P13" i="31"/>
  <c r="R19" i="31"/>
  <c r="I11" i="31"/>
  <c r="AB62" i="35" s="1"/>
  <c r="H11" i="31"/>
  <c r="O10" i="31"/>
  <c r="T8" i="31"/>
  <c r="N8" i="31"/>
  <c r="Q7" i="31"/>
  <c r="E7" i="31"/>
  <c r="E25" i="16"/>
  <c r="I135" i="24"/>
  <c r="K140" i="24"/>
  <c r="M24" i="31"/>
  <c r="M6" i="30" s="1"/>
  <c r="O12" i="31"/>
  <c r="M9" i="7"/>
  <c r="M11" i="8" s="1"/>
  <c r="R24" i="31"/>
  <c r="R6" i="30" s="1"/>
  <c r="N18" i="31"/>
  <c r="Q16" i="31"/>
  <c r="P24" i="31"/>
  <c r="P6" i="30" s="1"/>
  <c r="U10" i="31"/>
  <c r="V7" i="7"/>
  <c r="L10" i="7"/>
  <c r="K10" i="31"/>
  <c r="L8" i="7"/>
  <c r="K8" i="31"/>
  <c r="S8" i="7"/>
  <c r="T10" i="8" s="1"/>
  <c r="BQ12" i="16"/>
  <c r="G13" i="31"/>
  <c r="F19" i="31"/>
  <c r="M23" i="31"/>
  <c r="P23" i="31"/>
  <c r="C16" i="31"/>
  <c r="B24" i="31"/>
  <c r="B6" i="30" s="1"/>
  <c r="J12" i="31"/>
  <c r="T8" i="7"/>
  <c r="S11" i="31"/>
  <c r="V8" i="7"/>
  <c r="U11" i="31"/>
  <c r="T7" i="7"/>
  <c r="S10" i="31"/>
  <c r="T9" i="31"/>
  <c r="U6" i="7"/>
  <c r="L18" i="31"/>
  <c r="BQ14" i="16"/>
  <c r="BQ16" i="16"/>
  <c r="H18" i="31"/>
  <c r="B13" i="31"/>
  <c r="R16" i="31"/>
  <c r="G24" i="31"/>
  <c r="G6" i="30" s="1"/>
  <c r="O18" i="31"/>
  <c r="D16" i="31"/>
  <c r="K7" i="31"/>
  <c r="L7" i="7"/>
  <c r="R7" i="28"/>
  <c r="S7" i="28"/>
  <c r="K7" i="28"/>
  <c r="E7" i="28"/>
  <c r="P7" i="28"/>
  <c r="H7" i="28"/>
  <c r="F7" i="28"/>
  <c r="M7" i="28"/>
  <c r="G7" i="28"/>
  <c r="I7" i="28"/>
  <c r="Q7" i="28"/>
  <c r="U7" i="28"/>
  <c r="T7" i="28"/>
  <c r="O7" i="28"/>
  <c r="N7" i="28"/>
  <c r="J7" i="28"/>
  <c r="D7" i="28"/>
  <c r="V7" i="28"/>
  <c r="L7" i="28"/>
  <c r="L13" i="31"/>
  <c r="D19" i="31"/>
  <c r="D23" i="31"/>
  <c r="G23" i="31"/>
  <c r="F16" i="31"/>
  <c r="P16" i="31"/>
  <c r="H16" i="31"/>
  <c r="I12" i="31"/>
  <c r="G12" i="31"/>
  <c r="O22" i="28"/>
  <c r="N21" i="31" s="1"/>
  <c r="G22" i="28"/>
  <c r="F21" i="31" s="1"/>
  <c r="B72" i="35" s="1"/>
  <c r="V22" i="28"/>
  <c r="V18" i="7" s="1"/>
  <c r="N22" i="28"/>
  <c r="F22" i="28"/>
  <c r="E21" i="31" s="1"/>
  <c r="U22" i="28"/>
  <c r="U18" i="7" s="1"/>
  <c r="M22" i="28"/>
  <c r="L21" i="31" s="1"/>
  <c r="E22" i="28"/>
  <c r="D21" i="31" s="1"/>
  <c r="R22" i="28"/>
  <c r="J22" i="28"/>
  <c r="I21" i="31" s="1"/>
  <c r="AB72" i="35" s="1"/>
  <c r="H22" i="28"/>
  <c r="G21" i="31" s="1"/>
  <c r="Q22" i="28"/>
  <c r="P21" i="31" s="1"/>
  <c r="P22" i="28"/>
  <c r="O21" i="31" s="1"/>
  <c r="T22" i="28"/>
  <c r="T18" i="7" s="1"/>
  <c r="D22" i="28"/>
  <c r="C21" i="31" s="1"/>
  <c r="S22" i="28"/>
  <c r="R21" i="31" s="1"/>
  <c r="C22" i="28"/>
  <c r="B21" i="31" s="1"/>
  <c r="L22" i="28"/>
  <c r="L21" i="7" s="1"/>
  <c r="K22" i="28"/>
  <c r="J21" i="31" s="1"/>
  <c r="I22" i="28"/>
  <c r="H21" i="31" s="1"/>
  <c r="Q21" i="31"/>
  <c r="H11" i="7"/>
  <c r="G13" i="8" s="1"/>
  <c r="N24" i="31"/>
  <c r="N6" i="30" s="1"/>
  <c r="L11" i="7"/>
  <c r="K11" i="31"/>
  <c r="T6" i="7"/>
  <c r="S9" i="31"/>
  <c r="O9" i="7"/>
  <c r="O11" i="8" s="1"/>
  <c r="M21" i="31"/>
  <c r="M18" i="31"/>
  <c r="F13" i="31"/>
  <c r="G19" i="31"/>
  <c r="E23" i="31"/>
  <c r="O24" i="31"/>
  <c r="O6" i="30" s="1"/>
  <c r="E24" i="31"/>
  <c r="E6" i="30" s="1"/>
  <c r="C12" i="31"/>
  <c r="R12" i="31"/>
  <c r="U8" i="7"/>
  <c r="T11" i="31"/>
  <c r="U7" i="7"/>
  <c r="T10" i="31"/>
  <c r="L9" i="7"/>
  <c r="K9" i="31"/>
  <c r="V6" i="7"/>
  <c r="U9" i="31"/>
  <c r="G34" i="6"/>
  <c r="S34" i="6"/>
  <c r="C34" i="6"/>
  <c r="R34" i="6"/>
  <c r="P34" i="6"/>
  <c r="P32" i="7" s="1"/>
  <c r="P34" i="8" s="1"/>
  <c r="O34" i="6"/>
  <c r="H34" i="6"/>
  <c r="H34" i="7" s="1"/>
  <c r="G36" i="8" s="1"/>
  <c r="J34" i="6"/>
  <c r="K34" i="6"/>
  <c r="M34" i="6"/>
  <c r="E34" i="6"/>
  <c r="D34" i="6"/>
  <c r="Q34" i="6"/>
  <c r="T34" i="6"/>
  <c r="L34" i="6"/>
  <c r="V34" i="6"/>
  <c r="N34" i="6"/>
  <c r="U34" i="6"/>
  <c r="I34" i="6"/>
  <c r="F34" i="6"/>
  <c r="F34" i="7" s="1"/>
  <c r="E36" i="8" s="1"/>
  <c r="BQ18" i="16"/>
  <c r="O131" i="24"/>
  <c r="B40" i="6"/>
  <c r="F14" i="21"/>
  <c r="F10" i="21"/>
  <c r="B13" i="21"/>
  <c r="C9" i="21"/>
  <c r="R15" i="6"/>
  <c r="Q14" i="31" s="1"/>
  <c r="S15" i="6"/>
  <c r="R14" i="31" s="1"/>
  <c r="K15" i="6"/>
  <c r="J14" i="31" s="1"/>
  <c r="C15" i="6"/>
  <c r="B14" i="31" s="1"/>
  <c r="D15" i="6"/>
  <c r="C14" i="31" s="1"/>
  <c r="N15" i="6"/>
  <c r="M14" i="31" s="1"/>
  <c r="H15" i="6"/>
  <c r="G14" i="31" s="1"/>
  <c r="I15" i="6"/>
  <c r="H14" i="31" s="1"/>
  <c r="J15" i="6"/>
  <c r="I14" i="31" s="1"/>
  <c r="L15" i="6"/>
  <c r="V15" i="6"/>
  <c r="P15" i="6"/>
  <c r="O14" i="31" s="1"/>
  <c r="Q15" i="6"/>
  <c r="P14" i="31" s="1"/>
  <c r="M15" i="6"/>
  <c r="L14" i="31" s="1"/>
  <c r="O15" i="6"/>
  <c r="N14" i="31" s="1"/>
  <c r="T15" i="6"/>
  <c r="E15" i="6"/>
  <c r="D14" i="31" s="1"/>
  <c r="G15" i="6"/>
  <c r="F14" i="31" s="1"/>
  <c r="U15" i="6"/>
  <c r="F15" i="6"/>
  <c r="E14" i="31" s="1"/>
  <c r="T23" i="7"/>
  <c r="S26" i="31"/>
  <c r="S8" i="30" s="1"/>
  <c r="V10" i="7"/>
  <c r="U13" i="31"/>
  <c r="C41" i="7"/>
  <c r="B38" i="31"/>
  <c r="M20" i="30"/>
  <c r="K23" i="31"/>
  <c r="L23" i="7"/>
  <c r="V32" i="7"/>
  <c r="U35" i="31"/>
  <c r="U17" i="30" s="1"/>
  <c r="U13" i="7"/>
  <c r="T16" i="31"/>
  <c r="U21" i="7"/>
  <c r="T24" i="31"/>
  <c r="T6" i="30" s="1"/>
  <c r="L12" i="7"/>
  <c r="K12" i="31"/>
  <c r="P17" i="7"/>
  <c r="P19" i="8" s="1"/>
  <c r="R11" i="7"/>
  <c r="S13" i="8" s="1"/>
  <c r="V29" i="6"/>
  <c r="F29" i="6"/>
  <c r="E28" i="31" s="1"/>
  <c r="E10" i="30" s="1"/>
  <c r="U29" i="6"/>
  <c r="E29" i="6"/>
  <c r="D28" i="31" s="1"/>
  <c r="D10" i="30" s="1"/>
  <c r="S29" i="6"/>
  <c r="R28" i="31" s="1"/>
  <c r="R10" i="30" s="1"/>
  <c r="C29" i="6"/>
  <c r="B28" i="31" s="1"/>
  <c r="N29" i="6"/>
  <c r="M28" i="31" s="1"/>
  <c r="M10" i="30" s="1"/>
  <c r="R29" i="6"/>
  <c r="Q28" i="31" s="1"/>
  <c r="Q10" i="30" s="1"/>
  <c r="M29" i="6"/>
  <c r="L28" i="31" s="1"/>
  <c r="L10" i="30" s="1"/>
  <c r="J29" i="6"/>
  <c r="I28" i="31" s="1"/>
  <c r="K29" i="6"/>
  <c r="J28" i="31" s="1"/>
  <c r="J10" i="30" s="1"/>
  <c r="T29" i="6"/>
  <c r="H29" i="6"/>
  <c r="G28" i="31" s="1"/>
  <c r="G10" i="30" s="1"/>
  <c r="L29" i="6"/>
  <c r="P29" i="6"/>
  <c r="O28" i="31" s="1"/>
  <c r="O10" i="30" s="1"/>
  <c r="Q29" i="6"/>
  <c r="P28" i="31" s="1"/>
  <c r="P10" i="30" s="1"/>
  <c r="D29" i="6"/>
  <c r="C28" i="31" s="1"/>
  <c r="C10" i="30" s="1"/>
  <c r="I29" i="6"/>
  <c r="H28" i="31" s="1"/>
  <c r="H10" i="30" s="1"/>
  <c r="O29" i="6"/>
  <c r="N28" i="31" s="1"/>
  <c r="N10" i="30" s="1"/>
  <c r="G29" i="6"/>
  <c r="F28" i="31" s="1"/>
  <c r="F10" i="30" s="1"/>
  <c r="BQ9" i="16"/>
  <c r="C18" i="21"/>
  <c r="B14" i="21"/>
  <c r="H17" i="21"/>
  <c r="G12" i="21"/>
  <c r="H10" i="21"/>
  <c r="F13" i="21"/>
  <c r="H16" i="21"/>
  <c r="F9" i="21"/>
  <c r="V23" i="7"/>
  <c r="U26" i="31"/>
  <c r="U8" i="30" s="1"/>
  <c r="T34" i="31"/>
  <c r="T16" i="30" s="1"/>
  <c r="U31" i="7"/>
  <c r="T16" i="7"/>
  <c r="S19" i="31"/>
  <c r="O20" i="30"/>
  <c r="N20" i="30"/>
  <c r="C20" i="30"/>
  <c r="T32" i="7"/>
  <c r="S35" i="31"/>
  <c r="S17" i="30" s="1"/>
  <c r="L35" i="7"/>
  <c r="K35" i="31"/>
  <c r="K17" i="30" s="1"/>
  <c r="K31" i="31"/>
  <c r="K13" i="30" s="1"/>
  <c r="L31" i="7"/>
  <c r="G26" i="6"/>
  <c r="F25" i="31" s="1"/>
  <c r="F7" i="30" s="1"/>
  <c r="V26" i="6"/>
  <c r="F26" i="6"/>
  <c r="E25" i="31" s="1"/>
  <c r="E7" i="30" s="1"/>
  <c r="R26" i="6"/>
  <c r="Q25" i="31" s="1"/>
  <c r="Q7" i="30" s="1"/>
  <c r="Q26" i="6"/>
  <c r="P25" i="31" s="1"/>
  <c r="P7" i="30" s="1"/>
  <c r="O26" i="6"/>
  <c r="N25" i="31" s="1"/>
  <c r="N7" i="30" s="1"/>
  <c r="N26" i="6"/>
  <c r="M25" i="31" s="1"/>
  <c r="M7" i="30" s="1"/>
  <c r="J26" i="6"/>
  <c r="I25" i="31" s="1"/>
  <c r="I26" i="6"/>
  <c r="H25" i="31" s="1"/>
  <c r="H7" i="30" s="1"/>
  <c r="M26" i="6"/>
  <c r="L25" i="31" s="1"/>
  <c r="L7" i="30" s="1"/>
  <c r="P26" i="6"/>
  <c r="O25" i="31" s="1"/>
  <c r="O7" i="30" s="1"/>
  <c r="E26" i="6"/>
  <c r="D25" i="31" s="1"/>
  <c r="D7" i="30" s="1"/>
  <c r="H26" i="6"/>
  <c r="G25" i="31" s="1"/>
  <c r="G7" i="30" s="1"/>
  <c r="T26" i="6"/>
  <c r="D26" i="6"/>
  <c r="C25" i="31" s="1"/>
  <c r="C7" i="30" s="1"/>
  <c r="S26" i="6"/>
  <c r="R25" i="31" s="1"/>
  <c r="R7" i="30" s="1"/>
  <c r="L26" i="6"/>
  <c r="U26" i="6"/>
  <c r="K26" i="6"/>
  <c r="J25" i="31" s="1"/>
  <c r="J7" i="30" s="1"/>
  <c r="C26" i="6"/>
  <c r="B25" i="31" s="1"/>
  <c r="P41" i="6"/>
  <c r="O40" i="31" s="1"/>
  <c r="O22" i="30" s="1"/>
  <c r="N41" i="6"/>
  <c r="M40" i="31" s="1"/>
  <c r="M22" i="30" s="1"/>
  <c r="J41" i="6"/>
  <c r="I40" i="31" s="1"/>
  <c r="I41" i="6"/>
  <c r="H40" i="31" s="1"/>
  <c r="H22" i="30" s="1"/>
  <c r="V41" i="6"/>
  <c r="H41" i="6"/>
  <c r="G40" i="31" s="1"/>
  <c r="G22" i="30" s="1"/>
  <c r="T41" i="6"/>
  <c r="U41" i="6"/>
  <c r="R41" i="6"/>
  <c r="Q40" i="31" s="1"/>
  <c r="Q22" i="30" s="1"/>
  <c r="E41" i="6"/>
  <c r="D40" i="31" s="1"/>
  <c r="D22" i="30" s="1"/>
  <c r="C41" i="6"/>
  <c r="K41" i="6"/>
  <c r="J40" i="31" s="1"/>
  <c r="J22" i="30" s="1"/>
  <c r="G41" i="6"/>
  <c r="F40" i="31" s="1"/>
  <c r="F22" i="30" s="1"/>
  <c r="F41" i="6"/>
  <c r="E40" i="31" s="1"/>
  <c r="E22" i="30" s="1"/>
  <c r="M41" i="6"/>
  <c r="L40" i="31" s="1"/>
  <c r="L22" i="30" s="1"/>
  <c r="Q41" i="6"/>
  <c r="P40" i="31" s="1"/>
  <c r="P22" i="30" s="1"/>
  <c r="D41" i="6"/>
  <c r="C40" i="31" s="1"/>
  <c r="C22" i="30" s="1"/>
  <c r="S41" i="6"/>
  <c r="R40" i="31" s="1"/>
  <c r="R22" i="30" s="1"/>
  <c r="O41" i="6"/>
  <c r="N40" i="31" s="1"/>
  <c r="N22" i="30" s="1"/>
  <c r="L41" i="6"/>
  <c r="T26" i="7"/>
  <c r="S29" i="31"/>
  <c r="S11" i="30" s="1"/>
  <c r="B35" i="31"/>
  <c r="C38" i="7"/>
  <c r="T28" i="7"/>
  <c r="S31" i="31"/>
  <c r="S13" i="30" s="1"/>
  <c r="E14" i="21"/>
  <c r="U15" i="7"/>
  <c r="T18" i="31"/>
  <c r="P20" i="30"/>
  <c r="L16" i="7"/>
  <c r="K16" i="31"/>
  <c r="BQ23" i="16"/>
  <c r="U42" i="6"/>
  <c r="T42" i="6"/>
  <c r="F42" i="6"/>
  <c r="E41" i="31" s="1"/>
  <c r="E23" i="30" s="1"/>
  <c r="O42" i="6"/>
  <c r="N41" i="31" s="1"/>
  <c r="N23" i="30" s="1"/>
  <c r="G42" i="6"/>
  <c r="F41" i="31" s="1"/>
  <c r="F23" i="30" s="1"/>
  <c r="N42" i="6"/>
  <c r="M41" i="31" s="1"/>
  <c r="M23" i="30" s="1"/>
  <c r="D42" i="6"/>
  <c r="C41" i="31" s="1"/>
  <c r="C23" i="30" s="1"/>
  <c r="V42" i="6"/>
  <c r="Q42" i="6"/>
  <c r="P41" i="31" s="1"/>
  <c r="P23" i="30" s="1"/>
  <c r="J42" i="6"/>
  <c r="I41" i="31" s="1"/>
  <c r="H42" i="6"/>
  <c r="G41" i="31" s="1"/>
  <c r="G23" i="30" s="1"/>
  <c r="R42" i="6"/>
  <c r="Q41" i="31" s="1"/>
  <c r="Q23" i="30" s="1"/>
  <c r="P42" i="6"/>
  <c r="O41" i="31" s="1"/>
  <c r="O23" i="30" s="1"/>
  <c r="I42" i="6"/>
  <c r="H41" i="31" s="1"/>
  <c r="H23" i="30" s="1"/>
  <c r="S42" i="6"/>
  <c r="R41" i="31" s="1"/>
  <c r="R23" i="30" s="1"/>
  <c r="E42" i="6"/>
  <c r="D41" i="31" s="1"/>
  <c r="D23" i="30" s="1"/>
  <c r="C42" i="6"/>
  <c r="K42" i="6"/>
  <c r="J41" i="31" s="1"/>
  <c r="J23" i="30" s="1"/>
  <c r="M42" i="6"/>
  <c r="L41" i="31" s="1"/>
  <c r="L23" i="30" s="1"/>
  <c r="L42" i="6"/>
  <c r="B8" i="30"/>
  <c r="B9" i="30"/>
  <c r="E20" i="30"/>
  <c r="V21" i="7"/>
  <c r="U24" i="31"/>
  <c r="U6" i="30" s="1"/>
  <c r="BQ20" i="16"/>
  <c r="J35" i="7"/>
  <c r="D35" i="36" s="1"/>
  <c r="F35" i="36" s="1"/>
  <c r="C16" i="7"/>
  <c r="G18" i="21"/>
  <c r="H21" i="21"/>
  <c r="C14" i="21"/>
  <c r="B16" i="21"/>
  <c r="E9" i="21"/>
  <c r="T29" i="31"/>
  <c r="T11" i="30" s="1"/>
  <c r="U26" i="7"/>
  <c r="V26" i="7"/>
  <c r="U29" i="31"/>
  <c r="U11" i="30" s="1"/>
  <c r="K26" i="31"/>
  <c r="K8" i="30" s="1"/>
  <c r="L26" i="7"/>
  <c r="L34" i="7"/>
  <c r="K34" i="31"/>
  <c r="K16" i="30" s="1"/>
  <c r="V24" i="7"/>
  <c r="U27" i="31"/>
  <c r="U9" i="30" s="1"/>
  <c r="T27" i="7"/>
  <c r="S30" i="31"/>
  <c r="S12" i="30" s="1"/>
  <c r="G20" i="30"/>
  <c r="L20" i="30"/>
  <c r="Q20" i="30"/>
  <c r="T23" i="31"/>
  <c r="U20" i="7"/>
  <c r="T12" i="31"/>
  <c r="U9" i="7"/>
  <c r="B31" i="31"/>
  <c r="C34" i="7"/>
  <c r="R43" i="6"/>
  <c r="Q42" i="31" s="1"/>
  <c r="Q24" i="30" s="1"/>
  <c r="J43" i="6"/>
  <c r="I42" i="31" s="1"/>
  <c r="U43" i="6"/>
  <c r="Q43" i="6"/>
  <c r="P42" i="31" s="1"/>
  <c r="P24" i="30" s="1"/>
  <c r="I43" i="6"/>
  <c r="H42" i="31" s="1"/>
  <c r="H24" i="30" s="1"/>
  <c r="N43" i="6"/>
  <c r="M42" i="31" s="1"/>
  <c r="M24" i="30" s="1"/>
  <c r="P43" i="6"/>
  <c r="O42" i="31" s="1"/>
  <c r="O24" i="30" s="1"/>
  <c r="H43" i="6"/>
  <c r="G42" i="31" s="1"/>
  <c r="G24" i="30" s="1"/>
  <c r="M43" i="6"/>
  <c r="L42" i="31" s="1"/>
  <c r="L24" i="30" s="1"/>
  <c r="O43" i="6"/>
  <c r="N42" i="31" s="1"/>
  <c r="N24" i="30" s="1"/>
  <c r="G43" i="6"/>
  <c r="F42" i="31" s="1"/>
  <c r="F24" i="30" s="1"/>
  <c r="V43" i="6"/>
  <c r="F43" i="6"/>
  <c r="E42" i="31" s="1"/>
  <c r="E24" i="30" s="1"/>
  <c r="E43" i="6"/>
  <c r="D42" i="31" s="1"/>
  <c r="D24" i="30" s="1"/>
  <c r="L43" i="6"/>
  <c r="K43" i="6"/>
  <c r="J42" i="31" s="1"/>
  <c r="J24" i="30" s="1"/>
  <c r="C43" i="6"/>
  <c r="T43" i="6"/>
  <c r="S43" i="6"/>
  <c r="R42" i="31" s="1"/>
  <c r="R24" i="30" s="1"/>
  <c r="D43" i="6"/>
  <c r="C42" i="31" s="1"/>
  <c r="C24" i="30" s="1"/>
  <c r="K30" i="31"/>
  <c r="K12" i="30" s="1"/>
  <c r="L30" i="7"/>
  <c r="F20" i="30"/>
  <c r="K33" i="6"/>
  <c r="J32" i="31" s="1"/>
  <c r="J14" i="30" s="1"/>
  <c r="G33" i="6"/>
  <c r="F32" i="31" s="1"/>
  <c r="F14" i="30" s="1"/>
  <c r="V33" i="6"/>
  <c r="F33" i="6"/>
  <c r="E32" i="31" s="1"/>
  <c r="E14" i="30" s="1"/>
  <c r="S33" i="6"/>
  <c r="R32" i="31" s="1"/>
  <c r="R14" i="30" s="1"/>
  <c r="T33" i="6"/>
  <c r="D33" i="6"/>
  <c r="C32" i="31" s="1"/>
  <c r="C14" i="30" s="1"/>
  <c r="C33" i="6"/>
  <c r="N33" i="6"/>
  <c r="M32" i="31" s="1"/>
  <c r="M14" i="30" s="1"/>
  <c r="L33" i="6"/>
  <c r="O33" i="6"/>
  <c r="N32" i="31" s="1"/>
  <c r="N14" i="30" s="1"/>
  <c r="Q33" i="6"/>
  <c r="P32" i="31" s="1"/>
  <c r="P14" i="30" s="1"/>
  <c r="M33" i="6"/>
  <c r="L32" i="31" s="1"/>
  <c r="L14" i="30" s="1"/>
  <c r="I33" i="6"/>
  <c r="H32" i="31" s="1"/>
  <c r="H14" i="30" s="1"/>
  <c r="P33" i="6"/>
  <c r="O32" i="31" s="1"/>
  <c r="O14" i="30" s="1"/>
  <c r="U33" i="6"/>
  <c r="H33" i="6"/>
  <c r="G32" i="31" s="1"/>
  <c r="G14" i="30" s="1"/>
  <c r="J33" i="6"/>
  <c r="I32" i="31" s="1"/>
  <c r="E33" i="6"/>
  <c r="D32" i="31" s="1"/>
  <c r="D14" i="30" s="1"/>
  <c r="R33" i="6"/>
  <c r="Q32" i="31" s="1"/>
  <c r="Q14" i="30" s="1"/>
  <c r="B10" i="21"/>
  <c r="U24" i="7"/>
  <c r="T27" i="31"/>
  <c r="T9" i="30" s="1"/>
  <c r="D20" i="30"/>
  <c r="U12" i="31"/>
  <c r="V9" i="7"/>
  <c r="N28" i="7"/>
  <c r="K30" i="9" s="1"/>
  <c r="L30" i="9" s="1"/>
  <c r="M30" i="9" s="1"/>
  <c r="R16" i="6"/>
  <c r="Q15" i="31" s="1"/>
  <c r="J16" i="6"/>
  <c r="I15" i="31" s="1"/>
  <c r="F16" i="6"/>
  <c r="E15" i="31" s="1"/>
  <c r="Q16" i="6"/>
  <c r="P15" i="31" s="1"/>
  <c r="I16" i="6"/>
  <c r="H15" i="31" s="1"/>
  <c r="N16" i="6"/>
  <c r="M15" i="31" s="1"/>
  <c r="P16" i="6"/>
  <c r="O15" i="31" s="1"/>
  <c r="H16" i="6"/>
  <c r="G15" i="31" s="1"/>
  <c r="V16" i="6"/>
  <c r="O16" i="6"/>
  <c r="N15" i="31" s="1"/>
  <c r="G16" i="6"/>
  <c r="F15" i="31" s="1"/>
  <c r="E16" i="6"/>
  <c r="D15" i="31" s="1"/>
  <c r="D16" i="6"/>
  <c r="C15" i="31" s="1"/>
  <c r="S16" i="6"/>
  <c r="R15" i="31" s="1"/>
  <c r="U16" i="6"/>
  <c r="C16" i="6"/>
  <c r="B15" i="31" s="1"/>
  <c r="M16" i="6"/>
  <c r="L15" i="31" s="1"/>
  <c r="K16" i="6"/>
  <c r="J15" i="31" s="1"/>
  <c r="T16" i="6"/>
  <c r="L16" i="6"/>
  <c r="B123" i="26"/>
  <c r="D123" i="26" s="1"/>
  <c r="W14" i="30" s="1"/>
  <c r="V18" i="6"/>
  <c r="F18" i="6"/>
  <c r="E17" i="31" s="1"/>
  <c r="N18" i="6"/>
  <c r="M17" i="31" s="1"/>
  <c r="U18" i="6"/>
  <c r="E18" i="6"/>
  <c r="D17" i="31" s="1"/>
  <c r="Q18" i="6"/>
  <c r="P17" i="31" s="1"/>
  <c r="P18" i="6"/>
  <c r="O17" i="31" s="1"/>
  <c r="I18" i="6"/>
  <c r="H17" i="31" s="1"/>
  <c r="H18" i="6"/>
  <c r="G17" i="31" s="1"/>
  <c r="M18" i="6"/>
  <c r="L17" i="31" s="1"/>
  <c r="R18" i="6"/>
  <c r="Q17" i="31" s="1"/>
  <c r="S18" i="6"/>
  <c r="R17" i="31" s="1"/>
  <c r="J18" i="6"/>
  <c r="I17" i="31" s="1"/>
  <c r="T18" i="6"/>
  <c r="O18" i="6"/>
  <c r="N17" i="31" s="1"/>
  <c r="L18" i="6"/>
  <c r="G18" i="6"/>
  <c r="F17" i="31" s="1"/>
  <c r="D18" i="6"/>
  <c r="C17" i="31" s="1"/>
  <c r="K18" i="6"/>
  <c r="J17" i="31" s="1"/>
  <c r="C18" i="6"/>
  <c r="B17" i="31" s="1"/>
  <c r="H14" i="21"/>
  <c r="C32" i="7"/>
  <c r="B29" i="31"/>
  <c r="H20" i="30"/>
  <c r="L24" i="7"/>
  <c r="K24" i="31"/>
  <c r="K6" i="30" s="1"/>
  <c r="BQ19" i="16"/>
  <c r="N17" i="7"/>
  <c r="K19" i="9" s="1"/>
  <c r="L19" i="9" s="1"/>
  <c r="M19" i="9" s="1"/>
  <c r="N12" i="7"/>
  <c r="K14" i="9" s="1"/>
  <c r="L14" i="9" s="1"/>
  <c r="M14" i="9" s="1"/>
  <c r="V37" i="6"/>
  <c r="F37" i="6"/>
  <c r="E36" i="31" s="1"/>
  <c r="E18" i="30" s="1"/>
  <c r="T37" i="6"/>
  <c r="D37" i="6"/>
  <c r="C36" i="31" s="1"/>
  <c r="C18" i="30" s="1"/>
  <c r="S37" i="6"/>
  <c r="R36" i="31" s="1"/>
  <c r="R18" i="30" s="1"/>
  <c r="C37" i="6"/>
  <c r="N37" i="6"/>
  <c r="M36" i="31" s="1"/>
  <c r="M18" i="30" s="1"/>
  <c r="L37" i="6"/>
  <c r="O37" i="6"/>
  <c r="N36" i="31" s="1"/>
  <c r="N18" i="30" s="1"/>
  <c r="K37" i="6"/>
  <c r="J36" i="31" s="1"/>
  <c r="J18" i="30" s="1"/>
  <c r="G37" i="6"/>
  <c r="F36" i="31" s="1"/>
  <c r="F18" i="30" s="1"/>
  <c r="M37" i="6"/>
  <c r="L36" i="31" s="1"/>
  <c r="L18" i="30" s="1"/>
  <c r="R37" i="6"/>
  <c r="Q36" i="31" s="1"/>
  <c r="Q18" i="30" s="1"/>
  <c r="E37" i="6"/>
  <c r="D36" i="31" s="1"/>
  <c r="D18" i="30" s="1"/>
  <c r="P37" i="6"/>
  <c r="O36" i="31" s="1"/>
  <c r="O18" i="30" s="1"/>
  <c r="J37" i="6"/>
  <c r="I36" i="31" s="1"/>
  <c r="Q37" i="6"/>
  <c r="P36" i="31" s="1"/>
  <c r="P18" i="30" s="1"/>
  <c r="I37" i="6"/>
  <c r="H36" i="31" s="1"/>
  <c r="H18" i="30" s="1"/>
  <c r="H37" i="6"/>
  <c r="G36" i="31" s="1"/>
  <c r="G18" i="30" s="1"/>
  <c r="U37" i="6"/>
  <c r="F18" i="21"/>
  <c r="B21" i="21"/>
  <c r="C22" i="21"/>
  <c r="E13" i="21"/>
  <c r="E16" i="21"/>
  <c r="G9" i="21"/>
  <c r="L29" i="7"/>
  <c r="K29" i="31"/>
  <c r="K11" i="30" s="1"/>
  <c r="L18" i="7"/>
  <c r="K18" i="31"/>
  <c r="V31" i="7"/>
  <c r="U34" i="31"/>
  <c r="U16" i="30" s="1"/>
  <c r="T10" i="7"/>
  <c r="S13" i="31"/>
  <c r="T13" i="31"/>
  <c r="U10" i="7"/>
  <c r="U19" i="31"/>
  <c r="V16" i="7"/>
  <c r="U30" i="31"/>
  <c r="U12" i="30" s="1"/>
  <c r="V27" i="7"/>
  <c r="B30" i="31"/>
  <c r="C33" i="7"/>
  <c r="J20" i="30"/>
  <c r="T38" i="6"/>
  <c r="M38" i="6"/>
  <c r="L37" i="31" s="1"/>
  <c r="L19" i="30" s="1"/>
  <c r="V38" i="6"/>
  <c r="K38" i="6"/>
  <c r="J37" i="31" s="1"/>
  <c r="J19" i="30" s="1"/>
  <c r="F38" i="6"/>
  <c r="E37" i="31" s="1"/>
  <c r="E19" i="30" s="1"/>
  <c r="U38" i="6"/>
  <c r="J38" i="6"/>
  <c r="I37" i="31" s="1"/>
  <c r="R38" i="6"/>
  <c r="Q37" i="31" s="1"/>
  <c r="Q19" i="30" s="1"/>
  <c r="S38" i="6"/>
  <c r="R37" i="31" s="1"/>
  <c r="R19" i="30" s="1"/>
  <c r="H38" i="6"/>
  <c r="G37" i="31" s="1"/>
  <c r="G19" i="30" s="1"/>
  <c r="G38" i="6"/>
  <c r="F37" i="31" s="1"/>
  <c r="F19" i="30" s="1"/>
  <c r="P38" i="6"/>
  <c r="O37" i="31" s="1"/>
  <c r="O19" i="30" s="1"/>
  <c r="E38" i="6"/>
  <c r="D37" i="31" s="1"/>
  <c r="D19" i="30" s="1"/>
  <c r="C38" i="6"/>
  <c r="O38" i="6"/>
  <c r="N37" i="31" s="1"/>
  <c r="N19" i="30" s="1"/>
  <c r="N38" i="6"/>
  <c r="M37" i="31" s="1"/>
  <c r="M19" i="30" s="1"/>
  <c r="L38" i="6"/>
  <c r="I38" i="6"/>
  <c r="H37" i="31" s="1"/>
  <c r="H19" i="30" s="1"/>
  <c r="D38" i="6"/>
  <c r="C37" i="31" s="1"/>
  <c r="C19" i="30" s="1"/>
  <c r="Q38" i="6"/>
  <c r="P37" i="31" s="1"/>
  <c r="P19" i="30" s="1"/>
  <c r="V28" i="7"/>
  <c r="U31" i="31"/>
  <c r="U13" i="30" s="1"/>
  <c r="T31" i="7"/>
  <c r="S34" i="31"/>
  <c r="S16" i="30" s="1"/>
  <c r="U16" i="7"/>
  <c r="T19" i="31"/>
  <c r="U35" i="7"/>
  <c r="T38" i="31"/>
  <c r="T20" i="7"/>
  <c r="S23" i="31"/>
  <c r="C13" i="21"/>
  <c r="U23" i="7"/>
  <c r="T26" i="31"/>
  <c r="T8" i="30" s="1"/>
  <c r="V15" i="7"/>
  <c r="U18" i="31"/>
  <c r="U38" i="31"/>
  <c r="V35" i="7"/>
  <c r="C10" i="21"/>
  <c r="S18" i="31"/>
  <c r="T15" i="7"/>
  <c r="L27" i="7"/>
  <c r="K27" i="31"/>
  <c r="K9" i="30" s="1"/>
  <c r="T30" i="31"/>
  <c r="T12" i="30" s="1"/>
  <c r="U27" i="7"/>
  <c r="L38" i="7"/>
  <c r="K38" i="31"/>
  <c r="U32" i="7"/>
  <c r="T35" i="31"/>
  <c r="T17" i="30" s="1"/>
  <c r="T31" i="31"/>
  <c r="T13" i="30" s="1"/>
  <c r="U28" i="7"/>
  <c r="U21" i="6"/>
  <c r="E21" i="6"/>
  <c r="D20" i="31" s="1"/>
  <c r="T21" i="6"/>
  <c r="D21" i="6"/>
  <c r="C20" i="31" s="1"/>
  <c r="R21" i="6"/>
  <c r="Q20" i="31" s="1"/>
  <c r="M21" i="6"/>
  <c r="L20" i="31" s="1"/>
  <c r="Q21" i="6"/>
  <c r="P20" i="31" s="1"/>
  <c r="L21" i="6"/>
  <c r="J21" i="6"/>
  <c r="I20" i="31" s="1"/>
  <c r="I21" i="6"/>
  <c r="H20" i="31" s="1"/>
  <c r="N21" i="6"/>
  <c r="M20" i="31" s="1"/>
  <c r="H21" i="6"/>
  <c r="G20" i="31" s="1"/>
  <c r="F21" i="6"/>
  <c r="E20" i="31" s="1"/>
  <c r="S21" i="6"/>
  <c r="R20" i="31" s="1"/>
  <c r="C21" i="6"/>
  <c r="B20" i="31" s="1"/>
  <c r="O21" i="6"/>
  <c r="N20" i="31" s="1"/>
  <c r="P21" i="6"/>
  <c r="O20" i="31" s="1"/>
  <c r="K21" i="6"/>
  <c r="J20" i="31" s="1"/>
  <c r="G21" i="6"/>
  <c r="F20" i="31" s="1"/>
  <c r="V21" i="6"/>
  <c r="G14" i="7"/>
  <c r="C14" i="36" s="1"/>
  <c r="E14" i="36" s="1"/>
  <c r="F28" i="7"/>
  <c r="E30" i="8" s="1"/>
  <c r="H18" i="21"/>
  <c r="R23" i="6"/>
  <c r="S23" i="6"/>
  <c r="K23" i="6"/>
  <c r="C23" i="6"/>
  <c r="U23" i="6"/>
  <c r="P23" i="6"/>
  <c r="J23" i="6"/>
  <c r="N23" i="6"/>
  <c r="F23" i="6"/>
  <c r="H23" i="6"/>
  <c r="I23" i="6"/>
  <c r="D23" i="6"/>
  <c r="Q23" i="6"/>
  <c r="L23" i="6"/>
  <c r="G23" i="6"/>
  <c r="V23" i="6"/>
  <c r="T23" i="6"/>
  <c r="O23" i="6"/>
  <c r="E23" i="6"/>
  <c r="M23" i="6"/>
  <c r="C37" i="7"/>
  <c r="B34" i="31"/>
  <c r="T24" i="7"/>
  <c r="S27" i="31"/>
  <c r="S9" i="30" s="1"/>
  <c r="L13" i="7"/>
  <c r="K13" i="31"/>
  <c r="L19" i="7"/>
  <c r="K19" i="31"/>
  <c r="R20" i="30"/>
  <c r="S38" i="31"/>
  <c r="T35" i="7"/>
  <c r="V20" i="7"/>
  <c r="U23" i="31"/>
  <c r="V13" i="7"/>
  <c r="U16" i="31"/>
  <c r="T13" i="7"/>
  <c r="S16" i="31"/>
  <c r="T21" i="7"/>
  <c r="S24" i="31"/>
  <c r="S6" i="30" s="1"/>
  <c r="T9" i="7"/>
  <c r="S12" i="31"/>
  <c r="BQ15" i="16"/>
  <c r="C10" i="32"/>
  <c r="BQ8" i="16"/>
  <c r="C132" i="26"/>
  <c r="B47" i="7" s="1"/>
  <c r="Q45" i="25"/>
  <c r="BQ22" i="16"/>
  <c r="BQ17" i="16"/>
  <c r="R7" i="6"/>
  <c r="J7" i="6"/>
  <c r="Q7" i="6"/>
  <c r="H7" i="6"/>
  <c r="N7" i="6"/>
  <c r="V7" i="6"/>
  <c r="D7" i="6"/>
  <c r="S7" i="6"/>
  <c r="P7" i="6"/>
  <c r="G7" i="6"/>
  <c r="M7" i="6"/>
  <c r="I7" i="6"/>
  <c r="O7" i="6"/>
  <c r="F7" i="6"/>
  <c r="E7" i="6"/>
  <c r="U7" i="6"/>
  <c r="L7" i="6"/>
  <c r="T7" i="6"/>
  <c r="K7" i="6"/>
  <c r="BQ21" i="16"/>
  <c r="BQ11" i="16"/>
  <c r="U21" i="32"/>
  <c r="C21" i="32"/>
  <c r="AG21" i="32"/>
  <c r="AA21" i="32"/>
  <c r="O21" i="32"/>
  <c r="I21" i="32"/>
  <c r="C17" i="32"/>
  <c r="I17" i="32"/>
  <c r="O17" i="32"/>
  <c r="U17" i="32"/>
  <c r="AA17" i="32"/>
  <c r="AA15" i="32"/>
  <c r="U15" i="32"/>
  <c r="I15" i="32"/>
  <c r="O15" i="32"/>
  <c r="C15" i="32"/>
  <c r="U14" i="32"/>
  <c r="AA14" i="32"/>
  <c r="C14" i="32"/>
  <c r="I14" i="32"/>
  <c r="O14" i="32"/>
  <c r="AG24" i="32"/>
  <c r="AA24" i="32"/>
  <c r="I24" i="32"/>
  <c r="O24" i="32"/>
  <c r="U24" i="32"/>
  <c r="C24" i="32"/>
  <c r="O19" i="32"/>
  <c r="C19" i="32"/>
  <c r="U19" i="32"/>
  <c r="I19" i="32"/>
  <c r="AG19" i="32"/>
  <c r="AA19" i="32"/>
  <c r="U20" i="32"/>
  <c r="C20" i="32"/>
  <c r="I20" i="32"/>
  <c r="O20" i="32"/>
  <c r="AG20" i="32"/>
  <c r="AA20" i="32"/>
  <c r="AA16" i="32"/>
  <c r="I16" i="32"/>
  <c r="O16" i="32"/>
  <c r="U16" i="32"/>
  <c r="C16" i="32"/>
  <c r="AG23" i="32"/>
  <c r="AA23" i="32"/>
  <c r="I23" i="32"/>
  <c r="O23" i="32"/>
  <c r="C23" i="32"/>
  <c r="U23" i="32"/>
  <c r="O12" i="32"/>
  <c r="C12" i="32"/>
  <c r="I12" i="32"/>
  <c r="I18" i="32"/>
  <c r="O18" i="32"/>
  <c r="C18" i="32"/>
  <c r="AA18" i="32"/>
  <c r="U18" i="32"/>
  <c r="C11" i="32"/>
  <c r="I11" i="32"/>
  <c r="U13" i="32"/>
  <c r="C13" i="32"/>
  <c r="I13" i="32"/>
  <c r="O13" i="32"/>
  <c r="AG25" i="32"/>
  <c r="I25" i="32"/>
  <c r="O25" i="32"/>
  <c r="AA25" i="32"/>
  <c r="U25" i="32"/>
  <c r="C25" i="32"/>
  <c r="AG22" i="32"/>
  <c r="AA22" i="32"/>
  <c r="C22" i="32"/>
  <c r="I22" i="32"/>
  <c r="O22" i="32"/>
  <c r="U22" i="32"/>
  <c r="I17" i="14"/>
  <c r="J17" i="14" s="1"/>
  <c r="AA30" i="14"/>
  <c r="AB30" i="14" s="1"/>
  <c r="E32" i="36"/>
  <c r="C34" i="9"/>
  <c r="D34" i="9" s="1"/>
  <c r="E34" i="9" s="1"/>
  <c r="E30" i="36"/>
  <c r="C32" i="9"/>
  <c r="D32" i="9" s="1"/>
  <c r="E32" i="9" s="1"/>
  <c r="S16" i="7"/>
  <c r="T18" i="8" s="1"/>
  <c r="R16" i="7"/>
  <c r="S18" i="8" s="1"/>
  <c r="T22" i="16"/>
  <c r="CA22" i="16" s="1"/>
  <c r="CJ22" i="16" s="1"/>
  <c r="U23" i="16"/>
  <c r="CB23" i="16" s="1"/>
  <c r="CK23" i="16" s="1"/>
  <c r="S21" i="16"/>
  <c r="BZ21" i="16" s="1"/>
  <c r="CI21" i="16" s="1"/>
  <c r="V24" i="16"/>
  <c r="U22" i="16"/>
  <c r="CB22" i="16" s="1"/>
  <c r="CK22" i="16" s="1"/>
  <c r="V23" i="16"/>
  <c r="CC23" i="16" s="1"/>
  <c r="CL23" i="16" s="1"/>
  <c r="W24" i="16"/>
  <c r="S20" i="16"/>
  <c r="BZ20" i="16" s="1"/>
  <c r="CI20" i="16" s="1"/>
  <c r="T21" i="16"/>
  <c r="CA21" i="16" s="1"/>
  <c r="CJ21" i="16" s="1"/>
  <c r="S16" i="16"/>
  <c r="BZ16" i="16" s="1"/>
  <c r="CI16" i="16" s="1"/>
  <c r="T17" i="16"/>
  <c r="CA17" i="16" s="1"/>
  <c r="U18" i="16"/>
  <c r="CB18" i="16" s="1"/>
  <c r="CK18" i="16" s="1"/>
  <c r="W20" i="16"/>
  <c r="CD20" i="16" s="1"/>
  <c r="CM20" i="16" s="1"/>
  <c r="V19" i="16"/>
  <c r="CC19" i="16" s="1"/>
  <c r="CL19" i="16" s="1"/>
  <c r="S24" i="16"/>
  <c r="B26" i="32" s="1"/>
  <c r="S9" i="16"/>
  <c r="U11" i="16"/>
  <c r="CB11" i="16" s="1"/>
  <c r="CK11" i="16" s="1"/>
  <c r="V12" i="16"/>
  <c r="CC12" i="16" s="1"/>
  <c r="CL12" i="16" s="1"/>
  <c r="W13" i="16"/>
  <c r="CD13" i="16" s="1"/>
  <c r="CM13" i="16" s="1"/>
  <c r="V11" i="16"/>
  <c r="CC11" i="16" s="1"/>
  <c r="W12" i="16"/>
  <c r="CD12" i="16" s="1"/>
  <c r="U10" i="16"/>
  <c r="CB10" i="16" s="1"/>
  <c r="T9" i="16"/>
  <c r="CA9" i="16" s="1"/>
  <c r="W18" i="16"/>
  <c r="CD18" i="16" s="1"/>
  <c r="CM18" i="16" s="1"/>
  <c r="S14" i="16"/>
  <c r="BZ14" i="16" s="1"/>
  <c r="CI14" i="16" s="1"/>
  <c r="T15" i="16"/>
  <c r="CA15" i="16" s="1"/>
  <c r="CJ15" i="16" s="1"/>
  <c r="V17" i="16"/>
  <c r="CC17" i="16" s="1"/>
  <c r="U16" i="16"/>
  <c r="CB16" i="16" s="1"/>
  <c r="CK16" i="16" s="1"/>
  <c r="U14" i="16"/>
  <c r="CB14" i="16" s="1"/>
  <c r="CK14" i="16" s="1"/>
  <c r="V15" i="16"/>
  <c r="CC15" i="16" s="1"/>
  <c r="CL15" i="16" s="1"/>
  <c r="W16" i="16"/>
  <c r="T13" i="16"/>
  <c r="CA13" i="16" s="1"/>
  <c r="CJ13" i="16" s="1"/>
  <c r="S12" i="16"/>
  <c r="BZ12" i="16" s="1"/>
  <c r="CI12" i="16" s="1"/>
  <c r="W14" i="16"/>
  <c r="CD14" i="16" s="1"/>
  <c r="CM14" i="16" s="1"/>
  <c r="U12" i="16"/>
  <c r="CB12" i="16" s="1"/>
  <c r="CK12" i="16" s="1"/>
  <c r="V13" i="16"/>
  <c r="CC13" i="16" s="1"/>
  <c r="CL13" i="16" s="1"/>
  <c r="S10" i="16"/>
  <c r="U24" i="16"/>
  <c r="S22" i="16"/>
  <c r="BZ22" i="16" s="1"/>
  <c r="CI22" i="16" s="1"/>
  <c r="T23" i="16"/>
  <c r="CA23" i="16" s="1"/>
  <c r="CJ23" i="16" s="1"/>
  <c r="T14" i="16"/>
  <c r="CA14" i="16" s="1"/>
  <c r="CJ14" i="16" s="1"/>
  <c r="U15" i="16"/>
  <c r="CB15" i="16" s="1"/>
  <c r="CK15" i="16" s="1"/>
  <c r="W17" i="16"/>
  <c r="CD17" i="16" s="1"/>
  <c r="S13" i="16"/>
  <c r="BZ13" i="16" s="1"/>
  <c r="CI13" i="16" s="1"/>
  <c r="V16" i="16"/>
  <c r="CC16" i="16" s="1"/>
  <c r="CL16" i="16" s="1"/>
  <c r="V18" i="16"/>
  <c r="CC18" i="16" s="1"/>
  <c r="CL18" i="16" s="1"/>
  <c r="U17" i="16"/>
  <c r="CB17" i="16" s="1"/>
  <c r="W19" i="16"/>
  <c r="CD19" i="16" s="1"/>
  <c r="CM19" i="16" s="1"/>
  <c r="S15" i="16"/>
  <c r="BZ15" i="16" s="1"/>
  <c r="CI15" i="16" s="1"/>
  <c r="T16" i="16"/>
  <c r="CA16" i="16" s="1"/>
  <c r="CJ16" i="16" s="1"/>
  <c r="W15" i="16"/>
  <c r="CD15" i="16" s="1"/>
  <c r="CM15" i="16" s="1"/>
  <c r="V14" i="16"/>
  <c r="CC14" i="16" s="1"/>
  <c r="CL14" i="16" s="1"/>
  <c r="U13" i="16"/>
  <c r="CB13" i="16" s="1"/>
  <c r="CK13" i="16" s="1"/>
  <c r="S11" i="16"/>
  <c r="S23" i="16"/>
  <c r="BZ23" i="16" s="1"/>
  <c r="CI23" i="16" s="1"/>
  <c r="T24" i="16"/>
  <c r="H26" i="32" s="1"/>
  <c r="U20" i="16"/>
  <c r="CB20" i="16" s="1"/>
  <c r="CK20" i="16" s="1"/>
  <c r="V21" i="16"/>
  <c r="S18" i="16"/>
  <c r="Z18" i="16" s="1"/>
  <c r="W22" i="16"/>
  <c r="CD22" i="16" s="1"/>
  <c r="CM22" i="16" s="1"/>
  <c r="T19" i="16"/>
  <c r="U19" i="16"/>
  <c r="CB19" i="16" s="1"/>
  <c r="CK19" i="16" s="1"/>
  <c r="V20" i="16"/>
  <c r="CC20" i="16" s="1"/>
  <c r="CL20" i="16" s="1"/>
  <c r="W21" i="16"/>
  <c r="CD21" i="16" s="1"/>
  <c r="CM21" i="16" s="1"/>
  <c r="S17" i="16"/>
  <c r="BZ17" i="16" s="1"/>
  <c r="T18" i="16"/>
  <c r="CA18" i="16" s="1"/>
  <c r="CJ18" i="16" s="1"/>
  <c r="W23" i="16"/>
  <c r="CD23" i="16" s="1"/>
  <c r="CM23" i="16" s="1"/>
  <c r="V22" i="16"/>
  <c r="CC22" i="16" s="1"/>
  <c r="CL22" i="16" s="1"/>
  <c r="T20" i="16"/>
  <c r="CA20" i="16" s="1"/>
  <c r="CJ20" i="16" s="1"/>
  <c r="U21" i="16"/>
  <c r="CB21" i="16" s="1"/>
  <c r="CK21" i="16" s="1"/>
  <c r="S19" i="16"/>
  <c r="BZ19" i="16" s="1"/>
  <c r="CI19" i="16" s="1"/>
  <c r="O12" i="7"/>
  <c r="O14" i="8" s="1"/>
  <c r="W26" i="28"/>
  <c r="W35" i="28"/>
  <c r="P12" i="7"/>
  <c r="P14" i="8" s="1"/>
  <c r="R29" i="7"/>
  <c r="S31" i="8" s="1"/>
  <c r="K7" i="7"/>
  <c r="K9" i="8" s="1"/>
  <c r="B82" i="26"/>
  <c r="BB61" i="35"/>
  <c r="BB78" i="35"/>
  <c r="BB33" i="35"/>
  <c r="Q29" i="7"/>
  <c r="R31" i="8" s="1"/>
  <c r="O26" i="7"/>
  <c r="O28" i="8" s="1"/>
  <c r="BB86" i="35"/>
  <c r="BB41" i="35"/>
  <c r="I24" i="16"/>
  <c r="N24" i="16" s="1"/>
  <c r="N28" i="16" s="1"/>
  <c r="D15" i="7"/>
  <c r="B17" i="8" s="1"/>
  <c r="D12" i="7"/>
  <c r="B14" i="8" s="1"/>
  <c r="D14" i="8" s="1"/>
  <c r="D33" i="7"/>
  <c r="Q16" i="7"/>
  <c r="R18" i="8" s="1"/>
  <c r="K29" i="7"/>
  <c r="K31" i="8" s="1"/>
  <c r="C10" i="7"/>
  <c r="BB82" i="35"/>
  <c r="BB37" i="35"/>
  <c r="W33" i="28"/>
  <c r="I10" i="7"/>
  <c r="I12" i="8" s="1"/>
  <c r="N9" i="7"/>
  <c r="K11" i="9" s="1"/>
  <c r="L11" i="9" s="1"/>
  <c r="M11" i="9" s="1"/>
  <c r="J7" i="7"/>
  <c r="D7" i="36" s="1"/>
  <c r="N6" i="7"/>
  <c r="O133" i="24"/>
  <c r="C24" i="21" s="1"/>
  <c r="I31" i="14"/>
  <c r="J31" i="14" s="1"/>
  <c r="Q15" i="14"/>
  <c r="AA35" i="14"/>
  <c r="AB35" i="14" s="1"/>
  <c r="AA93" i="14"/>
  <c r="AB93" i="14" s="1"/>
  <c r="AA45" i="14"/>
  <c r="AB45" i="14" s="1"/>
  <c r="I38" i="14"/>
  <c r="J38" i="14" s="1"/>
  <c r="AA67" i="14"/>
  <c r="AB67" i="14" s="1"/>
  <c r="AA89" i="14"/>
  <c r="AB89" i="14" s="1"/>
  <c r="AA39" i="14"/>
  <c r="AB39" i="14" s="1"/>
  <c r="AA65" i="14"/>
  <c r="AB65" i="14" s="1"/>
  <c r="AA48" i="14"/>
  <c r="AB48" i="14" s="1"/>
  <c r="AA95" i="14"/>
  <c r="AB95" i="14" s="1"/>
  <c r="I19" i="14"/>
  <c r="J19" i="14" s="1"/>
  <c r="I43" i="14"/>
  <c r="J43" i="14" s="1"/>
  <c r="I12" i="14"/>
  <c r="J12" i="14" s="1"/>
  <c r="I36" i="14"/>
  <c r="J36" i="14" s="1"/>
  <c r="I34" i="14"/>
  <c r="J34" i="14" s="1"/>
  <c r="AA27" i="14"/>
  <c r="AB27" i="14" s="1"/>
  <c r="AA96" i="14"/>
  <c r="AB96" i="14" s="1"/>
  <c r="AA13" i="14"/>
  <c r="AB13" i="14" s="1"/>
  <c r="AA51" i="14"/>
  <c r="AB51" i="14" s="1"/>
  <c r="AA85" i="14"/>
  <c r="AB85" i="14" s="1"/>
  <c r="AA55" i="14"/>
  <c r="AB55" i="14" s="1"/>
  <c r="I39" i="14"/>
  <c r="J39" i="14" s="1"/>
  <c r="AA41" i="14"/>
  <c r="AB41" i="14" s="1"/>
  <c r="AA10" i="14"/>
  <c r="AB10" i="14" s="1"/>
  <c r="AA12" i="14"/>
  <c r="AB12" i="14" s="1"/>
  <c r="I30" i="14"/>
  <c r="J30" i="14" s="1"/>
  <c r="I8" i="14"/>
  <c r="J8" i="14" s="1"/>
  <c r="AA80" i="14"/>
  <c r="AB80" i="14" s="1"/>
  <c r="AA16" i="14"/>
  <c r="AB16" i="14" s="1"/>
  <c r="AA94" i="14"/>
  <c r="AB94" i="14" s="1"/>
  <c r="AA79" i="14"/>
  <c r="AB79" i="14" s="1"/>
  <c r="AA60" i="14"/>
  <c r="AB60" i="14" s="1"/>
  <c r="AA20" i="14"/>
  <c r="AB20" i="14" s="1"/>
  <c r="AA83" i="14"/>
  <c r="AB83" i="14" s="1"/>
  <c r="AA46" i="14"/>
  <c r="AB46" i="14" s="1"/>
  <c r="AA71" i="14"/>
  <c r="AB71" i="14" s="1"/>
  <c r="I9" i="14"/>
  <c r="J9" i="14" s="1"/>
  <c r="AA50" i="14"/>
  <c r="AB50" i="14" s="1"/>
  <c r="AA28" i="14"/>
  <c r="AB28" i="14" s="1"/>
  <c r="I45" i="14"/>
  <c r="J45" i="14" s="1"/>
  <c r="AA21" i="14"/>
  <c r="AB21" i="14" s="1"/>
  <c r="AA31" i="14"/>
  <c r="AB31" i="14" s="1"/>
  <c r="I10" i="14"/>
  <c r="J10" i="14" s="1"/>
  <c r="AA25" i="14"/>
  <c r="AB25" i="14" s="1"/>
  <c r="AA37" i="14"/>
  <c r="AB37" i="14" s="1"/>
  <c r="AA7" i="14"/>
  <c r="AB7" i="14" s="1"/>
  <c r="I32" i="14"/>
  <c r="J32" i="14" s="1"/>
  <c r="P24" i="16"/>
  <c r="J24" i="16"/>
  <c r="J28" i="16" s="1"/>
  <c r="AB80" i="35"/>
  <c r="AB69" i="35"/>
  <c r="AB82" i="35"/>
  <c r="AB64" i="35"/>
  <c r="R33" i="7"/>
  <c r="S35" i="8" s="1"/>
  <c r="S29" i="7"/>
  <c r="T31" i="8" s="1"/>
  <c r="AD41" i="14"/>
  <c r="AE41" i="14" s="1"/>
  <c r="B117" i="26"/>
  <c r="W42" i="28"/>
  <c r="F32" i="7"/>
  <c r="E34" i="8" s="1"/>
  <c r="F30" i="7"/>
  <c r="E32" i="8" s="1"/>
  <c r="W28" i="28"/>
  <c r="W38" i="28"/>
  <c r="O34" i="7"/>
  <c r="O36" i="8" s="1"/>
  <c r="W37" i="28"/>
  <c r="AB86" i="35"/>
  <c r="X18" i="16"/>
  <c r="T10" i="16"/>
  <c r="CA10" i="16" s="1"/>
  <c r="CJ10" i="16" s="1"/>
  <c r="I29" i="7"/>
  <c r="I31" i="8" s="1"/>
  <c r="P28" i="7"/>
  <c r="P30" i="8" s="1"/>
  <c r="J38" i="7"/>
  <c r="D38" i="36" s="1"/>
  <c r="P9" i="7"/>
  <c r="P11" i="8" s="1"/>
  <c r="I18" i="7"/>
  <c r="I20" i="8" s="1"/>
  <c r="J18" i="7"/>
  <c r="D18" i="36" s="1"/>
  <c r="Q11" i="7"/>
  <c r="R13" i="8" s="1"/>
  <c r="O117" i="24"/>
  <c r="Q16" i="14"/>
  <c r="I7" i="14"/>
  <c r="AA32" i="14"/>
  <c r="AB32" i="14" s="1"/>
  <c r="AA44" i="14"/>
  <c r="AB44" i="14" s="1"/>
  <c r="AA61" i="14"/>
  <c r="AB61" i="14" s="1"/>
  <c r="AA77" i="14"/>
  <c r="AB77" i="14" s="1"/>
  <c r="AA82" i="14"/>
  <c r="AB82" i="14" s="1"/>
  <c r="AA92" i="14"/>
  <c r="AB92" i="14" s="1"/>
  <c r="O124" i="24"/>
  <c r="C15" i="21" s="1"/>
  <c r="I20" i="14"/>
  <c r="J20" i="14" s="1"/>
  <c r="W19" i="28"/>
  <c r="S25" i="7"/>
  <c r="T27" i="8" s="1"/>
  <c r="W9" i="28"/>
  <c r="D9" i="7"/>
  <c r="G8" i="7"/>
  <c r="C8" i="36" s="1"/>
  <c r="I26" i="14"/>
  <c r="J26" i="14" s="1"/>
  <c r="I44" i="14"/>
  <c r="J44" i="14" s="1"/>
  <c r="O13" i="7"/>
  <c r="O15" i="8" s="1"/>
  <c r="Q12" i="7"/>
  <c r="R14" i="8" s="1"/>
  <c r="G15" i="7"/>
  <c r="C15" i="36" s="1"/>
  <c r="M13" i="7"/>
  <c r="M15" i="8" s="1"/>
  <c r="N34" i="7"/>
  <c r="K36" i="9" s="1"/>
  <c r="L36" i="9" s="1"/>
  <c r="M36" i="9" s="1"/>
  <c r="D37" i="7"/>
  <c r="E37" i="7"/>
  <c r="C39" i="8" s="1"/>
  <c r="N30" i="7"/>
  <c r="K32" i="9" s="1"/>
  <c r="L32" i="9" s="1"/>
  <c r="M32" i="9" s="1"/>
  <c r="I31" i="7"/>
  <c r="I33" i="8" s="1"/>
  <c r="H28" i="16"/>
  <c r="M28" i="7"/>
  <c r="M30" i="8" s="1"/>
  <c r="B120" i="26"/>
  <c r="S122" i="24"/>
  <c r="J10" i="7"/>
  <c r="D10" i="36" s="1"/>
  <c r="I41" i="14"/>
  <c r="J41" i="14" s="1"/>
  <c r="M10" i="7"/>
  <c r="M12" i="8" s="1"/>
  <c r="M17" i="7"/>
  <c r="M19" i="8" s="1"/>
  <c r="K18" i="7"/>
  <c r="K20" i="8" s="1"/>
  <c r="E15" i="7"/>
  <c r="C17" i="8" s="1"/>
  <c r="AA23" i="14"/>
  <c r="AB23" i="14" s="1"/>
  <c r="AA22" i="14"/>
  <c r="AB22" i="14" s="1"/>
  <c r="AA15" i="14"/>
  <c r="AB15" i="14" s="1"/>
  <c r="AA81" i="14"/>
  <c r="AB81" i="14" s="1"/>
  <c r="AA24" i="14"/>
  <c r="AB24" i="14" s="1"/>
  <c r="AA74" i="14"/>
  <c r="AB74" i="14" s="1"/>
  <c r="AA36" i="14"/>
  <c r="AB36" i="14" s="1"/>
  <c r="AA17" i="14"/>
  <c r="AB17" i="14" s="1"/>
  <c r="AA76" i="14"/>
  <c r="AB76" i="14" s="1"/>
  <c r="AA70" i="14"/>
  <c r="AB70" i="14" s="1"/>
  <c r="AA86" i="14"/>
  <c r="AB86" i="14" s="1"/>
  <c r="AA91" i="14"/>
  <c r="AB91" i="14" s="1"/>
  <c r="AA40" i="14"/>
  <c r="AB40" i="14" s="1"/>
  <c r="I35" i="14"/>
  <c r="J35" i="14" s="1"/>
  <c r="S6" i="7"/>
  <c r="K8" i="7"/>
  <c r="K10" i="8" s="1"/>
  <c r="C11" i="7"/>
  <c r="P7" i="7"/>
  <c r="P9" i="8" s="1"/>
  <c r="G9" i="7"/>
  <c r="C9" i="36" s="1"/>
  <c r="R6" i="7"/>
  <c r="I8" i="7"/>
  <c r="I10" i="8" s="1"/>
  <c r="F9" i="7"/>
  <c r="E11" i="8" s="1"/>
  <c r="Q6" i="7"/>
  <c r="E10" i="7"/>
  <c r="C12" i="8" s="1"/>
  <c r="O7" i="7"/>
  <c r="O9" i="8" s="1"/>
  <c r="D10" i="7"/>
  <c r="B12" i="8" s="1"/>
  <c r="J8" i="7"/>
  <c r="D8" i="36" s="1"/>
  <c r="N7" i="7"/>
  <c r="K9" i="9" s="1"/>
  <c r="L9" i="9" s="1"/>
  <c r="M9" i="9" s="1"/>
  <c r="M7" i="7"/>
  <c r="M9" i="8" s="1"/>
  <c r="H9" i="7"/>
  <c r="G11" i="8" s="1"/>
  <c r="O120" i="24"/>
  <c r="C11" i="21" s="1"/>
  <c r="W14" i="28"/>
  <c r="I15" i="14"/>
  <c r="J15" i="14" s="1"/>
  <c r="K27" i="7"/>
  <c r="K29" i="8" s="1"/>
  <c r="M9" i="25"/>
  <c r="F8" i="7"/>
  <c r="M6" i="7"/>
  <c r="O6" i="7"/>
  <c r="I22" i="14"/>
  <c r="J22" i="14" s="1"/>
  <c r="M34" i="7"/>
  <c r="M36" i="8" s="1"/>
  <c r="M28" i="25"/>
  <c r="E13" i="7"/>
  <c r="C15" i="8" s="1"/>
  <c r="B124" i="26"/>
  <c r="S126" i="24"/>
  <c r="B6" i="26"/>
  <c r="H28" i="7"/>
  <c r="G30" i="8" s="1"/>
  <c r="H8" i="7"/>
  <c r="G10" i="8" s="1"/>
  <c r="S33" i="7"/>
  <c r="T35" i="8" s="1"/>
  <c r="X17" i="16"/>
  <c r="S8" i="16"/>
  <c r="W13" i="28"/>
  <c r="W29" i="28"/>
  <c r="K31" i="7"/>
  <c r="K33" i="8" s="1"/>
  <c r="O107" i="24"/>
  <c r="B105" i="26" s="1"/>
  <c r="Q25" i="7"/>
  <c r="R27" i="8" s="1"/>
  <c r="W30" i="28"/>
  <c r="W36" i="28"/>
  <c r="B121" i="26"/>
  <c r="I37" i="14"/>
  <c r="J37" i="14" s="1"/>
  <c r="Q33" i="7"/>
  <c r="R35" i="8" s="1"/>
  <c r="K35" i="7"/>
  <c r="K37" i="8" s="1"/>
  <c r="J31" i="7"/>
  <c r="D31" i="36" s="1"/>
  <c r="F34" i="8"/>
  <c r="E33" i="7"/>
  <c r="C35" i="8" s="1"/>
  <c r="C7" i="6"/>
  <c r="I42" i="14"/>
  <c r="J42" i="14" s="1"/>
  <c r="I43" i="25"/>
  <c r="H30" i="7"/>
  <c r="G32" i="8" s="1"/>
  <c r="S22" i="7"/>
  <c r="T24" i="8" s="1"/>
  <c r="K24" i="7"/>
  <c r="K26" i="8" s="1"/>
  <c r="C27" i="7"/>
  <c r="P23" i="7"/>
  <c r="P25" i="8" s="1"/>
  <c r="G25" i="7"/>
  <c r="C25" i="36" s="1"/>
  <c r="O23" i="7"/>
  <c r="O25" i="8" s="1"/>
  <c r="F25" i="7"/>
  <c r="E27" i="8" s="1"/>
  <c r="N23" i="7"/>
  <c r="K25" i="9" s="1"/>
  <c r="L25" i="9" s="1"/>
  <c r="M25" i="9" s="1"/>
  <c r="E26" i="7"/>
  <c r="C28" i="8" s="1"/>
  <c r="R22" i="7"/>
  <c r="S24" i="8" s="1"/>
  <c r="I24" i="7"/>
  <c r="I26" i="8" s="1"/>
  <c r="M23" i="7"/>
  <c r="M25" i="8" s="1"/>
  <c r="J24" i="7"/>
  <c r="D24" i="36" s="1"/>
  <c r="Q22" i="7"/>
  <c r="R24" i="8" s="1"/>
  <c r="H25" i="7"/>
  <c r="G27" i="8" s="1"/>
  <c r="D26" i="7"/>
  <c r="B28" i="8" s="1"/>
  <c r="R9" i="7"/>
  <c r="S11" i="8" s="1"/>
  <c r="O10" i="7"/>
  <c r="O12" i="8" s="1"/>
  <c r="W15" i="28"/>
  <c r="J13" i="7"/>
  <c r="D13" i="36" s="1"/>
  <c r="AA58" i="14"/>
  <c r="AB58" i="14" s="1"/>
  <c r="AA43" i="14"/>
  <c r="AB43" i="14" s="1"/>
  <c r="AA18" i="14"/>
  <c r="AB18" i="14" s="1"/>
  <c r="AA72" i="14"/>
  <c r="AB72" i="14" s="1"/>
  <c r="H32" i="14"/>
  <c r="AA88" i="14"/>
  <c r="AB88" i="14" s="1"/>
  <c r="H39" i="14"/>
  <c r="AA57" i="14"/>
  <c r="AB57" i="14" s="1"/>
  <c r="AA38" i="14"/>
  <c r="AB38" i="14" s="1"/>
  <c r="AA9" i="14"/>
  <c r="AB9" i="14" s="1"/>
  <c r="AA54" i="14"/>
  <c r="AB54" i="14" s="1"/>
  <c r="AA59" i="14"/>
  <c r="AB59" i="14" s="1"/>
  <c r="AA69" i="14"/>
  <c r="AB69" i="14" s="1"/>
  <c r="I13" i="14"/>
  <c r="J13" i="14" s="1"/>
  <c r="H13" i="14"/>
  <c r="O109" i="24"/>
  <c r="B107" i="26" s="1"/>
  <c r="D107" i="26" s="1"/>
  <c r="N52" i="25"/>
  <c r="C30" i="7"/>
  <c r="I27" i="7"/>
  <c r="I29" i="8" s="1"/>
  <c r="H37" i="14"/>
  <c r="I24" i="14"/>
  <c r="J24" i="14" s="1"/>
  <c r="P34" i="7"/>
  <c r="P36" i="8" s="1"/>
  <c r="J30" i="7"/>
  <c r="D30" i="36" s="1"/>
  <c r="S14" i="7"/>
  <c r="T16" i="8" s="1"/>
  <c r="K16" i="7"/>
  <c r="K18" i="8" s="1"/>
  <c r="C19" i="7"/>
  <c r="N15" i="7"/>
  <c r="K17" i="9" s="1"/>
  <c r="L17" i="9" s="1"/>
  <c r="M17" i="9" s="1"/>
  <c r="E18" i="7"/>
  <c r="C20" i="8" s="1"/>
  <c r="Q14" i="7"/>
  <c r="R16" i="8" s="1"/>
  <c r="F17" i="7"/>
  <c r="E19" i="8" s="1"/>
  <c r="P15" i="7"/>
  <c r="P17" i="8" s="1"/>
  <c r="D18" i="7"/>
  <c r="B20" i="8" s="1"/>
  <c r="O15" i="7"/>
  <c r="O17" i="8" s="1"/>
  <c r="H17" i="7"/>
  <c r="G19" i="8" s="1"/>
  <c r="I16" i="7"/>
  <c r="I18" i="8" s="1"/>
  <c r="G17" i="7"/>
  <c r="C17" i="36" s="1"/>
  <c r="M15" i="7"/>
  <c r="M17" i="8" s="1"/>
  <c r="R14" i="7"/>
  <c r="S16" i="8" s="1"/>
  <c r="J16" i="7"/>
  <c r="D16" i="36" s="1"/>
  <c r="O128" i="24"/>
  <c r="M36" i="7"/>
  <c r="I37" i="7"/>
  <c r="H38" i="7"/>
  <c r="R35" i="7"/>
  <c r="F38" i="7"/>
  <c r="W21" i="28"/>
  <c r="O134" i="24"/>
  <c r="D29" i="7"/>
  <c r="B31" i="8" s="1"/>
  <c r="D31" i="8" s="1"/>
  <c r="W34" i="28"/>
  <c r="B30" i="7"/>
  <c r="X24" i="16"/>
  <c r="G11" i="7"/>
  <c r="C11" i="36" s="1"/>
  <c r="J34" i="7"/>
  <c r="D34" i="36" s="1"/>
  <c r="H31" i="14"/>
  <c r="D23" i="7"/>
  <c r="B25" i="8" s="1"/>
  <c r="X21" i="16"/>
  <c r="CE21" i="16" s="1"/>
  <c r="CN21" i="16" s="1"/>
  <c r="W16" i="28"/>
  <c r="W25" i="28"/>
  <c r="P6" i="7"/>
  <c r="W39" i="28"/>
  <c r="G36" i="7"/>
  <c r="C36" i="36" s="1"/>
  <c r="O30" i="7"/>
  <c r="O32" i="8" s="1"/>
  <c r="M30" i="7"/>
  <c r="M32" i="8" s="1"/>
  <c r="W43" i="28"/>
  <c r="X20" i="16"/>
  <c r="CE20" i="16" s="1"/>
  <c r="CN20" i="16" s="1"/>
  <c r="T12" i="16"/>
  <c r="CA12" i="16" s="1"/>
  <c r="CJ12" i="16" s="1"/>
  <c r="X19" i="16"/>
  <c r="CE19" i="16" s="1"/>
  <c r="CN19" i="16" s="1"/>
  <c r="M32" i="7"/>
  <c r="M34" i="8" s="1"/>
  <c r="K33" i="7"/>
  <c r="K35" i="8" s="1"/>
  <c r="D31" i="7"/>
  <c r="B33" i="8" s="1"/>
  <c r="D33" i="8" s="1"/>
  <c r="R27" i="7"/>
  <c r="S29" i="8" s="1"/>
  <c r="I21" i="14"/>
  <c r="J21" i="14" s="1"/>
  <c r="K10" i="7"/>
  <c r="K12" i="8" s="1"/>
  <c r="S10" i="7"/>
  <c r="T12" i="8" s="1"/>
  <c r="K12" i="7"/>
  <c r="K14" i="8" s="1"/>
  <c r="C15" i="7"/>
  <c r="R10" i="7"/>
  <c r="S12" i="8" s="1"/>
  <c r="I12" i="7"/>
  <c r="I14" i="8" s="1"/>
  <c r="M11" i="7"/>
  <c r="M13" i="8" s="1"/>
  <c r="J12" i="7"/>
  <c r="D12" i="36" s="1"/>
  <c r="O11" i="7"/>
  <c r="O13" i="8" s="1"/>
  <c r="D14" i="7"/>
  <c r="B16" i="8" s="1"/>
  <c r="P11" i="7"/>
  <c r="P13" i="8" s="1"/>
  <c r="N11" i="7"/>
  <c r="K13" i="9" s="1"/>
  <c r="L13" i="9" s="1"/>
  <c r="M13" i="9" s="1"/>
  <c r="G13" i="7"/>
  <c r="C13" i="36" s="1"/>
  <c r="F13" i="7"/>
  <c r="E15" i="8" s="1"/>
  <c r="E14" i="7"/>
  <c r="C16" i="8" s="1"/>
  <c r="Q10" i="7"/>
  <c r="R12" i="8" s="1"/>
  <c r="B116" i="26"/>
  <c r="C14" i="7"/>
  <c r="D20" i="7"/>
  <c r="B22" i="8" s="1"/>
  <c r="I18" i="14"/>
  <c r="J18" i="14" s="1"/>
  <c r="S11" i="7"/>
  <c r="T13" i="8" s="1"/>
  <c r="W17" i="28"/>
  <c r="AA29" i="14"/>
  <c r="AB29" i="14" s="1"/>
  <c r="AA53" i="14"/>
  <c r="AB53" i="14" s="1"/>
  <c r="H21" i="14"/>
  <c r="AA90" i="14"/>
  <c r="AB90" i="14" s="1"/>
  <c r="AA62" i="14"/>
  <c r="AB62" i="14" s="1"/>
  <c r="AA19" i="14"/>
  <c r="AB19" i="14" s="1"/>
  <c r="AA97" i="14"/>
  <c r="AB97" i="14" s="1"/>
  <c r="H44" i="14"/>
  <c r="H19" i="14"/>
  <c r="AA66" i="14"/>
  <c r="AB66" i="14" s="1"/>
  <c r="AA14" i="14"/>
  <c r="AB14" i="14" s="1"/>
  <c r="AA47" i="14"/>
  <c r="AB47" i="14" s="1"/>
  <c r="AA63" i="14"/>
  <c r="AB63" i="14" s="1"/>
  <c r="AA64" i="14"/>
  <c r="AB64" i="14" s="1"/>
  <c r="AA78" i="14"/>
  <c r="AB78" i="14" s="1"/>
  <c r="I33" i="14"/>
  <c r="J33" i="14" s="1"/>
  <c r="X23" i="16"/>
  <c r="CE23" i="16" s="1"/>
  <c r="CN23" i="16" s="1"/>
  <c r="G52" i="25"/>
  <c r="I28" i="14"/>
  <c r="J28" i="14" s="1"/>
  <c r="R25" i="7"/>
  <c r="S27" i="8" s="1"/>
  <c r="I40" i="14"/>
  <c r="J40" i="14" s="1"/>
  <c r="E9" i="7"/>
  <c r="C11" i="8" s="1"/>
  <c r="I7" i="7"/>
  <c r="AB70" i="35"/>
  <c r="N19" i="8"/>
  <c r="O22" i="7"/>
  <c r="O24" i="8" s="1"/>
  <c r="G24" i="7"/>
  <c r="C24" i="36" s="1"/>
  <c r="R21" i="7"/>
  <c r="S23" i="8" s="1"/>
  <c r="I23" i="7"/>
  <c r="I25" i="8" s="1"/>
  <c r="Q21" i="7"/>
  <c r="R23" i="8" s="1"/>
  <c r="H24" i="7"/>
  <c r="G26" i="8" s="1"/>
  <c r="P22" i="7"/>
  <c r="P24" i="8" s="1"/>
  <c r="F24" i="7"/>
  <c r="E26" i="8" s="1"/>
  <c r="K23" i="7"/>
  <c r="K25" i="8" s="1"/>
  <c r="N22" i="7"/>
  <c r="K24" i="9" s="1"/>
  <c r="L24" i="9" s="1"/>
  <c r="M24" i="9" s="1"/>
  <c r="M22" i="7"/>
  <c r="M24" i="8" s="1"/>
  <c r="C26" i="7"/>
  <c r="D25" i="7"/>
  <c r="B27" i="8" s="1"/>
  <c r="J23" i="7"/>
  <c r="D23" i="36" s="1"/>
  <c r="S21" i="7"/>
  <c r="T23" i="8" s="1"/>
  <c r="E25" i="7"/>
  <c r="C27" i="8" s="1"/>
  <c r="S27" i="7"/>
  <c r="T29" i="8" s="1"/>
  <c r="M18" i="7"/>
  <c r="M20" i="8" s="1"/>
  <c r="H12" i="14"/>
  <c r="J26" i="7"/>
  <c r="D26" i="36" s="1"/>
  <c r="P26" i="7"/>
  <c r="P28" i="8" s="1"/>
  <c r="G28" i="7"/>
  <c r="C28" i="36" s="1"/>
  <c r="W27" i="28"/>
  <c r="B125" i="26"/>
  <c r="Q27" i="7"/>
  <c r="R29" i="8" s="1"/>
  <c r="E21" i="7"/>
  <c r="C23" i="8" s="1"/>
  <c r="G12" i="7"/>
  <c r="C12" i="36" s="1"/>
  <c r="F21" i="8"/>
  <c r="H21" i="8" s="1"/>
  <c r="G50" i="25"/>
  <c r="O20" i="7"/>
  <c r="O22" i="8" s="1"/>
  <c r="N51" i="25"/>
  <c r="I15" i="2"/>
  <c r="I25" i="2" s="1"/>
  <c r="W41" i="28"/>
  <c r="W31" i="28"/>
  <c r="W32" i="28"/>
  <c r="W40" i="28"/>
  <c r="J25" i="25"/>
  <c r="R25" i="25" s="1"/>
  <c r="B23" i="28" s="1"/>
  <c r="H36" i="7"/>
  <c r="G38" i="8" s="1"/>
  <c r="F36" i="7"/>
  <c r="E38" i="8" s="1"/>
  <c r="P30" i="7"/>
  <c r="P32" i="8" s="1"/>
  <c r="H32" i="7"/>
  <c r="G34" i="8" s="1"/>
  <c r="I25" i="14"/>
  <c r="J25" i="14" s="1"/>
  <c r="J29" i="7"/>
  <c r="D29" i="36" s="1"/>
  <c r="F32" i="8"/>
  <c r="B128" i="26"/>
  <c r="S130" i="24"/>
  <c r="I11" i="7"/>
  <c r="I13" i="8" s="1"/>
  <c r="S9" i="7"/>
  <c r="T11" i="8" s="1"/>
  <c r="E20" i="7"/>
  <c r="C22" i="8" s="1"/>
  <c r="O112" i="24"/>
  <c r="B110" i="26" s="1"/>
  <c r="D110" i="26" s="1"/>
  <c r="H14" i="7"/>
  <c r="G16" i="8" s="1"/>
  <c r="AA33" i="14"/>
  <c r="AB33" i="14" s="1"/>
  <c r="AA49" i="14"/>
  <c r="AB49" i="14" s="1"/>
  <c r="AA8" i="14"/>
  <c r="AB8" i="14" s="1"/>
  <c r="AA11" i="14"/>
  <c r="AB11" i="14" s="1"/>
  <c r="AA56" i="14"/>
  <c r="AB56" i="14" s="1"/>
  <c r="AA26" i="14"/>
  <c r="AB26" i="14" s="1"/>
  <c r="AA75" i="14"/>
  <c r="AB75" i="14" s="1"/>
  <c r="AA42" i="14"/>
  <c r="AB42" i="14" s="1"/>
  <c r="AA52" i="14"/>
  <c r="AB52" i="14" s="1"/>
  <c r="AA68" i="14"/>
  <c r="AB68" i="14" s="1"/>
  <c r="AA73" i="14"/>
  <c r="AB73" i="14" s="1"/>
  <c r="AA87" i="14"/>
  <c r="AB87" i="14" s="1"/>
  <c r="T11" i="16"/>
  <c r="CA11" i="16" s="1"/>
  <c r="CJ11" i="16" s="1"/>
  <c r="O132" i="24"/>
  <c r="X22" i="16"/>
  <c r="CE22" i="16" s="1"/>
  <c r="CN22" i="16" s="1"/>
  <c r="I23" i="14"/>
  <c r="J23" i="14" s="1"/>
  <c r="W24" i="28"/>
  <c r="W11" i="28"/>
  <c r="W8" i="28"/>
  <c r="AB58" i="35"/>
  <c r="D119" i="26"/>
  <c r="W10" i="30" s="1"/>
  <c r="N26" i="7"/>
  <c r="K28" i="9" s="1"/>
  <c r="L28" i="9" s="1"/>
  <c r="J27" i="7"/>
  <c r="D27" i="36" s="1"/>
  <c r="AB78" i="35"/>
  <c r="I29" i="14"/>
  <c r="J29" i="14" s="1"/>
  <c r="I14" i="14"/>
  <c r="J14" i="14" s="1"/>
  <c r="I16" i="14"/>
  <c r="J16" i="14" s="1"/>
  <c r="U10" i="8" l="1"/>
  <c r="BB58" i="35"/>
  <c r="CE24" i="16"/>
  <c r="CN24" i="16" s="1"/>
  <c r="N13" i="7"/>
  <c r="K15" i="9" s="1"/>
  <c r="L15" i="9" s="1"/>
  <c r="M15" i="9" s="1"/>
  <c r="V11" i="31"/>
  <c r="J37" i="7"/>
  <c r="D37" i="36" s="1"/>
  <c r="C16" i="9"/>
  <c r="D16" i="9" s="1"/>
  <c r="E16" i="9" s="1"/>
  <c r="V8" i="31"/>
  <c r="O36" i="7"/>
  <c r="O38" i="8" s="1"/>
  <c r="F25" i="21"/>
  <c r="H25" i="21"/>
  <c r="C21" i="9"/>
  <c r="D21" i="9" s="1"/>
  <c r="E21" i="9" s="1"/>
  <c r="B44" i="6"/>
  <c r="B46" i="6" s="1"/>
  <c r="O135" i="24"/>
  <c r="C26" i="21" s="1"/>
  <c r="E39" i="7"/>
  <c r="C147" i="26"/>
  <c r="H15" i="7"/>
  <c r="G17" i="8" s="1"/>
  <c r="P25" i="16"/>
  <c r="Q25" i="16" s="1"/>
  <c r="J25" i="16"/>
  <c r="N14" i="8"/>
  <c r="Q14" i="8" s="1"/>
  <c r="AA13" i="16"/>
  <c r="AH13" i="16" s="1"/>
  <c r="AO13" i="16" s="1"/>
  <c r="S12" i="7"/>
  <c r="T14" i="8" s="1"/>
  <c r="N50" i="25"/>
  <c r="V7" i="31"/>
  <c r="F16" i="8"/>
  <c r="H16" i="8" s="1"/>
  <c r="N36" i="7"/>
  <c r="K38" i="9" s="1"/>
  <c r="L38" i="9" s="1"/>
  <c r="M38" i="9" s="1"/>
  <c r="D16" i="7"/>
  <c r="B18" i="8" s="1"/>
  <c r="BQ24" i="16"/>
  <c r="BU33" i="16" s="1"/>
  <c r="BU35" i="16" s="1"/>
  <c r="U21" i="31"/>
  <c r="F22" i="7"/>
  <c r="E24" i="8" s="1"/>
  <c r="C149" i="26"/>
  <c r="C142" i="26"/>
  <c r="T21" i="31"/>
  <c r="B21" i="32"/>
  <c r="D21" i="32" s="1"/>
  <c r="C145" i="26"/>
  <c r="C137" i="26"/>
  <c r="G22" i="7"/>
  <c r="C22" i="36" s="1"/>
  <c r="J37" i="8"/>
  <c r="L37" i="8" s="1"/>
  <c r="C148" i="26"/>
  <c r="V9" i="31"/>
  <c r="S23" i="28"/>
  <c r="R22" i="31" s="1"/>
  <c r="K23" i="28"/>
  <c r="J22" i="31" s="1"/>
  <c r="C23" i="28"/>
  <c r="B22" i="31" s="1"/>
  <c r="R23" i="28"/>
  <c r="Q22" i="31" s="1"/>
  <c r="J23" i="28"/>
  <c r="Q23" i="28"/>
  <c r="P22" i="31" s="1"/>
  <c r="I23" i="28"/>
  <c r="H22" i="31" s="1"/>
  <c r="V23" i="28"/>
  <c r="V19" i="7" s="1"/>
  <c r="N23" i="28"/>
  <c r="M22" i="31" s="1"/>
  <c r="F23" i="28"/>
  <c r="E22" i="31" s="1"/>
  <c r="T23" i="28"/>
  <c r="S22" i="31" s="1"/>
  <c r="D23" i="28"/>
  <c r="C22" i="31" s="1"/>
  <c r="P23" i="28"/>
  <c r="O22" i="31" s="1"/>
  <c r="M23" i="28"/>
  <c r="L22" i="31" s="1"/>
  <c r="O23" i="28"/>
  <c r="N22" i="31" s="1"/>
  <c r="L23" i="28"/>
  <c r="K22" i="31" s="1"/>
  <c r="H23" i="28"/>
  <c r="G22" i="31" s="1"/>
  <c r="G23" i="28"/>
  <c r="F22" i="31" s="1"/>
  <c r="E23" i="28"/>
  <c r="D22" i="31" s="1"/>
  <c r="U23" i="28"/>
  <c r="T22" i="31" s="1"/>
  <c r="C139" i="26"/>
  <c r="C24" i="7"/>
  <c r="C150" i="26"/>
  <c r="K21" i="31"/>
  <c r="C140" i="26"/>
  <c r="AB14" i="16"/>
  <c r="AI14" i="16" s="1"/>
  <c r="AP14" i="16" s="1"/>
  <c r="B14" i="32"/>
  <c r="E14" i="32" s="1"/>
  <c r="C141" i="26"/>
  <c r="N30" i="8"/>
  <c r="Q30" i="8" s="1"/>
  <c r="C138" i="26"/>
  <c r="V23" i="31"/>
  <c r="N16" i="32"/>
  <c r="P16" i="32" s="1"/>
  <c r="Z12" i="16"/>
  <c r="AG12" i="16" s="1"/>
  <c r="AN12" i="16" s="1"/>
  <c r="C146" i="26"/>
  <c r="BZ24" i="16"/>
  <c r="CI24" i="16" s="1"/>
  <c r="CD24" i="16"/>
  <c r="CM24" i="16" s="1"/>
  <c r="I22" i="31"/>
  <c r="S21" i="31"/>
  <c r="V16" i="31"/>
  <c r="V10" i="31"/>
  <c r="G37" i="9"/>
  <c r="H37" i="9" s="1"/>
  <c r="I37" i="9" s="1"/>
  <c r="U33" i="31"/>
  <c r="U15" i="30" s="1"/>
  <c r="V30" i="7"/>
  <c r="B24" i="21"/>
  <c r="G24" i="21"/>
  <c r="H24" i="21"/>
  <c r="E24" i="21"/>
  <c r="F24" i="21"/>
  <c r="E25" i="21"/>
  <c r="V34" i="7"/>
  <c r="U37" i="31"/>
  <c r="U19" i="30" s="1"/>
  <c r="L15" i="7"/>
  <c r="K15" i="31"/>
  <c r="S42" i="31"/>
  <c r="S24" i="30" s="1"/>
  <c r="T39" i="7"/>
  <c r="S25" i="31"/>
  <c r="S7" i="30" s="1"/>
  <c r="T22" i="7"/>
  <c r="V25" i="7"/>
  <c r="U28" i="31"/>
  <c r="U10" i="30" s="1"/>
  <c r="V38" i="31"/>
  <c r="B20" i="30"/>
  <c r="T14" i="31"/>
  <c r="U11" i="7"/>
  <c r="V11" i="7"/>
  <c r="U14" i="31"/>
  <c r="B22" i="21"/>
  <c r="B129" i="26"/>
  <c r="D129" i="26" s="1"/>
  <c r="W20" i="30" s="1"/>
  <c r="H22" i="21"/>
  <c r="E22" i="21"/>
  <c r="S131" i="24"/>
  <c r="G22" i="21"/>
  <c r="F22" i="21"/>
  <c r="L33" i="7"/>
  <c r="K33" i="31"/>
  <c r="K15" i="30" s="1"/>
  <c r="G33" i="31"/>
  <c r="G15" i="30" s="1"/>
  <c r="I28" i="16"/>
  <c r="B19" i="21"/>
  <c r="G19" i="21"/>
  <c r="H19" i="21"/>
  <c r="F19" i="21"/>
  <c r="E19" i="21"/>
  <c r="F15" i="7"/>
  <c r="E17" i="8" s="1"/>
  <c r="F15" i="21"/>
  <c r="B15" i="21"/>
  <c r="E15" i="21"/>
  <c r="G15" i="21"/>
  <c r="H15" i="21"/>
  <c r="T15" i="32"/>
  <c r="V15" i="32" s="1"/>
  <c r="G25" i="21"/>
  <c r="V19" i="31"/>
  <c r="B12" i="30"/>
  <c r="V30" i="31"/>
  <c r="B36" i="31"/>
  <c r="C39" i="7"/>
  <c r="S17" i="31"/>
  <c r="T14" i="7"/>
  <c r="S15" i="31"/>
  <c r="T12" i="7"/>
  <c r="T32" i="31"/>
  <c r="T14" i="30" s="1"/>
  <c r="U29" i="7"/>
  <c r="C35" i="7"/>
  <c r="B32" i="31"/>
  <c r="C45" i="7"/>
  <c r="B42" i="31"/>
  <c r="V26" i="31"/>
  <c r="L14" i="7"/>
  <c r="K14" i="31"/>
  <c r="S33" i="31"/>
  <c r="S15" i="30" s="1"/>
  <c r="T30" i="7"/>
  <c r="N33" i="31"/>
  <c r="N15" i="30" s="1"/>
  <c r="B23" i="21"/>
  <c r="H23" i="21"/>
  <c r="G23" i="21"/>
  <c r="F23" i="21"/>
  <c r="E23" i="21"/>
  <c r="K36" i="31"/>
  <c r="K18" i="30" s="1"/>
  <c r="L36" i="7"/>
  <c r="L17" i="7"/>
  <c r="K17" i="31"/>
  <c r="U41" i="31"/>
  <c r="U23" i="30" s="1"/>
  <c r="V38" i="7"/>
  <c r="C43" i="7"/>
  <c r="B40" i="31"/>
  <c r="F8" i="21"/>
  <c r="H8" i="21"/>
  <c r="G8" i="21"/>
  <c r="E8" i="21"/>
  <c r="B8" i="21"/>
  <c r="L37" i="7"/>
  <c r="K37" i="31"/>
  <c r="K19" i="30" s="1"/>
  <c r="T40" i="31"/>
  <c r="T22" i="30" s="1"/>
  <c r="U37" i="7"/>
  <c r="O33" i="31"/>
  <c r="O15" i="30" s="1"/>
  <c r="B25" i="21"/>
  <c r="T17" i="7"/>
  <c r="S20" i="31"/>
  <c r="T29" i="7"/>
  <c r="S32" i="31"/>
  <c r="S14" i="30" s="1"/>
  <c r="V31" i="31"/>
  <c r="B13" i="30"/>
  <c r="B17" i="30"/>
  <c r="V35" i="31"/>
  <c r="B10" i="30"/>
  <c r="T11" i="7"/>
  <c r="S14" i="31"/>
  <c r="Q33" i="31"/>
  <c r="Q15" i="30" s="1"/>
  <c r="P36" i="7"/>
  <c r="D39" i="7"/>
  <c r="B41" i="8" s="1"/>
  <c r="R12" i="7"/>
  <c r="S14" i="8" s="1"/>
  <c r="K14" i="7"/>
  <c r="K16" i="8" s="1"/>
  <c r="C25" i="21"/>
  <c r="V18" i="31"/>
  <c r="T33" i="7"/>
  <c r="S36" i="31"/>
  <c r="S18" i="30" s="1"/>
  <c r="T25" i="31"/>
  <c r="T7" i="30" s="1"/>
  <c r="U22" i="7"/>
  <c r="V22" i="7"/>
  <c r="U25" i="31"/>
  <c r="U7" i="30" s="1"/>
  <c r="U30" i="7"/>
  <c r="T33" i="31"/>
  <c r="T15" i="30" s="1"/>
  <c r="D33" i="31"/>
  <c r="D15" i="30" s="1"/>
  <c r="C36" i="7"/>
  <c r="B33" i="31"/>
  <c r="E11" i="21"/>
  <c r="H11" i="21"/>
  <c r="G11" i="21"/>
  <c r="B11" i="21"/>
  <c r="F11" i="21"/>
  <c r="V34" i="31"/>
  <c r="B16" i="30"/>
  <c r="L32" i="7"/>
  <c r="K32" i="31"/>
  <c r="K14" i="30" s="1"/>
  <c r="T42" i="31"/>
  <c r="T24" i="30" s="1"/>
  <c r="U39" i="7"/>
  <c r="I33" i="31"/>
  <c r="AB84" i="35" s="1"/>
  <c r="P13" i="7"/>
  <c r="P15" i="8" s="1"/>
  <c r="V17" i="7"/>
  <c r="U20" i="31"/>
  <c r="K20" i="30"/>
  <c r="B7" i="30"/>
  <c r="P33" i="31"/>
  <c r="P15" i="30" s="1"/>
  <c r="C17" i="7"/>
  <c r="T17" i="31"/>
  <c r="U14" i="7"/>
  <c r="V12" i="7"/>
  <c r="U15" i="31"/>
  <c r="L41" i="7"/>
  <c r="K41" i="31"/>
  <c r="K23" i="30" s="1"/>
  <c r="V13" i="31"/>
  <c r="C33" i="31"/>
  <c r="C15" i="30" s="1"/>
  <c r="S35" i="7"/>
  <c r="T37" i="8" s="1"/>
  <c r="S20" i="30"/>
  <c r="C23" i="21"/>
  <c r="U17" i="7"/>
  <c r="T20" i="31"/>
  <c r="U20" i="30"/>
  <c r="T20" i="30"/>
  <c r="V24" i="31"/>
  <c r="C40" i="7"/>
  <c r="B37" i="31"/>
  <c r="U34" i="7"/>
  <c r="T37" i="31"/>
  <c r="T19" i="30" s="1"/>
  <c r="U12" i="7"/>
  <c r="T15" i="31"/>
  <c r="V12" i="31"/>
  <c r="V27" i="31"/>
  <c r="T38" i="7"/>
  <c r="S41" i="31"/>
  <c r="S23" i="30" s="1"/>
  <c r="V37" i="7"/>
  <c r="U40" i="31"/>
  <c r="U22" i="30" s="1"/>
  <c r="K25" i="31"/>
  <c r="K7" i="30" s="1"/>
  <c r="L25" i="7"/>
  <c r="T25" i="7"/>
  <c r="S28" i="31"/>
  <c r="S10" i="30" s="1"/>
  <c r="M33" i="31"/>
  <c r="M15" i="30" s="1"/>
  <c r="L33" i="31"/>
  <c r="L15" i="30" s="1"/>
  <c r="R33" i="31"/>
  <c r="R15" i="30" s="1"/>
  <c r="V29" i="31"/>
  <c r="B11" i="30"/>
  <c r="S40" i="6"/>
  <c r="O40" i="6"/>
  <c r="D40" i="6"/>
  <c r="G40" i="6"/>
  <c r="N40" i="6"/>
  <c r="M40" i="6"/>
  <c r="U40" i="6"/>
  <c r="L40" i="6"/>
  <c r="V40" i="6"/>
  <c r="J40" i="6"/>
  <c r="T40" i="6"/>
  <c r="F40" i="6"/>
  <c r="R40" i="6"/>
  <c r="E40" i="6"/>
  <c r="Q40" i="6"/>
  <c r="K40" i="6"/>
  <c r="P40" i="6"/>
  <c r="C40" i="6"/>
  <c r="H40" i="6"/>
  <c r="I40" i="6"/>
  <c r="S37" i="31"/>
  <c r="S19" i="30" s="1"/>
  <c r="T34" i="7"/>
  <c r="E33" i="31"/>
  <c r="E15" i="30" s="1"/>
  <c r="E16" i="7"/>
  <c r="C18" i="8" s="1"/>
  <c r="D18" i="8" s="1"/>
  <c r="C8" i="21"/>
  <c r="T36" i="31"/>
  <c r="T18" i="30" s="1"/>
  <c r="U33" i="7"/>
  <c r="L42" i="7"/>
  <c r="K42" i="31"/>
  <c r="K24" i="30" s="1"/>
  <c r="S40" i="31"/>
  <c r="S22" i="30" s="1"/>
  <c r="T37" i="7"/>
  <c r="L28" i="7"/>
  <c r="K28" i="31"/>
  <c r="K10" i="30" s="1"/>
  <c r="H33" i="31"/>
  <c r="H15" i="30" s="1"/>
  <c r="K37" i="7"/>
  <c r="K39" i="8" s="1"/>
  <c r="J14" i="7"/>
  <c r="D14" i="36" s="1"/>
  <c r="F14" i="36" s="1"/>
  <c r="I14" i="7"/>
  <c r="I16" i="8" s="1"/>
  <c r="U18" i="8"/>
  <c r="CA24" i="16"/>
  <c r="CJ24" i="16" s="1"/>
  <c r="C19" i="21"/>
  <c r="L20" i="7"/>
  <c r="K20" i="31"/>
  <c r="V33" i="7"/>
  <c r="U36" i="31"/>
  <c r="U18" i="30" s="1"/>
  <c r="V14" i="7"/>
  <c r="U17" i="31"/>
  <c r="V29" i="7"/>
  <c r="U32" i="31"/>
  <c r="U14" i="30" s="1"/>
  <c r="V39" i="7"/>
  <c r="U42" i="31"/>
  <c r="U24" i="30" s="1"/>
  <c r="C44" i="7"/>
  <c r="B41" i="31"/>
  <c r="U38" i="7"/>
  <c r="T41" i="31"/>
  <c r="T23" i="30" s="1"/>
  <c r="L40" i="7"/>
  <c r="K40" i="31"/>
  <c r="K22" i="30" s="1"/>
  <c r="U25" i="7"/>
  <c r="T28" i="31"/>
  <c r="T10" i="30" s="1"/>
  <c r="B47" i="6"/>
  <c r="J33" i="31"/>
  <c r="J15" i="30" s="1"/>
  <c r="F33" i="31"/>
  <c r="F15" i="30" s="1"/>
  <c r="C6" i="31"/>
  <c r="T23" i="32"/>
  <c r="V23" i="32" s="1"/>
  <c r="CC21" i="16"/>
  <c r="CL21" i="16" s="1"/>
  <c r="E6" i="31"/>
  <c r="U6" i="31"/>
  <c r="H15" i="32"/>
  <c r="J15" i="32" s="1"/>
  <c r="D17" i="8"/>
  <c r="CI17" i="16"/>
  <c r="N6" i="31"/>
  <c r="M6" i="31"/>
  <c r="B20" i="32"/>
  <c r="D20" i="32" s="1"/>
  <c r="BZ18" i="16"/>
  <c r="CI18" i="16" s="1"/>
  <c r="D6" i="31"/>
  <c r="Z9" i="16"/>
  <c r="BZ9" i="16"/>
  <c r="CI9" i="16" s="1"/>
  <c r="G6" i="31"/>
  <c r="L6" i="31"/>
  <c r="Z23" i="16"/>
  <c r="AE17" i="16"/>
  <c r="AL17" i="16" s="1"/>
  <c r="CE17" i="16"/>
  <c r="AD14" i="16"/>
  <c r="Z11" i="16"/>
  <c r="BZ11" i="16"/>
  <c r="CI11" i="16" s="1"/>
  <c r="CB24" i="16"/>
  <c r="CK24" i="16" s="1"/>
  <c r="CK10" i="16"/>
  <c r="S6" i="31"/>
  <c r="F6" i="31"/>
  <c r="I6" i="31"/>
  <c r="BU27" i="16"/>
  <c r="BU29" i="16" s="1"/>
  <c r="CM17" i="16"/>
  <c r="CJ17" i="16"/>
  <c r="CK17" i="16"/>
  <c r="CJ9" i="16"/>
  <c r="J6" i="31"/>
  <c r="B25" i="32"/>
  <c r="D25" i="32" s="1"/>
  <c r="AE18" i="16"/>
  <c r="CE18" i="16"/>
  <c r="CN18" i="16" s="1"/>
  <c r="Z16" i="32"/>
  <c r="AB16" i="32" s="1"/>
  <c r="AA19" i="16"/>
  <c r="CA19" i="16"/>
  <c r="CJ19" i="16" s="1"/>
  <c r="Z10" i="16"/>
  <c r="BZ10" i="16"/>
  <c r="CI10" i="16" s="1"/>
  <c r="CM12" i="16"/>
  <c r="L6" i="7"/>
  <c r="K6" i="31"/>
  <c r="O6" i="31"/>
  <c r="Q6" i="31"/>
  <c r="CL17" i="16"/>
  <c r="H6" i="31"/>
  <c r="Z8" i="16"/>
  <c r="BZ8" i="16"/>
  <c r="B35" i="8"/>
  <c r="D35" i="8" s="1"/>
  <c r="AD16" i="16"/>
  <c r="CD16" i="16"/>
  <c r="CM16" i="16" s="1"/>
  <c r="P6" i="31"/>
  <c r="Z19" i="16"/>
  <c r="B39" i="8"/>
  <c r="D39" i="8" s="1"/>
  <c r="AD63" i="35"/>
  <c r="CL11" i="16"/>
  <c r="CC24" i="16"/>
  <c r="CL24" i="16" s="1"/>
  <c r="T6" i="31"/>
  <c r="R6" i="31"/>
  <c r="I26" i="32"/>
  <c r="J26" i="32" s="1"/>
  <c r="AA26" i="32"/>
  <c r="O26" i="32"/>
  <c r="U26" i="32"/>
  <c r="AG26" i="32"/>
  <c r="C26" i="32"/>
  <c r="D26" i="32" s="1"/>
  <c r="AC21" i="16"/>
  <c r="Q22" i="16"/>
  <c r="Q13" i="16"/>
  <c r="I9" i="8"/>
  <c r="E10" i="8"/>
  <c r="B11" i="8"/>
  <c r="D11" i="8" s="1"/>
  <c r="F26" i="36"/>
  <c r="G28" i="9"/>
  <c r="H28" i="9" s="1"/>
  <c r="E13" i="36"/>
  <c r="C15" i="9"/>
  <c r="D15" i="9" s="1"/>
  <c r="E15" i="9" s="1"/>
  <c r="E36" i="36"/>
  <c r="C38" i="9"/>
  <c r="D38" i="9" s="1"/>
  <c r="E38" i="9" s="1"/>
  <c r="F29" i="36"/>
  <c r="G31" i="9"/>
  <c r="H31" i="9" s="1"/>
  <c r="I31" i="9" s="1"/>
  <c r="F37" i="36"/>
  <c r="G39" i="9"/>
  <c r="H39" i="9" s="1"/>
  <c r="I39" i="9" s="1"/>
  <c r="F30" i="36"/>
  <c r="G32" i="9"/>
  <c r="H32" i="9" s="1"/>
  <c r="I32" i="9" s="1"/>
  <c r="F31" i="36"/>
  <c r="G33" i="9"/>
  <c r="H33" i="9" s="1"/>
  <c r="I33" i="9" s="1"/>
  <c r="F8" i="36"/>
  <c r="G10" i="9"/>
  <c r="H10" i="9" s="1"/>
  <c r="I10" i="9" s="1"/>
  <c r="E9" i="36"/>
  <c r="C11" i="9"/>
  <c r="D11" i="9" s="1"/>
  <c r="E11" i="9" s="1"/>
  <c r="C10" i="9"/>
  <c r="D10" i="9" s="1"/>
  <c r="E10" i="9" s="1"/>
  <c r="E11" i="36"/>
  <c r="C13" i="9"/>
  <c r="D13" i="9" s="1"/>
  <c r="E13" i="9" s="1"/>
  <c r="F10" i="36"/>
  <c r="G12" i="9"/>
  <c r="H12" i="9" s="1"/>
  <c r="I12" i="9" s="1"/>
  <c r="F13" i="36"/>
  <c r="G15" i="9"/>
  <c r="H15" i="9" s="1"/>
  <c r="I15" i="9" s="1"/>
  <c r="E15" i="36"/>
  <c r="C17" i="9"/>
  <c r="D17" i="9" s="1"/>
  <c r="E17" i="9" s="1"/>
  <c r="F27" i="36"/>
  <c r="G29" i="9"/>
  <c r="H29" i="9" s="1"/>
  <c r="I29" i="9" s="1"/>
  <c r="E28" i="36"/>
  <c r="C30" i="9"/>
  <c r="D30" i="9" s="1"/>
  <c r="E30" i="9" s="1"/>
  <c r="E24" i="36"/>
  <c r="C26" i="9"/>
  <c r="D26" i="9" s="1"/>
  <c r="E26" i="9" s="1"/>
  <c r="F16" i="36"/>
  <c r="G18" i="9"/>
  <c r="H18" i="9" s="1"/>
  <c r="I18" i="9" s="1"/>
  <c r="G16" i="9"/>
  <c r="H16" i="9" s="1"/>
  <c r="I16" i="9" s="1"/>
  <c r="F18" i="36"/>
  <c r="G20" i="9"/>
  <c r="H20" i="9" s="1"/>
  <c r="I20" i="9" s="1"/>
  <c r="F34" i="36"/>
  <c r="G36" i="9"/>
  <c r="H36" i="9" s="1"/>
  <c r="I36" i="9" s="1"/>
  <c r="N11" i="8"/>
  <c r="Q11" i="8" s="1"/>
  <c r="F12" i="36"/>
  <c r="G14" i="9"/>
  <c r="H14" i="9" s="1"/>
  <c r="I14" i="9" s="1"/>
  <c r="F24" i="36"/>
  <c r="G26" i="9"/>
  <c r="H26" i="9" s="1"/>
  <c r="I26" i="9" s="1"/>
  <c r="E25" i="36"/>
  <c r="C27" i="9"/>
  <c r="D27" i="9" s="1"/>
  <c r="E27" i="9" s="1"/>
  <c r="M28" i="9"/>
  <c r="E12" i="36"/>
  <c r="C14" i="9"/>
  <c r="D14" i="9" s="1"/>
  <c r="E14" i="9" s="1"/>
  <c r="F23" i="36"/>
  <c r="G25" i="9"/>
  <c r="H25" i="9" s="1"/>
  <c r="I25" i="9" s="1"/>
  <c r="N8" i="8"/>
  <c r="K8" i="9"/>
  <c r="L8" i="9" s="1"/>
  <c r="E22" i="36"/>
  <c r="C24" i="9"/>
  <c r="D24" i="9" s="1"/>
  <c r="E24" i="9" s="1"/>
  <c r="E17" i="36"/>
  <c r="C19" i="9"/>
  <c r="D19" i="9" s="1"/>
  <c r="E19" i="9" s="1"/>
  <c r="F38" i="36"/>
  <c r="G40" i="9"/>
  <c r="H40" i="9" s="1"/>
  <c r="I40" i="9" s="1"/>
  <c r="F7" i="36"/>
  <c r="G9" i="9"/>
  <c r="H9" i="9" s="1"/>
  <c r="I9" i="9" s="1"/>
  <c r="U31" i="8"/>
  <c r="BB88" i="35"/>
  <c r="BB65" i="35"/>
  <c r="S19" i="7"/>
  <c r="T21" i="8" s="1"/>
  <c r="M20" i="7"/>
  <c r="M22" i="8" s="1"/>
  <c r="Q24" i="16"/>
  <c r="S25" i="16"/>
  <c r="U25" i="16"/>
  <c r="Q9" i="16"/>
  <c r="Z18" i="32"/>
  <c r="AB18" i="32" s="1"/>
  <c r="Q16" i="16"/>
  <c r="Q17" i="16"/>
  <c r="Q7" i="16"/>
  <c r="H21" i="32"/>
  <c r="J21" i="32" s="1"/>
  <c r="Q10" i="16"/>
  <c r="Q14" i="16"/>
  <c r="Q23" i="16"/>
  <c r="B12" i="32"/>
  <c r="D12" i="32" s="1"/>
  <c r="AG18" i="16"/>
  <c r="AN18" i="16" s="1"/>
  <c r="Q21" i="16"/>
  <c r="T25" i="16"/>
  <c r="Q18" i="16"/>
  <c r="Q12" i="16"/>
  <c r="V25" i="16"/>
  <c r="T36" i="16" s="1"/>
  <c r="E10" i="33" s="1"/>
  <c r="M10" i="33" s="1"/>
  <c r="Q11" i="16"/>
  <c r="Q8" i="16"/>
  <c r="Q20" i="16"/>
  <c r="Q15" i="16"/>
  <c r="Q19" i="16"/>
  <c r="W25" i="16"/>
  <c r="P10" i="7"/>
  <c r="P12" i="8" s="1"/>
  <c r="E23" i="7"/>
  <c r="C25" i="8" s="1"/>
  <c r="D25" i="8" s="1"/>
  <c r="BB77" i="35"/>
  <c r="BB32" i="35"/>
  <c r="AC62" i="35"/>
  <c r="AI62" i="35" s="1"/>
  <c r="AO62" i="35" s="1"/>
  <c r="AU62" i="35" s="1"/>
  <c r="BB85" i="35"/>
  <c r="BB40" i="35"/>
  <c r="BB64" i="35"/>
  <c r="BB19" i="35"/>
  <c r="AE23" i="16"/>
  <c r="AF25" i="32"/>
  <c r="AH25" i="32" s="1"/>
  <c r="AE20" i="16"/>
  <c r="AF22" i="32"/>
  <c r="AH22" i="32" s="1"/>
  <c r="C73" i="35"/>
  <c r="E8" i="36"/>
  <c r="I9" i="7"/>
  <c r="I11" i="8" s="1"/>
  <c r="B86" i="35"/>
  <c r="B16" i="35"/>
  <c r="G21" i="35" s="1"/>
  <c r="B61" i="35"/>
  <c r="BC87" i="35"/>
  <c r="AC79" i="35"/>
  <c r="BB72" i="35"/>
  <c r="BB27" i="35"/>
  <c r="BB60" i="35"/>
  <c r="BB15" i="35"/>
  <c r="AC65" i="35"/>
  <c r="AC70" i="35"/>
  <c r="AI70" i="35" s="1"/>
  <c r="AO70" i="35" s="1"/>
  <c r="AU70" i="35" s="1"/>
  <c r="AD71" i="35"/>
  <c r="B80" i="35"/>
  <c r="BB43" i="35"/>
  <c r="BB80" i="35"/>
  <c r="BB35" i="35"/>
  <c r="AC73" i="35"/>
  <c r="AC13" i="16"/>
  <c r="AE19" i="16"/>
  <c r="AF21" i="32"/>
  <c r="AH21" i="32" s="1"/>
  <c r="AF20" i="32"/>
  <c r="AH20" i="32" s="1"/>
  <c r="BC79" i="35"/>
  <c r="B25" i="35"/>
  <c r="C26" i="35" s="1"/>
  <c r="B70" i="35"/>
  <c r="K19" i="7"/>
  <c r="K21" i="8" s="1"/>
  <c r="BB89" i="35"/>
  <c r="BB44" i="35"/>
  <c r="B82" i="35"/>
  <c r="AC83" i="35"/>
  <c r="BC83" i="35"/>
  <c r="BC59" i="35"/>
  <c r="BB70" i="35"/>
  <c r="BB25" i="35"/>
  <c r="N18" i="7"/>
  <c r="AC59" i="35"/>
  <c r="AE22" i="16"/>
  <c r="AF24" i="32"/>
  <c r="AH24" i="32" s="1"/>
  <c r="B78" i="35"/>
  <c r="AC71" i="35"/>
  <c r="AE21" i="16"/>
  <c r="AF23" i="32"/>
  <c r="AH23" i="32" s="1"/>
  <c r="I21" i="7"/>
  <c r="I23" i="8" s="1"/>
  <c r="BB81" i="35"/>
  <c r="BB36" i="35"/>
  <c r="J9" i="8"/>
  <c r="AF19" i="32"/>
  <c r="O18" i="7"/>
  <c r="O20" i="8" s="1"/>
  <c r="F10" i="7"/>
  <c r="E12" i="8" s="1"/>
  <c r="K9" i="7"/>
  <c r="K11" i="8" s="1"/>
  <c r="AC81" i="35"/>
  <c r="B13" i="35"/>
  <c r="E16" i="35" s="1"/>
  <c r="B58" i="35"/>
  <c r="BB69" i="35"/>
  <c r="BB24" i="35"/>
  <c r="BC62" i="35"/>
  <c r="AC63" i="35"/>
  <c r="B17" i="35"/>
  <c r="C18" i="35" s="1"/>
  <c r="B62" i="35"/>
  <c r="D13" i="7"/>
  <c r="S7" i="7"/>
  <c r="T9" i="8" s="1"/>
  <c r="H10" i="7"/>
  <c r="G12" i="8" s="1"/>
  <c r="B19" i="35"/>
  <c r="C20" i="35" s="1"/>
  <c r="B64" i="35"/>
  <c r="BB62" i="35"/>
  <c r="BB17" i="35"/>
  <c r="B24" i="35"/>
  <c r="D26" i="35" s="1"/>
  <c r="B69" i="35"/>
  <c r="AC87" i="35"/>
  <c r="Q7" i="7"/>
  <c r="R9" i="8" s="1"/>
  <c r="Z24" i="16"/>
  <c r="M41" i="7"/>
  <c r="R40" i="7"/>
  <c r="G43" i="7"/>
  <c r="P28" i="16"/>
  <c r="J42" i="7"/>
  <c r="X25" i="16"/>
  <c r="AF27" i="32" s="1"/>
  <c r="I42" i="7"/>
  <c r="P41" i="7"/>
  <c r="S40" i="7"/>
  <c r="H43" i="7"/>
  <c r="AA24" i="16"/>
  <c r="N41" i="7"/>
  <c r="K43" i="9" s="1"/>
  <c r="L43" i="9" s="1"/>
  <c r="M43" i="9" s="1"/>
  <c r="F43" i="7"/>
  <c r="D44" i="7"/>
  <c r="K42" i="7"/>
  <c r="Q40" i="7"/>
  <c r="O41" i="7"/>
  <c r="E44" i="7"/>
  <c r="AE24" i="16"/>
  <c r="AF26" i="32"/>
  <c r="S133" i="24"/>
  <c r="B131" i="26"/>
  <c r="AB17" i="35"/>
  <c r="B41" i="35"/>
  <c r="B35" i="35"/>
  <c r="AB41" i="35"/>
  <c r="AB13" i="35"/>
  <c r="AB35" i="35"/>
  <c r="AB25" i="35"/>
  <c r="AB19" i="35"/>
  <c r="AB37" i="35"/>
  <c r="B37" i="35"/>
  <c r="AB27" i="35"/>
  <c r="AB16" i="35"/>
  <c r="B27" i="35"/>
  <c r="AB33" i="35"/>
  <c r="AB24" i="35"/>
  <c r="B33" i="35"/>
  <c r="D12" i="8"/>
  <c r="AB60" i="35"/>
  <c r="D28" i="8"/>
  <c r="B74" i="35"/>
  <c r="AB89" i="35"/>
  <c r="U29" i="8"/>
  <c r="AB65" i="35"/>
  <c r="D16" i="8"/>
  <c r="AB63" i="35"/>
  <c r="AD64" i="35" s="1"/>
  <c r="AJ64" i="35" s="1"/>
  <c r="AP64" i="35" s="1"/>
  <c r="AV64" i="35" s="1"/>
  <c r="D20" i="8"/>
  <c r="U13" i="8"/>
  <c r="AB85" i="35"/>
  <c r="H32" i="8"/>
  <c r="T18" i="32"/>
  <c r="V18" i="32" s="1"/>
  <c r="AC16" i="16"/>
  <c r="S31" i="7"/>
  <c r="T33" i="8" s="1"/>
  <c r="R32" i="7"/>
  <c r="S34" i="8" s="1"/>
  <c r="H31" i="7"/>
  <c r="G33" i="8" s="1"/>
  <c r="I26" i="7"/>
  <c r="I28" i="8" s="1"/>
  <c r="N24" i="8"/>
  <c r="Q24" i="8" s="1"/>
  <c r="D116" i="26"/>
  <c r="O32" i="7"/>
  <c r="O34" i="8" s="1"/>
  <c r="G40" i="8"/>
  <c r="N20" i="32"/>
  <c r="AB18" i="16"/>
  <c r="N17" i="32"/>
  <c r="P17" i="32" s="1"/>
  <c r="AB15" i="16"/>
  <c r="B130" i="26"/>
  <c r="S132" i="24"/>
  <c r="M123" i="26"/>
  <c r="M25" i="25"/>
  <c r="F14" i="8"/>
  <c r="P25" i="7"/>
  <c r="P27" i="8" s="1"/>
  <c r="W20" i="28"/>
  <c r="N18" i="32"/>
  <c r="P18" i="32" s="1"/>
  <c r="AB16" i="16"/>
  <c r="H12" i="7"/>
  <c r="G14" i="8" s="1"/>
  <c r="N32" i="7"/>
  <c r="K34" i="9" s="1"/>
  <c r="L34" i="9" s="1"/>
  <c r="M34" i="9" s="1"/>
  <c r="E35" i="7"/>
  <c r="C37" i="8" s="1"/>
  <c r="N33" i="7"/>
  <c r="K35" i="9" s="1"/>
  <c r="L35" i="9" s="1"/>
  <c r="M35" i="9" s="1"/>
  <c r="I34" i="7"/>
  <c r="I36" i="8" s="1"/>
  <c r="M38" i="8"/>
  <c r="M29" i="7"/>
  <c r="M31" i="8" s="1"/>
  <c r="G31" i="7"/>
  <c r="C31" i="36" s="1"/>
  <c r="AC19" i="16"/>
  <c r="T21" i="32"/>
  <c r="V21" i="32" s="1"/>
  <c r="H22" i="7"/>
  <c r="G24" i="8" s="1"/>
  <c r="F27" i="8"/>
  <c r="H27" i="8" s="1"/>
  <c r="N26" i="32"/>
  <c r="AB24" i="16"/>
  <c r="AD24" i="16"/>
  <c r="Z26" i="32"/>
  <c r="O8" i="8"/>
  <c r="C7" i="28"/>
  <c r="T8" i="8"/>
  <c r="T26" i="32"/>
  <c r="AC24" i="16"/>
  <c r="B122" i="26"/>
  <c r="S124" i="24"/>
  <c r="B115" i="26"/>
  <c r="O37" i="7"/>
  <c r="T14" i="32"/>
  <c r="V14" i="32" s="1"/>
  <c r="AC12" i="16"/>
  <c r="J19" i="7"/>
  <c r="D19" i="36" s="1"/>
  <c r="H34" i="8"/>
  <c r="P8" i="7"/>
  <c r="P10" i="8" s="1"/>
  <c r="J9" i="7"/>
  <c r="D9" i="36" s="1"/>
  <c r="O8" i="7"/>
  <c r="O10" i="8" s="1"/>
  <c r="N123" i="26"/>
  <c r="J31" i="8"/>
  <c r="L31" i="8" s="1"/>
  <c r="D125" i="26"/>
  <c r="G27" i="7"/>
  <c r="C27" i="36" s="1"/>
  <c r="U23" i="8"/>
  <c r="K21" i="7"/>
  <c r="K23" i="8" s="1"/>
  <c r="F15" i="8"/>
  <c r="H14" i="32"/>
  <c r="J14" i="32" s="1"/>
  <c r="AA12" i="16"/>
  <c r="F38" i="8"/>
  <c r="H38" i="8" s="1"/>
  <c r="P8" i="8"/>
  <c r="M33" i="7"/>
  <c r="M35" i="8" s="1"/>
  <c r="J36" i="8"/>
  <c r="Q32" i="7"/>
  <c r="R34" i="8" s="1"/>
  <c r="Z21" i="32"/>
  <c r="AB21" i="32" s="1"/>
  <c r="AD19" i="16"/>
  <c r="Q9" i="7"/>
  <c r="R11" i="8" s="1"/>
  <c r="U11" i="8" s="1"/>
  <c r="E40" i="8"/>
  <c r="N17" i="8"/>
  <c r="Q17" i="8" s="1"/>
  <c r="R28" i="7"/>
  <c r="S30" i="8" s="1"/>
  <c r="AB81" i="35"/>
  <c r="H19" i="32"/>
  <c r="AA17" i="16"/>
  <c r="U35" i="8"/>
  <c r="M8" i="8"/>
  <c r="R19" i="7"/>
  <c r="S21" i="8" s="1"/>
  <c r="N9" i="8"/>
  <c r="Q9" i="8" s="1"/>
  <c r="N36" i="8"/>
  <c r="Q36" i="8" s="1"/>
  <c r="J16" i="8"/>
  <c r="F17" i="8"/>
  <c r="N10" i="7"/>
  <c r="K12" i="9" s="1"/>
  <c r="L12" i="9" s="1"/>
  <c r="M12" i="9" s="1"/>
  <c r="AB75" i="35"/>
  <c r="G39" i="7"/>
  <c r="C39" i="36" s="1"/>
  <c r="J40" i="8"/>
  <c r="R7" i="7"/>
  <c r="S9" i="8" s="1"/>
  <c r="T22" i="32"/>
  <c r="V22" i="32" s="1"/>
  <c r="AC20" i="16"/>
  <c r="D33" i="11"/>
  <c r="AD22" i="16"/>
  <c r="Z24" i="32"/>
  <c r="AB24" i="32" s="1"/>
  <c r="B10" i="32"/>
  <c r="B118" i="26"/>
  <c r="S120" i="24"/>
  <c r="J12" i="8"/>
  <c r="L12" i="8" s="1"/>
  <c r="S36" i="7"/>
  <c r="D128" i="26"/>
  <c r="B13" i="32"/>
  <c r="D13" i="32" s="1"/>
  <c r="K34" i="7"/>
  <c r="K36" i="8" s="1"/>
  <c r="S28" i="7"/>
  <c r="T30" i="8" s="1"/>
  <c r="H24" i="32"/>
  <c r="J24" i="32" s="1"/>
  <c r="AA22" i="16"/>
  <c r="I38" i="7"/>
  <c r="B15" i="32"/>
  <c r="Z13" i="16"/>
  <c r="H13" i="32"/>
  <c r="AA11" i="16"/>
  <c r="R24" i="7"/>
  <c r="S26" i="8" s="1"/>
  <c r="AA15" i="16"/>
  <c r="H17" i="32"/>
  <c r="J17" i="32" s="1"/>
  <c r="D35" i="7"/>
  <c r="B17" i="32"/>
  <c r="Z15" i="16"/>
  <c r="B126" i="26"/>
  <c r="S128" i="24"/>
  <c r="J18" i="8"/>
  <c r="L18" i="8" s="1"/>
  <c r="K30" i="7"/>
  <c r="K32" i="8" s="1"/>
  <c r="N23" i="32"/>
  <c r="P23" i="32" s="1"/>
  <c r="AB21" i="16"/>
  <c r="J6" i="7"/>
  <c r="G8" i="9" s="1"/>
  <c r="H11" i="32"/>
  <c r="AA9" i="16"/>
  <c r="C12" i="7"/>
  <c r="H16" i="32"/>
  <c r="J16" i="32" s="1"/>
  <c r="AA14" i="16"/>
  <c r="P18" i="7"/>
  <c r="P20" i="8" s="1"/>
  <c r="E28" i="7"/>
  <c r="C30" i="8" s="1"/>
  <c r="O25" i="7"/>
  <c r="O27" i="8" s="1"/>
  <c r="K26" i="7"/>
  <c r="K28" i="8" s="1"/>
  <c r="J25" i="8"/>
  <c r="L25" i="8" s="1"/>
  <c r="D22" i="11"/>
  <c r="B16" i="32"/>
  <c r="D16" i="32" s="1"/>
  <c r="Z14" i="16"/>
  <c r="AB12" i="16"/>
  <c r="N14" i="32"/>
  <c r="P14" i="32" s="1"/>
  <c r="U12" i="8"/>
  <c r="C22" i="7"/>
  <c r="T16" i="32"/>
  <c r="V16" i="32" s="1"/>
  <c r="AC14" i="16"/>
  <c r="F35" i="7"/>
  <c r="E37" i="8" s="1"/>
  <c r="N19" i="32"/>
  <c r="P19" i="32" s="1"/>
  <c r="AB17" i="16"/>
  <c r="F24" i="8"/>
  <c r="O29" i="7"/>
  <c r="O31" i="8" s="1"/>
  <c r="N29" i="7"/>
  <c r="K31" i="9" s="1"/>
  <c r="L31" i="9" s="1"/>
  <c r="M31" i="9" s="1"/>
  <c r="B18" i="32"/>
  <c r="Z16" i="16"/>
  <c r="J15" i="8"/>
  <c r="L15" i="8" s="1"/>
  <c r="N25" i="8"/>
  <c r="Q25" i="8" s="1"/>
  <c r="G7" i="7"/>
  <c r="C7" i="36" s="1"/>
  <c r="C18" i="29"/>
  <c r="C33" i="10"/>
  <c r="D121" i="26"/>
  <c r="J21" i="7"/>
  <c r="D21" i="36" s="1"/>
  <c r="AB20" i="16"/>
  <c r="N22" i="32"/>
  <c r="P22" i="32" s="1"/>
  <c r="N32" i="8"/>
  <c r="Q32" i="8" s="1"/>
  <c r="AB23" i="16"/>
  <c r="N25" i="32"/>
  <c r="P25" i="32" s="1"/>
  <c r="W12" i="28"/>
  <c r="D40" i="7"/>
  <c r="G20" i="7"/>
  <c r="C20" i="36" s="1"/>
  <c r="B11" i="32"/>
  <c r="D11" i="32" s="1"/>
  <c r="Z25" i="32"/>
  <c r="AB25" i="32" s="1"/>
  <c r="AD23" i="16"/>
  <c r="AB59" i="35"/>
  <c r="M8" i="7"/>
  <c r="M10" i="8" s="1"/>
  <c r="E11" i="7"/>
  <c r="C13" i="8" s="1"/>
  <c r="D117" i="26"/>
  <c r="N21" i="32"/>
  <c r="P21" i="32" s="1"/>
  <c r="AB19" i="16"/>
  <c r="H27" i="7"/>
  <c r="G29" i="8" s="1"/>
  <c r="R36" i="7"/>
  <c r="J29" i="8"/>
  <c r="L29" i="8" s="1"/>
  <c r="M25" i="7"/>
  <c r="M27" i="8" s="1"/>
  <c r="J33" i="7"/>
  <c r="D33" i="36" s="1"/>
  <c r="O33" i="7"/>
  <c r="O35" i="8" s="1"/>
  <c r="W22" i="28"/>
  <c r="H23" i="32"/>
  <c r="J23" i="32" s="1"/>
  <c r="AA21" i="16"/>
  <c r="S8" i="8"/>
  <c r="R17" i="7"/>
  <c r="S19" i="8" s="1"/>
  <c r="W10" i="28"/>
  <c r="P37" i="7"/>
  <c r="C29" i="7"/>
  <c r="AA20" i="16"/>
  <c r="H22" i="32"/>
  <c r="J22" i="32" s="1"/>
  <c r="F26" i="8"/>
  <c r="H26" i="8" s="1"/>
  <c r="F20" i="7"/>
  <c r="E22" i="8" s="1"/>
  <c r="E32" i="7"/>
  <c r="C34" i="8" s="1"/>
  <c r="U24" i="8"/>
  <c r="F11" i="8"/>
  <c r="H11" i="8" s="1"/>
  <c r="Q36" i="7"/>
  <c r="N25" i="7"/>
  <c r="K27" i="9" s="1"/>
  <c r="L27" i="9" s="1"/>
  <c r="M27" i="9" s="1"/>
  <c r="J28" i="8"/>
  <c r="S24" i="7"/>
  <c r="T26" i="8" s="1"/>
  <c r="D27" i="8"/>
  <c r="T19" i="32"/>
  <c r="V19" i="32" s="1"/>
  <c r="AC17" i="16"/>
  <c r="H13" i="7"/>
  <c r="G34" i="7"/>
  <c r="C34" i="36" s="1"/>
  <c r="I33" i="7"/>
  <c r="I35" i="8" s="1"/>
  <c r="H35" i="7"/>
  <c r="G37" i="8" s="1"/>
  <c r="G35" i="7"/>
  <c r="C35" i="36" s="1"/>
  <c r="F13" i="8"/>
  <c r="H13" i="8" s="1"/>
  <c r="H18" i="32"/>
  <c r="J18" i="32" s="1"/>
  <c r="AA16" i="16"/>
  <c r="AB67" i="35"/>
  <c r="G38" i="7"/>
  <c r="C38" i="36" s="1"/>
  <c r="F31" i="7"/>
  <c r="E33" i="8" s="1"/>
  <c r="I30" i="7"/>
  <c r="I32" i="8" s="1"/>
  <c r="J33" i="8"/>
  <c r="L33" i="8" s="1"/>
  <c r="T24" i="32"/>
  <c r="V24" i="32" s="1"/>
  <c r="AC22" i="16"/>
  <c r="N12" i="32"/>
  <c r="AB10" i="16"/>
  <c r="AA23" i="16"/>
  <c r="H25" i="32"/>
  <c r="J25" i="32" s="1"/>
  <c r="AC23" i="16"/>
  <c r="T25" i="32"/>
  <c r="V25" i="32" s="1"/>
  <c r="C11" i="14"/>
  <c r="Q19" i="8"/>
  <c r="M127" i="26"/>
  <c r="Q19" i="7"/>
  <c r="R21" i="8" s="1"/>
  <c r="H39" i="7"/>
  <c r="N37" i="7"/>
  <c r="K39" i="9" s="1"/>
  <c r="L39" i="9" s="1"/>
  <c r="M39" i="9" s="1"/>
  <c r="I19" i="7"/>
  <c r="I21" i="8" s="1"/>
  <c r="N13" i="32"/>
  <c r="P13" i="32" s="1"/>
  <c r="AB11" i="16"/>
  <c r="W18" i="28"/>
  <c r="D11" i="7"/>
  <c r="B13" i="8" s="1"/>
  <c r="N8" i="7"/>
  <c r="K10" i="9" s="1"/>
  <c r="L10" i="9" s="1"/>
  <c r="M10" i="9" s="1"/>
  <c r="H20" i="32"/>
  <c r="J20" i="32" s="1"/>
  <c r="AA18" i="16"/>
  <c r="D28" i="7"/>
  <c r="B30" i="8" s="1"/>
  <c r="N13" i="8"/>
  <c r="Q13" i="8" s="1"/>
  <c r="Q31" i="7"/>
  <c r="R33" i="8" s="1"/>
  <c r="S37" i="8"/>
  <c r="J43" i="25"/>
  <c r="J50" i="25" s="1"/>
  <c r="S43" i="25"/>
  <c r="T43" i="25" s="1"/>
  <c r="I52" i="25"/>
  <c r="I50" i="25"/>
  <c r="D8" i="7"/>
  <c r="D124" i="26"/>
  <c r="F39" i="7"/>
  <c r="H12" i="32"/>
  <c r="J12" i="32" s="1"/>
  <c r="AA10" i="16"/>
  <c r="F30" i="8"/>
  <c r="H30" i="8" s="1"/>
  <c r="F12" i="7"/>
  <c r="E14" i="8" s="1"/>
  <c r="B132" i="26"/>
  <c r="S134" i="24"/>
  <c r="D32" i="7"/>
  <c r="AD12" i="16"/>
  <c r="Z14" i="32"/>
  <c r="J10" i="8"/>
  <c r="L10" i="8" s="1"/>
  <c r="J11" i="7"/>
  <c r="D11" i="36" s="1"/>
  <c r="F10" i="8"/>
  <c r="B19" i="32"/>
  <c r="D19" i="32" s="1"/>
  <c r="Z17" i="16"/>
  <c r="D14" i="11"/>
  <c r="F27" i="7"/>
  <c r="E29" i="8" s="1"/>
  <c r="D17" i="11"/>
  <c r="D22" i="8"/>
  <c r="N15" i="32"/>
  <c r="P15" i="32" s="1"/>
  <c r="AB13" i="16"/>
  <c r="E36" i="7"/>
  <c r="C38" i="8" s="1"/>
  <c r="I39" i="8"/>
  <c r="Z22" i="32"/>
  <c r="AB22" i="32" s="1"/>
  <c r="AD20" i="16"/>
  <c r="D105" i="26"/>
  <c r="N20" i="7"/>
  <c r="K22" i="9" s="1"/>
  <c r="L22" i="9" s="1"/>
  <c r="M22" i="9" s="1"/>
  <c r="Z20" i="16"/>
  <c r="B22" i="32"/>
  <c r="D22" i="32" s="1"/>
  <c r="H20" i="7"/>
  <c r="G22" i="8" s="1"/>
  <c r="M37" i="7"/>
  <c r="AD21" i="16"/>
  <c r="Z23" i="32"/>
  <c r="AB23" i="32" s="1"/>
  <c r="N28" i="8"/>
  <c r="Q28" i="8" s="1"/>
  <c r="M119" i="26"/>
  <c r="N119" i="26"/>
  <c r="Z19" i="32"/>
  <c r="AB19" i="32" s="1"/>
  <c r="AD17" i="16"/>
  <c r="P20" i="7"/>
  <c r="P22" i="8" s="1"/>
  <c r="C16" i="29"/>
  <c r="C31" i="10"/>
  <c r="I51" i="25"/>
  <c r="Q24" i="7"/>
  <c r="R26" i="8" s="1"/>
  <c r="K11" i="7"/>
  <c r="K13" i="8" s="1"/>
  <c r="AB74" i="35"/>
  <c r="Z20" i="32"/>
  <c r="AB20" i="32" s="1"/>
  <c r="AD18" i="16"/>
  <c r="T17" i="32"/>
  <c r="V17" i="32" s="1"/>
  <c r="AC15" i="16"/>
  <c r="J14" i="8"/>
  <c r="L14" i="8" s="1"/>
  <c r="R31" i="7"/>
  <c r="S33" i="8" s="1"/>
  <c r="Z17" i="32"/>
  <c r="AB17" i="32" s="1"/>
  <c r="AD15" i="16"/>
  <c r="S32" i="7"/>
  <c r="T34" i="8" s="1"/>
  <c r="D36" i="7"/>
  <c r="P33" i="7"/>
  <c r="P35" i="8" s="1"/>
  <c r="S17" i="7"/>
  <c r="T19" i="8" s="1"/>
  <c r="AC18" i="16"/>
  <c r="T20" i="32"/>
  <c r="V20" i="32" s="1"/>
  <c r="P38" i="8"/>
  <c r="Q35" i="7"/>
  <c r="C41" i="8"/>
  <c r="F19" i="8"/>
  <c r="H19" i="8" s="1"/>
  <c r="U16" i="8"/>
  <c r="J32" i="8"/>
  <c r="P29" i="7"/>
  <c r="P31" i="8" s="1"/>
  <c r="Q28" i="7"/>
  <c r="R30" i="8" s="1"/>
  <c r="O16" i="7"/>
  <c r="O18" i="8" s="1"/>
  <c r="G18" i="7"/>
  <c r="C18" i="36" s="1"/>
  <c r="S15" i="7"/>
  <c r="T17" i="8" s="1"/>
  <c r="J17" i="7"/>
  <c r="D17" i="36" s="1"/>
  <c r="Q15" i="7"/>
  <c r="R17" i="8" s="1"/>
  <c r="H18" i="7"/>
  <c r="G20" i="8" s="1"/>
  <c r="C20" i="7"/>
  <c r="K17" i="7"/>
  <c r="K19" i="8" s="1"/>
  <c r="I17" i="7"/>
  <c r="I19" i="8" s="1"/>
  <c r="F18" i="7"/>
  <c r="E20" i="8" s="1"/>
  <c r="N16" i="7"/>
  <c r="K18" i="9" s="1"/>
  <c r="L18" i="9" s="1"/>
  <c r="M18" i="9" s="1"/>
  <c r="P16" i="7"/>
  <c r="P18" i="8" s="1"/>
  <c r="M16" i="7"/>
  <c r="M18" i="8" s="1"/>
  <c r="E19" i="7"/>
  <c r="C21" i="8" s="1"/>
  <c r="D19" i="7"/>
  <c r="B21" i="8" s="1"/>
  <c r="R15" i="7"/>
  <c r="S17" i="8" s="1"/>
  <c r="J26" i="8"/>
  <c r="L26" i="8" s="1"/>
  <c r="U27" i="8"/>
  <c r="AB88" i="35"/>
  <c r="T13" i="32"/>
  <c r="AC11" i="16"/>
  <c r="B24" i="32"/>
  <c r="D24" i="32" s="1"/>
  <c r="Z22" i="16"/>
  <c r="N24" i="32"/>
  <c r="P24" i="32" s="1"/>
  <c r="AB22" i="16"/>
  <c r="R8" i="8"/>
  <c r="D120" i="26"/>
  <c r="W11" i="30" s="1"/>
  <c r="B23" i="32"/>
  <c r="D23" i="32" s="1"/>
  <c r="Z21" i="16"/>
  <c r="N127" i="26"/>
  <c r="J20" i="8"/>
  <c r="L20" i="8" s="1"/>
  <c r="K38" i="7"/>
  <c r="E40" i="7"/>
  <c r="Q17" i="7"/>
  <c r="R19" i="8" s="1"/>
  <c r="Z15" i="32"/>
  <c r="AB15" i="32" s="1"/>
  <c r="AD13" i="16"/>
  <c r="AB77" i="35"/>
  <c r="G10" i="7"/>
  <c r="C10" i="36" s="1"/>
  <c r="D21" i="7"/>
  <c r="U14" i="8" l="1"/>
  <c r="C15" i="10"/>
  <c r="N15" i="8"/>
  <c r="J39" i="8"/>
  <c r="U22" i="31"/>
  <c r="L22" i="7"/>
  <c r="BW33" i="16"/>
  <c r="BW35" i="16" s="1"/>
  <c r="V27" i="16"/>
  <c r="X27" i="16"/>
  <c r="U27" i="16"/>
  <c r="T27" i="16"/>
  <c r="W27" i="16"/>
  <c r="V17" i="31"/>
  <c r="D21" i="29"/>
  <c r="AB21" i="29" s="1"/>
  <c r="K16" i="35"/>
  <c r="G22" i="35"/>
  <c r="C17" i="35"/>
  <c r="I17" i="35" s="1"/>
  <c r="O17" i="35" s="1"/>
  <c r="U17" i="35" s="1"/>
  <c r="F21" i="35"/>
  <c r="E20" i="32"/>
  <c r="N38" i="8"/>
  <c r="Q38" i="8" s="1"/>
  <c r="BW27" i="16"/>
  <c r="BW29" i="16" s="1"/>
  <c r="BW23" i="16" s="1"/>
  <c r="BS33" i="16"/>
  <c r="BS35" i="16" s="1"/>
  <c r="E21" i="32"/>
  <c r="BR27" i="16"/>
  <c r="BR29" i="16" s="1"/>
  <c r="BR18" i="16" s="1"/>
  <c r="S142" i="24"/>
  <c r="O140" i="24"/>
  <c r="C20" i="10"/>
  <c r="AA20" i="10" s="1"/>
  <c r="BT27" i="16"/>
  <c r="BT29" i="16" s="1"/>
  <c r="BT19" i="16" s="1"/>
  <c r="BT33" i="16"/>
  <c r="BT35" i="16" s="1"/>
  <c r="O141" i="24"/>
  <c r="O142" i="24"/>
  <c r="O143" i="24"/>
  <c r="BR33" i="16"/>
  <c r="BR35" i="16" s="1"/>
  <c r="I44" i="6"/>
  <c r="K44" i="6"/>
  <c r="S44" i="6"/>
  <c r="S46" i="6" s="1"/>
  <c r="C44" i="6"/>
  <c r="C47" i="6" s="1"/>
  <c r="L44" i="6"/>
  <c r="L47" i="6" s="1"/>
  <c r="T44" i="6"/>
  <c r="G44" i="6"/>
  <c r="H44" i="6"/>
  <c r="Q44" i="6"/>
  <c r="Q47" i="6" s="1"/>
  <c r="J44" i="6"/>
  <c r="J46" i="6" s="1"/>
  <c r="R44" i="6"/>
  <c r="R47" i="6" s="1"/>
  <c r="D44" i="6"/>
  <c r="D47" i="6" s="1"/>
  <c r="M44" i="6"/>
  <c r="M46" i="6" s="1"/>
  <c r="U44" i="6"/>
  <c r="E44" i="6"/>
  <c r="E47" i="6" s="1"/>
  <c r="N44" i="6"/>
  <c r="N47" i="6" s="1"/>
  <c r="V44" i="6"/>
  <c r="V46" i="6" s="1"/>
  <c r="F44" i="6"/>
  <c r="F46" i="6" s="1"/>
  <c r="O44" i="6"/>
  <c r="O47" i="6" s="1"/>
  <c r="P44" i="6"/>
  <c r="P47" i="6" s="1"/>
  <c r="F26" i="21"/>
  <c r="F28" i="21" s="1"/>
  <c r="H26" i="21"/>
  <c r="H29" i="21" s="1"/>
  <c r="B133" i="26"/>
  <c r="B146" i="26" s="1"/>
  <c r="B26" i="21"/>
  <c r="B28" i="21" s="1"/>
  <c r="G26" i="21"/>
  <c r="G29" i="21" s="1"/>
  <c r="E26" i="21"/>
  <c r="E29" i="21" s="1"/>
  <c r="C29" i="21"/>
  <c r="C28" i="21"/>
  <c r="CM27" i="16"/>
  <c r="S143" i="24"/>
  <c r="BV27" i="16"/>
  <c r="BV29" i="16" s="1"/>
  <c r="BV12" i="16" s="1"/>
  <c r="S27" i="16"/>
  <c r="O27" i="32"/>
  <c r="AG27" i="32"/>
  <c r="AI27" i="32" s="1"/>
  <c r="C27" i="32"/>
  <c r="I27" i="32"/>
  <c r="AA27" i="32"/>
  <c r="AB26" i="32"/>
  <c r="BV33" i="16"/>
  <c r="BV35" i="16" s="1"/>
  <c r="BS27" i="16"/>
  <c r="BS29" i="16" s="1"/>
  <c r="BS13" i="16" s="1"/>
  <c r="T37" i="16"/>
  <c r="E11" i="33" s="1"/>
  <c r="M11" i="33" s="1"/>
  <c r="Z27" i="32"/>
  <c r="T35" i="16"/>
  <c r="E9" i="33" s="1"/>
  <c r="M9" i="33" s="1"/>
  <c r="N27" i="32"/>
  <c r="T34" i="16"/>
  <c r="E8" i="33" s="1"/>
  <c r="M8" i="33" s="1"/>
  <c r="H27" i="32"/>
  <c r="T33" i="16"/>
  <c r="E7" i="33" s="1"/>
  <c r="M7" i="33" s="1"/>
  <c r="Z28" i="33" s="1"/>
  <c r="B27" i="32"/>
  <c r="M8" i="9"/>
  <c r="D11" i="11"/>
  <c r="X11" i="11" s="1"/>
  <c r="V21" i="31"/>
  <c r="H10" i="8"/>
  <c r="BR13" i="16"/>
  <c r="BR22" i="16"/>
  <c r="CI29" i="16"/>
  <c r="E25" i="32"/>
  <c r="CM29" i="16"/>
  <c r="CK29" i="16"/>
  <c r="V28" i="31"/>
  <c r="U9" i="8"/>
  <c r="CB33" i="16"/>
  <c r="D36" i="10"/>
  <c r="AB36" i="10" s="1"/>
  <c r="AG19" i="16"/>
  <c r="AN19" i="16" s="1"/>
  <c r="C40" i="11"/>
  <c r="Z40" i="11" s="1"/>
  <c r="CD31" i="16"/>
  <c r="CD33" i="16"/>
  <c r="T19" i="7"/>
  <c r="U19" i="7"/>
  <c r="BB39" i="35"/>
  <c r="CK27" i="16"/>
  <c r="V20" i="31"/>
  <c r="D14" i="32"/>
  <c r="BB84" i="35"/>
  <c r="CB31" i="16"/>
  <c r="R39" i="31"/>
  <c r="S37" i="7"/>
  <c r="T39" i="8" s="1"/>
  <c r="L9" i="8"/>
  <c r="B23" i="30"/>
  <c r="V41" i="31"/>
  <c r="J39" i="31"/>
  <c r="K39" i="7"/>
  <c r="K41" i="8" s="1"/>
  <c r="L39" i="7"/>
  <c r="L52" i="7" s="1"/>
  <c r="L54" i="7" s="1"/>
  <c r="K39" i="31"/>
  <c r="B24" i="30"/>
  <c r="V42" i="31"/>
  <c r="CJ27" i="16"/>
  <c r="P39" i="31"/>
  <c r="Q37" i="7"/>
  <c r="R39" i="8" s="1"/>
  <c r="U36" i="7"/>
  <c r="T39" i="31"/>
  <c r="V14" i="31"/>
  <c r="D39" i="31"/>
  <c r="E41" i="7"/>
  <c r="C43" i="8" s="1"/>
  <c r="Q15" i="8"/>
  <c r="BU11" i="16"/>
  <c r="N129" i="26"/>
  <c r="S140" i="24"/>
  <c r="G42" i="2" s="1"/>
  <c r="S139" i="24"/>
  <c r="B17" i="33" s="1"/>
  <c r="H17" i="8"/>
  <c r="G18" i="35"/>
  <c r="AG8" i="16"/>
  <c r="AN8" i="16" s="1"/>
  <c r="H39" i="31"/>
  <c r="I39" i="7"/>
  <c r="I41" i="8" s="1"/>
  <c r="E39" i="31"/>
  <c r="F40" i="7"/>
  <c r="E42" i="8" s="1"/>
  <c r="F39" i="31"/>
  <c r="G40" i="7"/>
  <c r="V37" i="31"/>
  <c r="B19" i="30"/>
  <c r="V25" i="31"/>
  <c r="U39" i="31"/>
  <c r="V36" i="7"/>
  <c r="BU23" i="16"/>
  <c r="B14" i="30"/>
  <c r="V32" i="31"/>
  <c r="Q39" i="31"/>
  <c r="R37" i="7"/>
  <c r="S39" i="8" s="1"/>
  <c r="V15" i="31"/>
  <c r="L16" i="8"/>
  <c r="D15" i="35"/>
  <c r="G39" i="31"/>
  <c r="H40" i="7"/>
  <c r="G42" i="8" s="1"/>
  <c r="S39" i="31"/>
  <c r="T36" i="7"/>
  <c r="C39" i="31"/>
  <c r="D41" i="7"/>
  <c r="B43" i="8" s="1"/>
  <c r="O39" i="31"/>
  <c r="P38" i="7"/>
  <c r="P40" i="8" s="1"/>
  <c r="L39" i="31"/>
  <c r="M38" i="7"/>
  <c r="M40" i="8" s="1"/>
  <c r="M39" i="31"/>
  <c r="N38" i="7"/>
  <c r="B18" i="30"/>
  <c r="V36" i="31"/>
  <c r="M129" i="26"/>
  <c r="P26" i="32"/>
  <c r="AH26" i="32"/>
  <c r="B39" i="31"/>
  <c r="C42" i="7"/>
  <c r="I39" i="31"/>
  <c r="J39" i="7"/>
  <c r="N39" i="31"/>
  <c r="O38" i="7"/>
  <c r="O40" i="8" s="1"/>
  <c r="B15" i="30"/>
  <c r="V33" i="31"/>
  <c r="V40" i="31"/>
  <c r="B22" i="30"/>
  <c r="V22" i="31"/>
  <c r="AI13" i="16"/>
  <c r="AP13" i="16" s="1"/>
  <c r="N121" i="26"/>
  <c r="W12" i="30"/>
  <c r="C45" i="9"/>
  <c r="E64" i="9" s="1"/>
  <c r="C43" i="36"/>
  <c r="E43" i="36" s="1"/>
  <c r="AG23" i="16"/>
  <c r="AN23" i="16" s="1"/>
  <c r="AG9" i="16"/>
  <c r="AN9" i="16" s="1"/>
  <c r="AJ16" i="16"/>
  <c r="AQ16" i="16" s="1"/>
  <c r="BU16" i="16"/>
  <c r="AL22" i="16"/>
  <c r="AS22" i="16" s="1"/>
  <c r="AJ18" i="16"/>
  <c r="AQ18" i="16" s="1"/>
  <c r="BU18" i="16"/>
  <c r="AH10" i="16"/>
  <c r="AO10" i="16" s="1"/>
  <c r="AH18" i="16"/>
  <c r="AO18" i="16" s="1"/>
  <c r="AI19" i="16"/>
  <c r="AP19" i="16" s="1"/>
  <c r="V26" i="32"/>
  <c r="AI18" i="16"/>
  <c r="AP18" i="16" s="1"/>
  <c r="E22" i="35"/>
  <c r="AL18" i="16"/>
  <c r="AS18" i="16" s="1"/>
  <c r="AH20" i="16"/>
  <c r="AO20" i="16" s="1"/>
  <c r="AH21" i="16"/>
  <c r="AO21" i="16" s="1"/>
  <c r="AI22" i="16"/>
  <c r="AP22" i="16" s="1"/>
  <c r="AI24" i="16"/>
  <c r="AP24" i="16" s="1"/>
  <c r="AI15" i="16"/>
  <c r="AP15" i="16" s="1"/>
  <c r="AJ15" i="16"/>
  <c r="AQ15" i="16" s="1"/>
  <c r="BU15" i="16"/>
  <c r="AK20" i="16"/>
  <c r="AR20" i="16" s="1"/>
  <c r="AK22" i="16"/>
  <c r="AR22" i="16" s="1"/>
  <c r="N125" i="26"/>
  <c r="W16" i="30"/>
  <c r="AJ12" i="16"/>
  <c r="AQ12" i="16" s="1"/>
  <c r="BU12" i="16"/>
  <c r="AG24" i="16"/>
  <c r="AN24" i="16" s="1"/>
  <c r="AL20" i="16"/>
  <c r="AS20" i="16" s="1"/>
  <c r="AE64" i="35"/>
  <c r="AK64" i="35" s="1"/>
  <c r="AQ64" i="35" s="1"/>
  <c r="AW64" i="35" s="1"/>
  <c r="AK16" i="16"/>
  <c r="AR16" i="16" s="1"/>
  <c r="CL29" i="16"/>
  <c r="AG10" i="16"/>
  <c r="AN10" i="16" s="1"/>
  <c r="BR10" i="16"/>
  <c r="CA33" i="16"/>
  <c r="BZ33" i="16"/>
  <c r="AK15" i="16"/>
  <c r="AR15" i="16" s="1"/>
  <c r="W12" i="7"/>
  <c r="AH11" i="16"/>
  <c r="AO11" i="16" s="1"/>
  <c r="AJ24" i="16"/>
  <c r="AQ24" i="16" s="1"/>
  <c r="BU24" i="16"/>
  <c r="AK21" i="16"/>
  <c r="AR21" i="16" s="1"/>
  <c r="AI17" i="16"/>
  <c r="AP17" i="16" s="1"/>
  <c r="AI12" i="16"/>
  <c r="AP12" i="16" s="1"/>
  <c r="T27" i="32"/>
  <c r="AL19" i="16"/>
  <c r="AS19" i="16" s="1"/>
  <c r="CJ29" i="16"/>
  <c r="AG11" i="16"/>
  <c r="AN11" i="16" s="1"/>
  <c r="BR11" i="16"/>
  <c r="AK13" i="16"/>
  <c r="AR13" i="16" s="1"/>
  <c r="B38" i="8"/>
  <c r="D38" i="8" s="1"/>
  <c r="AK18" i="16"/>
  <c r="AR18" i="16" s="1"/>
  <c r="B34" i="8"/>
  <c r="D34" i="8" s="1"/>
  <c r="N124" i="26"/>
  <c r="W15" i="30"/>
  <c r="B37" i="8"/>
  <c r="D37" i="8" s="1"/>
  <c r="AJ20" i="16"/>
  <c r="AQ20" i="16" s="1"/>
  <c r="BU20" i="16"/>
  <c r="AH12" i="16"/>
  <c r="AO12" i="16" s="1"/>
  <c r="AJ19" i="16"/>
  <c r="AQ19" i="16" s="1"/>
  <c r="BU19" i="16"/>
  <c r="E20" i="35"/>
  <c r="AJ13" i="16"/>
  <c r="AQ13" i="16" s="1"/>
  <c r="BU13" i="16"/>
  <c r="AL23" i="16"/>
  <c r="AS23" i="16" s="1"/>
  <c r="AJ21" i="16"/>
  <c r="AQ21" i="16" s="1"/>
  <c r="BU21" i="16"/>
  <c r="CC27" i="16"/>
  <c r="AH19" i="16"/>
  <c r="AO19" i="16" s="1"/>
  <c r="AK14" i="16"/>
  <c r="AR14" i="16" s="1"/>
  <c r="W11" i="7"/>
  <c r="E11" i="14" s="1"/>
  <c r="AI11" i="16"/>
  <c r="AP11" i="16" s="1"/>
  <c r="AJ22" i="16"/>
  <c r="AQ22" i="16" s="1"/>
  <c r="BU22" i="16"/>
  <c r="AJ14" i="16"/>
  <c r="AQ14" i="16" s="1"/>
  <c r="BU14" i="16"/>
  <c r="N117" i="26"/>
  <c r="W8" i="30"/>
  <c r="AI20" i="16"/>
  <c r="AP20" i="16" s="1"/>
  <c r="AI21" i="16"/>
  <c r="AP21" i="16" s="1"/>
  <c r="N128" i="26"/>
  <c r="W19" i="30"/>
  <c r="CC33" i="16"/>
  <c r="AK17" i="16"/>
  <c r="AR17" i="16" s="1"/>
  <c r="AH16" i="16"/>
  <c r="AO16" i="16" s="1"/>
  <c r="AJ17" i="16"/>
  <c r="AQ17" i="16" s="1"/>
  <c r="BU17" i="16"/>
  <c r="AH14" i="16"/>
  <c r="AO14" i="16" s="1"/>
  <c r="AH22" i="16"/>
  <c r="AO22" i="16" s="1"/>
  <c r="AK19" i="16"/>
  <c r="AR19" i="16" s="1"/>
  <c r="N116" i="26"/>
  <c r="W7" i="30"/>
  <c r="AG65" i="35"/>
  <c r="AM65" i="35" s="1"/>
  <c r="AS65" i="35" s="1"/>
  <c r="AY65" i="35" s="1"/>
  <c r="AE63" i="35"/>
  <c r="AK63" i="35" s="1"/>
  <c r="AQ63" i="35" s="1"/>
  <c r="AW63" i="35" s="1"/>
  <c r="AF64" i="35"/>
  <c r="AL64" i="35" s="1"/>
  <c r="AR64" i="35" s="1"/>
  <c r="AX64" i="35" s="1"/>
  <c r="AD62" i="35"/>
  <c r="AJ62" i="35" s="1"/>
  <c r="AP62" i="35" s="1"/>
  <c r="AV62" i="35" s="1"/>
  <c r="D19" i="35"/>
  <c r="J19" i="35" s="1"/>
  <c r="P19" i="35" s="1"/>
  <c r="V19" i="35" s="1"/>
  <c r="AL24" i="16"/>
  <c r="AS24" i="16" s="1"/>
  <c r="G44" i="9"/>
  <c r="J67" i="9" s="1"/>
  <c r="D42" i="36"/>
  <c r="F42" i="36" s="1"/>
  <c r="W10" i="7"/>
  <c r="AC10" i="7" s="1"/>
  <c r="CC31" i="16"/>
  <c r="BZ31" i="16"/>
  <c r="CI8" i="16"/>
  <c r="CI27" i="16" s="1"/>
  <c r="BZ27" i="16"/>
  <c r="CA27" i="16"/>
  <c r="CE33" i="16"/>
  <c r="CN17" i="16"/>
  <c r="CE27" i="16"/>
  <c r="CE31" i="16"/>
  <c r="AH15" i="16"/>
  <c r="AO15" i="16" s="1"/>
  <c r="AH17" i="16"/>
  <c r="AO17" i="16" s="1"/>
  <c r="AK24" i="16"/>
  <c r="AR24" i="16" s="1"/>
  <c r="AI16" i="16"/>
  <c r="AP16" i="16" s="1"/>
  <c r="AH24" i="16"/>
  <c r="AO24" i="16" s="1"/>
  <c r="B15" i="8"/>
  <c r="D15" i="8" s="1"/>
  <c r="CL27" i="16"/>
  <c r="CD27" i="16"/>
  <c r="CA31" i="16"/>
  <c r="CB27" i="16"/>
  <c r="AE61" i="35"/>
  <c r="AK61" i="35" s="1"/>
  <c r="AQ61" i="35" s="1"/>
  <c r="AW61" i="35" s="1"/>
  <c r="AD60" i="35"/>
  <c r="AJ60" i="35" s="1"/>
  <c r="AP60" i="35" s="1"/>
  <c r="AV60" i="35" s="1"/>
  <c r="AG63" i="35"/>
  <c r="AM63" i="35" s="1"/>
  <c r="AS63" i="35" s="1"/>
  <c r="AY63" i="35" s="1"/>
  <c r="AF62" i="35"/>
  <c r="AL62" i="35" s="1"/>
  <c r="AR62" i="35" s="1"/>
  <c r="AX62" i="35" s="1"/>
  <c r="AE62" i="35"/>
  <c r="AK62" i="35" s="1"/>
  <c r="AQ62" i="35" s="1"/>
  <c r="AW62" i="35" s="1"/>
  <c r="AD61" i="35"/>
  <c r="AJ61" i="35" s="1"/>
  <c r="AP61" i="35" s="1"/>
  <c r="AV61" i="35" s="1"/>
  <c r="AG64" i="35"/>
  <c r="AM64" i="35" s="1"/>
  <c r="AS64" i="35" s="1"/>
  <c r="AY64" i="35" s="1"/>
  <c r="AF63" i="35"/>
  <c r="AL63" i="35" s="1"/>
  <c r="AR63" i="35" s="1"/>
  <c r="AX63" i="35" s="1"/>
  <c r="C11" i="33"/>
  <c r="Z28" i="16"/>
  <c r="C10" i="33"/>
  <c r="C9" i="33"/>
  <c r="C7" i="33"/>
  <c r="C8" i="33"/>
  <c r="C12" i="33"/>
  <c r="Q16" i="35"/>
  <c r="F33" i="36"/>
  <c r="G35" i="9"/>
  <c r="H35" i="9" s="1"/>
  <c r="I35" i="9" s="1"/>
  <c r="E31" i="36"/>
  <c r="C33" i="9"/>
  <c r="D33" i="9" s="1"/>
  <c r="E33" i="9" s="1"/>
  <c r="N20" i="8"/>
  <c r="Q20" i="8" s="1"/>
  <c r="K20" i="9"/>
  <c r="L20" i="9" s="1"/>
  <c r="M20" i="9" s="1"/>
  <c r="F17" i="36"/>
  <c r="G19" i="9"/>
  <c r="H19" i="9" s="1"/>
  <c r="I19" i="9" s="1"/>
  <c r="F9" i="36"/>
  <c r="G11" i="9"/>
  <c r="H11" i="9" s="1"/>
  <c r="I11" i="9" s="1"/>
  <c r="E18" i="36"/>
  <c r="C20" i="9"/>
  <c r="D20" i="9" s="1"/>
  <c r="E20" i="9" s="1"/>
  <c r="E35" i="36"/>
  <c r="C37" i="9"/>
  <c r="D37" i="9" s="1"/>
  <c r="E37" i="9" s="1"/>
  <c r="F21" i="36"/>
  <c r="G23" i="9"/>
  <c r="H23" i="9" s="1"/>
  <c r="I23" i="9" s="1"/>
  <c r="E10" i="36"/>
  <c r="C12" i="9"/>
  <c r="D12" i="9" s="1"/>
  <c r="E12" i="9" s="1"/>
  <c r="E39" i="36"/>
  <c r="C41" i="9"/>
  <c r="D41" i="9" s="1"/>
  <c r="E41" i="9" s="1"/>
  <c r="E27" i="36"/>
  <c r="C29" i="9"/>
  <c r="D29" i="9" s="1"/>
  <c r="E29" i="9" s="1"/>
  <c r="F19" i="36"/>
  <c r="G21" i="9"/>
  <c r="H21" i="9" s="1"/>
  <c r="I21" i="9" s="1"/>
  <c r="E38" i="36"/>
  <c r="C40" i="9"/>
  <c r="D40" i="9" s="1"/>
  <c r="E40" i="9" s="1"/>
  <c r="E34" i="36"/>
  <c r="C36" i="9"/>
  <c r="D36" i="9" s="1"/>
  <c r="E36" i="9" s="1"/>
  <c r="E7" i="36"/>
  <c r="C9" i="9"/>
  <c r="D9" i="9" s="1"/>
  <c r="E9" i="9" s="1"/>
  <c r="I28" i="9"/>
  <c r="F11" i="36"/>
  <c r="G13" i="9"/>
  <c r="H13" i="9" s="1"/>
  <c r="I13" i="9" s="1"/>
  <c r="E20" i="36"/>
  <c r="C22" i="9"/>
  <c r="D22" i="9" s="1"/>
  <c r="E22" i="9" s="1"/>
  <c r="F17" i="35"/>
  <c r="L17" i="35" s="1"/>
  <c r="G24" i="35"/>
  <c r="M24" i="35" s="1"/>
  <c r="S24" i="35" s="1"/>
  <c r="Y24" i="35" s="1"/>
  <c r="C25" i="35"/>
  <c r="I25" i="35" s="1"/>
  <c r="O25" i="35" s="1"/>
  <c r="U25" i="35" s="1"/>
  <c r="C14" i="35"/>
  <c r="D21" i="35"/>
  <c r="F23" i="35"/>
  <c r="D18" i="35"/>
  <c r="E19" i="35"/>
  <c r="K19" i="35" s="1"/>
  <c r="Q19" i="35" s="1"/>
  <c r="W19" i="35" s="1"/>
  <c r="F20" i="35"/>
  <c r="C12" i="11"/>
  <c r="Z12" i="11" s="1"/>
  <c r="BB20" i="35"/>
  <c r="E28" i="35"/>
  <c r="D27" i="35"/>
  <c r="J27" i="35" s="1"/>
  <c r="P27" i="35" s="1"/>
  <c r="V27" i="35" s="1"/>
  <c r="AG66" i="35"/>
  <c r="G30" i="35"/>
  <c r="F28" i="35"/>
  <c r="F29" i="35"/>
  <c r="J11" i="32"/>
  <c r="AH19" i="32"/>
  <c r="AB14" i="32"/>
  <c r="P12" i="32"/>
  <c r="K11" i="32"/>
  <c r="E12" i="32"/>
  <c r="E18" i="32"/>
  <c r="D18" i="32"/>
  <c r="K19" i="32"/>
  <c r="J19" i="32"/>
  <c r="K13" i="32"/>
  <c r="J13" i="32"/>
  <c r="E17" i="32"/>
  <c r="D17" i="32"/>
  <c r="E15" i="32"/>
  <c r="D15" i="32"/>
  <c r="E10" i="32"/>
  <c r="D10" i="32"/>
  <c r="Q20" i="32"/>
  <c r="P20" i="32"/>
  <c r="AG21" i="16"/>
  <c r="AN21" i="16" s="1"/>
  <c r="AG22" i="16"/>
  <c r="AN22" i="16" s="1"/>
  <c r="AL21" i="16"/>
  <c r="AS21" i="16" s="1"/>
  <c r="AC3" i="16"/>
  <c r="AG15" i="16"/>
  <c r="AN15" i="16" s="1"/>
  <c r="AG17" i="16"/>
  <c r="AG13" i="16"/>
  <c r="AN13" i="16" s="1"/>
  <c r="Z3" i="16"/>
  <c r="K24" i="32"/>
  <c r="AE3" i="16"/>
  <c r="AD3" i="16"/>
  <c r="AB3" i="16"/>
  <c r="AG14" i="16"/>
  <c r="AN14" i="16" s="1"/>
  <c r="AS17" i="16"/>
  <c r="AG20" i="16"/>
  <c r="AN20" i="16" s="1"/>
  <c r="AG16" i="16"/>
  <c r="AN16" i="16" s="1"/>
  <c r="AH9" i="16"/>
  <c r="AO9" i="16" s="1"/>
  <c r="AA3" i="16"/>
  <c r="AA28" i="16"/>
  <c r="T38" i="16"/>
  <c r="E12" i="33" s="1"/>
  <c r="M12" i="33" s="1"/>
  <c r="H7" i="7"/>
  <c r="G9" i="8" s="1"/>
  <c r="AI24" i="32"/>
  <c r="AI19" i="32"/>
  <c r="AC66" i="35"/>
  <c r="C75" i="35"/>
  <c r="BD71" i="35"/>
  <c r="BC70" i="35"/>
  <c r="BI70" i="35" s="1"/>
  <c r="BO70" i="35" s="1"/>
  <c r="BU70" i="35" s="1"/>
  <c r="BB67" i="35"/>
  <c r="BB22" i="35"/>
  <c r="C81" i="35"/>
  <c r="AD66" i="35"/>
  <c r="BC73" i="35"/>
  <c r="AI63" i="35"/>
  <c r="AO63" i="35" s="1"/>
  <c r="AU63" i="35" s="1"/>
  <c r="C59" i="35"/>
  <c r="AI65" i="35"/>
  <c r="AO65" i="35" s="1"/>
  <c r="AU65" i="35" s="1"/>
  <c r="AJ63" i="35"/>
  <c r="AP63" i="35" s="1"/>
  <c r="AV63" i="35" s="1"/>
  <c r="B12" i="35"/>
  <c r="F16" i="35" s="1"/>
  <c r="L16" i="35" s="1"/>
  <c r="B57" i="35"/>
  <c r="D59" i="35" s="1"/>
  <c r="B20" i="35"/>
  <c r="F24" i="35" s="1"/>
  <c r="L24" i="35" s="1"/>
  <c r="R24" i="35" s="1"/>
  <c r="X24" i="35" s="1"/>
  <c r="B65" i="35"/>
  <c r="D66" i="35" s="1"/>
  <c r="B18" i="35"/>
  <c r="E21" i="35" s="1"/>
  <c r="B63" i="35"/>
  <c r="F65" i="35" s="1"/>
  <c r="BB79" i="35"/>
  <c r="BG82" i="35" s="1"/>
  <c r="BM82" i="35" s="1"/>
  <c r="BS82" i="35" s="1"/>
  <c r="BY82" i="35" s="1"/>
  <c r="BB34" i="35"/>
  <c r="E22" i="32"/>
  <c r="BB71" i="35"/>
  <c r="BF73" i="35" s="1"/>
  <c r="BB26" i="35"/>
  <c r="B77" i="35"/>
  <c r="BB57" i="35"/>
  <c r="BB12" i="35"/>
  <c r="AD87" i="35"/>
  <c r="AC86" i="35"/>
  <c r="AI86" i="35" s="1"/>
  <c r="AO86" i="35" s="1"/>
  <c r="AU86" i="35" s="1"/>
  <c r="BC63" i="35"/>
  <c r="C79" i="35"/>
  <c r="AI59" i="35"/>
  <c r="AO59" i="35" s="1"/>
  <c r="AU59" i="35" s="1"/>
  <c r="BC81" i="35"/>
  <c r="BI81" i="35" s="1"/>
  <c r="BO81" i="35" s="1"/>
  <c r="BU81" i="35" s="1"/>
  <c r="BE83" i="35"/>
  <c r="BD82" i="35"/>
  <c r="BJ82" i="35" s="1"/>
  <c r="BP82" i="35" s="1"/>
  <c r="BV82" i="35" s="1"/>
  <c r="BC65" i="35"/>
  <c r="BI65" i="35" s="1"/>
  <c r="BO65" i="35" s="1"/>
  <c r="BU65" i="35" s="1"/>
  <c r="BD66" i="35"/>
  <c r="B84" i="35"/>
  <c r="BB76" i="35"/>
  <c r="BB31" i="35"/>
  <c r="AD83" i="35"/>
  <c r="AC82" i="35"/>
  <c r="AI82" i="35" s="1"/>
  <c r="AO82" i="35" s="1"/>
  <c r="AU82" i="35" s="1"/>
  <c r="AC89" i="35"/>
  <c r="AI89" i="35" s="1"/>
  <c r="AO89" i="35" s="1"/>
  <c r="AU89" i="35" s="1"/>
  <c r="AD90" i="35"/>
  <c r="AC78" i="35"/>
  <c r="AI78" i="35" s="1"/>
  <c r="AO78" i="35" s="1"/>
  <c r="AU78" i="35" s="1"/>
  <c r="AD79" i="35"/>
  <c r="AC85" i="35"/>
  <c r="AI85" i="35" s="1"/>
  <c r="AO85" i="35" s="1"/>
  <c r="AU85" i="35" s="1"/>
  <c r="AE87" i="35"/>
  <c r="AD86" i="35"/>
  <c r="AJ86" i="35" s="1"/>
  <c r="AP86" i="35" s="1"/>
  <c r="AV86" i="35" s="1"/>
  <c r="AC60" i="35"/>
  <c r="AI60" i="35" s="1"/>
  <c r="AO60" i="35" s="1"/>
  <c r="AU60" i="35" s="1"/>
  <c r="B89" i="35"/>
  <c r="BB83" i="35"/>
  <c r="BI83" i="35" s="1"/>
  <c r="BO83" i="35" s="1"/>
  <c r="BU83" i="35" s="1"/>
  <c r="BB38" i="35"/>
  <c r="AC76" i="35"/>
  <c r="B81" i="35"/>
  <c r="AC64" i="35"/>
  <c r="AI64" i="35" s="1"/>
  <c r="AO64" i="35" s="1"/>
  <c r="AU64" i="35" s="1"/>
  <c r="AD65" i="35"/>
  <c r="AJ65" i="35" s="1"/>
  <c r="AP65" i="35" s="1"/>
  <c r="AV65" i="35" s="1"/>
  <c r="AE66" i="35"/>
  <c r="BB74" i="35"/>
  <c r="BB29" i="35"/>
  <c r="C65" i="35"/>
  <c r="BI62" i="35"/>
  <c r="BO62" i="35" s="1"/>
  <c r="BU62" i="35" s="1"/>
  <c r="BB59" i="35"/>
  <c r="BI59" i="35" s="1"/>
  <c r="BO59" i="35" s="1"/>
  <c r="BU59" i="35" s="1"/>
  <c r="BB14" i="35"/>
  <c r="AE83" i="35"/>
  <c r="AI25" i="32"/>
  <c r="C83" i="35"/>
  <c r="BB75" i="35"/>
  <c r="BB30" i="35"/>
  <c r="BC86" i="35"/>
  <c r="BI86" i="35" s="1"/>
  <c r="BO86" i="35" s="1"/>
  <c r="BU86" i="35" s="1"/>
  <c r="BD87" i="35"/>
  <c r="BC78" i="35"/>
  <c r="BI78" i="35" s="1"/>
  <c r="BO78" i="35" s="1"/>
  <c r="BU78" i="35" s="1"/>
  <c r="BD79" i="35"/>
  <c r="AC90" i="35"/>
  <c r="B15" i="35"/>
  <c r="B60" i="35"/>
  <c r="E63" i="35" s="1"/>
  <c r="E27" i="35"/>
  <c r="K27" i="35" s="1"/>
  <c r="Q27" i="35" s="1"/>
  <c r="W27" i="35" s="1"/>
  <c r="BB63" i="35"/>
  <c r="BF66" i="35" s="1"/>
  <c r="BB18" i="35"/>
  <c r="AI81" i="35"/>
  <c r="AO81" i="35" s="1"/>
  <c r="AU81" i="35" s="1"/>
  <c r="BD83" i="35"/>
  <c r="BC82" i="35"/>
  <c r="BI82" i="35" s="1"/>
  <c r="BO82" i="35" s="1"/>
  <c r="BU82" i="35" s="1"/>
  <c r="C71" i="35"/>
  <c r="C62" i="35"/>
  <c r="I62" i="35" s="1"/>
  <c r="O62" i="35" s="1"/>
  <c r="U62" i="35" s="1"/>
  <c r="D63" i="35"/>
  <c r="AI21" i="32"/>
  <c r="BD63" i="35"/>
  <c r="AD82" i="35"/>
  <c r="AJ82" i="35" s="1"/>
  <c r="AP82" i="35" s="1"/>
  <c r="AV82" i="35" s="1"/>
  <c r="BC66" i="35"/>
  <c r="B85" i="35"/>
  <c r="E16" i="32"/>
  <c r="G29" i="35"/>
  <c r="C63" i="35"/>
  <c r="AF66" i="35"/>
  <c r="AI20" i="32"/>
  <c r="BD90" i="35"/>
  <c r="BC89" i="35"/>
  <c r="BI89" i="35" s="1"/>
  <c r="BO89" i="35" s="1"/>
  <c r="BU89" i="35" s="1"/>
  <c r="BC61" i="35"/>
  <c r="BI61" i="35" s="1"/>
  <c r="BO61" i="35" s="1"/>
  <c r="BU61" i="35" s="1"/>
  <c r="BE63" i="35"/>
  <c r="BD62" i="35"/>
  <c r="BJ62" i="35" s="1"/>
  <c r="BP62" i="35" s="1"/>
  <c r="BV62" i="35" s="1"/>
  <c r="C87" i="35"/>
  <c r="BD86" i="35"/>
  <c r="BJ86" i="35" s="1"/>
  <c r="BP86" i="35" s="1"/>
  <c r="BV86" i="35" s="1"/>
  <c r="E23" i="32"/>
  <c r="BB91" i="35"/>
  <c r="BB46" i="35"/>
  <c r="BB66" i="35"/>
  <c r="BB21" i="35"/>
  <c r="BB87" i="35"/>
  <c r="BI87" i="35" s="1"/>
  <c r="BO87" i="35" s="1"/>
  <c r="BU87" i="35" s="1"/>
  <c r="BB42" i="35"/>
  <c r="AB12" i="35"/>
  <c r="AB57" i="35"/>
  <c r="AC61" i="35"/>
  <c r="AI61" i="35" s="1"/>
  <c r="AO61" i="35" s="1"/>
  <c r="AU61" i="35" s="1"/>
  <c r="AC75" i="35"/>
  <c r="AI75" i="35" s="1"/>
  <c r="AO75" i="35" s="1"/>
  <c r="AU75" i="35" s="1"/>
  <c r="AD76" i="35"/>
  <c r="B88" i="35"/>
  <c r="B14" i="35"/>
  <c r="C15" i="35" s="1"/>
  <c r="B59" i="35"/>
  <c r="B75" i="35"/>
  <c r="C70" i="35"/>
  <c r="I70" i="35" s="1"/>
  <c r="O70" i="35" s="1"/>
  <c r="U70" i="35" s="1"/>
  <c r="D71" i="35"/>
  <c r="AE65" i="35"/>
  <c r="AK65" i="35" s="1"/>
  <c r="AQ65" i="35" s="1"/>
  <c r="AW65" i="35" s="1"/>
  <c r="BC71" i="35"/>
  <c r="BC90" i="35"/>
  <c r="AF65" i="35"/>
  <c r="AL65" i="35" s="1"/>
  <c r="AR65" i="35" s="1"/>
  <c r="AX65" i="35" s="1"/>
  <c r="AE28" i="16"/>
  <c r="E26" i="32"/>
  <c r="B93" i="35"/>
  <c r="C94" i="35" s="1"/>
  <c r="B48" i="35"/>
  <c r="C49" i="35" s="1"/>
  <c r="AB93" i="35"/>
  <c r="AC94" i="35" s="1"/>
  <c r="AB48" i="35"/>
  <c r="AC49" i="35" s="1"/>
  <c r="BB48" i="35"/>
  <c r="BC49" i="35" s="1"/>
  <c r="BB93" i="35"/>
  <c r="BC94" i="35" s="1"/>
  <c r="AI26" i="32"/>
  <c r="J41" i="7"/>
  <c r="N40" i="7"/>
  <c r="K42" i="9" s="1"/>
  <c r="L42" i="9" s="1"/>
  <c r="M42" i="9" s="1"/>
  <c r="AI23" i="16"/>
  <c r="AB28" i="16"/>
  <c r="H42" i="7"/>
  <c r="G44" i="8" s="1"/>
  <c r="S39" i="7"/>
  <c r="T41" i="8" s="1"/>
  <c r="O40" i="7"/>
  <c r="O42" i="8" s="1"/>
  <c r="P40" i="7"/>
  <c r="P42" i="8" s="1"/>
  <c r="D131" i="26"/>
  <c r="W22" i="30" s="1"/>
  <c r="G42" i="7"/>
  <c r="R39" i="7"/>
  <c r="S41" i="8" s="1"/>
  <c r="M40" i="7"/>
  <c r="M42" i="8" s="1"/>
  <c r="E43" i="7"/>
  <c r="C45" i="8" s="1"/>
  <c r="K41" i="7"/>
  <c r="K43" i="8" s="1"/>
  <c r="AH23" i="16"/>
  <c r="Q39" i="7"/>
  <c r="R41" i="8" s="1"/>
  <c r="I41" i="7"/>
  <c r="I43" i="8" s="1"/>
  <c r="AJ23" i="16"/>
  <c r="AC28" i="16"/>
  <c r="AK23" i="16"/>
  <c r="AD28" i="16"/>
  <c r="F42" i="7"/>
  <c r="E44" i="8" s="1"/>
  <c r="D43" i="7"/>
  <c r="B45" i="8" s="1"/>
  <c r="K25" i="32"/>
  <c r="B22" i="35"/>
  <c r="B67" i="35"/>
  <c r="AC68" i="35"/>
  <c r="AB22" i="35"/>
  <c r="B29" i="35"/>
  <c r="BD29" i="35"/>
  <c r="BF31" i="35"/>
  <c r="BG32" i="35"/>
  <c r="BE30" i="35"/>
  <c r="BC28" i="35"/>
  <c r="AF17" i="35"/>
  <c r="AL17" i="35" s="1"/>
  <c r="AG18" i="35"/>
  <c r="AC14" i="35"/>
  <c r="AE16" i="35"/>
  <c r="AD15" i="35"/>
  <c r="AB20" i="35"/>
  <c r="BD26" i="35"/>
  <c r="BG29" i="35"/>
  <c r="BE27" i="35"/>
  <c r="BF28" i="35"/>
  <c r="BC25" i="35"/>
  <c r="BF29" i="35"/>
  <c r="BD27" i="35"/>
  <c r="BE28" i="35"/>
  <c r="BC26" i="35"/>
  <c r="BG30" i="35"/>
  <c r="B36" i="35"/>
  <c r="AB18" i="35"/>
  <c r="AB15" i="35"/>
  <c r="AC25" i="35"/>
  <c r="AI25" i="35" s="1"/>
  <c r="AO25" i="35" s="1"/>
  <c r="AU25" i="35" s="1"/>
  <c r="AG29" i="35"/>
  <c r="AF28" i="35"/>
  <c r="AD26" i="35"/>
  <c r="AE27" i="35"/>
  <c r="BD39" i="35"/>
  <c r="BF41" i="35"/>
  <c r="BE40" i="35"/>
  <c r="BK40" i="35" s="1"/>
  <c r="BQ40" i="35" s="1"/>
  <c r="BG42" i="35"/>
  <c r="BC38" i="35"/>
  <c r="BD21" i="35"/>
  <c r="BF23" i="35"/>
  <c r="BG24" i="35"/>
  <c r="BC20" i="35"/>
  <c r="BE22" i="35"/>
  <c r="AC36" i="35"/>
  <c r="AD37" i="35"/>
  <c r="AJ37" i="35" s="1"/>
  <c r="AP37" i="35" s="1"/>
  <c r="AV37" i="35" s="1"/>
  <c r="AG40" i="35"/>
  <c r="AE38" i="35"/>
  <c r="AF39" i="35"/>
  <c r="BF45" i="35"/>
  <c r="BC42" i="35"/>
  <c r="BD43" i="35"/>
  <c r="BJ43" i="35" s="1"/>
  <c r="BP43" i="35" s="1"/>
  <c r="BG46" i="35"/>
  <c r="BE44" i="35"/>
  <c r="BK44" i="35" s="1"/>
  <c r="BQ44" i="35" s="1"/>
  <c r="AB29" i="35"/>
  <c r="B39" i="35"/>
  <c r="AB39" i="35"/>
  <c r="D39" i="35"/>
  <c r="E40" i="35"/>
  <c r="F41" i="35"/>
  <c r="L41" i="35" s="1"/>
  <c r="R41" i="35" s="1"/>
  <c r="X41" i="35" s="1"/>
  <c r="C38" i="35"/>
  <c r="G42" i="35"/>
  <c r="AE40" i="35"/>
  <c r="AF41" i="35"/>
  <c r="AG42" i="35"/>
  <c r="AC38" i="35"/>
  <c r="AD39" i="35"/>
  <c r="AD21" i="35"/>
  <c r="AE22" i="35"/>
  <c r="AC20" i="35"/>
  <c r="AF23" i="35"/>
  <c r="AG24" i="35"/>
  <c r="BD37" i="35"/>
  <c r="BF39" i="35"/>
  <c r="BE38" i="35"/>
  <c r="BG40" i="35"/>
  <c r="BM40" i="35" s="1"/>
  <c r="BS40" i="35" s="1"/>
  <c r="BC36" i="35"/>
  <c r="BI36" i="35" s="1"/>
  <c r="BO36" i="35" s="1"/>
  <c r="AD43" i="35"/>
  <c r="AG46" i="35"/>
  <c r="AC42" i="35"/>
  <c r="AE44" i="35"/>
  <c r="AF45" i="35"/>
  <c r="AB44" i="35"/>
  <c r="AC18" i="35"/>
  <c r="AG22" i="35"/>
  <c r="AD19" i="35"/>
  <c r="AE20" i="35"/>
  <c r="AF21" i="35"/>
  <c r="F39" i="35"/>
  <c r="D37" i="35"/>
  <c r="J37" i="35" s="1"/>
  <c r="P37" i="35" s="1"/>
  <c r="V37" i="35" s="1"/>
  <c r="C36" i="35"/>
  <c r="G40" i="35"/>
  <c r="E38" i="35"/>
  <c r="B40" i="35"/>
  <c r="AB36" i="35"/>
  <c r="B32" i="35"/>
  <c r="F37" i="35"/>
  <c r="L37" i="35" s="1"/>
  <c r="R37" i="35" s="1"/>
  <c r="X37" i="35" s="1"/>
  <c r="E36" i="35"/>
  <c r="D35" i="35"/>
  <c r="J35" i="35" s="1"/>
  <c r="P35" i="35" s="1"/>
  <c r="V35" i="35" s="1"/>
  <c r="C34" i="35"/>
  <c r="G38" i="35"/>
  <c r="AG21" i="35"/>
  <c r="AD18" i="35"/>
  <c r="AC17" i="35"/>
  <c r="AF20" i="35"/>
  <c r="AE19" i="35"/>
  <c r="G32" i="35"/>
  <c r="E30" i="35"/>
  <c r="F31" i="35"/>
  <c r="D29" i="35"/>
  <c r="C28" i="35"/>
  <c r="AB43" i="35"/>
  <c r="AB32" i="35"/>
  <c r="B43" i="35"/>
  <c r="B44" i="35"/>
  <c r="AB30" i="35"/>
  <c r="AB40" i="35"/>
  <c r="BF37" i="35"/>
  <c r="BG38" i="35"/>
  <c r="BE36" i="35"/>
  <c r="BK36" i="35" s="1"/>
  <c r="BQ36" i="35" s="1"/>
  <c r="BD35" i="35"/>
  <c r="BC34" i="35"/>
  <c r="AB14" i="35"/>
  <c r="B30" i="35"/>
  <c r="AF29" i="35"/>
  <c r="AD27" i="35"/>
  <c r="AE28" i="35"/>
  <c r="AG30" i="35"/>
  <c r="AC26" i="35"/>
  <c r="BF20" i="35"/>
  <c r="BG21" i="35"/>
  <c r="BD18" i="35"/>
  <c r="BE19" i="35"/>
  <c r="BC17" i="35"/>
  <c r="D43" i="35"/>
  <c r="F45" i="35"/>
  <c r="G46" i="35"/>
  <c r="C42" i="35"/>
  <c r="E44" i="35"/>
  <c r="AD35" i="35"/>
  <c r="AE36" i="35"/>
  <c r="AF37" i="35"/>
  <c r="AG38" i="35"/>
  <c r="AC34" i="35"/>
  <c r="AE30" i="35"/>
  <c r="AD29" i="35"/>
  <c r="AF31" i="35"/>
  <c r="AG32" i="35"/>
  <c r="AC28" i="35"/>
  <c r="BG18" i="35"/>
  <c r="BE16" i="35"/>
  <c r="BD15" i="35"/>
  <c r="BC14" i="35"/>
  <c r="BF17" i="35"/>
  <c r="BF21" i="35"/>
  <c r="BG22" i="35"/>
  <c r="BC18" i="35"/>
  <c r="BE20" i="35"/>
  <c r="BD19" i="35"/>
  <c r="H14" i="8"/>
  <c r="R38" i="8"/>
  <c r="T38" i="8"/>
  <c r="B42" i="8"/>
  <c r="O39" i="8"/>
  <c r="I40" i="8"/>
  <c r="K40" i="8"/>
  <c r="M39" i="8"/>
  <c r="G41" i="8"/>
  <c r="S38" i="8"/>
  <c r="C42" i="8"/>
  <c r="E41" i="8"/>
  <c r="P39" i="8"/>
  <c r="D30" i="8"/>
  <c r="U17" i="8"/>
  <c r="AB68" i="35"/>
  <c r="H24" i="8"/>
  <c r="D21" i="8"/>
  <c r="U26" i="8"/>
  <c r="D41" i="8"/>
  <c r="U34" i="8"/>
  <c r="C28" i="7"/>
  <c r="F20" i="8"/>
  <c r="H20" i="8" s="1"/>
  <c r="D30" i="7"/>
  <c r="C29" i="10"/>
  <c r="C14" i="29"/>
  <c r="F21" i="7"/>
  <c r="E23" i="8" s="1"/>
  <c r="K40" i="7"/>
  <c r="K42" i="8" s="1"/>
  <c r="C21" i="11"/>
  <c r="D17" i="10"/>
  <c r="M31" i="7"/>
  <c r="M33" i="8" s="1"/>
  <c r="C34" i="11"/>
  <c r="D15" i="29"/>
  <c r="D30" i="10"/>
  <c r="D115" i="26"/>
  <c r="N115" i="26" s="1"/>
  <c r="B141" i="26"/>
  <c r="D16" i="11"/>
  <c r="G15" i="8"/>
  <c r="H15" i="8" s="1"/>
  <c r="K20" i="7"/>
  <c r="K22" i="8" s="1"/>
  <c r="C12" i="10"/>
  <c r="J23" i="8"/>
  <c r="L23" i="8" s="1"/>
  <c r="I36" i="7"/>
  <c r="K16" i="32"/>
  <c r="I32" i="7"/>
  <c r="I34" i="8" s="1"/>
  <c r="R23" i="7"/>
  <c r="S25" i="8" s="1"/>
  <c r="F29" i="7"/>
  <c r="E31" i="8" s="1"/>
  <c r="B23" i="8"/>
  <c r="D23" i="8" s="1"/>
  <c r="U19" i="8"/>
  <c r="S23" i="7"/>
  <c r="T25" i="8" s="1"/>
  <c r="H26" i="7"/>
  <c r="G28" i="8" s="1"/>
  <c r="N24" i="7"/>
  <c r="K26" i="9" s="1"/>
  <c r="L26" i="9" s="1"/>
  <c r="M26" i="9" s="1"/>
  <c r="AJ11" i="16"/>
  <c r="AQ11" i="16" s="1"/>
  <c r="C29" i="11"/>
  <c r="D25" i="10"/>
  <c r="J19" i="8"/>
  <c r="L19" i="8" s="1"/>
  <c r="N27" i="7"/>
  <c r="K29" i="9" s="1"/>
  <c r="L29" i="9" s="1"/>
  <c r="P27" i="7"/>
  <c r="P29" i="8" s="1"/>
  <c r="Q25" i="32"/>
  <c r="K18" i="32"/>
  <c r="C46" i="10"/>
  <c r="C31" i="11"/>
  <c r="D27" i="10"/>
  <c r="D12" i="29"/>
  <c r="R18" i="7"/>
  <c r="S20" i="8" s="1"/>
  <c r="E22" i="7"/>
  <c r="C24" i="8" s="1"/>
  <c r="K14" i="32"/>
  <c r="K22" i="32"/>
  <c r="S38" i="7"/>
  <c r="T40" i="8" s="1"/>
  <c r="N39" i="7"/>
  <c r="K41" i="9" s="1"/>
  <c r="L41" i="9" s="1"/>
  <c r="M41" i="9" s="1"/>
  <c r="Q38" i="7"/>
  <c r="R40" i="8" s="1"/>
  <c r="E11" i="32"/>
  <c r="N14" i="7"/>
  <c r="K16" i="9" s="1"/>
  <c r="L16" i="9" s="1"/>
  <c r="M16" i="9" s="1"/>
  <c r="Q13" i="7"/>
  <c r="M14" i="7"/>
  <c r="C18" i="11"/>
  <c r="D14" i="10"/>
  <c r="H37" i="7"/>
  <c r="N35" i="7"/>
  <c r="K37" i="9" s="1"/>
  <c r="L37" i="9" s="1"/>
  <c r="M37" i="9" s="1"/>
  <c r="W20" i="32"/>
  <c r="F33" i="7"/>
  <c r="C14" i="10"/>
  <c r="W7" i="28"/>
  <c r="B6" i="31"/>
  <c r="F12" i="8"/>
  <c r="H12" i="8" s="1"/>
  <c r="P24" i="7"/>
  <c r="P26" i="8" s="1"/>
  <c r="Q23" i="7"/>
  <c r="R25" i="8" s="1"/>
  <c r="G26" i="7"/>
  <c r="C26" i="36" s="1"/>
  <c r="U8" i="8"/>
  <c r="K6" i="7"/>
  <c r="M27" i="7"/>
  <c r="M29" i="8" s="1"/>
  <c r="H29" i="7"/>
  <c r="G31" i="8" s="1"/>
  <c r="B148" i="26"/>
  <c r="L39" i="8"/>
  <c r="AB17" i="11"/>
  <c r="S17" i="11"/>
  <c r="T17" i="11" s="1"/>
  <c r="N17" i="11"/>
  <c r="O17" i="11" s="1"/>
  <c r="X17" i="11"/>
  <c r="Y17" i="11" s="1"/>
  <c r="E19" i="32"/>
  <c r="AK12" i="16"/>
  <c r="M124" i="26"/>
  <c r="U33" i="8"/>
  <c r="D13" i="8"/>
  <c r="E8" i="7"/>
  <c r="W8" i="7" s="1"/>
  <c r="L32" i="8"/>
  <c r="F36" i="8"/>
  <c r="H36" i="8" s="1"/>
  <c r="N19" i="7"/>
  <c r="K21" i="9" s="1"/>
  <c r="L21" i="9" s="1"/>
  <c r="M21" i="9" s="1"/>
  <c r="E42" i="7"/>
  <c r="C44" i="8" s="1"/>
  <c r="F22" i="8"/>
  <c r="H22" i="8" s="1"/>
  <c r="R13" i="7"/>
  <c r="S15" i="8" s="1"/>
  <c r="J15" i="7"/>
  <c r="D15" i="36" s="1"/>
  <c r="AB66" i="35"/>
  <c r="AC67" i="35" s="1"/>
  <c r="AI67" i="35" s="1"/>
  <c r="G16" i="7"/>
  <c r="C16" i="36" s="1"/>
  <c r="J36" i="7"/>
  <c r="D36" i="36" s="1"/>
  <c r="AB87" i="35"/>
  <c r="AF89" i="35" s="1"/>
  <c r="AL89" i="35" s="1"/>
  <c r="AR89" i="35" s="1"/>
  <c r="AX89" i="35" s="1"/>
  <c r="D38" i="7"/>
  <c r="C28" i="11"/>
  <c r="D24" i="10"/>
  <c r="P31" i="7"/>
  <c r="P33" i="8" s="1"/>
  <c r="K32" i="7"/>
  <c r="K34" i="8" s="1"/>
  <c r="N12" i="8"/>
  <c r="Q12" i="8" s="1"/>
  <c r="J11" i="8"/>
  <c r="L11" i="8" s="1"/>
  <c r="L36" i="8"/>
  <c r="Q24" i="32"/>
  <c r="I11" i="14"/>
  <c r="J11" i="14" s="1"/>
  <c r="H11" i="14"/>
  <c r="G21" i="7"/>
  <c r="C21" i="36" s="1"/>
  <c r="B71" i="35"/>
  <c r="F73" i="35" s="1"/>
  <c r="O14" i="7"/>
  <c r="O16" i="8" s="1"/>
  <c r="F37" i="7"/>
  <c r="D39" i="11"/>
  <c r="F26" i="7"/>
  <c r="C35" i="11"/>
  <c r="D31" i="10"/>
  <c r="D16" i="29"/>
  <c r="I20" i="7"/>
  <c r="I22" i="8" s="1"/>
  <c r="G41" i="7"/>
  <c r="C41" i="36" s="1"/>
  <c r="S13" i="7"/>
  <c r="E38" i="7"/>
  <c r="G33" i="7"/>
  <c r="C33" i="36" s="1"/>
  <c r="C13" i="10"/>
  <c r="D130" i="26"/>
  <c r="AA31" i="10"/>
  <c r="Z31" i="10"/>
  <c r="C36" i="11"/>
  <c r="D17" i="29"/>
  <c r="D32" i="10"/>
  <c r="J20" i="7"/>
  <c r="D20" i="36" s="1"/>
  <c r="AB71" i="35"/>
  <c r="AJ71" i="35" s="1"/>
  <c r="AP71" i="35" s="1"/>
  <c r="AV71" i="35" s="1"/>
  <c r="K36" i="7"/>
  <c r="C43" i="11"/>
  <c r="D39" i="10"/>
  <c r="D24" i="29"/>
  <c r="R30" i="7"/>
  <c r="S32" i="8" s="1"/>
  <c r="C39" i="11"/>
  <c r="D35" i="10"/>
  <c r="D20" i="29"/>
  <c r="F7" i="7"/>
  <c r="D27" i="7"/>
  <c r="R37" i="8"/>
  <c r="U37" i="8" s="1"/>
  <c r="O27" i="7"/>
  <c r="O29" i="8" s="1"/>
  <c r="Q13" i="32"/>
  <c r="O19" i="7"/>
  <c r="O21" i="8" s="1"/>
  <c r="D18" i="11"/>
  <c r="J40" i="7"/>
  <c r="D40" i="36" s="1"/>
  <c r="AB91" i="35"/>
  <c r="F41" i="7"/>
  <c r="Q19" i="32"/>
  <c r="F16" i="7"/>
  <c r="D28" i="11"/>
  <c r="S34" i="7"/>
  <c r="N31" i="7"/>
  <c r="K33" i="9" s="1"/>
  <c r="L33" i="9" s="1"/>
  <c r="M33" i="9" s="1"/>
  <c r="H33" i="7"/>
  <c r="G35" i="8" s="1"/>
  <c r="C16" i="10"/>
  <c r="AA15" i="10"/>
  <c r="Z15" i="10"/>
  <c r="J51" i="25"/>
  <c r="C11" i="10"/>
  <c r="N27" i="8"/>
  <c r="Q27" i="8" s="1"/>
  <c r="P39" i="7"/>
  <c r="H16" i="7"/>
  <c r="G18" i="8" s="1"/>
  <c r="F9" i="8"/>
  <c r="M35" i="7"/>
  <c r="J8" i="8"/>
  <c r="H8" i="9"/>
  <c r="D126" i="26"/>
  <c r="N34" i="8"/>
  <c r="Q34" i="8" s="1"/>
  <c r="M116" i="26"/>
  <c r="E30" i="7"/>
  <c r="C32" i="8" s="1"/>
  <c r="AI10" i="16"/>
  <c r="AP10" i="16" s="1"/>
  <c r="F40" i="8"/>
  <c r="H40" i="8" s="1"/>
  <c r="P19" i="7"/>
  <c r="P21" i="8" s="1"/>
  <c r="J35" i="8"/>
  <c r="L35" i="8" s="1"/>
  <c r="K26" i="32"/>
  <c r="K15" i="7"/>
  <c r="K17" i="8" s="1"/>
  <c r="P35" i="7"/>
  <c r="D41" i="11"/>
  <c r="R26" i="7"/>
  <c r="S28" i="8" s="1"/>
  <c r="S18" i="7"/>
  <c r="T20" i="8" s="1"/>
  <c r="M39" i="7"/>
  <c r="O35" i="7"/>
  <c r="N33" i="11"/>
  <c r="O33" i="11" s="1"/>
  <c r="AB33" i="11"/>
  <c r="S33" i="11"/>
  <c r="T33" i="11" s="1"/>
  <c r="X33" i="11"/>
  <c r="Y33" i="11" s="1"/>
  <c r="O31" i="7"/>
  <c r="O33" i="8" s="1"/>
  <c r="F29" i="8"/>
  <c r="H29" i="8" s="1"/>
  <c r="D27" i="11"/>
  <c r="I25" i="7"/>
  <c r="I27" i="8" s="1"/>
  <c r="M120" i="26"/>
  <c r="AA16" i="29"/>
  <c r="Z16" i="29"/>
  <c r="C31" i="7"/>
  <c r="J25" i="7"/>
  <c r="D25" i="36" s="1"/>
  <c r="AB76" i="35"/>
  <c r="AE77" i="35" s="1"/>
  <c r="AK77" i="35" s="1"/>
  <c r="AQ77" i="35" s="1"/>
  <c r="AW77" i="35" s="1"/>
  <c r="M24" i="7"/>
  <c r="M26" i="8" s="1"/>
  <c r="N120" i="26"/>
  <c r="U30" i="8"/>
  <c r="K28" i="7"/>
  <c r="K30" i="8" s="1"/>
  <c r="AB14" i="11"/>
  <c r="S14" i="11"/>
  <c r="T14" i="11" s="1"/>
  <c r="N14" i="11"/>
  <c r="O14" i="11" s="1"/>
  <c r="X14" i="11"/>
  <c r="Y14" i="11" s="1"/>
  <c r="C13" i="11"/>
  <c r="D11" i="10"/>
  <c r="B10" i="8"/>
  <c r="K20" i="32"/>
  <c r="U21" i="8"/>
  <c r="C9" i="7"/>
  <c r="W9" i="7" s="1"/>
  <c r="H21" i="7"/>
  <c r="G23" i="8" s="1"/>
  <c r="D22" i="7"/>
  <c r="B24" i="8" s="1"/>
  <c r="C25" i="10"/>
  <c r="O39" i="7"/>
  <c r="E17" i="7"/>
  <c r="C19" i="8" s="1"/>
  <c r="P14" i="7"/>
  <c r="Z33" i="10"/>
  <c r="AA33" i="10"/>
  <c r="N31" i="8"/>
  <c r="Q31" i="8" s="1"/>
  <c r="R34" i="7"/>
  <c r="C23" i="10"/>
  <c r="F41" i="8"/>
  <c r="D34" i="7"/>
  <c r="S30" i="7"/>
  <c r="T32" i="8" s="1"/>
  <c r="I6" i="7"/>
  <c r="W6" i="7" s="1"/>
  <c r="M125" i="26"/>
  <c r="J21" i="8"/>
  <c r="L21" i="8" s="1"/>
  <c r="D122" i="26"/>
  <c r="C26" i="10"/>
  <c r="C11" i="29"/>
  <c r="F33" i="8"/>
  <c r="H33" i="8" s="1"/>
  <c r="C27" i="14"/>
  <c r="O24" i="7"/>
  <c r="O26" i="8" s="1"/>
  <c r="Q26" i="7"/>
  <c r="R28" i="8" s="1"/>
  <c r="M43" i="25"/>
  <c r="M51" i="25" s="1"/>
  <c r="J52" i="25"/>
  <c r="N39" i="8"/>
  <c r="F37" i="8"/>
  <c r="H37" i="8" s="1"/>
  <c r="C23" i="7"/>
  <c r="M128" i="26"/>
  <c r="Q8" i="8"/>
  <c r="I28" i="7"/>
  <c r="I30" i="8" s="1"/>
  <c r="C42" i="11"/>
  <c r="D23" i="29"/>
  <c r="D38" i="10"/>
  <c r="N35" i="8"/>
  <c r="Q35" i="8" s="1"/>
  <c r="K12" i="32"/>
  <c r="J13" i="8"/>
  <c r="L13" i="8" s="1"/>
  <c r="C32" i="11"/>
  <c r="D28" i="10"/>
  <c r="D13" i="29"/>
  <c r="R38" i="7"/>
  <c r="S40" i="8" s="1"/>
  <c r="I15" i="7"/>
  <c r="M121" i="26"/>
  <c r="Q34" i="7"/>
  <c r="Q30" i="7"/>
  <c r="R32" i="8" s="1"/>
  <c r="K23" i="32"/>
  <c r="D20" i="11"/>
  <c r="C22" i="29"/>
  <c r="C37" i="10"/>
  <c r="K15" i="32"/>
  <c r="D19" i="10"/>
  <c r="C23" i="11"/>
  <c r="K25" i="7"/>
  <c r="K27" i="8" s="1"/>
  <c r="E27" i="7"/>
  <c r="C29" i="8" s="1"/>
  <c r="E24" i="32"/>
  <c r="K17" i="32"/>
  <c r="N18" i="8"/>
  <c r="Q18" i="8" s="1"/>
  <c r="C18" i="10"/>
  <c r="C17" i="11"/>
  <c r="D13" i="10"/>
  <c r="D31" i="11"/>
  <c r="J28" i="7"/>
  <c r="D28" i="36" s="1"/>
  <c r="AB79" i="35"/>
  <c r="AE80" i="35" s="1"/>
  <c r="AK80" i="35" s="1"/>
  <c r="AQ80" i="35" s="1"/>
  <c r="AW80" i="35" s="1"/>
  <c r="G29" i="7"/>
  <c r="C29" i="36" s="1"/>
  <c r="S26" i="7"/>
  <c r="T28" i="8" s="1"/>
  <c r="N22" i="8"/>
  <c r="Q22" i="8" s="1"/>
  <c r="D132" i="26"/>
  <c r="N10" i="8"/>
  <c r="Q18" i="7"/>
  <c r="R20" i="8" s="1"/>
  <c r="M19" i="7"/>
  <c r="M21" i="8" s="1"/>
  <c r="H41" i="7"/>
  <c r="G43" i="8" s="1"/>
  <c r="D42" i="7"/>
  <c r="I40" i="7"/>
  <c r="M117" i="26"/>
  <c r="D35" i="11"/>
  <c r="C18" i="7"/>
  <c r="D17" i="7"/>
  <c r="Z18" i="29"/>
  <c r="AA18" i="29"/>
  <c r="G37" i="7"/>
  <c r="C37" i="36" s="1"/>
  <c r="AB22" i="11"/>
  <c r="N22" i="11"/>
  <c r="O22" i="11" s="1"/>
  <c r="S22" i="11"/>
  <c r="T22" i="11" s="1"/>
  <c r="X22" i="11"/>
  <c r="Y22" i="11" s="1"/>
  <c r="E13" i="32"/>
  <c r="C15" i="11"/>
  <c r="D45" i="10"/>
  <c r="D118" i="26"/>
  <c r="W9" i="30" s="1"/>
  <c r="E34" i="7"/>
  <c r="C36" i="8" s="1"/>
  <c r="J32" i="7"/>
  <c r="D32" i="36" s="1"/>
  <c r="AB83" i="35"/>
  <c r="AG85" i="35" s="1"/>
  <c r="AM85" i="35" s="1"/>
  <c r="AS85" i="35" s="1"/>
  <c r="AY85" i="35" s="1"/>
  <c r="C19" i="11"/>
  <c r="D15" i="10"/>
  <c r="D12" i="11"/>
  <c r="L28" i="8"/>
  <c r="K21" i="32"/>
  <c r="BJ39" i="35" l="1"/>
  <c r="BP39" i="35" s="1"/>
  <c r="BL39" i="35"/>
  <c r="BR39" i="35" s="1"/>
  <c r="BR17" i="16"/>
  <c r="BI26" i="35"/>
  <c r="BO26" i="35" s="1"/>
  <c r="BR19" i="16"/>
  <c r="BL31" i="35"/>
  <c r="BR31" i="35" s="1"/>
  <c r="BR16" i="16"/>
  <c r="BS17" i="16"/>
  <c r="BS22" i="16"/>
  <c r="BJ26" i="35"/>
  <c r="BP26" i="35" s="1"/>
  <c r="M22" i="35"/>
  <c r="S22" i="35" s="1"/>
  <c r="Y22" i="35" s="1"/>
  <c r="BR24" i="16"/>
  <c r="BR12" i="16"/>
  <c r="B142" i="26"/>
  <c r="B149" i="26"/>
  <c r="BS16" i="16"/>
  <c r="BS10" i="16"/>
  <c r="BT20" i="16"/>
  <c r="BT11" i="16"/>
  <c r="B139" i="26"/>
  <c r="B137" i="26"/>
  <c r="X21" i="29"/>
  <c r="Y21" i="29" s="1"/>
  <c r="BT24" i="16"/>
  <c r="BW17" i="16"/>
  <c r="D45" i="9"/>
  <c r="E45" i="9" s="1"/>
  <c r="BT12" i="16"/>
  <c r="BW20" i="16"/>
  <c r="BT16" i="16"/>
  <c r="BT21" i="16"/>
  <c r="BT15" i="16"/>
  <c r="BS20" i="16"/>
  <c r="BT13" i="16"/>
  <c r="BS9" i="16"/>
  <c r="BS12" i="16"/>
  <c r="BS11" i="16"/>
  <c r="BS18" i="16"/>
  <c r="BT14" i="16"/>
  <c r="BS15" i="16"/>
  <c r="BT23" i="16"/>
  <c r="BS24" i="16"/>
  <c r="BS14" i="16"/>
  <c r="BS19" i="16"/>
  <c r="BT10" i="16"/>
  <c r="BS21" i="16"/>
  <c r="BT17" i="16"/>
  <c r="BT22" i="16"/>
  <c r="BT18" i="16"/>
  <c r="G28" i="21"/>
  <c r="BW21" i="16"/>
  <c r="BW19" i="16"/>
  <c r="BW22" i="16"/>
  <c r="BW18" i="16"/>
  <c r="BW24" i="16"/>
  <c r="S21" i="29"/>
  <c r="T21" i="29" s="1"/>
  <c r="E46" i="6"/>
  <c r="S47" i="6"/>
  <c r="P46" i="6"/>
  <c r="N21" i="29"/>
  <c r="O21" i="29" s="1"/>
  <c r="M47" i="6"/>
  <c r="O46" i="6"/>
  <c r="R46" i="6"/>
  <c r="S11" i="11"/>
  <c r="T11" i="11" s="1"/>
  <c r="Z20" i="10"/>
  <c r="BV19" i="16"/>
  <c r="F29" i="21"/>
  <c r="W35" i="7"/>
  <c r="BV16" i="16"/>
  <c r="H28" i="21"/>
  <c r="B35" i="21" s="1"/>
  <c r="BV24" i="16"/>
  <c r="BV20" i="16"/>
  <c r="BV13" i="16"/>
  <c r="BR23" i="16"/>
  <c r="BR15" i="16"/>
  <c r="BV17" i="16"/>
  <c r="BV21" i="16"/>
  <c r="BV23" i="16"/>
  <c r="BR8" i="16"/>
  <c r="BV18" i="16"/>
  <c r="BV22" i="16"/>
  <c r="BR21" i="16"/>
  <c r="BR20" i="16"/>
  <c r="BV15" i="16"/>
  <c r="BV14" i="16"/>
  <c r="BR9" i="16"/>
  <c r="BR14" i="16"/>
  <c r="AB11" i="11"/>
  <c r="F44" i="7"/>
  <c r="E43" i="31"/>
  <c r="F47" i="6"/>
  <c r="J43" i="7"/>
  <c r="I43" i="31"/>
  <c r="K43" i="7"/>
  <c r="J43" i="31"/>
  <c r="K47" i="6"/>
  <c r="K46" i="6"/>
  <c r="N11" i="11"/>
  <c r="O11" i="11" s="1"/>
  <c r="BE73" i="35"/>
  <c r="V40" i="7"/>
  <c r="U43" i="31"/>
  <c r="Q41" i="7"/>
  <c r="P43" i="31"/>
  <c r="I43" i="7"/>
  <c r="H43" i="31"/>
  <c r="I47" i="6"/>
  <c r="N42" i="7"/>
  <c r="M43" i="31"/>
  <c r="H44" i="7"/>
  <c r="G43" i="31"/>
  <c r="H46" i="6"/>
  <c r="D133" i="26"/>
  <c r="N133" i="26" s="1"/>
  <c r="E45" i="7"/>
  <c r="D43" i="31"/>
  <c r="G44" i="7"/>
  <c r="C46" i="9" s="1"/>
  <c r="D46" i="9" s="1"/>
  <c r="E46" i="9" s="1"/>
  <c r="F43" i="31"/>
  <c r="B49" i="35" s="1"/>
  <c r="G46" i="6"/>
  <c r="N46" i="6"/>
  <c r="B147" i="26"/>
  <c r="B138" i="26"/>
  <c r="I46" i="6"/>
  <c r="U40" i="7"/>
  <c r="T43" i="31"/>
  <c r="U46" i="6"/>
  <c r="T40" i="7"/>
  <c r="S43" i="31"/>
  <c r="S47" i="31" s="1"/>
  <c r="T46" i="6"/>
  <c r="T47" i="6"/>
  <c r="H47" i="6"/>
  <c r="J47" i="6"/>
  <c r="G47" i="6"/>
  <c r="B150" i="26"/>
  <c r="B145" i="26"/>
  <c r="B140" i="26"/>
  <c r="AH27" i="32"/>
  <c r="AH34" i="32" s="1"/>
  <c r="AH35" i="32" s="1"/>
  <c r="P42" i="7"/>
  <c r="O43" i="31"/>
  <c r="D45" i="7"/>
  <c r="C43" i="31"/>
  <c r="D46" i="6"/>
  <c r="C46" i="7"/>
  <c r="B43" i="31"/>
  <c r="B47" i="31" s="1"/>
  <c r="C46" i="6"/>
  <c r="E28" i="21"/>
  <c r="B29" i="21"/>
  <c r="B36" i="21" s="1"/>
  <c r="U47" i="6"/>
  <c r="M42" i="7"/>
  <c r="L43" i="31"/>
  <c r="L47" i="31" s="1"/>
  <c r="L43" i="7"/>
  <c r="K43" i="31"/>
  <c r="K47" i="31" s="1"/>
  <c r="L46" i="6"/>
  <c r="BS23" i="16"/>
  <c r="V47" i="6"/>
  <c r="O42" i="7"/>
  <c r="N43" i="31"/>
  <c r="R41" i="7"/>
  <c r="Q43" i="31"/>
  <c r="S41" i="7"/>
  <c r="R43" i="31"/>
  <c r="Q46" i="6"/>
  <c r="J27" i="32"/>
  <c r="J31" i="32" s="1"/>
  <c r="J32" i="32" s="1"/>
  <c r="K27" i="32"/>
  <c r="K31" i="32" s="1"/>
  <c r="K32" i="32" s="1"/>
  <c r="K33" i="32" s="1"/>
  <c r="Q27" i="32"/>
  <c r="P27" i="32"/>
  <c r="P31" i="32" s="1"/>
  <c r="P32" i="32" s="1"/>
  <c r="Z26" i="33"/>
  <c r="AB27" i="32"/>
  <c r="AB34" i="32" s="1"/>
  <c r="AB35" i="32" s="1"/>
  <c r="AC27" i="32"/>
  <c r="D27" i="32"/>
  <c r="D31" i="32" s="1"/>
  <c r="D32" i="32" s="1"/>
  <c r="E27" i="32"/>
  <c r="E31" i="32" s="1"/>
  <c r="E32" i="32" s="1"/>
  <c r="E33" i="32" s="1"/>
  <c r="D49" i="7"/>
  <c r="M53" i="7"/>
  <c r="W7" i="7"/>
  <c r="W36" i="7"/>
  <c r="M30" i="35"/>
  <c r="S30" i="35" s="1"/>
  <c r="Y30" i="35" s="1"/>
  <c r="BF85" i="35"/>
  <c r="BL85" i="35" s="1"/>
  <c r="BR85" i="35" s="1"/>
  <c r="BX85" i="35" s="1"/>
  <c r="D22" i="35"/>
  <c r="J22" i="35" s="1"/>
  <c r="P22" i="35" s="1"/>
  <c r="V22" i="35" s="1"/>
  <c r="W17" i="7"/>
  <c r="H44" i="9"/>
  <c r="I44" i="9" s="1"/>
  <c r="AA40" i="11"/>
  <c r="BI71" i="35"/>
  <c r="BO71" i="35" s="1"/>
  <c r="BU71" i="35" s="1"/>
  <c r="BE87" i="35"/>
  <c r="BC85" i="35"/>
  <c r="BI85" i="35" s="1"/>
  <c r="BO85" i="35" s="1"/>
  <c r="BU85" i="35" s="1"/>
  <c r="I65" i="35"/>
  <c r="O65" i="35" s="1"/>
  <c r="U65" i="35" s="1"/>
  <c r="S36" i="10"/>
  <c r="T36" i="10" s="1"/>
  <c r="N36" i="10"/>
  <c r="O36" i="10" s="1"/>
  <c r="E60" i="35"/>
  <c r="K60" i="35" s="1"/>
  <c r="J15" i="35"/>
  <c r="P15" i="35" s="1"/>
  <c r="X36" i="10"/>
  <c r="Y36" i="10" s="1"/>
  <c r="U1" i="33"/>
  <c r="Q9" i="33" s="1"/>
  <c r="F21" i="30"/>
  <c r="F50" i="31"/>
  <c r="F49" i="31"/>
  <c r="F51" i="31" s="1"/>
  <c r="B45" i="35"/>
  <c r="L45" i="35" s="1"/>
  <c r="R45" i="35" s="1"/>
  <c r="X45" i="35" s="1"/>
  <c r="B90" i="35"/>
  <c r="C91" i="35" s="1"/>
  <c r="K40" i="9"/>
  <c r="L40" i="9" s="1"/>
  <c r="N40" i="8"/>
  <c r="Q40" i="8" s="1"/>
  <c r="Q21" i="30"/>
  <c r="Q50" i="31"/>
  <c r="Q49" i="31"/>
  <c r="Q51" i="31" s="1"/>
  <c r="BD72" i="35"/>
  <c r="BJ72" i="35" s="1"/>
  <c r="BP72" i="35" s="1"/>
  <c r="BV72" i="35" s="1"/>
  <c r="D23" i="11"/>
  <c r="N23" i="11" s="1"/>
  <c r="O23" i="11" s="1"/>
  <c r="BU31" i="16"/>
  <c r="M21" i="30"/>
  <c r="M50" i="31"/>
  <c r="M49" i="31"/>
  <c r="M51" i="31" s="1"/>
  <c r="BB90" i="35"/>
  <c r="BJ90" i="35" s="1"/>
  <c r="BP90" i="35" s="1"/>
  <c r="BV90" i="35" s="1"/>
  <c r="BB45" i="35"/>
  <c r="BL45" i="35" s="1"/>
  <c r="BR45" i="35" s="1"/>
  <c r="BX45" i="35" s="1"/>
  <c r="G21" i="30"/>
  <c r="G49" i="31"/>
  <c r="G51" i="31" s="1"/>
  <c r="G50" i="31"/>
  <c r="E21" i="30"/>
  <c r="E50" i="31"/>
  <c r="E49" i="31"/>
  <c r="E51" i="31" s="1"/>
  <c r="T21" i="30"/>
  <c r="T49" i="31"/>
  <c r="T51" i="31" s="1"/>
  <c r="T50" i="31"/>
  <c r="S21" i="30"/>
  <c r="S46" i="31"/>
  <c r="S50" i="31"/>
  <c r="S49" i="31"/>
  <c r="S51" i="31" s="1"/>
  <c r="D39" i="36"/>
  <c r="F39" i="36" s="1"/>
  <c r="G41" i="9"/>
  <c r="H41" i="9" s="1"/>
  <c r="J41" i="8"/>
  <c r="L41" i="8" s="1"/>
  <c r="H21" i="30"/>
  <c r="H50" i="31"/>
  <c r="H49" i="31"/>
  <c r="H51" i="31" s="1"/>
  <c r="U39" i="8"/>
  <c r="L53" i="7"/>
  <c r="L49" i="7"/>
  <c r="C40" i="36"/>
  <c r="E40" i="36" s="1"/>
  <c r="F42" i="8"/>
  <c r="H42" i="8" s="1"/>
  <c r="C42" i="9"/>
  <c r="D42" i="9" s="1"/>
  <c r="B21" i="30"/>
  <c r="V39" i="31"/>
  <c r="B50" i="31"/>
  <c r="B46" i="31"/>
  <c r="D21" i="30"/>
  <c r="D50" i="31"/>
  <c r="D49" i="31"/>
  <c r="D51" i="31" s="1"/>
  <c r="N21" i="30"/>
  <c r="N49" i="31"/>
  <c r="N51" i="31" s="1"/>
  <c r="N50" i="31"/>
  <c r="I49" i="31"/>
  <c r="I51" i="31" s="1"/>
  <c r="I50" i="31"/>
  <c r="AB90" i="35"/>
  <c r="AB45" i="35"/>
  <c r="D43" i="8"/>
  <c r="P21" i="30"/>
  <c r="P49" i="31"/>
  <c r="P51" i="31" s="1"/>
  <c r="P50" i="31"/>
  <c r="T49" i="7"/>
  <c r="T53" i="7"/>
  <c r="U21" i="30"/>
  <c r="U50" i="31"/>
  <c r="U49" i="31"/>
  <c r="U51" i="31" s="1"/>
  <c r="L21" i="30"/>
  <c r="L50" i="31"/>
  <c r="L49" i="31"/>
  <c r="L51" i="31" s="1"/>
  <c r="O21" i="30"/>
  <c r="O50" i="31"/>
  <c r="O49" i="31"/>
  <c r="O51" i="31" s="1"/>
  <c r="K21" i="30"/>
  <c r="K49" i="31"/>
  <c r="K51" i="31" s="1"/>
  <c r="K46" i="31"/>
  <c r="K50" i="31"/>
  <c r="W38" i="7"/>
  <c r="N131" i="26"/>
  <c r="T52" i="7"/>
  <c r="T54" i="7" s="1"/>
  <c r="C21" i="30"/>
  <c r="C49" i="31"/>
  <c r="C51" i="31" s="1"/>
  <c r="C50" i="31"/>
  <c r="J21" i="30"/>
  <c r="J50" i="31"/>
  <c r="J49" i="31"/>
  <c r="J51" i="31" s="1"/>
  <c r="R21" i="30"/>
  <c r="R49" i="31"/>
  <c r="R51" i="31" s="1"/>
  <c r="R50" i="31"/>
  <c r="W18" i="7"/>
  <c r="W27" i="7"/>
  <c r="AJ29" i="16"/>
  <c r="AH29" i="16"/>
  <c r="M132" i="26"/>
  <c r="W23" i="30"/>
  <c r="AC58" i="35"/>
  <c r="AI58" i="35" s="1"/>
  <c r="AD59" i="35"/>
  <c r="AJ59" i="35" s="1"/>
  <c r="AE60" i="35"/>
  <c r="AK60" i="35" s="1"/>
  <c r="AG62" i="35"/>
  <c r="AM62" i="35" s="1"/>
  <c r="CN27" i="16"/>
  <c r="CN29" i="16"/>
  <c r="N130" i="26"/>
  <c r="W21" i="30"/>
  <c r="C44" i="9"/>
  <c r="D44" i="9" s="1"/>
  <c r="E44" i="9" s="1"/>
  <c r="C42" i="36"/>
  <c r="E49" i="7"/>
  <c r="E11" i="2" s="1"/>
  <c r="V6" i="31"/>
  <c r="AI29" i="16"/>
  <c r="W15" i="7"/>
  <c r="W34" i="7"/>
  <c r="W16" i="7"/>
  <c r="W26" i="7"/>
  <c r="W30" i="7"/>
  <c r="W19" i="7"/>
  <c r="BU37" i="16"/>
  <c r="W31" i="7"/>
  <c r="W14" i="7"/>
  <c r="G43" i="9"/>
  <c r="H43" i="9" s="1"/>
  <c r="I43" i="9" s="1"/>
  <c r="D41" i="36"/>
  <c r="AL29" i="16"/>
  <c r="W39" i="7"/>
  <c r="W13" i="7"/>
  <c r="W29" i="7"/>
  <c r="N122" i="26"/>
  <c r="W13" i="30"/>
  <c r="N126" i="26"/>
  <c r="W17" i="30"/>
  <c r="W37" i="7"/>
  <c r="E122" i="26" s="1"/>
  <c r="E35" i="8"/>
  <c r="W33" i="7"/>
  <c r="W28" i="7"/>
  <c r="AK29" i="16"/>
  <c r="AF61" i="35"/>
  <c r="AL61" i="35" s="1"/>
  <c r="W32" i="7"/>
  <c r="AC32" i="7" s="1"/>
  <c r="F11" i="14"/>
  <c r="G11" i="14" s="1"/>
  <c r="D60" i="35"/>
  <c r="J60" i="35" s="1"/>
  <c r="P60" i="35" s="1"/>
  <c r="V60" i="35" s="1"/>
  <c r="E62" i="35"/>
  <c r="K62" i="35" s="1"/>
  <c r="Q62" i="35" s="1"/>
  <c r="W62" i="35" s="1"/>
  <c r="D61" i="35"/>
  <c r="J61" i="35" s="1"/>
  <c r="P61" i="35" s="1"/>
  <c r="V61" i="35" s="1"/>
  <c r="E61" i="35"/>
  <c r="K61" i="35" s="1"/>
  <c r="Q61" i="35" s="1"/>
  <c r="W61" i="35" s="1"/>
  <c r="AN17" i="16"/>
  <c r="AN28" i="16" s="1"/>
  <c r="AT20" i="16" s="1"/>
  <c r="AG29" i="16"/>
  <c r="AL28" i="16"/>
  <c r="AP38" i="16" s="1"/>
  <c r="I12" i="33" s="1"/>
  <c r="AG28" i="16"/>
  <c r="AP33" i="16" s="1"/>
  <c r="I7" i="33" s="1"/>
  <c r="R17" i="35"/>
  <c r="W16" i="35"/>
  <c r="AR17" i="35"/>
  <c r="AA12" i="11"/>
  <c r="E29" i="36"/>
  <c r="C31" i="9"/>
  <c r="D31" i="9" s="1"/>
  <c r="E31" i="9" s="1"/>
  <c r="E21" i="36"/>
  <c r="C23" i="9"/>
  <c r="D23" i="9" s="1"/>
  <c r="E23" i="9" s="1"/>
  <c r="F36" i="36"/>
  <c r="G38" i="9"/>
  <c r="H38" i="9" s="1"/>
  <c r="I38" i="9" s="1"/>
  <c r="E16" i="36"/>
  <c r="C18" i="9"/>
  <c r="D18" i="9" s="1"/>
  <c r="E18" i="9" s="1"/>
  <c r="F28" i="36"/>
  <c r="G30" i="9"/>
  <c r="H30" i="9" s="1"/>
  <c r="I30" i="9" s="1"/>
  <c r="E41" i="36"/>
  <c r="C43" i="9"/>
  <c r="D43" i="9" s="1"/>
  <c r="E43" i="9" s="1"/>
  <c r="F40" i="36"/>
  <c r="G42" i="9"/>
  <c r="H42" i="9" s="1"/>
  <c r="I42" i="9" s="1"/>
  <c r="F15" i="36"/>
  <c r="G17" i="9"/>
  <c r="H17" i="9" s="1"/>
  <c r="E33" i="36"/>
  <c r="C35" i="9"/>
  <c r="D35" i="9" s="1"/>
  <c r="E35" i="9" s="1"/>
  <c r="E26" i="36"/>
  <c r="C28" i="9"/>
  <c r="D28" i="9" s="1"/>
  <c r="F25" i="36"/>
  <c r="G27" i="9"/>
  <c r="H27" i="9" s="1"/>
  <c r="I27" i="9" s="1"/>
  <c r="E37" i="36"/>
  <c r="C39" i="9"/>
  <c r="D39" i="9" s="1"/>
  <c r="E39" i="9" s="1"/>
  <c r="F20" i="36"/>
  <c r="G22" i="9"/>
  <c r="H22" i="9" s="1"/>
  <c r="I22" i="9" s="1"/>
  <c r="F32" i="36"/>
  <c r="G34" i="9"/>
  <c r="H34" i="9" s="1"/>
  <c r="I34" i="9" s="1"/>
  <c r="M29" i="9"/>
  <c r="BF64" i="35"/>
  <c r="BL64" i="35" s="1"/>
  <c r="BR64" i="35" s="1"/>
  <c r="BX64" i="35" s="1"/>
  <c r="BF81" i="35"/>
  <c r="BL81" i="35" s="1"/>
  <c r="BR81" i="35" s="1"/>
  <c r="BX81" i="35" s="1"/>
  <c r="E15" i="35"/>
  <c r="K15" i="35" s="1"/>
  <c r="Q15" i="35" s="1"/>
  <c r="F19" i="35"/>
  <c r="L19" i="35" s="1"/>
  <c r="R19" i="35" s="1"/>
  <c r="X19" i="35" s="1"/>
  <c r="BI34" i="35"/>
  <c r="BO34" i="35" s="1"/>
  <c r="C13" i="35"/>
  <c r="I13" i="35" s="1"/>
  <c r="E97" i="26"/>
  <c r="D14" i="35"/>
  <c r="J14" i="35" s="1"/>
  <c r="P14" i="35" s="1"/>
  <c r="D17" i="35"/>
  <c r="J17" i="35" s="1"/>
  <c r="P17" i="35" s="1"/>
  <c r="V17" i="35" s="1"/>
  <c r="G17" i="35"/>
  <c r="M17" i="35" s="1"/>
  <c r="S17" i="35" s="1"/>
  <c r="C16" i="35"/>
  <c r="I16" i="35" s="1"/>
  <c r="O16" i="35" s="1"/>
  <c r="U16" i="35" s="1"/>
  <c r="BM42" i="35"/>
  <c r="BS42" i="35" s="1"/>
  <c r="G20" i="35"/>
  <c r="M20" i="35" s="1"/>
  <c r="S20" i="35" s="1"/>
  <c r="Y20" i="35" s="1"/>
  <c r="E18" i="35"/>
  <c r="K18" i="35" s="1"/>
  <c r="Q18" i="35" s="1"/>
  <c r="W18" i="35" s="1"/>
  <c r="BI42" i="35"/>
  <c r="BO42" i="35" s="1"/>
  <c r="I15" i="35"/>
  <c r="O15" i="35" s="1"/>
  <c r="U15" i="35" s="1"/>
  <c r="L65" i="35"/>
  <c r="R65" i="35" s="1"/>
  <c r="X65" i="35" s="1"/>
  <c r="BG65" i="35"/>
  <c r="BM65" i="35" s="1"/>
  <c r="BS65" i="35" s="1"/>
  <c r="BY65" i="35" s="1"/>
  <c r="BK63" i="35"/>
  <c r="BQ63" i="35" s="1"/>
  <c r="BW63" i="35" s="1"/>
  <c r="BJ83" i="35"/>
  <c r="BP83" i="35" s="1"/>
  <c r="BV83" i="35" s="1"/>
  <c r="BF65" i="35"/>
  <c r="BL65" i="35" s="1"/>
  <c r="BR65" i="35" s="1"/>
  <c r="BX65" i="35" s="1"/>
  <c r="BG86" i="35"/>
  <c r="BM86" i="35" s="1"/>
  <c r="BS86" i="35" s="1"/>
  <c r="BY86" i="35" s="1"/>
  <c r="BE84" i="35"/>
  <c r="BK84" i="35" s="1"/>
  <c r="BQ84" i="35" s="1"/>
  <c r="BW84" i="35" s="1"/>
  <c r="BM46" i="35"/>
  <c r="BS46" i="35" s="1"/>
  <c r="AM32" i="35"/>
  <c r="AS32" i="35" s="1"/>
  <c r="AY32" i="35" s="1"/>
  <c r="U49" i="7"/>
  <c r="BK38" i="35"/>
  <c r="BQ38" i="35" s="1"/>
  <c r="BW38" i="35" s="1"/>
  <c r="BM29" i="35"/>
  <c r="BS29" i="35" s="1"/>
  <c r="BY29" i="35" s="1"/>
  <c r="BI38" i="35"/>
  <c r="BO38" i="35" s="1"/>
  <c r="BE80" i="35"/>
  <c r="BK80" i="35" s="1"/>
  <c r="BQ80" i="35" s="1"/>
  <c r="BW80" i="35" s="1"/>
  <c r="BM38" i="35"/>
  <c r="BS38" i="35" s="1"/>
  <c r="BJ79" i="35"/>
  <c r="BP79" i="35" s="1"/>
  <c r="BV79" i="35" s="1"/>
  <c r="BL29" i="35"/>
  <c r="BR29" i="35" s="1"/>
  <c r="BX29" i="35" s="1"/>
  <c r="BJ29" i="35"/>
  <c r="BP29" i="35" s="1"/>
  <c r="BV29" i="35" s="1"/>
  <c r="V52" i="7"/>
  <c r="V54" i="7" s="1"/>
  <c r="F22" i="35"/>
  <c r="L22" i="35" s="1"/>
  <c r="R22" i="35" s="1"/>
  <c r="X22" i="35" s="1"/>
  <c r="C19" i="35"/>
  <c r="I19" i="35" s="1"/>
  <c r="O19" i="35" s="1"/>
  <c r="U19" i="35" s="1"/>
  <c r="I18" i="35"/>
  <c r="O18" i="35" s="1"/>
  <c r="U18" i="35" s="1"/>
  <c r="G23" i="35"/>
  <c r="M18" i="35"/>
  <c r="D20" i="35"/>
  <c r="J20" i="35" s="1"/>
  <c r="P20" i="35" s="1"/>
  <c r="V20" i="35" s="1"/>
  <c r="J18" i="35"/>
  <c r="P18" i="35" s="1"/>
  <c r="V18" i="35" s="1"/>
  <c r="BK30" i="35"/>
  <c r="BQ30" i="35" s="1"/>
  <c r="BW30" i="35" s="1"/>
  <c r="G19" i="35"/>
  <c r="M19" i="35" s="1"/>
  <c r="S19" i="35" s="1"/>
  <c r="Y19" i="35" s="1"/>
  <c r="D16" i="35"/>
  <c r="J16" i="35" s="1"/>
  <c r="P16" i="35" s="1"/>
  <c r="V16" i="35" s="1"/>
  <c r="I14" i="35"/>
  <c r="O14" i="35" s="1"/>
  <c r="U14" i="35" s="1"/>
  <c r="E17" i="35"/>
  <c r="K17" i="35" s="1"/>
  <c r="F18" i="35"/>
  <c r="L18" i="35" s="1"/>
  <c r="R18" i="35" s="1"/>
  <c r="X18" i="35" s="1"/>
  <c r="M29" i="35"/>
  <c r="S29" i="35" s="1"/>
  <c r="Y29" i="35" s="1"/>
  <c r="BL21" i="35"/>
  <c r="BR21" i="35" s="1"/>
  <c r="BJ21" i="35"/>
  <c r="BP21" i="35" s="1"/>
  <c r="E64" i="35"/>
  <c r="K64" i="35" s="1"/>
  <c r="Q64" i="35" s="1"/>
  <c r="W64" i="35" s="1"/>
  <c r="O53" i="7"/>
  <c r="AI20" i="35"/>
  <c r="AO20" i="35" s="1"/>
  <c r="AU20" i="35" s="1"/>
  <c r="BM21" i="35"/>
  <c r="BS21" i="35" s="1"/>
  <c r="E65" i="35"/>
  <c r="K65" i="35" s="1"/>
  <c r="Q65" i="35" s="1"/>
  <c r="W65" i="35" s="1"/>
  <c r="I63" i="35"/>
  <c r="O63" i="35" s="1"/>
  <c r="U63" i="35" s="1"/>
  <c r="G66" i="35"/>
  <c r="D64" i="35"/>
  <c r="J64" i="35" s="1"/>
  <c r="P64" i="35" s="1"/>
  <c r="V64" i="35" s="1"/>
  <c r="F66" i="35"/>
  <c r="BI14" i="35"/>
  <c r="BO14" i="35" s="1"/>
  <c r="BU14" i="35" s="1"/>
  <c r="J63" i="35"/>
  <c r="P63" i="35" s="1"/>
  <c r="V63" i="35" s="1"/>
  <c r="V53" i="7"/>
  <c r="V49" i="7"/>
  <c r="P49" i="7"/>
  <c r="AS29" i="16"/>
  <c r="AO38" i="16" s="1"/>
  <c r="H12" i="33" s="1"/>
  <c r="AR12" i="16"/>
  <c r="AK28" i="16"/>
  <c r="AP37" i="16" s="1"/>
  <c r="I11" i="33" s="1"/>
  <c r="AS28" i="16"/>
  <c r="BL66" i="35"/>
  <c r="BR66" i="35" s="1"/>
  <c r="BX66" i="35" s="1"/>
  <c r="AF88" i="35"/>
  <c r="AL88" i="35" s="1"/>
  <c r="AR88" i="35" s="1"/>
  <c r="AX88" i="35" s="1"/>
  <c r="AI66" i="35"/>
  <c r="AO66" i="35" s="1"/>
  <c r="AU66" i="35" s="1"/>
  <c r="U41" i="8"/>
  <c r="AI71" i="35"/>
  <c r="AO71" i="35" s="1"/>
  <c r="AU71" i="35" s="1"/>
  <c r="BJ87" i="35"/>
  <c r="BP87" i="35" s="1"/>
  <c r="BV87" i="35" s="1"/>
  <c r="BM18" i="35"/>
  <c r="BJ18" i="35"/>
  <c r="BP18" i="35" s="1"/>
  <c r="BV18" i="35" s="1"/>
  <c r="BI18" i="35"/>
  <c r="BO18" i="35" s="1"/>
  <c r="BU18" i="35" s="1"/>
  <c r="L46" i="31"/>
  <c r="AG67" i="35"/>
  <c r="AM67" i="35" s="1"/>
  <c r="AS67" i="35" s="1"/>
  <c r="E73" i="35"/>
  <c r="BG66" i="35"/>
  <c r="BM66" i="35" s="1"/>
  <c r="BS66" i="35" s="1"/>
  <c r="BY66" i="35" s="1"/>
  <c r="AF67" i="35"/>
  <c r="AL67" i="35" s="1"/>
  <c r="AR67" i="35" s="1"/>
  <c r="BM22" i="35"/>
  <c r="BS22" i="35" s="1"/>
  <c r="BY22" i="35" s="1"/>
  <c r="AG68" i="35"/>
  <c r="AM68" i="35" s="1"/>
  <c r="AS68" i="35" s="1"/>
  <c r="AY68" i="35" s="1"/>
  <c r="BK83" i="35"/>
  <c r="BQ83" i="35" s="1"/>
  <c r="BW83" i="35" s="1"/>
  <c r="AE78" i="35"/>
  <c r="AK78" i="35" s="1"/>
  <c r="AQ78" i="35" s="1"/>
  <c r="AW78" i="35" s="1"/>
  <c r="BG67" i="35"/>
  <c r="BM67" i="35" s="1"/>
  <c r="BS67" i="35" s="1"/>
  <c r="BY67" i="35" s="1"/>
  <c r="B21" i="35"/>
  <c r="D23" i="35" s="1"/>
  <c r="B66" i="35"/>
  <c r="F67" i="35" s="1"/>
  <c r="L67" i="35" s="1"/>
  <c r="BM30" i="35"/>
  <c r="BS30" i="35" s="1"/>
  <c r="BY30" i="35" s="1"/>
  <c r="I20" i="35"/>
  <c r="O20" i="35" s="1"/>
  <c r="U20" i="35" s="1"/>
  <c r="AF68" i="35"/>
  <c r="AL68" i="35" s="1"/>
  <c r="AR68" i="35" s="1"/>
  <c r="AX68" i="35" s="1"/>
  <c r="AF84" i="35"/>
  <c r="AL84" i="35" s="1"/>
  <c r="AR84" i="35" s="1"/>
  <c r="AX84" i="35" s="1"/>
  <c r="AF78" i="35"/>
  <c r="AL78" i="35" s="1"/>
  <c r="AR78" i="35" s="1"/>
  <c r="AX78" i="35" s="1"/>
  <c r="BK87" i="35"/>
  <c r="BQ87" i="35" s="1"/>
  <c r="BW87" i="35" s="1"/>
  <c r="I71" i="35"/>
  <c r="O71" i="35" s="1"/>
  <c r="U71" i="35" s="1"/>
  <c r="BB68" i="35"/>
  <c r="BG70" i="35" s="1"/>
  <c r="BM70" i="35" s="1"/>
  <c r="BS70" i="35" s="1"/>
  <c r="BY70" i="35" s="1"/>
  <c r="BB23" i="35"/>
  <c r="BL23" i="35" s="1"/>
  <c r="BR23" i="35" s="1"/>
  <c r="BF89" i="35"/>
  <c r="BL89" i="35" s="1"/>
  <c r="BR89" i="35" s="1"/>
  <c r="BX89" i="35" s="1"/>
  <c r="BC76" i="35"/>
  <c r="BI76" i="35" s="1"/>
  <c r="BO76" i="35" s="1"/>
  <c r="BU76" i="35" s="1"/>
  <c r="BE78" i="35"/>
  <c r="BK78" i="35" s="1"/>
  <c r="BQ78" i="35" s="1"/>
  <c r="BW78" i="35" s="1"/>
  <c r="BD77" i="35"/>
  <c r="BJ77" i="35" s="1"/>
  <c r="BP77" i="35" s="1"/>
  <c r="BV77" i="35" s="1"/>
  <c r="BG80" i="35"/>
  <c r="BM80" i="35" s="1"/>
  <c r="BS80" i="35" s="1"/>
  <c r="BY80" i="35" s="1"/>
  <c r="BF79" i="35"/>
  <c r="BL79" i="35" s="1"/>
  <c r="BR79" i="35" s="1"/>
  <c r="BX79" i="35" s="1"/>
  <c r="AK66" i="35"/>
  <c r="AQ66" i="35" s="1"/>
  <c r="AW66" i="35" s="1"/>
  <c r="AD77" i="35"/>
  <c r="AJ77" i="35" s="1"/>
  <c r="AP77" i="35" s="1"/>
  <c r="AV77" i="35" s="1"/>
  <c r="BF68" i="35"/>
  <c r="BF84" i="35"/>
  <c r="BL84" i="35" s="1"/>
  <c r="BR84" i="35" s="1"/>
  <c r="BX84" i="35" s="1"/>
  <c r="BE65" i="35"/>
  <c r="BK65" i="35" s="1"/>
  <c r="BQ65" i="35" s="1"/>
  <c r="BW65" i="35" s="1"/>
  <c r="BC58" i="35"/>
  <c r="BI58" i="35" s="1"/>
  <c r="BE60" i="35"/>
  <c r="BK60" i="35" s="1"/>
  <c r="BD59" i="35"/>
  <c r="BJ59" i="35" s="1"/>
  <c r="BG62" i="35"/>
  <c r="BM62" i="35" s="1"/>
  <c r="BF61" i="35"/>
  <c r="BL61" i="35" s="1"/>
  <c r="J59" i="35"/>
  <c r="G62" i="35"/>
  <c r="M62" i="35" s="1"/>
  <c r="F61" i="35"/>
  <c r="L61" i="35" s="1"/>
  <c r="C58" i="35"/>
  <c r="I58" i="35" s="1"/>
  <c r="AJ66" i="35"/>
  <c r="AP66" i="35" s="1"/>
  <c r="AV66" i="35" s="1"/>
  <c r="B87" i="35"/>
  <c r="G90" i="35" s="1"/>
  <c r="B76" i="35"/>
  <c r="F78" i="35" s="1"/>
  <c r="L78" i="35" s="1"/>
  <c r="R78" i="35" s="1"/>
  <c r="X78" i="35" s="1"/>
  <c r="AG88" i="35"/>
  <c r="AM88" i="35" s="1"/>
  <c r="AS88" i="35" s="1"/>
  <c r="AY88" i="35" s="1"/>
  <c r="AC84" i="35"/>
  <c r="AI84" i="35" s="1"/>
  <c r="AO84" i="35" s="1"/>
  <c r="AU84" i="35" s="1"/>
  <c r="AE86" i="35"/>
  <c r="AK86" i="35" s="1"/>
  <c r="AQ86" i="35" s="1"/>
  <c r="AW86" i="35" s="1"/>
  <c r="AF87" i="35"/>
  <c r="AL87" i="35" s="1"/>
  <c r="AR87" i="35" s="1"/>
  <c r="AX87" i="35" s="1"/>
  <c r="AD85" i="35"/>
  <c r="AJ85" i="35" s="1"/>
  <c r="AP85" i="35" s="1"/>
  <c r="AV85" i="35" s="1"/>
  <c r="AD84" i="35"/>
  <c r="AJ84" i="35" s="1"/>
  <c r="AP84" i="35" s="1"/>
  <c r="AV84" i="35" s="1"/>
  <c r="AE85" i="35"/>
  <c r="AK85" i="35" s="1"/>
  <c r="AQ85" i="35" s="1"/>
  <c r="AW85" i="35" s="1"/>
  <c r="AG87" i="35"/>
  <c r="AM87" i="35" s="1"/>
  <c r="AS87" i="35" s="1"/>
  <c r="AY87" i="35" s="1"/>
  <c r="AF86" i="35"/>
  <c r="AL86" i="35" s="1"/>
  <c r="AR86" i="35" s="1"/>
  <c r="AX86" i="35" s="1"/>
  <c r="L20" i="35"/>
  <c r="R20" i="35" s="1"/>
  <c r="X20" i="35" s="1"/>
  <c r="AE68" i="35"/>
  <c r="AK68" i="35" s="1"/>
  <c r="AQ68" i="35" s="1"/>
  <c r="AW68" i="35" s="1"/>
  <c r="C60" i="35"/>
  <c r="I60" i="35" s="1"/>
  <c r="O60" i="35" s="1"/>
  <c r="U60" i="35" s="1"/>
  <c r="G64" i="35"/>
  <c r="M64" i="35" s="1"/>
  <c r="S64" i="35" s="1"/>
  <c r="Y64" i="35" s="1"/>
  <c r="F63" i="35"/>
  <c r="L63" i="35" s="1"/>
  <c r="R63" i="35" s="1"/>
  <c r="X63" i="35" s="1"/>
  <c r="AJ76" i="35"/>
  <c r="AP76" i="35" s="1"/>
  <c r="AV76" i="35" s="1"/>
  <c r="BC92" i="35"/>
  <c r="BF92" i="35"/>
  <c r="AI76" i="35"/>
  <c r="AO76" i="35" s="1"/>
  <c r="AU76" i="35" s="1"/>
  <c r="AF81" i="35"/>
  <c r="AL81" i="35" s="1"/>
  <c r="AR81" i="35" s="1"/>
  <c r="AX81" i="35" s="1"/>
  <c r="C78" i="35"/>
  <c r="I78" i="35" s="1"/>
  <c r="O78" i="35" s="1"/>
  <c r="U78" i="35" s="1"/>
  <c r="D79" i="35"/>
  <c r="F62" i="35"/>
  <c r="L62" i="35" s="1"/>
  <c r="R62" i="35" s="1"/>
  <c r="X62" i="35" s="1"/>
  <c r="E83" i="35"/>
  <c r="AG79" i="35"/>
  <c r="AM79" i="35" s="1"/>
  <c r="AS79" i="35" s="1"/>
  <c r="AY79" i="35" s="1"/>
  <c r="AI22" i="32"/>
  <c r="BC68" i="35"/>
  <c r="AC72" i="35"/>
  <c r="AI72" i="35" s="1"/>
  <c r="AO72" i="35" s="1"/>
  <c r="AU72" i="35" s="1"/>
  <c r="AD73" i="35"/>
  <c r="AE73" i="35"/>
  <c r="AE72" i="35"/>
  <c r="AK72" i="35" s="1"/>
  <c r="AQ72" i="35" s="1"/>
  <c r="AW72" i="35" s="1"/>
  <c r="AF73" i="35"/>
  <c r="AD72" i="35"/>
  <c r="AJ72" i="35" s="1"/>
  <c r="AP72" i="35" s="1"/>
  <c r="AV72" i="35" s="1"/>
  <c r="E25" i="35"/>
  <c r="K25" i="35" s="1"/>
  <c r="Q25" i="35" s="1"/>
  <c r="W25" i="35" s="1"/>
  <c r="K20" i="35"/>
  <c r="Q20" i="35" s="1"/>
  <c r="W20" i="35" s="1"/>
  <c r="AD68" i="35"/>
  <c r="AJ68" i="35" s="1"/>
  <c r="AP68" i="35" s="1"/>
  <c r="AV68" i="35" s="1"/>
  <c r="AL66" i="35"/>
  <c r="AR66" i="35" s="1"/>
  <c r="AX66" i="35" s="1"/>
  <c r="BE68" i="35"/>
  <c r="AI79" i="35"/>
  <c r="AO79" i="35" s="1"/>
  <c r="AU79" i="35" s="1"/>
  <c r="BC64" i="35"/>
  <c r="BI64" i="35" s="1"/>
  <c r="BO64" i="35" s="1"/>
  <c r="BU64" i="35" s="1"/>
  <c r="BF67" i="35"/>
  <c r="BL67" i="35" s="1"/>
  <c r="BR67" i="35" s="1"/>
  <c r="BX67" i="35" s="1"/>
  <c r="BE66" i="35"/>
  <c r="BK66" i="35" s="1"/>
  <c r="BQ66" i="35" s="1"/>
  <c r="BW66" i="35" s="1"/>
  <c r="BD65" i="35"/>
  <c r="BJ65" i="35" s="1"/>
  <c r="BP65" i="35" s="1"/>
  <c r="BV65" i="35" s="1"/>
  <c r="BG68" i="35"/>
  <c r="BE88" i="35"/>
  <c r="BK88" i="35" s="1"/>
  <c r="BQ88" i="35" s="1"/>
  <c r="BW88" i="35" s="1"/>
  <c r="AJ79" i="35"/>
  <c r="AP79" i="35" s="1"/>
  <c r="AV79" i="35" s="1"/>
  <c r="BC77" i="35"/>
  <c r="BI77" i="35" s="1"/>
  <c r="BO77" i="35" s="1"/>
  <c r="BU77" i="35" s="1"/>
  <c r="BD78" i="35"/>
  <c r="BJ78" i="35" s="1"/>
  <c r="BP78" i="35" s="1"/>
  <c r="BV78" i="35" s="1"/>
  <c r="BG81" i="35"/>
  <c r="BM81" i="35" s="1"/>
  <c r="BS81" i="35" s="1"/>
  <c r="BY81" i="35" s="1"/>
  <c r="BF80" i="35"/>
  <c r="BL80" i="35" s="1"/>
  <c r="BR80" i="35" s="1"/>
  <c r="BX80" i="35" s="1"/>
  <c r="BE79" i="35"/>
  <c r="BK79" i="35" s="1"/>
  <c r="BQ79" i="35" s="1"/>
  <c r="BW79" i="35" s="1"/>
  <c r="AG90" i="35"/>
  <c r="BC80" i="35"/>
  <c r="BI80" i="35" s="1"/>
  <c r="BO80" i="35" s="1"/>
  <c r="BU80" i="35" s="1"/>
  <c r="BD81" i="35"/>
  <c r="BJ81" i="35" s="1"/>
  <c r="BP81" i="35" s="1"/>
  <c r="BV81" i="35" s="1"/>
  <c r="BF83" i="35"/>
  <c r="BL83" i="35" s="1"/>
  <c r="BR83" i="35" s="1"/>
  <c r="BX83" i="35" s="1"/>
  <c r="BE82" i="35"/>
  <c r="BK82" i="35" s="1"/>
  <c r="BQ82" i="35" s="1"/>
  <c r="BW82" i="35" s="1"/>
  <c r="BG84" i="35"/>
  <c r="BM84" i="35" s="1"/>
  <c r="BS84" i="35" s="1"/>
  <c r="BY84" i="35" s="1"/>
  <c r="BD80" i="35"/>
  <c r="BJ80" i="35" s="1"/>
  <c r="BP80" i="35" s="1"/>
  <c r="BV80" i="35" s="1"/>
  <c r="BF82" i="35"/>
  <c r="BL82" i="35" s="1"/>
  <c r="BR82" i="35" s="1"/>
  <c r="BX82" i="35" s="1"/>
  <c r="BG83" i="35"/>
  <c r="BM83" i="35" s="1"/>
  <c r="BS83" i="35" s="1"/>
  <c r="BY83" i="35" s="1"/>
  <c r="BE81" i="35"/>
  <c r="BK81" i="35" s="1"/>
  <c r="BQ81" i="35" s="1"/>
  <c r="BW81" i="35" s="1"/>
  <c r="I75" i="35"/>
  <c r="O75" i="35" s="1"/>
  <c r="U75" i="35" s="1"/>
  <c r="AG81" i="35"/>
  <c r="AM81" i="35" s="1"/>
  <c r="AS81" i="35" s="1"/>
  <c r="AY81" i="35" s="1"/>
  <c r="AF80" i="35"/>
  <c r="AL80" i="35" s="1"/>
  <c r="AR80" i="35" s="1"/>
  <c r="AX80" i="35" s="1"/>
  <c r="AD78" i="35"/>
  <c r="AJ78" i="35" s="1"/>
  <c r="AP78" i="35" s="1"/>
  <c r="AV78" i="35" s="1"/>
  <c r="AC77" i="35"/>
  <c r="AI77" i="35" s="1"/>
  <c r="AO77" i="35" s="1"/>
  <c r="AU77" i="35" s="1"/>
  <c r="AE79" i="35"/>
  <c r="AK79" i="35" s="1"/>
  <c r="AQ79" i="35" s="1"/>
  <c r="AW79" i="35" s="1"/>
  <c r="B83" i="35"/>
  <c r="I83" i="35" s="1"/>
  <c r="O83" i="35" s="1"/>
  <c r="U83" i="35" s="1"/>
  <c r="B79" i="35"/>
  <c r="I79" i="35" s="1"/>
  <c r="O79" i="35" s="1"/>
  <c r="U79" i="35" s="1"/>
  <c r="AC92" i="35"/>
  <c r="D73" i="35"/>
  <c r="C72" i="35"/>
  <c r="I72" i="35" s="1"/>
  <c r="O72" i="35" s="1"/>
  <c r="U72" i="35" s="1"/>
  <c r="D24" i="35"/>
  <c r="J24" i="35" s="1"/>
  <c r="P24" i="35" s="1"/>
  <c r="V24" i="35" s="1"/>
  <c r="M32" i="35"/>
  <c r="S32" i="35" s="1"/>
  <c r="Y32" i="35" s="1"/>
  <c r="C21" i="35"/>
  <c r="AG69" i="35"/>
  <c r="AM69" i="35" s="1"/>
  <c r="AS69" i="35" s="1"/>
  <c r="AY69" i="35" s="1"/>
  <c r="J71" i="35"/>
  <c r="P71" i="35" s="1"/>
  <c r="V71" i="35" s="1"/>
  <c r="AI23" i="32"/>
  <c r="D83" i="35"/>
  <c r="C82" i="35"/>
  <c r="I82" i="35" s="1"/>
  <c r="O82" i="35" s="1"/>
  <c r="U82" i="35" s="1"/>
  <c r="BD85" i="35"/>
  <c r="BJ85" i="35" s="1"/>
  <c r="BP85" i="35" s="1"/>
  <c r="BV85" i="35" s="1"/>
  <c r="BE86" i="35"/>
  <c r="BK86" i="35" s="1"/>
  <c r="BQ86" i="35" s="1"/>
  <c r="BW86" i="35" s="1"/>
  <c r="BC84" i="35"/>
  <c r="BI84" i="35" s="1"/>
  <c r="BO84" i="35" s="1"/>
  <c r="BU84" i="35" s="1"/>
  <c r="BF87" i="35"/>
  <c r="BL87" i="35" s="1"/>
  <c r="BR87" i="35" s="1"/>
  <c r="BX87" i="35" s="1"/>
  <c r="BG88" i="35"/>
  <c r="BM88" i="35" s="1"/>
  <c r="BS88" i="35" s="1"/>
  <c r="BY88" i="35" s="1"/>
  <c r="BD84" i="35"/>
  <c r="BJ84" i="35" s="1"/>
  <c r="BP84" i="35" s="1"/>
  <c r="BV84" i="35" s="1"/>
  <c r="BF86" i="35"/>
  <c r="BL86" i="35" s="1"/>
  <c r="BR86" i="35" s="1"/>
  <c r="BX86" i="35" s="1"/>
  <c r="BE85" i="35"/>
  <c r="BK85" i="35" s="1"/>
  <c r="BQ85" i="35" s="1"/>
  <c r="BW85" i="35" s="1"/>
  <c r="BG87" i="35"/>
  <c r="BM87" i="35" s="1"/>
  <c r="BS87" i="35" s="1"/>
  <c r="BY87" i="35" s="1"/>
  <c r="AG82" i="35"/>
  <c r="AM82" i="35" s="1"/>
  <c r="AS82" i="35" s="1"/>
  <c r="AY82" i="35" s="1"/>
  <c r="AF85" i="35"/>
  <c r="AL85" i="35" s="1"/>
  <c r="AR85" i="35" s="1"/>
  <c r="AX85" i="35" s="1"/>
  <c r="BG85" i="35"/>
  <c r="BM85" i="35" s="1"/>
  <c r="BS85" i="35" s="1"/>
  <c r="BY85" i="35" s="1"/>
  <c r="AE88" i="35"/>
  <c r="AK88" i="35" s="1"/>
  <c r="AQ88" i="35" s="1"/>
  <c r="AW88" i="35" s="1"/>
  <c r="G63" i="35"/>
  <c r="M63" i="35" s="1"/>
  <c r="S63" i="35" s="1"/>
  <c r="Y63" i="35" s="1"/>
  <c r="BE72" i="35"/>
  <c r="BK72" i="35" s="1"/>
  <c r="BQ72" i="35" s="1"/>
  <c r="BW72" i="35" s="1"/>
  <c r="F26" i="35"/>
  <c r="G25" i="35"/>
  <c r="M25" i="35" s="1"/>
  <c r="S25" i="35" s="1"/>
  <c r="Y25" i="35" s="1"/>
  <c r="E72" i="35"/>
  <c r="K72" i="35" s="1"/>
  <c r="Q72" i="35" s="1"/>
  <c r="W72" i="35" s="1"/>
  <c r="BD89" i="35"/>
  <c r="BJ89" i="35" s="1"/>
  <c r="BP89" i="35" s="1"/>
  <c r="BV89" i="35" s="1"/>
  <c r="BE90" i="35"/>
  <c r="BC88" i="35"/>
  <c r="BI88" i="35" s="1"/>
  <c r="BO88" i="35" s="1"/>
  <c r="BU88" i="35" s="1"/>
  <c r="BE89" i="35"/>
  <c r="BK89" i="35" s="1"/>
  <c r="BQ89" i="35" s="1"/>
  <c r="BW89" i="35" s="1"/>
  <c r="BG91" i="35"/>
  <c r="BM91" i="35" s="1"/>
  <c r="BS91" i="35" s="1"/>
  <c r="BY91" i="35" s="1"/>
  <c r="BF90" i="35"/>
  <c r="BD88" i="35"/>
  <c r="BJ88" i="35" s="1"/>
  <c r="BP88" i="35" s="1"/>
  <c r="BV88" i="35" s="1"/>
  <c r="BI66" i="35"/>
  <c r="BO66" i="35" s="1"/>
  <c r="BU66" i="35" s="1"/>
  <c r="C61" i="35"/>
  <c r="I61" i="35" s="1"/>
  <c r="O61" i="35" s="1"/>
  <c r="U61" i="35" s="1"/>
  <c r="F64" i="35"/>
  <c r="L64" i="35" s="1"/>
  <c r="R64" i="35" s="1"/>
  <c r="X64" i="35" s="1"/>
  <c r="D62" i="35"/>
  <c r="J62" i="35" s="1"/>
  <c r="P62" i="35" s="1"/>
  <c r="V62" i="35" s="1"/>
  <c r="G65" i="35"/>
  <c r="M65" i="35" s="1"/>
  <c r="S65" i="35" s="1"/>
  <c r="Y65" i="35" s="1"/>
  <c r="K63" i="35"/>
  <c r="Q63" i="35" s="1"/>
  <c r="W63" i="35" s="1"/>
  <c r="AK83" i="35"/>
  <c r="AQ83" i="35" s="1"/>
  <c r="AW83" i="35" s="1"/>
  <c r="AI87" i="35"/>
  <c r="AO87" i="35" s="1"/>
  <c r="AU87" i="35" s="1"/>
  <c r="AG89" i="35"/>
  <c r="AM89" i="35" s="1"/>
  <c r="AS89" i="35" s="1"/>
  <c r="AY89" i="35" s="1"/>
  <c r="AJ83" i="35"/>
  <c r="AP83" i="35" s="1"/>
  <c r="AV83" i="35" s="1"/>
  <c r="E87" i="35"/>
  <c r="D86" i="35"/>
  <c r="J86" i="35" s="1"/>
  <c r="P86" i="35" s="1"/>
  <c r="V86" i="35" s="1"/>
  <c r="C85" i="35"/>
  <c r="I85" i="35" s="1"/>
  <c r="O85" i="35" s="1"/>
  <c r="U85" i="35" s="1"/>
  <c r="BE64" i="35"/>
  <c r="BK64" i="35" s="1"/>
  <c r="BQ64" i="35" s="1"/>
  <c r="BW64" i="35" s="1"/>
  <c r="D65" i="35"/>
  <c r="J65" i="35" s="1"/>
  <c r="P65" i="35" s="1"/>
  <c r="V65" i="35" s="1"/>
  <c r="C64" i="35"/>
  <c r="I64" i="35" s="1"/>
  <c r="O64" i="35" s="1"/>
  <c r="U64" i="35" s="1"/>
  <c r="E66" i="35"/>
  <c r="D82" i="35"/>
  <c r="J82" i="35" s="1"/>
  <c r="P82" i="35" s="1"/>
  <c r="V82" i="35" s="1"/>
  <c r="C76" i="35"/>
  <c r="BC67" i="35"/>
  <c r="BI67" i="35" s="1"/>
  <c r="BO67" i="35" s="1"/>
  <c r="BU67" i="35" s="1"/>
  <c r="BD68" i="35"/>
  <c r="BE67" i="35"/>
  <c r="BK67" i="35" s="1"/>
  <c r="BQ67" i="35" s="1"/>
  <c r="BW67" i="35" s="1"/>
  <c r="BB73" i="35"/>
  <c r="BG76" i="35" s="1"/>
  <c r="BM76" i="35" s="1"/>
  <c r="BS76" i="35" s="1"/>
  <c r="BY76" i="35" s="1"/>
  <c r="BB28" i="35"/>
  <c r="BL28" i="35" s="1"/>
  <c r="BR28" i="35" s="1"/>
  <c r="AE82" i="35"/>
  <c r="AK82" i="35" s="1"/>
  <c r="AQ82" i="35" s="1"/>
  <c r="AW82" i="35" s="1"/>
  <c r="AD81" i="35"/>
  <c r="AJ81" i="35" s="1"/>
  <c r="AP81" i="35" s="1"/>
  <c r="AV81" i="35" s="1"/>
  <c r="AF83" i="35"/>
  <c r="AL83" i="35" s="1"/>
  <c r="AR83" i="35" s="1"/>
  <c r="AX83" i="35" s="1"/>
  <c r="AG84" i="35"/>
  <c r="AM84" i="35" s="1"/>
  <c r="AS84" i="35" s="1"/>
  <c r="AY84" i="35" s="1"/>
  <c r="AC80" i="35"/>
  <c r="AI80" i="35" s="1"/>
  <c r="AO80" i="35" s="1"/>
  <c r="AU80" i="35" s="1"/>
  <c r="AE81" i="35"/>
  <c r="AK81" i="35" s="1"/>
  <c r="AQ81" i="35" s="1"/>
  <c r="AW81" i="35" s="1"/>
  <c r="AD80" i="35"/>
  <c r="AJ80" i="35" s="1"/>
  <c r="AP80" i="35" s="1"/>
  <c r="AV80" i="35" s="1"/>
  <c r="AF82" i="35"/>
  <c r="AL82" i="35" s="1"/>
  <c r="AR82" i="35" s="1"/>
  <c r="AX82" i="35" s="1"/>
  <c r="AG83" i="35"/>
  <c r="AM83" i="35" s="1"/>
  <c r="AS83" i="35" s="1"/>
  <c r="AY83" i="35" s="1"/>
  <c r="B91" i="35"/>
  <c r="E23" i="35"/>
  <c r="AE67" i="35"/>
  <c r="AK67" i="35" s="1"/>
  <c r="AQ67" i="35" s="1"/>
  <c r="D90" i="35"/>
  <c r="C89" i="35"/>
  <c r="I89" i="35" s="1"/>
  <c r="O89" i="35" s="1"/>
  <c r="U89" i="35" s="1"/>
  <c r="BF88" i="35"/>
  <c r="BL88" i="35" s="1"/>
  <c r="BR88" i="35" s="1"/>
  <c r="BX88" i="35" s="1"/>
  <c r="BD67" i="35"/>
  <c r="BJ67" i="35" s="1"/>
  <c r="BP67" i="35" s="1"/>
  <c r="BV67" i="35" s="1"/>
  <c r="D72" i="35"/>
  <c r="J72" i="35" s="1"/>
  <c r="P72" i="35" s="1"/>
  <c r="V72" i="35" s="1"/>
  <c r="AG80" i="35"/>
  <c r="AM80" i="35" s="1"/>
  <c r="AS80" i="35" s="1"/>
  <c r="AY80" i="35" s="1"/>
  <c r="C90" i="35"/>
  <c r="AE84" i="35"/>
  <c r="AK84" i="35" s="1"/>
  <c r="AQ84" i="35" s="1"/>
  <c r="AW84" i="35" s="1"/>
  <c r="BI79" i="35"/>
  <c r="BO79" i="35" s="1"/>
  <c r="BU79" i="35" s="1"/>
  <c r="BD64" i="35"/>
  <c r="BJ64" i="35" s="1"/>
  <c r="BP64" i="35" s="1"/>
  <c r="BV64" i="35" s="1"/>
  <c r="I59" i="35"/>
  <c r="O59" i="35" s="1"/>
  <c r="U59" i="35" s="1"/>
  <c r="I81" i="35"/>
  <c r="O81" i="35" s="1"/>
  <c r="U81" i="35" s="1"/>
  <c r="D76" i="35"/>
  <c r="AC88" i="35"/>
  <c r="AI88" i="35" s="1"/>
  <c r="AO88" i="35" s="1"/>
  <c r="AU88" i="35" s="1"/>
  <c r="AE90" i="35"/>
  <c r="AD89" i="35"/>
  <c r="AJ89" i="35" s="1"/>
  <c r="AP89" i="35" s="1"/>
  <c r="AV89" i="35" s="1"/>
  <c r="AD88" i="35"/>
  <c r="AJ88" i="35" s="1"/>
  <c r="AP88" i="35" s="1"/>
  <c r="AV88" i="35" s="1"/>
  <c r="AF90" i="35"/>
  <c r="AE89" i="35"/>
  <c r="AK89" i="35" s="1"/>
  <c r="AQ89" i="35" s="1"/>
  <c r="AW89" i="35" s="1"/>
  <c r="AE69" i="35"/>
  <c r="AK69" i="35" s="1"/>
  <c r="AQ69" i="35" s="1"/>
  <c r="AW69" i="35" s="1"/>
  <c r="BG89" i="35"/>
  <c r="BM89" i="35" s="1"/>
  <c r="BS89" i="35" s="1"/>
  <c r="BY89" i="35" s="1"/>
  <c r="AI83" i="35"/>
  <c r="AO83" i="35" s="1"/>
  <c r="AU83" i="35" s="1"/>
  <c r="D87" i="35"/>
  <c r="C86" i="35"/>
  <c r="I86" i="35" s="1"/>
  <c r="O86" i="35" s="1"/>
  <c r="U86" i="35" s="1"/>
  <c r="BJ63" i="35"/>
  <c r="BP63" i="35" s="1"/>
  <c r="BV63" i="35" s="1"/>
  <c r="BG90" i="35"/>
  <c r="BC60" i="35"/>
  <c r="BI60" i="35" s="1"/>
  <c r="BO60" i="35" s="1"/>
  <c r="BU60" i="35" s="1"/>
  <c r="BG64" i="35"/>
  <c r="BM64" i="35" s="1"/>
  <c r="BS64" i="35" s="1"/>
  <c r="BY64" i="35" s="1"/>
  <c r="BF63" i="35"/>
  <c r="BL63" i="35" s="1"/>
  <c r="BR63" i="35" s="1"/>
  <c r="BX63" i="35" s="1"/>
  <c r="BE62" i="35"/>
  <c r="BK62" i="35" s="1"/>
  <c r="BQ62" i="35" s="1"/>
  <c r="BW62" i="35" s="1"/>
  <c r="BD61" i="35"/>
  <c r="BJ61" i="35" s="1"/>
  <c r="BP61" i="35" s="1"/>
  <c r="BV61" i="35" s="1"/>
  <c r="BG63" i="35"/>
  <c r="BM63" i="35" s="1"/>
  <c r="BS63" i="35" s="1"/>
  <c r="BY63" i="35" s="1"/>
  <c r="BF62" i="35"/>
  <c r="BL62" i="35" s="1"/>
  <c r="BR62" i="35" s="1"/>
  <c r="BX62" i="35" s="1"/>
  <c r="BD60" i="35"/>
  <c r="BJ60" i="35" s="1"/>
  <c r="BP60" i="35" s="1"/>
  <c r="BV60" i="35" s="1"/>
  <c r="BE61" i="35"/>
  <c r="BK61" i="35" s="1"/>
  <c r="BQ61" i="35" s="1"/>
  <c r="BW61" i="35" s="1"/>
  <c r="BC75" i="35"/>
  <c r="BI75" i="35" s="1"/>
  <c r="BO75" i="35" s="1"/>
  <c r="BU75" i="35" s="1"/>
  <c r="BG79" i="35"/>
  <c r="BM79" i="35" s="1"/>
  <c r="BS79" i="35" s="1"/>
  <c r="BY79" i="35" s="1"/>
  <c r="BD76" i="35"/>
  <c r="BJ76" i="35" s="1"/>
  <c r="BP76" i="35" s="1"/>
  <c r="BV76" i="35" s="1"/>
  <c r="BF78" i="35"/>
  <c r="BL78" i="35" s="1"/>
  <c r="BR78" i="35" s="1"/>
  <c r="BX78" i="35" s="1"/>
  <c r="BE77" i="35"/>
  <c r="BK77" i="35" s="1"/>
  <c r="BQ77" i="35" s="1"/>
  <c r="BW77" i="35" s="1"/>
  <c r="AF79" i="35"/>
  <c r="AL79" i="35" s="1"/>
  <c r="AR79" i="35" s="1"/>
  <c r="AX79" i="35" s="1"/>
  <c r="AK87" i="35"/>
  <c r="AQ87" i="35" s="1"/>
  <c r="AW87" i="35" s="1"/>
  <c r="AG86" i="35"/>
  <c r="AM86" i="35" s="1"/>
  <c r="AS86" i="35" s="1"/>
  <c r="AY86" i="35" s="1"/>
  <c r="BJ66" i="35"/>
  <c r="BP66" i="35" s="1"/>
  <c r="BV66" i="35" s="1"/>
  <c r="BI63" i="35"/>
  <c r="BO63" i="35" s="1"/>
  <c r="BU63" i="35" s="1"/>
  <c r="AJ87" i="35"/>
  <c r="AP87" i="35" s="1"/>
  <c r="AV87" i="35" s="1"/>
  <c r="BD73" i="35"/>
  <c r="BC72" i="35"/>
  <c r="BI72" i="35" s="1"/>
  <c r="BO72" i="35" s="1"/>
  <c r="BU72" i="35" s="1"/>
  <c r="C66" i="35"/>
  <c r="BJ71" i="35"/>
  <c r="BP71" i="35" s="1"/>
  <c r="BV71" i="35" s="1"/>
  <c r="AD67" i="35"/>
  <c r="AJ67" i="35" s="1"/>
  <c r="AP67" i="35" s="1"/>
  <c r="AM66" i="35"/>
  <c r="AS66" i="35" s="1"/>
  <c r="AY66" i="35" s="1"/>
  <c r="G49" i="7"/>
  <c r="J120" i="26"/>
  <c r="J117" i="26"/>
  <c r="I53" i="7"/>
  <c r="N49" i="7"/>
  <c r="E18" i="2" s="1"/>
  <c r="AR23" i="16"/>
  <c r="M131" i="26"/>
  <c r="BB92" i="35"/>
  <c r="BD94" i="35" s="1"/>
  <c r="BB47" i="35"/>
  <c r="G41" i="2"/>
  <c r="AB92" i="35"/>
  <c r="AD94" i="35" s="1"/>
  <c r="AB47" i="35"/>
  <c r="AO23" i="16"/>
  <c r="AO28" i="16" s="1"/>
  <c r="AH28" i="16"/>
  <c r="S38" i="30"/>
  <c r="J43" i="8"/>
  <c r="L43" i="8" s="1"/>
  <c r="AP23" i="16"/>
  <c r="AP29" i="16" s="1"/>
  <c r="AO35" i="16" s="1"/>
  <c r="H9" i="33" s="1"/>
  <c r="AI28" i="16"/>
  <c r="AP35" i="16" s="1"/>
  <c r="I9" i="33" s="1"/>
  <c r="B47" i="35"/>
  <c r="B92" i="35"/>
  <c r="D94" i="35" s="1"/>
  <c r="N42" i="8"/>
  <c r="Q42" i="8" s="1"/>
  <c r="F53" i="7"/>
  <c r="D45" i="8"/>
  <c r="AQ23" i="16"/>
  <c r="AQ28" i="16" s="1"/>
  <c r="AJ28" i="16"/>
  <c r="AP36" i="16" s="1"/>
  <c r="I10" i="33" s="1"/>
  <c r="F44" i="8"/>
  <c r="H44" i="8" s="1"/>
  <c r="AG72" i="35"/>
  <c r="AM72" i="35" s="1"/>
  <c r="AS72" i="35" s="1"/>
  <c r="AY72" i="35" s="1"/>
  <c r="G27" i="35"/>
  <c r="M27" i="35" s="1"/>
  <c r="S27" i="35" s="1"/>
  <c r="Y27" i="35" s="1"/>
  <c r="I36" i="35"/>
  <c r="O36" i="35" s="1"/>
  <c r="U36" i="35" s="1"/>
  <c r="K22" i="35"/>
  <c r="Q22" i="35" s="1"/>
  <c r="W22" i="35" s="1"/>
  <c r="AG71" i="35"/>
  <c r="AM71" i="35" s="1"/>
  <c r="AS71" i="35" s="1"/>
  <c r="AY71" i="35" s="1"/>
  <c r="C23" i="35"/>
  <c r="AG70" i="35"/>
  <c r="AM70" i="35" s="1"/>
  <c r="AS70" i="35" s="1"/>
  <c r="AY70" i="35" s="1"/>
  <c r="AE70" i="35"/>
  <c r="AK70" i="35" s="1"/>
  <c r="AQ70" i="35" s="1"/>
  <c r="AW70" i="35" s="1"/>
  <c r="L29" i="35"/>
  <c r="R29" i="35" s="1"/>
  <c r="X29" i="35" s="1"/>
  <c r="C68" i="35"/>
  <c r="AD69" i="35"/>
  <c r="AJ69" i="35" s="1"/>
  <c r="AP69" i="35" s="1"/>
  <c r="AV69" i="35" s="1"/>
  <c r="AF70" i="35"/>
  <c r="AL70" i="35" s="1"/>
  <c r="AR70" i="35" s="1"/>
  <c r="AX70" i="35" s="1"/>
  <c r="AI68" i="35"/>
  <c r="AO68" i="35" s="1"/>
  <c r="AU68" i="35" s="1"/>
  <c r="AC69" i="35"/>
  <c r="AI69" i="35" s="1"/>
  <c r="AO69" i="35" s="1"/>
  <c r="AU69" i="35" s="1"/>
  <c r="AE71" i="35"/>
  <c r="AK71" i="35" s="1"/>
  <c r="AQ71" i="35" s="1"/>
  <c r="AW71" i="35" s="1"/>
  <c r="AG73" i="35"/>
  <c r="AF72" i="35"/>
  <c r="AL72" i="35" s="1"/>
  <c r="AR72" i="35" s="1"/>
  <c r="AX72" i="35" s="1"/>
  <c r="AD70" i="35"/>
  <c r="AJ70" i="35" s="1"/>
  <c r="AP70" i="35" s="1"/>
  <c r="AV70" i="35" s="1"/>
  <c r="AF71" i="35"/>
  <c r="AL71" i="35" s="1"/>
  <c r="AR71" i="35" s="1"/>
  <c r="AX71" i="35" s="1"/>
  <c r="AF69" i="35"/>
  <c r="AL69" i="35" s="1"/>
  <c r="AR69" i="35" s="1"/>
  <c r="AX69" i="35" s="1"/>
  <c r="AO67" i="35"/>
  <c r="B23" i="35"/>
  <c r="L23" i="35" s="1"/>
  <c r="R23" i="35" s="1"/>
  <c r="X23" i="35" s="1"/>
  <c r="B68" i="35"/>
  <c r="J29" i="35"/>
  <c r="P29" i="35" s="1"/>
  <c r="V29" i="35" s="1"/>
  <c r="BK22" i="35"/>
  <c r="BQ22" i="35" s="1"/>
  <c r="BW22" i="35" s="1"/>
  <c r="BL41" i="35"/>
  <c r="BR41" i="35" s="1"/>
  <c r="BX41" i="35" s="1"/>
  <c r="BJ27" i="35"/>
  <c r="BP27" i="35" s="1"/>
  <c r="BV27" i="35" s="1"/>
  <c r="BL17" i="35"/>
  <c r="BI17" i="35"/>
  <c r="BO17" i="35" s="1"/>
  <c r="BU17" i="35" s="1"/>
  <c r="BM24" i="35"/>
  <c r="BS24" i="35" s="1"/>
  <c r="BY24" i="35" s="1"/>
  <c r="BK19" i="35"/>
  <c r="BQ19" i="35" s="1"/>
  <c r="BW19" i="35" s="1"/>
  <c r="BJ35" i="35"/>
  <c r="BP35" i="35" s="1"/>
  <c r="BV35" i="35" s="1"/>
  <c r="BJ19" i="35"/>
  <c r="BP19" i="35" s="1"/>
  <c r="BV19" i="35" s="1"/>
  <c r="BK16" i="35"/>
  <c r="L39" i="35"/>
  <c r="R39" i="35" s="1"/>
  <c r="X39" i="35" s="1"/>
  <c r="BI25" i="35"/>
  <c r="BO25" i="35" s="1"/>
  <c r="BU25" i="35" s="1"/>
  <c r="BJ15" i="35"/>
  <c r="BK20" i="35"/>
  <c r="BQ20" i="35" s="1"/>
  <c r="BW20" i="35" s="1"/>
  <c r="BL20" i="35"/>
  <c r="BR20" i="35" s="1"/>
  <c r="BX20" i="35" s="1"/>
  <c r="BI20" i="35"/>
  <c r="BO20" i="35" s="1"/>
  <c r="BU20" i="35" s="1"/>
  <c r="BM32" i="35"/>
  <c r="BS32" i="35" s="1"/>
  <c r="BY32" i="35" s="1"/>
  <c r="BL37" i="35"/>
  <c r="BR37" i="35" s="1"/>
  <c r="BX37" i="35" s="1"/>
  <c r="BJ37" i="35"/>
  <c r="BP37" i="35" s="1"/>
  <c r="BV37" i="35" s="1"/>
  <c r="J39" i="35"/>
  <c r="P39" i="35" s="1"/>
  <c r="V39" i="35" s="1"/>
  <c r="BK27" i="35"/>
  <c r="BQ27" i="35" s="1"/>
  <c r="BW27" i="35" s="1"/>
  <c r="K30" i="35"/>
  <c r="Q30" i="35" s="1"/>
  <c r="W30" i="35" s="1"/>
  <c r="K36" i="35"/>
  <c r="Q36" i="35" s="1"/>
  <c r="W36" i="35" s="1"/>
  <c r="AJ29" i="35"/>
  <c r="AP29" i="35" s="1"/>
  <c r="AV29" i="35" s="1"/>
  <c r="AK30" i="35"/>
  <c r="AQ30" i="35" s="1"/>
  <c r="AW30" i="35" s="1"/>
  <c r="BW36" i="35"/>
  <c r="F46" i="31"/>
  <c r="K44" i="35"/>
  <c r="Q44" i="35" s="1"/>
  <c r="W44" i="35" s="1"/>
  <c r="AL29" i="35"/>
  <c r="AR29" i="35" s="1"/>
  <c r="AX29" i="35" s="1"/>
  <c r="C46" i="31"/>
  <c r="M46" i="31"/>
  <c r="T46" i="31"/>
  <c r="U46" i="31"/>
  <c r="BU36" i="35"/>
  <c r="M40" i="35"/>
  <c r="S40" i="35" s="1"/>
  <c r="Y40" i="35" s="1"/>
  <c r="AI36" i="35"/>
  <c r="AO36" i="35" s="1"/>
  <c r="AU36" i="35" s="1"/>
  <c r="AF44" i="35"/>
  <c r="AE43" i="35"/>
  <c r="AK43" i="35" s="1"/>
  <c r="AQ43" i="35" s="1"/>
  <c r="AW43" i="35" s="1"/>
  <c r="AD42" i="35"/>
  <c r="AC41" i="35"/>
  <c r="AI41" i="35" s="1"/>
  <c r="AO41" i="35" s="1"/>
  <c r="AU41" i="35" s="1"/>
  <c r="AG45" i="35"/>
  <c r="AK20" i="35"/>
  <c r="AQ20" i="35" s="1"/>
  <c r="AW20" i="35" s="1"/>
  <c r="BD31" i="35"/>
  <c r="BJ31" i="35" s="1"/>
  <c r="BP31" i="35" s="1"/>
  <c r="BC30" i="35"/>
  <c r="BE32" i="35"/>
  <c r="BF33" i="35"/>
  <c r="BG34" i="35"/>
  <c r="BM34" i="35" s="1"/>
  <c r="BS34" i="35" s="1"/>
  <c r="B46" i="35"/>
  <c r="M46" i="35" s="1"/>
  <c r="S46" i="35" s="1"/>
  <c r="Y46" i="35" s="1"/>
  <c r="AB46" i="35"/>
  <c r="B38" i="35"/>
  <c r="AL37" i="35"/>
  <c r="AR37" i="35" s="1"/>
  <c r="AX37" i="35" s="1"/>
  <c r="C45" i="35"/>
  <c r="G49" i="35"/>
  <c r="D46" i="35"/>
  <c r="E47" i="35"/>
  <c r="F48" i="35"/>
  <c r="L48" i="35" s="1"/>
  <c r="R48" i="35" s="1"/>
  <c r="X48" i="35" s="1"/>
  <c r="BD45" i="35"/>
  <c r="BF47" i="35"/>
  <c r="BG48" i="35"/>
  <c r="BC44" i="35"/>
  <c r="BE46" i="35"/>
  <c r="BK46" i="35" s="1"/>
  <c r="BQ46" i="35" s="1"/>
  <c r="AI17" i="35"/>
  <c r="AO17" i="35" s="1"/>
  <c r="AU17" i="35" s="1"/>
  <c r="O46" i="31"/>
  <c r="AM22" i="35"/>
  <c r="AS22" i="35" s="1"/>
  <c r="AY22" i="35" s="1"/>
  <c r="AK22" i="35"/>
  <c r="AQ22" i="35" s="1"/>
  <c r="AW22" i="35" s="1"/>
  <c r="AC13" i="35"/>
  <c r="AI13" i="35" s="1"/>
  <c r="AG17" i="35"/>
  <c r="AM17" i="35" s="1"/>
  <c r="AE15" i="35"/>
  <c r="AK15" i="35" s="1"/>
  <c r="AF16" i="35"/>
  <c r="AL16" i="35" s="1"/>
  <c r="AD14" i="35"/>
  <c r="AJ14" i="35" s="1"/>
  <c r="AG44" i="35"/>
  <c r="AD41" i="35"/>
  <c r="AJ41" i="35" s="1"/>
  <c r="AP41" i="35" s="1"/>
  <c r="AV41" i="35" s="1"/>
  <c r="AC40" i="35"/>
  <c r="AF43" i="35"/>
  <c r="AE42" i="35"/>
  <c r="BV39" i="35"/>
  <c r="P46" i="31"/>
  <c r="AG25" i="35"/>
  <c r="AM25" i="35" s="1"/>
  <c r="AS25" i="35" s="1"/>
  <c r="AY25" i="35" s="1"/>
  <c r="AE23" i="35"/>
  <c r="AD22" i="35"/>
  <c r="AJ22" i="35" s="1"/>
  <c r="AF24" i="35"/>
  <c r="AC21" i="35"/>
  <c r="AJ15" i="35"/>
  <c r="BD24" i="35"/>
  <c r="BF26" i="35"/>
  <c r="BL26" i="35" s="1"/>
  <c r="BR26" i="35" s="1"/>
  <c r="BE25" i="35"/>
  <c r="BC23" i="35"/>
  <c r="BG27" i="35"/>
  <c r="AB38" i="35"/>
  <c r="AM38" i="35" s="1"/>
  <c r="AS38" i="35" s="1"/>
  <c r="AY38" i="35" s="1"/>
  <c r="AK36" i="35"/>
  <c r="AQ36" i="35" s="1"/>
  <c r="AW36" i="35" s="1"/>
  <c r="D32" i="35"/>
  <c r="J32" i="35" s="1"/>
  <c r="P32" i="35" s="1"/>
  <c r="V32" i="35" s="1"/>
  <c r="G35" i="35"/>
  <c r="M35" i="35" s="1"/>
  <c r="S35" i="35" s="1"/>
  <c r="Y35" i="35" s="1"/>
  <c r="E33" i="35"/>
  <c r="K33" i="35" s="1"/>
  <c r="Q33" i="35" s="1"/>
  <c r="W33" i="35" s="1"/>
  <c r="F34" i="35"/>
  <c r="C31" i="35"/>
  <c r="J46" i="31"/>
  <c r="AJ18" i="35"/>
  <c r="AP18" i="35" s="1"/>
  <c r="AV18" i="35" s="1"/>
  <c r="K40" i="35"/>
  <c r="Q40" i="35" s="1"/>
  <c r="W40" i="35" s="1"/>
  <c r="E43" i="35"/>
  <c r="K43" i="35" s="1"/>
  <c r="Q43" i="35" s="1"/>
  <c r="W43" i="35" s="1"/>
  <c r="F44" i="35"/>
  <c r="L44" i="35" s="1"/>
  <c r="R44" i="35" s="1"/>
  <c r="X44" i="35" s="1"/>
  <c r="D42" i="35"/>
  <c r="G45" i="35"/>
  <c r="C41" i="35"/>
  <c r="I41" i="35" s="1"/>
  <c r="O41" i="35" s="1"/>
  <c r="U41" i="35" s="1"/>
  <c r="AI18" i="35"/>
  <c r="AO18" i="35" s="1"/>
  <c r="AU18" i="35" s="1"/>
  <c r="BY40" i="35"/>
  <c r="AG20" i="35"/>
  <c r="AM20" i="35" s="1"/>
  <c r="AS20" i="35" s="1"/>
  <c r="AY20" i="35" s="1"/>
  <c r="AE18" i="35"/>
  <c r="AK18" i="35" s="1"/>
  <c r="AQ18" i="35" s="1"/>
  <c r="AW18" i="35" s="1"/>
  <c r="AD17" i="35"/>
  <c r="AF19" i="35"/>
  <c r="AC16" i="35"/>
  <c r="BD22" i="35"/>
  <c r="BE23" i="35"/>
  <c r="BG25" i="35"/>
  <c r="BF24" i="35"/>
  <c r="BC21" i="35"/>
  <c r="BI21" i="35" s="1"/>
  <c r="BO21" i="35" s="1"/>
  <c r="AK16" i="35"/>
  <c r="B34" i="35"/>
  <c r="I34" i="35" s="1"/>
  <c r="O34" i="35" s="1"/>
  <c r="U34" i="35" s="1"/>
  <c r="E46" i="31"/>
  <c r="AK19" i="35"/>
  <c r="AQ19" i="35" s="1"/>
  <c r="AW19" i="35" s="1"/>
  <c r="BW40" i="35"/>
  <c r="AM29" i="35"/>
  <c r="AS29" i="35" s="1"/>
  <c r="AY29" i="35" s="1"/>
  <c r="G48" i="35"/>
  <c r="M48" i="35" s="1"/>
  <c r="S48" i="35" s="1"/>
  <c r="Y48" i="35" s="1"/>
  <c r="E46" i="35"/>
  <c r="D45" i="35"/>
  <c r="C44" i="35"/>
  <c r="I44" i="35" s="1"/>
  <c r="O44" i="35" s="1"/>
  <c r="U44" i="35" s="1"/>
  <c r="F47" i="35"/>
  <c r="AD45" i="35"/>
  <c r="AE46" i="35"/>
  <c r="AF47" i="35"/>
  <c r="AG48" i="35"/>
  <c r="AC44" i="35"/>
  <c r="AL20" i="35"/>
  <c r="AR20" i="35" s="1"/>
  <c r="AX20" i="35" s="1"/>
  <c r="AJ19" i="35"/>
  <c r="AP19" i="35" s="1"/>
  <c r="AV19" i="35" s="1"/>
  <c r="BE42" i="35"/>
  <c r="BK42" i="35" s="1"/>
  <c r="BQ42" i="35" s="1"/>
  <c r="BC40" i="35"/>
  <c r="BG44" i="35"/>
  <c r="BF43" i="35"/>
  <c r="BD41" i="35"/>
  <c r="AF26" i="35"/>
  <c r="AD24" i="35"/>
  <c r="AJ24" i="35" s="1"/>
  <c r="AP24" i="35" s="1"/>
  <c r="AV24" i="35" s="1"/>
  <c r="AG27" i="35"/>
  <c r="AC23" i="35"/>
  <c r="AE25" i="35"/>
  <c r="AB34" i="35"/>
  <c r="AI34" i="35" s="1"/>
  <c r="AO34" i="35" s="1"/>
  <c r="AU34" i="35" s="1"/>
  <c r="AJ35" i="35"/>
  <c r="AP35" i="35" s="1"/>
  <c r="AV35" i="35" s="1"/>
  <c r="BG49" i="35"/>
  <c r="BC45" i="35"/>
  <c r="BE47" i="35"/>
  <c r="BF48" i="35"/>
  <c r="BD46" i="35"/>
  <c r="BJ46" i="35" s="1"/>
  <c r="BP46" i="35" s="1"/>
  <c r="D46" i="31"/>
  <c r="AL39" i="35"/>
  <c r="AR39" i="35" s="1"/>
  <c r="AX39" i="35" s="1"/>
  <c r="BD17" i="35"/>
  <c r="BF19" i="35"/>
  <c r="BE18" i="35"/>
  <c r="BC16" i="35"/>
  <c r="BG20" i="35"/>
  <c r="E39" i="35"/>
  <c r="K39" i="35" s="1"/>
  <c r="Q39" i="35" s="1"/>
  <c r="W39" i="35" s="1"/>
  <c r="F40" i="35"/>
  <c r="L40" i="35" s="1"/>
  <c r="R40" i="35" s="1"/>
  <c r="X40" i="35" s="1"/>
  <c r="D38" i="35"/>
  <c r="G41" i="35"/>
  <c r="M41" i="35" s="1"/>
  <c r="S41" i="35" s="1"/>
  <c r="Y41" i="35" s="1"/>
  <c r="C37" i="35"/>
  <c r="I37" i="35" s="1"/>
  <c r="O37" i="35" s="1"/>
  <c r="U37" i="35" s="1"/>
  <c r="AB26" i="35"/>
  <c r="BU26" i="35" s="1"/>
  <c r="B31" i="35"/>
  <c r="AB23" i="35"/>
  <c r="AL23" i="35" s="1"/>
  <c r="AR23" i="35" s="1"/>
  <c r="AX23" i="35" s="1"/>
  <c r="N46" i="31"/>
  <c r="AM30" i="35"/>
  <c r="AS30" i="35" s="1"/>
  <c r="AY30" i="35" s="1"/>
  <c r="B49" i="31"/>
  <c r="B51" i="31" s="1"/>
  <c r="BG37" i="35"/>
  <c r="BF36" i="35"/>
  <c r="BE35" i="35"/>
  <c r="BC33" i="35"/>
  <c r="BD34" i="35"/>
  <c r="BJ34" i="35" s="1"/>
  <c r="BP34" i="35" s="1"/>
  <c r="G37" i="35"/>
  <c r="M37" i="35" s="1"/>
  <c r="S37" i="35" s="1"/>
  <c r="Y37" i="35" s="1"/>
  <c r="C33" i="35"/>
  <c r="I33" i="35" s="1"/>
  <c r="O33" i="35" s="1"/>
  <c r="U33" i="35" s="1"/>
  <c r="F36" i="35"/>
  <c r="L36" i="35" s="1"/>
  <c r="R36" i="35" s="1"/>
  <c r="X36" i="35" s="1"/>
  <c r="E35" i="35"/>
  <c r="K35" i="35" s="1"/>
  <c r="Q35" i="35" s="1"/>
  <c r="W35" i="35" s="1"/>
  <c r="D34" i="35"/>
  <c r="I46" i="31"/>
  <c r="AL45" i="35"/>
  <c r="AR45" i="35" s="1"/>
  <c r="AX45" i="35" s="1"/>
  <c r="BX39" i="35"/>
  <c r="AJ39" i="35"/>
  <c r="AP39" i="35" s="1"/>
  <c r="AV39" i="35" s="1"/>
  <c r="E42" i="35"/>
  <c r="F43" i="35"/>
  <c r="L43" i="35" s="1"/>
  <c r="R43" i="35" s="1"/>
  <c r="X43" i="35" s="1"/>
  <c r="C40" i="35"/>
  <c r="I40" i="35" s="1"/>
  <c r="O40" i="35" s="1"/>
  <c r="U40" i="35" s="1"/>
  <c r="G44" i="35"/>
  <c r="M44" i="35" s="1"/>
  <c r="S44" i="35" s="1"/>
  <c r="Y44" i="35" s="1"/>
  <c r="D41" i="35"/>
  <c r="J41" i="35" s="1"/>
  <c r="P41" i="35" s="1"/>
  <c r="V41" i="35" s="1"/>
  <c r="AK27" i="35"/>
  <c r="AQ27" i="35" s="1"/>
  <c r="AW27" i="35" s="1"/>
  <c r="R46" i="31"/>
  <c r="AM18" i="35"/>
  <c r="D31" i="35"/>
  <c r="E32" i="35"/>
  <c r="K32" i="35" s="1"/>
  <c r="Q32" i="35" s="1"/>
  <c r="W32" i="35" s="1"/>
  <c r="F33" i="35"/>
  <c r="L33" i="35" s="1"/>
  <c r="R33" i="35" s="1"/>
  <c r="X33" i="35" s="1"/>
  <c r="C30" i="35"/>
  <c r="I30" i="35" s="1"/>
  <c r="O30" i="35" s="1"/>
  <c r="U30" i="35" s="1"/>
  <c r="G34" i="35"/>
  <c r="B26" i="35"/>
  <c r="AD20" i="35"/>
  <c r="AJ20" i="35" s="1"/>
  <c r="AP20" i="35" s="1"/>
  <c r="AV20" i="35" s="1"/>
  <c r="AF22" i="35"/>
  <c r="AL22" i="35" s="1"/>
  <c r="AR22" i="35" s="1"/>
  <c r="AX22" i="35" s="1"/>
  <c r="AC19" i="35"/>
  <c r="AI19" i="35" s="1"/>
  <c r="AO19" i="35" s="1"/>
  <c r="AU19" i="35" s="1"/>
  <c r="AE21" i="35"/>
  <c r="AG23" i="35"/>
  <c r="B42" i="35"/>
  <c r="I42" i="35" s="1"/>
  <c r="O42" i="35" s="1"/>
  <c r="U42" i="35" s="1"/>
  <c r="AB21" i="35"/>
  <c r="AC33" i="35"/>
  <c r="AI33" i="35" s="1"/>
  <c r="AO33" i="35" s="1"/>
  <c r="AU33" i="35" s="1"/>
  <c r="AE35" i="35"/>
  <c r="AK35" i="35" s="1"/>
  <c r="AQ35" i="35" s="1"/>
  <c r="AW35" i="35" s="1"/>
  <c r="AD34" i="35"/>
  <c r="AF36" i="35"/>
  <c r="AG37" i="35"/>
  <c r="H46" i="31"/>
  <c r="J43" i="35"/>
  <c r="P43" i="35" s="1"/>
  <c r="V43" i="35" s="1"/>
  <c r="BF18" i="35"/>
  <c r="BD16" i="35"/>
  <c r="BG19" i="35"/>
  <c r="BE17" i="35"/>
  <c r="BC15" i="35"/>
  <c r="AE33" i="35"/>
  <c r="AG35" i="35"/>
  <c r="AD32" i="35"/>
  <c r="AF34" i="35"/>
  <c r="AC31" i="35"/>
  <c r="AG41" i="35"/>
  <c r="AM41" i="35" s="1"/>
  <c r="AS41" i="35" s="1"/>
  <c r="AY41" i="35" s="1"/>
  <c r="AC37" i="35"/>
  <c r="AI37" i="35" s="1"/>
  <c r="AO37" i="35" s="1"/>
  <c r="AU37" i="35" s="1"/>
  <c r="AE39" i="35"/>
  <c r="AD38" i="35"/>
  <c r="AF40" i="35"/>
  <c r="AD46" i="35"/>
  <c r="AE47" i="35"/>
  <c r="AF48" i="35"/>
  <c r="AC45" i="35"/>
  <c r="AG49" i="35"/>
  <c r="AK44" i="35"/>
  <c r="AQ44" i="35" s="1"/>
  <c r="AW44" i="35" s="1"/>
  <c r="AM40" i="35"/>
  <c r="AS40" i="35" s="1"/>
  <c r="AY40" i="35" s="1"/>
  <c r="AB42" i="35"/>
  <c r="AM42" i="35" s="1"/>
  <c r="AS42" i="35" s="1"/>
  <c r="AY42" i="35" s="1"/>
  <c r="AL41" i="35"/>
  <c r="AR41" i="35" s="1"/>
  <c r="AX41" i="35" s="1"/>
  <c r="AJ43" i="35"/>
  <c r="AP43" i="35" s="1"/>
  <c r="AV43" i="35" s="1"/>
  <c r="AK40" i="35"/>
  <c r="AQ40" i="35" s="1"/>
  <c r="AW40" i="35" s="1"/>
  <c r="BE15" i="35"/>
  <c r="BK15" i="35" s="1"/>
  <c r="BQ15" i="35" s="1"/>
  <c r="BC13" i="35"/>
  <c r="BI13" i="35" s="1"/>
  <c r="BF16" i="35"/>
  <c r="BL16" i="35" s="1"/>
  <c r="BR16" i="35" s="1"/>
  <c r="BD14" i="35"/>
  <c r="BJ14" i="35" s="1"/>
  <c r="BP14" i="35" s="1"/>
  <c r="BG17" i="35"/>
  <c r="BM17" i="35" s="1"/>
  <c r="BS17" i="35" s="1"/>
  <c r="BV43" i="35"/>
  <c r="R16" i="35"/>
  <c r="AI14" i="35"/>
  <c r="AO14" i="35" s="1"/>
  <c r="AU14" i="35" s="1"/>
  <c r="AB31" i="35"/>
  <c r="AJ27" i="35"/>
  <c r="AP27" i="35" s="1"/>
  <c r="AV27" i="35" s="1"/>
  <c r="AE17" i="35"/>
  <c r="AK17" i="35" s="1"/>
  <c r="AQ17" i="35" s="1"/>
  <c r="AW17" i="35" s="1"/>
  <c r="AC15" i="35"/>
  <c r="AG19" i="35"/>
  <c r="AF18" i="35"/>
  <c r="AL18" i="35" s="1"/>
  <c r="AR18" i="35" s="1"/>
  <c r="AX18" i="35" s="1"/>
  <c r="AD16" i="35"/>
  <c r="BD42" i="35"/>
  <c r="BE43" i="35"/>
  <c r="BG45" i="35"/>
  <c r="BF44" i="35"/>
  <c r="BC41" i="35"/>
  <c r="BE33" i="35"/>
  <c r="BD32" i="35"/>
  <c r="BF34" i="35"/>
  <c r="BG35" i="35"/>
  <c r="BC31" i="35"/>
  <c r="BI31" i="35" s="1"/>
  <c r="BO31" i="35" s="1"/>
  <c r="BG41" i="35"/>
  <c r="BE39" i="35"/>
  <c r="BC37" i="35"/>
  <c r="BD38" i="35"/>
  <c r="BJ38" i="35" s="1"/>
  <c r="BP38" i="35" s="1"/>
  <c r="BF40" i="35"/>
  <c r="Q46" i="31"/>
  <c r="AM24" i="35"/>
  <c r="AS24" i="35" s="1"/>
  <c r="AY24" i="35" s="1"/>
  <c r="AD31" i="35"/>
  <c r="AE32" i="35"/>
  <c r="AK32" i="35" s="1"/>
  <c r="AQ32" i="35" s="1"/>
  <c r="AW32" i="35" s="1"/>
  <c r="AF33" i="35"/>
  <c r="AG34" i="35"/>
  <c r="AC30" i="35"/>
  <c r="BW44" i="35"/>
  <c r="BC19" i="35"/>
  <c r="BD20" i="35"/>
  <c r="BF22" i="35"/>
  <c r="BE21" i="35"/>
  <c r="BK21" i="35" s="1"/>
  <c r="BQ21" i="35" s="1"/>
  <c r="BG23" i="35"/>
  <c r="G46" i="31"/>
  <c r="M49" i="7"/>
  <c r="G53" i="7"/>
  <c r="D42" i="8"/>
  <c r="C52" i="7"/>
  <c r="C54" i="7" s="1"/>
  <c r="S53" i="7"/>
  <c r="L40" i="8"/>
  <c r="E53" i="7"/>
  <c r="O49" i="7"/>
  <c r="U38" i="8"/>
  <c r="N53" i="7"/>
  <c r="R53" i="7"/>
  <c r="C53" i="7"/>
  <c r="F49" i="7"/>
  <c r="N118" i="26"/>
  <c r="J53" i="7"/>
  <c r="J49" i="7"/>
  <c r="R49" i="7"/>
  <c r="E22" i="2" s="1"/>
  <c r="K53" i="7"/>
  <c r="S49" i="7"/>
  <c r="H49" i="7"/>
  <c r="P53" i="7"/>
  <c r="H53" i="7"/>
  <c r="I49" i="7"/>
  <c r="D53" i="7"/>
  <c r="Q49" i="7"/>
  <c r="H41" i="8"/>
  <c r="Q39" i="8"/>
  <c r="U53" i="7"/>
  <c r="Q53" i="7"/>
  <c r="K49" i="7"/>
  <c r="AC11" i="7"/>
  <c r="AA11" i="7"/>
  <c r="Z11" i="7"/>
  <c r="E96" i="26"/>
  <c r="F96" i="26" s="1"/>
  <c r="U25" i="8"/>
  <c r="U40" i="8"/>
  <c r="U20" i="8"/>
  <c r="J121" i="26"/>
  <c r="J124" i="26"/>
  <c r="K22" i="7"/>
  <c r="K24" i="8" s="1"/>
  <c r="AA23" i="11"/>
  <c r="Z23" i="11"/>
  <c r="AA18" i="11"/>
  <c r="Z18" i="11"/>
  <c r="C21" i="29"/>
  <c r="C36" i="10"/>
  <c r="AA35" i="11"/>
  <c r="Z35" i="11"/>
  <c r="AB16" i="11"/>
  <c r="N16" i="11"/>
  <c r="O16" i="11" s="1"/>
  <c r="S16" i="11"/>
  <c r="T16" i="11" s="1"/>
  <c r="X16" i="11"/>
  <c r="Y16" i="11" s="1"/>
  <c r="AB73" i="35"/>
  <c r="AE74" i="35" s="1"/>
  <c r="AK74" i="35" s="1"/>
  <c r="AQ74" i="35" s="1"/>
  <c r="AW74" i="35" s="1"/>
  <c r="J22" i="7"/>
  <c r="D22" i="36" s="1"/>
  <c r="S28" i="10"/>
  <c r="T28" i="10" s="1"/>
  <c r="N28" i="10"/>
  <c r="O28" i="10" s="1"/>
  <c r="AB28" i="10"/>
  <c r="X28" i="10"/>
  <c r="Y28" i="10" s="1"/>
  <c r="AC9" i="7"/>
  <c r="S27" i="11"/>
  <c r="T27" i="11" s="1"/>
  <c r="N27" i="11"/>
  <c r="O27" i="11" s="1"/>
  <c r="AB27" i="11"/>
  <c r="X27" i="11"/>
  <c r="Y27" i="11" s="1"/>
  <c r="I22" i="7"/>
  <c r="I24" i="8" s="1"/>
  <c r="N12" i="11"/>
  <c r="O12" i="11" s="1"/>
  <c r="AB12" i="11"/>
  <c r="S12" i="11"/>
  <c r="T12" i="11" s="1"/>
  <c r="X12" i="11"/>
  <c r="Y12" i="11" s="1"/>
  <c r="AB45" i="10"/>
  <c r="S45" i="10"/>
  <c r="T45" i="10" s="1"/>
  <c r="N45" i="10"/>
  <c r="O45" i="10" s="1"/>
  <c r="X45" i="10"/>
  <c r="Y45" i="10" s="1"/>
  <c r="G52" i="7"/>
  <c r="G54" i="7" s="1"/>
  <c r="F39" i="8"/>
  <c r="B44" i="8"/>
  <c r="D44" i="8" s="1"/>
  <c r="J132" i="26"/>
  <c r="F31" i="8"/>
  <c r="H31" i="8" s="1"/>
  <c r="Z22" i="29"/>
  <c r="AA22" i="29"/>
  <c r="U32" i="8"/>
  <c r="S38" i="10"/>
  <c r="T38" i="10" s="1"/>
  <c r="N38" i="10"/>
  <c r="O38" i="10" s="1"/>
  <c r="AB38" i="10"/>
  <c r="X38" i="10"/>
  <c r="Y38" i="10" s="1"/>
  <c r="Z11" i="29"/>
  <c r="AA11" i="29"/>
  <c r="AA23" i="10"/>
  <c r="Z23" i="10"/>
  <c r="P16" i="8"/>
  <c r="D24" i="8"/>
  <c r="C13" i="29"/>
  <c r="C28" i="10"/>
  <c r="P52" i="7"/>
  <c r="P54" i="7" s="1"/>
  <c r="P37" i="8"/>
  <c r="Z16" i="10"/>
  <c r="AA16" i="10"/>
  <c r="N17" i="29"/>
  <c r="O17" i="29" s="1"/>
  <c r="AB17" i="29"/>
  <c r="S17" i="29"/>
  <c r="T17" i="29" s="1"/>
  <c r="X17" i="29"/>
  <c r="Y17" i="29" s="1"/>
  <c r="C40" i="8"/>
  <c r="E52" i="7"/>
  <c r="E54" i="7" s="1"/>
  <c r="D15" i="11"/>
  <c r="D52" i="7"/>
  <c r="D54" i="7" s="1"/>
  <c r="B40" i="8"/>
  <c r="F28" i="8"/>
  <c r="AC20" i="32"/>
  <c r="N14" i="10"/>
  <c r="O14" i="10" s="1"/>
  <c r="S14" i="10"/>
  <c r="T14" i="10" s="1"/>
  <c r="AB14" i="10"/>
  <c r="X14" i="10"/>
  <c r="Y14" i="10" s="1"/>
  <c r="N16" i="8"/>
  <c r="S27" i="10"/>
  <c r="T27" i="10" s="1"/>
  <c r="AB27" i="10"/>
  <c r="N27" i="10"/>
  <c r="O27" i="10" s="1"/>
  <c r="X27" i="10"/>
  <c r="Y27" i="10" s="1"/>
  <c r="C22" i="11"/>
  <c r="D18" i="10"/>
  <c r="Q16" i="32"/>
  <c r="C26" i="11"/>
  <c r="D22" i="10"/>
  <c r="U52" i="7"/>
  <c r="U54" i="7" s="1"/>
  <c r="E24" i="7"/>
  <c r="C26" i="8" s="1"/>
  <c r="S20" i="7"/>
  <c r="T22" i="8" s="1"/>
  <c r="AA15" i="11"/>
  <c r="Z15" i="11"/>
  <c r="N35" i="11"/>
  <c r="O35" i="11" s="1"/>
  <c r="AB35" i="11"/>
  <c r="S35" i="11"/>
  <c r="T35" i="11" s="1"/>
  <c r="X35" i="11"/>
  <c r="Y35" i="11" s="1"/>
  <c r="AB13" i="10"/>
  <c r="N13" i="10"/>
  <c r="O13" i="10" s="1"/>
  <c r="S13" i="10"/>
  <c r="T13" i="10" s="1"/>
  <c r="X13" i="10"/>
  <c r="Y13" i="10" s="1"/>
  <c r="C16" i="11"/>
  <c r="D46" i="10"/>
  <c r="S23" i="29"/>
  <c r="T23" i="29" s="1"/>
  <c r="AB23" i="29"/>
  <c r="N23" i="29"/>
  <c r="O23" i="29" s="1"/>
  <c r="X23" i="29"/>
  <c r="Y23" i="29" s="1"/>
  <c r="U28" i="8"/>
  <c r="AA26" i="10"/>
  <c r="Z26" i="10"/>
  <c r="C24" i="11"/>
  <c r="D20" i="10"/>
  <c r="J27" i="8"/>
  <c r="L27" i="8" s="1"/>
  <c r="C38" i="11"/>
  <c r="D34" i="10"/>
  <c r="D19" i="29"/>
  <c r="J116" i="26"/>
  <c r="J126" i="26"/>
  <c r="M126" i="26"/>
  <c r="D30" i="11"/>
  <c r="S52" i="7"/>
  <c r="S54" i="7" s="1"/>
  <c r="T36" i="8"/>
  <c r="J42" i="8"/>
  <c r="E9" i="8"/>
  <c r="K52" i="7"/>
  <c r="K54" i="7" s="1"/>
  <c r="K38" i="8"/>
  <c r="Z36" i="11"/>
  <c r="AA36" i="11"/>
  <c r="AA13" i="10"/>
  <c r="Z13" i="10"/>
  <c r="AB16" i="29"/>
  <c r="N16" i="29"/>
  <c r="O16" i="29" s="1"/>
  <c r="S16" i="29"/>
  <c r="T16" i="29" s="1"/>
  <c r="X16" i="29"/>
  <c r="Y16" i="29" s="1"/>
  <c r="Z14" i="10"/>
  <c r="AA14" i="10"/>
  <c r="Z31" i="11"/>
  <c r="AA31" i="11"/>
  <c r="S30" i="10"/>
  <c r="T30" i="10" s="1"/>
  <c r="AB30" i="10"/>
  <c r="N30" i="10"/>
  <c r="O30" i="10" s="1"/>
  <c r="X30" i="10"/>
  <c r="Y30" i="10" s="1"/>
  <c r="B32" i="8"/>
  <c r="D32" i="8" s="1"/>
  <c r="J30" i="8"/>
  <c r="L30" i="8" s="1"/>
  <c r="AB20" i="11"/>
  <c r="N20" i="11"/>
  <c r="O20" i="11" s="1"/>
  <c r="S20" i="11"/>
  <c r="T20" i="11" s="1"/>
  <c r="X20" i="11"/>
  <c r="Y20" i="11" s="1"/>
  <c r="Z42" i="11"/>
  <c r="AA42" i="11"/>
  <c r="E12" i="14"/>
  <c r="F12" i="14" s="1"/>
  <c r="G12" i="14" s="1"/>
  <c r="AA11" i="10"/>
  <c r="Z11" i="10"/>
  <c r="N39" i="11"/>
  <c r="O39" i="11" s="1"/>
  <c r="AB39" i="11"/>
  <c r="S39" i="11"/>
  <c r="T39" i="11" s="1"/>
  <c r="X39" i="11"/>
  <c r="Y39" i="11" s="1"/>
  <c r="J52" i="7"/>
  <c r="J54" i="7" s="1"/>
  <c r="J38" i="8"/>
  <c r="C10" i="8"/>
  <c r="AB15" i="29"/>
  <c r="N15" i="29"/>
  <c r="O15" i="29" s="1"/>
  <c r="S15" i="29"/>
  <c r="T15" i="29" s="1"/>
  <c r="X15" i="29"/>
  <c r="Y15" i="29" s="1"/>
  <c r="AB19" i="10"/>
  <c r="S19" i="10"/>
  <c r="T19" i="10" s="1"/>
  <c r="N19" i="10"/>
  <c r="O19" i="10" s="1"/>
  <c r="X19" i="10"/>
  <c r="Y19" i="10" s="1"/>
  <c r="I27" i="14"/>
  <c r="J27" i="14" s="1"/>
  <c r="H27" i="14"/>
  <c r="O21" i="7"/>
  <c r="D25" i="11"/>
  <c r="O41" i="8"/>
  <c r="O52" i="7"/>
  <c r="O54" i="7" s="1"/>
  <c r="O37" i="8"/>
  <c r="AB28" i="11"/>
  <c r="N28" i="11"/>
  <c r="O28" i="11" s="1"/>
  <c r="S28" i="11"/>
  <c r="T28" i="11" s="1"/>
  <c r="X28" i="11"/>
  <c r="Y28" i="11" s="1"/>
  <c r="W19" i="32"/>
  <c r="K8" i="8"/>
  <c r="M16" i="8"/>
  <c r="Q22" i="32"/>
  <c r="AC36" i="7"/>
  <c r="C19" i="10"/>
  <c r="P21" i="7"/>
  <c r="P23" i="8" s="1"/>
  <c r="R20" i="7"/>
  <c r="J118" i="26"/>
  <c r="M118" i="26"/>
  <c r="B19" i="8"/>
  <c r="D19" i="8" s="1"/>
  <c r="D13" i="11"/>
  <c r="Z18" i="10"/>
  <c r="AA18" i="10"/>
  <c r="Q15" i="32"/>
  <c r="Q23" i="32"/>
  <c r="Z32" i="11"/>
  <c r="AA32" i="11"/>
  <c r="Q12" i="32"/>
  <c r="C32" i="10"/>
  <c r="C17" i="29"/>
  <c r="J122" i="26"/>
  <c r="M122" i="26"/>
  <c r="J125" i="26"/>
  <c r="B36" i="8"/>
  <c r="D36" i="8" s="1"/>
  <c r="AA25" i="10"/>
  <c r="Z25" i="10"/>
  <c r="N18" i="11"/>
  <c r="O18" i="11" s="1"/>
  <c r="AB18" i="11"/>
  <c r="S18" i="11"/>
  <c r="T18" i="11" s="1"/>
  <c r="X18" i="11"/>
  <c r="Y18" i="11" s="1"/>
  <c r="B29" i="8"/>
  <c r="D29" i="8" s="1"/>
  <c r="AB20" i="29"/>
  <c r="N20" i="29"/>
  <c r="O20" i="29" s="1"/>
  <c r="S20" i="29"/>
  <c r="T20" i="29" s="1"/>
  <c r="X20" i="29"/>
  <c r="Y20" i="29" s="1"/>
  <c r="AB39" i="10"/>
  <c r="S39" i="10"/>
  <c r="T39" i="10" s="1"/>
  <c r="N39" i="10"/>
  <c r="O39" i="10" s="1"/>
  <c r="X39" i="10"/>
  <c r="Y39" i="10" s="1"/>
  <c r="J22" i="8"/>
  <c r="L22" i="8" s="1"/>
  <c r="E28" i="8"/>
  <c r="E39" i="8"/>
  <c r="F52" i="7"/>
  <c r="F54" i="7" s="1"/>
  <c r="F23" i="8"/>
  <c r="H23" i="8" s="1"/>
  <c r="W24" i="32"/>
  <c r="S24" i="10"/>
  <c r="T24" i="10" s="1"/>
  <c r="AB24" i="10"/>
  <c r="X24" i="10"/>
  <c r="Y24" i="10" s="1"/>
  <c r="N24" i="10"/>
  <c r="O24" i="10" s="1"/>
  <c r="C20" i="29"/>
  <c r="C35" i="10"/>
  <c r="N52" i="7"/>
  <c r="N54" i="7" s="1"/>
  <c r="N37" i="8"/>
  <c r="N25" i="10"/>
  <c r="O25" i="10" s="1"/>
  <c r="S25" i="10"/>
  <c r="T25" i="10" s="1"/>
  <c r="AB25" i="10"/>
  <c r="X25" i="10"/>
  <c r="Y25" i="10" s="1"/>
  <c r="Z12" i="10"/>
  <c r="AA12" i="10"/>
  <c r="AB17" i="10"/>
  <c r="S17" i="10"/>
  <c r="T17" i="10" s="1"/>
  <c r="N17" i="10"/>
  <c r="O17" i="10" s="1"/>
  <c r="X17" i="10"/>
  <c r="Y17" i="10" s="1"/>
  <c r="F23" i="7"/>
  <c r="E25" i="8" s="1"/>
  <c r="Q17" i="32"/>
  <c r="R36" i="8"/>
  <c r="Q52" i="7"/>
  <c r="Q54" i="7" s="1"/>
  <c r="D38" i="11"/>
  <c r="T15" i="8"/>
  <c r="N26" i="8"/>
  <c r="Q26" i="8" s="1"/>
  <c r="Y11" i="11"/>
  <c r="N21" i="7"/>
  <c r="K23" i="9" s="1"/>
  <c r="L23" i="9" s="1"/>
  <c r="M23" i="9" s="1"/>
  <c r="C11" i="11"/>
  <c r="I8" i="9"/>
  <c r="Z34" i="11"/>
  <c r="AA34" i="11"/>
  <c r="D42" i="11"/>
  <c r="D34" i="11"/>
  <c r="AB24" i="29"/>
  <c r="S24" i="29"/>
  <c r="T24" i="29" s="1"/>
  <c r="N24" i="29"/>
  <c r="O24" i="29" s="1"/>
  <c r="X24" i="29"/>
  <c r="Y24" i="29" s="1"/>
  <c r="F43" i="8"/>
  <c r="F18" i="8"/>
  <c r="Q18" i="32"/>
  <c r="H23" i="7"/>
  <c r="G25" i="8" s="1"/>
  <c r="J34" i="8"/>
  <c r="L34" i="8" s="1"/>
  <c r="I42" i="8"/>
  <c r="D21" i="11"/>
  <c r="J128" i="26"/>
  <c r="C25" i="29"/>
  <c r="C40" i="10"/>
  <c r="AB11" i="10"/>
  <c r="S11" i="10"/>
  <c r="T11" i="10" s="1"/>
  <c r="X11" i="10"/>
  <c r="N11" i="10"/>
  <c r="O11" i="10" s="1"/>
  <c r="M41" i="8"/>
  <c r="Q26" i="32"/>
  <c r="P41" i="8"/>
  <c r="N33" i="8"/>
  <c r="Q33" i="8" s="1"/>
  <c r="E18" i="8"/>
  <c r="AB35" i="10"/>
  <c r="N35" i="10"/>
  <c r="O35" i="10" s="1"/>
  <c r="S35" i="10"/>
  <c r="T35" i="10" s="1"/>
  <c r="X35" i="10"/>
  <c r="Y35" i="10" s="1"/>
  <c r="Z43" i="11"/>
  <c r="AA43" i="11"/>
  <c r="F35" i="8"/>
  <c r="AA28" i="11"/>
  <c r="Z28" i="11"/>
  <c r="J17" i="8"/>
  <c r="C21" i="10"/>
  <c r="C45" i="10"/>
  <c r="R15" i="8"/>
  <c r="D44" i="11"/>
  <c r="N41" i="8"/>
  <c r="AA29" i="11"/>
  <c r="Z29" i="11"/>
  <c r="W6" i="30"/>
  <c r="J115" i="26"/>
  <c r="J113" i="26"/>
  <c r="J114" i="26"/>
  <c r="J119" i="26"/>
  <c r="J123" i="26"/>
  <c r="J129" i="26"/>
  <c r="J131" i="26"/>
  <c r="J127" i="26"/>
  <c r="AA21" i="11"/>
  <c r="Z21" i="11"/>
  <c r="AA14" i="29"/>
  <c r="Z14" i="29"/>
  <c r="B73" i="35"/>
  <c r="L73" i="35" s="1"/>
  <c r="R73" i="35" s="1"/>
  <c r="X73" i="35" s="1"/>
  <c r="G23" i="7"/>
  <c r="C23" i="36" s="1"/>
  <c r="AB15" i="10"/>
  <c r="S15" i="10"/>
  <c r="T15" i="10" s="1"/>
  <c r="N15" i="10"/>
  <c r="O15" i="10" s="1"/>
  <c r="X15" i="10"/>
  <c r="Y15" i="10" s="1"/>
  <c r="Z17" i="11"/>
  <c r="AA17" i="11"/>
  <c r="R52" i="7"/>
  <c r="R54" i="7" s="1"/>
  <c r="S36" i="8"/>
  <c r="N41" i="11"/>
  <c r="O41" i="11" s="1"/>
  <c r="AB41" i="11"/>
  <c r="S41" i="11"/>
  <c r="T41" i="11" s="1"/>
  <c r="X41" i="11"/>
  <c r="Y41" i="11" s="1"/>
  <c r="N31" i="10"/>
  <c r="O31" i="10" s="1"/>
  <c r="AB31" i="10"/>
  <c r="S31" i="10"/>
  <c r="T31" i="10" s="1"/>
  <c r="X31" i="10"/>
  <c r="Y31" i="10" s="1"/>
  <c r="D24" i="7"/>
  <c r="AA19" i="11"/>
  <c r="Z19" i="11"/>
  <c r="N13" i="29"/>
  <c r="O13" i="29" s="1"/>
  <c r="AB13" i="29"/>
  <c r="S13" i="29"/>
  <c r="T13" i="29" s="1"/>
  <c r="X13" i="29"/>
  <c r="Y13" i="29" s="1"/>
  <c r="M21" i="7"/>
  <c r="M23" i="8" s="1"/>
  <c r="D37" i="11"/>
  <c r="Z46" i="10"/>
  <c r="AA46" i="10"/>
  <c r="Q21" i="32"/>
  <c r="W23" i="28"/>
  <c r="C25" i="7"/>
  <c r="Q20" i="7"/>
  <c r="R22" i="8" s="1"/>
  <c r="N132" i="26"/>
  <c r="N31" i="11"/>
  <c r="O31" i="11" s="1"/>
  <c r="S31" i="11"/>
  <c r="T31" i="11" s="1"/>
  <c r="AB31" i="11"/>
  <c r="X31" i="11"/>
  <c r="Y31" i="11" s="1"/>
  <c r="AA37" i="10"/>
  <c r="Z37" i="10"/>
  <c r="I17" i="8"/>
  <c r="M52" i="25"/>
  <c r="M50" i="25"/>
  <c r="I8" i="8"/>
  <c r="Z13" i="11"/>
  <c r="AA13" i="11"/>
  <c r="C24" i="29"/>
  <c r="C39" i="10"/>
  <c r="M52" i="7"/>
  <c r="M54" i="7" s="1"/>
  <c r="M37" i="8"/>
  <c r="E43" i="8"/>
  <c r="W13" i="32"/>
  <c r="V13" i="32"/>
  <c r="AA39" i="11"/>
  <c r="Z39" i="11"/>
  <c r="N32" i="10"/>
  <c r="O32" i="10" s="1"/>
  <c r="AB32" i="10"/>
  <c r="S32" i="10"/>
  <c r="T32" i="10" s="1"/>
  <c r="X32" i="10"/>
  <c r="Y32" i="10" s="1"/>
  <c r="J130" i="26"/>
  <c r="M130" i="26"/>
  <c r="C14" i="11"/>
  <c r="D12" i="10"/>
  <c r="N12" i="10" s="1"/>
  <c r="Q10" i="8"/>
  <c r="N21" i="8"/>
  <c r="Q21" i="8" s="1"/>
  <c r="H52" i="7"/>
  <c r="H54" i="7" s="1"/>
  <c r="G39" i="8"/>
  <c r="Q14" i="32"/>
  <c r="AB12" i="29"/>
  <c r="N12" i="29"/>
  <c r="O12" i="29" s="1"/>
  <c r="S12" i="29"/>
  <c r="T12" i="29" s="1"/>
  <c r="X12" i="29"/>
  <c r="Y12" i="29" s="1"/>
  <c r="W25" i="32"/>
  <c r="N29" i="8"/>
  <c r="Q29" i="8" s="1"/>
  <c r="I52" i="7"/>
  <c r="I54" i="7" s="1"/>
  <c r="I38" i="8"/>
  <c r="AA29" i="10"/>
  <c r="Z29" i="10"/>
  <c r="BE92" i="35" l="1"/>
  <c r="D91" i="35"/>
  <c r="D28" i="29"/>
  <c r="N28" i="29" s="1"/>
  <c r="O28" i="29" s="1"/>
  <c r="C30" i="29"/>
  <c r="Z30" i="29" s="1"/>
  <c r="C44" i="10"/>
  <c r="Z44" i="10" s="1"/>
  <c r="D139" i="26"/>
  <c r="D148" i="26"/>
  <c r="D147" i="26"/>
  <c r="D142" i="26"/>
  <c r="D145" i="26"/>
  <c r="D137" i="26"/>
  <c r="D149" i="26"/>
  <c r="BT31" i="16"/>
  <c r="BT37" i="16"/>
  <c r="D140" i="26"/>
  <c r="D150" i="26"/>
  <c r="BS31" i="16"/>
  <c r="BW37" i="16"/>
  <c r="AB31" i="32"/>
  <c r="AB32" i="32" s="1"/>
  <c r="AH31" i="32"/>
  <c r="AH32" i="32" s="1"/>
  <c r="AH36" i="32" s="1"/>
  <c r="BW31" i="16"/>
  <c r="BR37" i="16"/>
  <c r="P34" i="32"/>
  <c r="P35" i="32" s="1"/>
  <c r="P36" i="32" s="1"/>
  <c r="W41" i="7"/>
  <c r="E41" i="14" s="1"/>
  <c r="F41" i="14" s="1"/>
  <c r="G41" i="14" s="1"/>
  <c r="BV37" i="16"/>
  <c r="BR31" i="16"/>
  <c r="W40" i="7"/>
  <c r="AC40" i="7" s="1"/>
  <c r="D43" i="10"/>
  <c r="N43" i="10" s="1"/>
  <c r="O43" i="10" s="1"/>
  <c r="BV31" i="16"/>
  <c r="J34" i="32"/>
  <c r="J35" i="32" s="1"/>
  <c r="J36" i="32" s="1"/>
  <c r="BD92" i="35"/>
  <c r="BI90" i="35"/>
  <c r="BO90" i="35" s="1"/>
  <c r="BU90" i="35" s="1"/>
  <c r="BG92" i="35"/>
  <c r="BM92" i="35" s="1"/>
  <c r="M133" i="26"/>
  <c r="J133" i="26"/>
  <c r="D141" i="26"/>
  <c r="BF91" i="35"/>
  <c r="BL91" i="35" s="1"/>
  <c r="BR91" i="35" s="1"/>
  <c r="BX91" i="35" s="1"/>
  <c r="BS37" i="16"/>
  <c r="V43" i="31"/>
  <c r="I54" i="31" s="1"/>
  <c r="BK90" i="35"/>
  <c r="BQ90" i="35" s="1"/>
  <c r="BW90" i="35" s="1"/>
  <c r="D138" i="26"/>
  <c r="D146" i="26"/>
  <c r="BM90" i="35"/>
  <c r="BS90" i="35" s="1"/>
  <c r="BY90" i="35" s="1"/>
  <c r="BL90" i="35"/>
  <c r="BR90" i="35" s="1"/>
  <c r="BX90" i="35" s="1"/>
  <c r="D34" i="32"/>
  <c r="D35" i="32" s="1"/>
  <c r="D36" i="32" s="1"/>
  <c r="C40" i="32" s="1"/>
  <c r="S23" i="11"/>
  <c r="T23" i="11" s="1"/>
  <c r="Q7" i="33"/>
  <c r="Q12" i="33"/>
  <c r="Q11" i="33"/>
  <c r="Q10" i="33"/>
  <c r="Q8" i="33"/>
  <c r="X23" i="11"/>
  <c r="Y23" i="11" s="1"/>
  <c r="AN29" i="16"/>
  <c r="AO33" i="16" s="1"/>
  <c r="H7" i="33" s="1"/>
  <c r="AA2" i="30"/>
  <c r="E67" i="9"/>
  <c r="W24" i="7"/>
  <c r="M45" i="35"/>
  <c r="S45" i="35" s="1"/>
  <c r="Y45" i="35" s="1"/>
  <c r="J90" i="35"/>
  <c r="P90" i="35" s="1"/>
  <c r="V90" i="35" s="1"/>
  <c r="M90" i="35"/>
  <c r="S90" i="35" s="1"/>
  <c r="Y90" i="35" s="1"/>
  <c r="J45" i="35"/>
  <c r="P45" i="35" s="1"/>
  <c r="V45" i="35" s="1"/>
  <c r="I45" i="35"/>
  <c r="O45" i="35" s="1"/>
  <c r="U45" i="35" s="1"/>
  <c r="I90" i="35"/>
  <c r="O90" i="35" s="1"/>
  <c r="U90" i="35" s="1"/>
  <c r="E91" i="35"/>
  <c r="AC91" i="35"/>
  <c r="AI91" i="35" s="1"/>
  <c r="AO91" i="35" s="1"/>
  <c r="AU91" i="35" s="1"/>
  <c r="AE91" i="35"/>
  <c r="AK91" i="35" s="1"/>
  <c r="AQ91" i="35" s="1"/>
  <c r="AW91" i="35" s="1"/>
  <c r="AD91" i="35"/>
  <c r="AJ91" i="35" s="1"/>
  <c r="AP91" i="35" s="1"/>
  <c r="AV91" i="35" s="1"/>
  <c r="L27" i="30"/>
  <c r="L30" i="30" s="1"/>
  <c r="L28" i="30"/>
  <c r="L31" i="30" s="1"/>
  <c r="E42" i="9"/>
  <c r="C26" i="29"/>
  <c r="C41" i="10"/>
  <c r="AK90" i="35"/>
  <c r="AQ90" i="35" s="1"/>
  <c r="AW90" i="35" s="1"/>
  <c r="K27" i="30"/>
  <c r="K30" i="30" s="1"/>
  <c r="K28" i="30"/>
  <c r="K31" i="30" s="1"/>
  <c r="D27" i="30"/>
  <c r="D30" i="30" s="1"/>
  <c r="D28" i="30"/>
  <c r="D31" i="30" s="1"/>
  <c r="G28" i="30"/>
  <c r="G31" i="30" s="1"/>
  <c r="G27" i="30"/>
  <c r="G30" i="30" s="1"/>
  <c r="AB23" i="11"/>
  <c r="AF94" i="35"/>
  <c r="C28" i="30"/>
  <c r="C31" i="30" s="1"/>
  <c r="C27" i="30"/>
  <c r="C30" i="30" s="1"/>
  <c r="AJ90" i="35"/>
  <c r="AP90" i="35" s="1"/>
  <c r="AV90" i="35" s="1"/>
  <c r="I41" i="9"/>
  <c r="D25" i="29"/>
  <c r="D40" i="10"/>
  <c r="C44" i="11"/>
  <c r="AM90" i="35"/>
  <c r="AS90" i="35" s="1"/>
  <c r="AY90" i="35" s="1"/>
  <c r="P27" i="30"/>
  <c r="P30" i="30" s="1"/>
  <c r="P28" i="30"/>
  <c r="P31" i="30" s="1"/>
  <c r="BE48" i="35"/>
  <c r="BK48" i="35" s="1"/>
  <c r="BQ48" i="35" s="1"/>
  <c r="BW48" i="35" s="1"/>
  <c r="BF49" i="35"/>
  <c r="BC46" i="35"/>
  <c r="BI46" i="35" s="1"/>
  <c r="BO46" i="35" s="1"/>
  <c r="BU46" i="35" s="1"/>
  <c r="BD47" i="35"/>
  <c r="BJ47" i="35" s="1"/>
  <c r="BP47" i="35" s="1"/>
  <c r="BV47" i="35" s="1"/>
  <c r="R27" i="30"/>
  <c r="R30" i="30" s="1"/>
  <c r="R28" i="30"/>
  <c r="R31" i="30" s="1"/>
  <c r="O27" i="30"/>
  <c r="O30" i="30" s="1"/>
  <c r="O28" i="30"/>
  <c r="O31" i="30" s="1"/>
  <c r="U28" i="30"/>
  <c r="U31" i="30" s="1"/>
  <c r="U27" i="30"/>
  <c r="U30" i="30" s="1"/>
  <c r="AI90" i="35"/>
  <c r="AO90" i="35" s="1"/>
  <c r="AU90" i="35" s="1"/>
  <c r="BC91" i="35"/>
  <c r="BI91" i="35" s="1"/>
  <c r="BO91" i="35" s="1"/>
  <c r="BU91" i="35" s="1"/>
  <c r="BE91" i="35"/>
  <c r="BK91" i="35" s="1"/>
  <c r="BQ91" i="35" s="1"/>
  <c r="BW91" i="35" s="1"/>
  <c r="BD91" i="35"/>
  <c r="BJ91" i="35" s="1"/>
  <c r="BP91" i="35" s="1"/>
  <c r="BV91" i="35" s="1"/>
  <c r="F27" i="30"/>
  <c r="F30" i="30" s="1"/>
  <c r="F28" i="30"/>
  <c r="F31" i="30" s="1"/>
  <c r="AE92" i="35"/>
  <c r="AK92" i="35" s="1"/>
  <c r="T28" i="30"/>
  <c r="T31" i="30" s="1"/>
  <c r="T27" i="30"/>
  <c r="T30" i="30" s="1"/>
  <c r="E48" i="35"/>
  <c r="K48" i="35" s="1"/>
  <c r="Q48" i="35" s="1"/>
  <c r="W48" i="35" s="1"/>
  <c r="C46" i="35"/>
  <c r="D47" i="35"/>
  <c r="J47" i="35" s="1"/>
  <c r="P47" i="35" s="1"/>
  <c r="V47" i="35" s="1"/>
  <c r="F49" i="35"/>
  <c r="H35" i="8"/>
  <c r="M138" i="26"/>
  <c r="AG91" i="35"/>
  <c r="AM91" i="35" s="1"/>
  <c r="AS91" i="35" s="1"/>
  <c r="AY91" i="35" s="1"/>
  <c r="W21" i="7"/>
  <c r="N27" i="30"/>
  <c r="N30" i="30" s="1"/>
  <c r="N28" i="30"/>
  <c r="N31" i="30" s="1"/>
  <c r="E27" i="30"/>
  <c r="E30" i="30" s="1"/>
  <c r="E28" i="30"/>
  <c r="E31" i="30" s="1"/>
  <c r="M27" i="30"/>
  <c r="M30" i="30" s="1"/>
  <c r="M28" i="30"/>
  <c r="M31" i="30" s="1"/>
  <c r="AJ47" i="35"/>
  <c r="AP47" i="35" s="1"/>
  <c r="AV47" i="35" s="1"/>
  <c r="M40" i="9"/>
  <c r="D43" i="11"/>
  <c r="AF91" i="35"/>
  <c r="AL91" i="35" s="1"/>
  <c r="AR91" i="35" s="1"/>
  <c r="AX91" i="35" s="1"/>
  <c r="AL90" i="35"/>
  <c r="AR90" i="35" s="1"/>
  <c r="AX90" i="35" s="1"/>
  <c r="AF92" i="35"/>
  <c r="AL92" i="35" s="1"/>
  <c r="Q28" i="30"/>
  <c r="Q31" i="30" s="1"/>
  <c r="Q27" i="30"/>
  <c r="Q30" i="30" s="1"/>
  <c r="AG92" i="35"/>
  <c r="AM92" i="35" s="1"/>
  <c r="AS92" i="35" s="1"/>
  <c r="AY92" i="35" s="1"/>
  <c r="AD92" i="35"/>
  <c r="AJ92" i="35" s="1"/>
  <c r="AP92" i="35" s="1"/>
  <c r="AV92" i="35" s="1"/>
  <c r="J27" i="30"/>
  <c r="J30" i="30" s="1"/>
  <c r="J28" i="30"/>
  <c r="J31" i="30" s="1"/>
  <c r="AD47" i="35"/>
  <c r="AE48" i="35"/>
  <c r="AK48" i="35" s="1"/>
  <c r="AQ48" i="35" s="1"/>
  <c r="AW48" i="35" s="1"/>
  <c r="AC46" i="35"/>
  <c r="AI46" i="35" s="1"/>
  <c r="AO46" i="35" s="1"/>
  <c r="AU46" i="35" s="1"/>
  <c r="AF49" i="35"/>
  <c r="H28" i="30"/>
  <c r="H31" i="30" s="1"/>
  <c r="H27" i="30"/>
  <c r="H30" i="30" s="1"/>
  <c r="S27" i="30"/>
  <c r="S30" i="30" s="1"/>
  <c r="S28" i="30"/>
  <c r="S31" i="30" s="1"/>
  <c r="AT21" i="16"/>
  <c r="W49" i="7"/>
  <c r="W23" i="7"/>
  <c r="AA23" i="7" s="1"/>
  <c r="BE94" i="35"/>
  <c r="BG94" i="35"/>
  <c r="BF94" i="35"/>
  <c r="W20" i="7"/>
  <c r="E20" i="14" s="1"/>
  <c r="F20" i="14" s="1"/>
  <c r="G20" i="14" s="1"/>
  <c r="AE94" i="35"/>
  <c r="B27" i="30"/>
  <c r="B30" i="30" s="1"/>
  <c r="B28" i="30"/>
  <c r="B31" i="30" s="1"/>
  <c r="N138" i="26"/>
  <c r="W25" i="7"/>
  <c r="AA25" i="7" s="1"/>
  <c r="AR29" i="16"/>
  <c r="AO37" i="16" s="1"/>
  <c r="H11" i="33" s="1"/>
  <c r="F92" i="35"/>
  <c r="L92" i="35" s="1"/>
  <c r="R92" i="35" s="1"/>
  <c r="X92" i="35" s="1"/>
  <c r="E94" i="35"/>
  <c r="F94" i="35"/>
  <c r="W22" i="7"/>
  <c r="AC22" i="7" s="1"/>
  <c r="G94" i="35"/>
  <c r="AG94" i="35"/>
  <c r="Q17" i="35"/>
  <c r="AN38" i="16"/>
  <c r="G12" i="33" s="1"/>
  <c r="AN36" i="16"/>
  <c r="G10" i="33" s="1"/>
  <c r="AN33" i="16"/>
  <c r="G7" i="33" s="1"/>
  <c r="AB26" i="33" s="1"/>
  <c r="AT10" i="16"/>
  <c r="AT11" i="16"/>
  <c r="AT19" i="16"/>
  <c r="AT9" i="16"/>
  <c r="AT24" i="16"/>
  <c r="AT18" i="16"/>
  <c r="AT12" i="16"/>
  <c r="AT14" i="16"/>
  <c r="AT13" i="16"/>
  <c r="AT8" i="16"/>
  <c r="AP34" i="16"/>
  <c r="I8" i="33" s="1"/>
  <c r="AT17" i="16"/>
  <c r="AN34" i="16"/>
  <c r="G8" i="33" s="1"/>
  <c r="AT22" i="16"/>
  <c r="AT23" i="16"/>
  <c r="AT16" i="16"/>
  <c r="AT15" i="16"/>
  <c r="AR61" i="35"/>
  <c r="BQ16" i="35"/>
  <c r="BR17" i="35"/>
  <c r="AO58" i="35"/>
  <c r="O58" i="35"/>
  <c r="BO58" i="35"/>
  <c r="O13" i="35"/>
  <c r="U13" i="35" s="1"/>
  <c r="AX17" i="35"/>
  <c r="BO13" i="35"/>
  <c r="AQ60" i="35"/>
  <c r="R61" i="35"/>
  <c r="AS18" i="35"/>
  <c r="AS62" i="35"/>
  <c r="S62" i="35"/>
  <c r="S18" i="35"/>
  <c r="P59" i="35"/>
  <c r="Q60" i="35"/>
  <c r="AQ16" i="35"/>
  <c r="BR61" i="35"/>
  <c r="X17" i="35"/>
  <c r="BP15" i="35"/>
  <c r="BS62" i="35"/>
  <c r="BQ60" i="35"/>
  <c r="AP15" i="35"/>
  <c r="AP59" i="35"/>
  <c r="BP59" i="35"/>
  <c r="BS18" i="35"/>
  <c r="V15" i="35"/>
  <c r="I18" i="36"/>
  <c r="K18" i="36" s="1"/>
  <c r="H22" i="36"/>
  <c r="I17" i="36"/>
  <c r="K17" i="36" s="1"/>
  <c r="I21" i="36"/>
  <c r="K21" i="36" s="1"/>
  <c r="I19" i="36"/>
  <c r="L19" i="36" s="1"/>
  <c r="I20" i="36"/>
  <c r="L20" i="36" s="1"/>
  <c r="I22" i="36"/>
  <c r="L22" i="36" s="1"/>
  <c r="H17" i="36"/>
  <c r="H21" i="36"/>
  <c r="H20" i="36"/>
  <c r="H18" i="36"/>
  <c r="H19" i="36"/>
  <c r="Z12" i="7"/>
  <c r="AA12" i="7"/>
  <c r="AC12" i="7"/>
  <c r="C45" i="11"/>
  <c r="AA45" i="11" s="1"/>
  <c r="I17" i="9"/>
  <c r="C25" i="9"/>
  <c r="D25" i="9" s="1"/>
  <c r="E25" i="9" s="1"/>
  <c r="L54" i="9"/>
  <c r="L53" i="9"/>
  <c r="F22" i="36"/>
  <c r="G24" i="9"/>
  <c r="H24" i="9" s="1"/>
  <c r="I24" i="9" s="1"/>
  <c r="L52" i="9"/>
  <c r="E28" i="9"/>
  <c r="H54" i="9"/>
  <c r="H53" i="9"/>
  <c r="H52" i="9"/>
  <c r="D53" i="9"/>
  <c r="D52" i="9"/>
  <c r="D54" i="9"/>
  <c r="BE70" i="35"/>
  <c r="BK70" i="35" s="1"/>
  <c r="BQ70" i="35" s="1"/>
  <c r="BW70" i="35" s="1"/>
  <c r="BF69" i="35"/>
  <c r="BL69" i="35" s="1"/>
  <c r="BR69" i="35" s="1"/>
  <c r="BX69" i="35" s="1"/>
  <c r="BX21" i="35"/>
  <c r="G80" i="35"/>
  <c r="M80" i="35" s="1"/>
  <c r="S80" i="35" s="1"/>
  <c r="Y80" i="35" s="1"/>
  <c r="M66" i="35"/>
  <c r="S66" i="35" s="1"/>
  <c r="Y66" i="35" s="1"/>
  <c r="BK23" i="35"/>
  <c r="BQ23" i="35" s="1"/>
  <c r="BW23" i="35" s="1"/>
  <c r="BM23" i="35"/>
  <c r="BS23" i="35" s="1"/>
  <c r="BY23" i="35" s="1"/>
  <c r="BI23" i="35"/>
  <c r="BO23" i="35" s="1"/>
  <c r="BU23" i="35" s="1"/>
  <c r="L26" i="35"/>
  <c r="R26" i="35" s="1"/>
  <c r="X26" i="35" s="1"/>
  <c r="G89" i="35"/>
  <c r="M89" i="35" s="1"/>
  <c r="S89" i="35" s="1"/>
  <c r="Y89" i="35" s="1"/>
  <c r="E88" i="35"/>
  <c r="K88" i="35" s="1"/>
  <c r="Q88" i="35" s="1"/>
  <c r="W88" i="35" s="1"/>
  <c r="AA30" i="29"/>
  <c r="G28" i="35"/>
  <c r="J87" i="35"/>
  <c r="P87" i="35" s="1"/>
  <c r="V87" i="35" s="1"/>
  <c r="I87" i="35"/>
  <c r="O87" i="35" s="1"/>
  <c r="U87" i="35" s="1"/>
  <c r="F89" i="35"/>
  <c r="L89" i="35" s="1"/>
  <c r="R89" i="35" s="1"/>
  <c r="X89" i="35" s="1"/>
  <c r="F88" i="35"/>
  <c r="L88" i="35" s="1"/>
  <c r="R88" i="35" s="1"/>
  <c r="X88" i="35" s="1"/>
  <c r="K87" i="35"/>
  <c r="Q87" i="35" s="1"/>
  <c r="W87" i="35" s="1"/>
  <c r="D25" i="35"/>
  <c r="J25" i="35" s="1"/>
  <c r="P25" i="35" s="1"/>
  <c r="V25" i="35" s="1"/>
  <c r="M23" i="35"/>
  <c r="S23" i="35" s="1"/>
  <c r="Y23" i="35" s="1"/>
  <c r="BF70" i="35"/>
  <c r="BL70" i="35" s="1"/>
  <c r="BR70" i="35" s="1"/>
  <c r="BX70" i="35" s="1"/>
  <c r="BK68" i="35"/>
  <c r="BQ68" i="35" s="1"/>
  <c r="BW68" i="35" s="1"/>
  <c r="BG72" i="35"/>
  <c r="BM72" i="35" s="1"/>
  <c r="BS72" i="35" s="1"/>
  <c r="BY72" i="35" s="1"/>
  <c r="J23" i="35"/>
  <c r="P23" i="35" s="1"/>
  <c r="V23" i="35" s="1"/>
  <c r="C24" i="35"/>
  <c r="I24" i="35" s="1"/>
  <c r="O24" i="35" s="1"/>
  <c r="U24" i="35" s="1"/>
  <c r="F68" i="35"/>
  <c r="L68" i="35" s="1"/>
  <c r="BM68" i="35"/>
  <c r="BS68" i="35" s="1"/>
  <c r="BY68" i="35" s="1"/>
  <c r="BD69" i="35"/>
  <c r="BJ69" i="35" s="1"/>
  <c r="BP69" i="35" s="1"/>
  <c r="BV69" i="35" s="1"/>
  <c r="E26" i="35"/>
  <c r="K26" i="35" s="1"/>
  <c r="D68" i="35"/>
  <c r="J68" i="35" s="1"/>
  <c r="BG69" i="35"/>
  <c r="BM69" i="35" s="1"/>
  <c r="BS69" i="35" s="1"/>
  <c r="BY69" i="35" s="1"/>
  <c r="E68" i="35"/>
  <c r="K68" i="35" s="1"/>
  <c r="E92" i="35"/>
  <c r="K92" i="35" s="1"/>
  <c r="Q92" i="35" s="1"/>
  <c r="W92" i="35" s="1"/>
  <c r="K91" i="35"/>
  <c r="Q91" i="35" s="1"/>
  <c r="W91" i="35" s="1"/>
  <c r="G68" i="35"/>
  <c r="M68" i="35" s="1"/>
  <c r="I66" i="35"/>
  <c r="O66" i="35" s="1"/>
  <c r="U66" i="35" s="1"/>
  <c r="L66" i="35"/>
  <c r="R66" i="35" s="1"/>
  <c r="X66" i="35" s="1"/>
  <c r="J91" i="35"/>
  <c r="P91" i="35" s="1"/>
  <c r="V91" i="35" s="1"/>
  <c r="BG71" i="35"/>
  <c r="BM71" i="35" s="1"/>
  <c r="BS71" i="35" s="1"/>
  <c r="BY71" i="35" s="1"/>
  <c r="D67" i="35"/>
  <c r="J67" i="35" s="1"/>
  <c r="P67" i="35" s="1"/>
  <c r="K23" i="35"/>
  <c r="Q23" i="35" s="1"/>
  <c r="W23" i="35" s="1"/>
  <c r="BJ68" i="35"/>
  <c r="BP68" i="35" s="1"/>
  <c r="BV68" i="35" s="1"/>
  <c r="BI68" i="35"/>
  <c r="BO68" i="35" s="1"/>
  <c r="BU68" i="35" s="1"/>
  <c r="J66" i="35"/>
  <c r="P66" i="35" s="1"/>
  <c r="V66" i="35" s="1"/>
  <c r="BL68" i="35"/>
  <c r="BR68" i="35" s="1"/>
  <c r="BX68" i="35" s="1"/>
  <c r="BE69" i="35"/>
  <c r="BK69" i="35" s="1"/>
  <c r="BQ69" i="35" s="1"/>
  <c r="BW69" i="35" s="1"/>
  <c r="K66" i="35"/>
  <c r="Q66" i="35" s="1"/>
  <c r="W66" i="35" s="1"/>
  <c r="BF71" i="35"/>
  <c r="BL71" i="35" s="1"/>
  <c r="BR71" i="35" s="1"/>
  <c r="BX71" i="35" s="1"/>
  <c r="AI31" i="32"/>
  <c r="AI32" i="32" s="1"/>
  <c r="AI33" i="32" s="1"/>
  <c r="Q31" i="32"/>
  <c r="Q32" i="32" s="1"/>
  <c r="Q33" i="32" s="1"/>
  <c r="V34" i="32"/>
  <c r="V35" i="32" s="1"/>
  <c r="V31" i="32"/>
  <c r="V32" i="32" s="1"/>
  <c r="AB36" i="32"/>
  <c r="J34" i="35"/>
  <c r="P34" i="35" s="1"/>
  <c r="V34" i="35" s="1"/>
  <c r="M139" i="26"/>
  <c r="L21" i="35"/>
  <c r="R21" i="35" s="1"/>
  <c r="X21" i="35" s="1"/>
  <c r="I21" i="35"/>
  <c r="O21" i="35" s="1"/>
  <c r="U21" i="35" s="1"/>
  <c r="I23" i="35"/>
  <c r="O23" i="35" s="1"/>
  <c r="U23" i="35" s="1"/>
  <c r="F27" i="35"/>
  <c r="L27" i="35" s="1"/>
  <c r="R27" i="35" s="1"/>
  <c r="X27" i="35" s="1"/>
  <c r="C22" i="35"/>
  <c r="I22" i="35" s="1"/>
  <c r="O22" i="35" s="1"/>
  <c r="U22" i="35" s="1"/>
  <c r="D85" i="35"/>
  <c r="J85" i="35" s="1"/>
  <c r="P85" i="35" s="1"/>
  <c r="V85" i="35" s="1"/>
  <c r="E24" i="35"/>
  <c r="K24" i="35" s="1"/>
  <c r="Q24" i="35" s="1"/>
  <c r="W24" i="35" s="1"/>
  <c r="G26" i="35"/>
  <c r="M26" i="35" s="1"/>
  <c r="S26" i="35" s="1"/>
  <c r="Y26" i="35" s="1"/>
  <c r="K21" i="35"/>
  <c r="Q21" i="35" s="1"/>
  <c r="W21" i="35" s="1"/>
  <c r="K73" i="35"/>
  <c r="Q73" i="35" s="1"/>
  <c r="W73" i="35" s="1"/>
  <c r="J21" i="35"/>
  <c r="P21" i="35" s="1"/>
  <c r="V21" i="35" s="1"/>
  <c r="M21" i="35"/>
  <c r="S21" i="35" s="1"/>
  <c r="Y21" i="35" s="1"/>
  <c r="F25" i="35"/>
  <c r="L25" i="35" s="1"/>
  <c r="R25" i="35" s="1"/>
  <c r="X25" i="35" s="1"/>
  <c r="N139" i="26"/>
  <c r="AQ29" i="16"/>
  <c r="AO36" i="16" s="1"/>
  <c r="H10" i="33" s="1"/>
  <c r="J83" i="35"/>
  <c r="P83" i="35" s="1"/>
  <c r="V83" i="35" s="1"/>
  <c r="C77" i="35"/>
  <c r="I77" i="35" s="1"/>
  <c r="O77" i="35" s="1"/>
  <c r="U77" i="35" s="1"/>
  <c r="E79" i="35"/>
  <c r="K79" i="35" s="1"/>
  <c r="Q79" i="35" s="1"/>
  <c r="W79" i="35" s="1"/>
  <c r="G81" i="35"/>
  <c r="M81" i="35" s="1"/>
  <c r="S81" i="35" s="1"/>
  <c r="Y81" i="35" s="1"/>
  <c r="F80" i="35"/>
  <c r="L80" i="35" s="1"/>
  <c r="R80" i="35" s="1"/>
  <c r="X80" i="35" s="1"/>
  <c r="D78" i="35"/>
  <c r="J78" i="35" s="1"/>
  <c r="P78" i="35" s="1"/>
  <c r="V78" i="35" s="1"/>
  <c r="BE74" i="35"/>
  <c r="BK74" i="35" s="1"/>
  <c r="BQ74" i="35" s="1"/>
  <c r="BW74" i="35" s="1"/>
  <c r="BI28" i="35"/>
  <c r="BO28" i="35" s="1"/>
  <c r="C92" i="35"/>
  <c r="I92" i="35" s="1"/>
  <c r="O92" i="35" s="1"/>
  <c r="U92" i="35" s="1"/>
  <c r="D92" i="35"/>
  <c r="J92" i="35" s="1"/>
  <c r="P92" i="35" s="1"/>
  <c r="V92" i="35" s="1"/>
  <c r="F85" i="35"/>
  <c r="L85" i="35" s="1"/>
  <c r="R85" i="35" s="1"/>
  <c r="X85" i="35" s="1"/>
  <c r="F83" i="35"/>
  <c r="L83" i="35" s="1"/>
  <c r="R83" i="35" s="1"/>
  <c r="X83" i="35" s="1"/>
  <c r="E82" i="35"/>
  <c r="K82" i="35" s="1"/>
  <c r="Q82" i="35" s="1"/>
  <c r="W82" i="35" s="1"/>
  <c r="C80" i="35"/>
  <c r="I80" i="35" s="1"/>
  <c r="O80" i="35" s="1"/>
  <c r="U80" i="35" s="1"/>
  <c r="D81" i="35"/>
  <c r="J81" i="35" s="1"/>
  <c r="P81" i="35" s="1"/>
  <c r="V81" i="35" s="1"/>
  <c r="G84" i="35"/>
  <c r="M84" i="35" s="1"/>
  <c r="S84" i="35" s="1"/>
  <c r="Y84" i="35" s="1"/>
  <c r="D80" i="35"/>
  <c r="J80" i="35" s="1"/>
  <c r="P80" i="35" s="1"/>
  <c r="V80" i="35" s="1"/>
  <c r="F82" i="35"/>
  <c r="L82" i="35" s="1"/>
  <c r="R82" i="35" s="1"/>
  <c r="X82" i="35" s="1"/>
  <c r="E81" i="35"/>
  <c r="K81" i="35" s="1"/>
  <c r="Q81" i="35" s="1"/>
  <c r="W81" i="35" s="1"/>
  <c r="G83" i="35"/>
  <c r="M83" i="35" s="1"/>
  <c r="S83" i="35" s="1"/>
  <c r="Y83" i="35" s="1"/>
  <c r="AK73" i="35"/>
  <c r="AQ73" i="35" s="1"/>
  <c r="AW73" i="35" s="1"/>
  <c r="C67" i="35"/>
  <c r="I67" i="35" s="1"/>
  <c r="O67" i="35" s="1"/>
  <c r="E67" i="35"/>
  <c r="K67" i="35" s="1"/>
  <c r="Q67" i="35" s="1"/>
  <c r="G67" i="35"/>
  <c r="M67" i="35" s="1"/>
  <c r="S67" i="35" s="1"/>
  <c r="E77" i="35"/>
  <c r="K77" i="35" s="1"/>
  <c r="Q77" i="35" s="1"/>
  <c r="W77" i="35" s="1"/>
  <c r="BF75" i="35"/>
  <c r="BL75" i="35" s="1"/>
  <c r="BR75" i="35" s="1"/>
  <c r="BX75" i="35" s="1"/>
  <c r="G85" i="35"/>
  <c r="M85" i="35" s="1"/>
  <c r="S85" i="35" s="1"/>
  <c r="Y85" i="35" s="1"/>
  <c r="E84" i="35"/>
  <c r="K84" i="35" s="1"/>
  <c r="Q84" i="35" s="1"/>
  <c r="W84" i="35" s="1"/>
  <c r="BK28" i="35"/>
  <c r="BQ28" i="35" s="1"/>
  <c r="AF74" i="35"/>
  <c r="AL74" i="35" s="1"/>
  <c r="AR74" i="35" s="1"/>
  <c r="AX74" i="35" s="1"/>
  <c r="G82" i="35"/>
  <c r="M82" i="35" s="1"/>
  <c r="S82" i="35" s="1"/>
  <c r="Y82" i="35" s="1"/>
  <c r="G92" i="35"/>
  <c r="M92" i="35" s="1"/>
  <c r="S92" i="35" s="1"/>
  <c r="Y92" i="35" s="1"/>
  <c r="F91" i="35"/>
  <c r="L91" i="35" s="1"/>
  <c r="R91" i="35" s="1"/>
  <c r="X91" i="35" s="1"/>
  <c r="E90" i="35"/>
  <c r="K90" i="35" s="1"/>
  <c r="Q90" i="35" s="1"/>
  <c r="W90" i="35" s="1"/>
  <c r="D89" i="35"/>
  <c r="J89" i="35" s="1"/>
  <c r="P89" i="35" s="1"/>
  <c r="V89" i="35" s="1"/>
  <c r="C88" i="35"/>
  <c r="I88" i="35" s="1"/>
  <c r="O88" i="35" s="1"/>
  <c r="U88" i="35" s="1"/>
  <c r="E89" i="35"/>
  <c r="K89" i="35" s="1"/>
  <c r="Q89" i="35" s="1"/>
  <c r="W89" i="35" s="1"/>
  <c r="D88" i="35"/>
  <c r="J88" i="35" s="1"/>
  <c r="P88" i="35" s="1"/>
  <c r="V88" i="35" s="1"/>
  <c r="G91" i="35"/>
  <c r="M91" i="35" s="1"/>
  <c r="S91" i="35" s="1"/>
  <c r="Y91" i="35" s="1"/>
  <c r="F90" i="35"/>
  <c r="L90" i="35" s="1"/>
  <c r="R90" i="35" s="1"/>
  <c r="X90" i="35" s="1"/>
  <c r="C74" i="35"/>
  <c r="I74" i="35" s="1"/>
  <c r="O74" i="35" s="1"/>
  <c r="U74" i="35" s="1"/>
  <c r="E76" i="35"/>
  <c r="K76" i="35" s="1"/>
  <c r="Q76" i="35" s="1"/>
  <c r="W76" i="35" s="1"/>
  <c r="G78" i="35"/>
  <c r="M78" i="35" s="1"/>
  <c r="S78" i="35" s="1"/>
  <c r="Y78" i="35" s="1"/>
  <c r="F77" i="35"/>
  <c r="L77" i="35" s="1"/>
  <c r="R77" i="35" s="1"/>
  <c r="X77" i="35" s="1"/>
  <c r="D75" i="35"/>
  <c r="J75" i="35" s="1"/>
  <c r="P75" i="35" s="1"/>
  <c r="V75" i="35" s="1"/>
  <c r="G77" i="35"/>
  <c r="M77" i="35" s="1"/>
  <c r="S77" i="35" s="1"/>
  <c r="Y77" i="35" s="1"/>
  <c r="F76" i="35"/>
  <c r="L76" i="35" s="1"/>
  <c r="R76" i="35" s="1"/>
  <c r="X76" i="35" s="1"/>
  <c r="E75" i="35"/>
  <c r="K75" i="35" s="1"/>
  <c r="Q75" i="35" s="1"/>
  <c r="W75" i="35" s="1"/>
  <c r="D74" i="35"/>
  <c r="J74" i="35" s="1"/>
  <c r="P74" i="35" s="1"/>
  <c r="V74" i="35" s="1"/>
  <c r="I73" i="35"/>
  <c r="O73" i="35" s="1"/>
  <c r="U73" i="35" s="1"/>
  <c r="BJ73" i="35"/>
  <c r="BP73" i="35" s="1"/>
  <c r="BV73" i="35" s="1"/>
  <c r="G86" i="35"/>
  <c r="M86" i="35" s="1"/>
  <c r="S86" i="35" s="1"/>
  <c r="Y86" i="35" s="1"/>
  <c r="J73" i="35"/>
  <c r="P73" i="35" s="1"/>
  <c r="V73" i="35" s="1"/>
  <c r="AJ73" i="35"/>
  <c r="AP73" i="35" s="1"/>
  <c r="AV73" i="35" s="1"/>
  <c r="G79" i="35"/>
  <c r="M79" i="35" s="1"/>
  <c r="S79" i="35" s="1"/>
  <c r="Y79" i="35" s="1"/>
  <c r="J79" i="35"/>
  <c r="P79" i="35" s="1"/>
  <c r="V79" i="35" s="1"/>
  <c r="BG74" i="35"/>
  <c r="BM74" i="35" s="1"/>
  <c r="BS74" i="35" s="1"/>
  <c r="BY74" i="35" s="1"/>
  <c r="AM73" i="35"/>
  <c r="AS73" i="35" s="1"/>
  <c r="AY73" i="35" s="1"/>
  <c r="E78" i="35"/>
  <c r="K78" i="35" s="1"/>
  <c r="Q78" i="35" s="1"/>
  <c r="W78" i="35" s="1"/>
  <c r="E74" i="35"/>
  <c r="K74" i="35" s="1"/>
  <c r="Q74" i="35" s="1"/>
  <c r="W74" i="35" s="1"/>
  <c r="AG75" i="35"/>
  <c r="AM75" i="35" s="1"/>
  <c r="AS75" i="35" s="1"/>
  <c r="AY75" i="35" s="1"/>
  <c r="K83" i="35"/>
  <c r="Q83" i="35" s="1"/>
  <c r="W83" i="35" s="1"/>
  <c r="AF77" i="35"/>
  <c r="AL77" i="35" s="1"/>
  <c r="AR77" i="35" s="1"/>
  <c r="AX77" i="35" s="1"/>
  <c r="AC74" i="35"/>
  <c r="AI74" i="35" s="1"/>
  <c r="AO74" i="35" s="1"/>
  <c r="AU74" i="35" s="1"/>
  <c r="AE76" i="35"/>
  <c r="AK76" i="35" s="1"/>
  <c r="AQ76" i="35" s="1"/>
  <c r="AW76" i="35" s="1"/>
  <c r="AG78" i="35"/>
  <c r="AM78" i="35" s="1"/>
  <c r="AS78" i="35" s="1"/>
  <c r="AY78" i="35" s="1"/>
  <c r="AD75" i="35"/>
  <c r="AJ75" i="35" s="1"/>
  <c r="AP75" i="35" s="1"/>
  <c r="AV75" i="35" s="1"/>
  <c r="AF76" i="35"/>
  <c r="AL76" i="35" s="1"/>
  <c r="AR76" i="35" s="1"/>
  <c r="AX76" i="35" s="1"/>
  <c r="AG77" i="35"/>
  <c r="AM77" i="35" s="1"/>
  <c r="AS77" i="35" s="1"/>
  <c r="AY77" i="35" s="1"/>
  <c r="AD74" i="35"/>
  <c r="AJ74" i="35" s="1"/>
  <c r="AP74" i="35" s="1"/>
  <c r="AV74" i="35" s="1"/>
  <c r="AE75" i="35"/>
  <c r="AK75" i="35" s="1"/>
  <c r="AQ75" i="35" s="1"/>
  <c r="AW75" i="35" s="1"/>
  <c r="AI73" i="35"/>
  <c r="AO73" i="35" s="1"/>
  <c r="AU73" i="35" s="1"/>
  <c r="G75" i="35"/>
  <c r="M75" i="35" s="1"/>
  <c r="S75" i="35" s="1"/>
  <c r="Y75" i="35" s="1"/>
  <c r="J76" i="35"/>
  <c r="P76" i="35" s="1"/>
  <c r="V76" i="35" s="1"/>
  <c r="BD75" i="35"/>
  <c r="BJ75" i="35" s="1"/>
  <c r="BP75" i="35" s="1"/>
  <c r="BV75" i="35" s="1"/>
  <c r="BF77" i="35"/>
  <c r="BL77" i="35" s="1"/>
  <c r="BR77" i="35" s="1"/>
  <c r="BX77" i="35" s="1"/>
  <c r="BC74" i="35"/>
  <c r="BI74" i="35" s="1"/>
  <c r="BO74" i="35" s="1"/>
  <c r="BU74" i="35" s="1"/>
  <c r="BE76" i="35"/>
  <c r="BK76" i="35" s="1"/>
  <c r="BQ76" i="35" s="1"/>
  <c r="BW76" i="35" s="1"/>
  <c r="BG78" i="35"/>
  <c r="BM78" i="35" s="1"/>
  <c r="BS78" i="35" s="1"/>
  <c r="BY78" i="35" s="1"/>
  <c r="BG77" i="35"/>
  <c r="BM77" i="35" s="1"/>
  <c r="BS77" i="35" s="1"/>
  <c r="BY77" i="35" s="1"/>
  <c r="BD74" i="35"/>
  <c r="BJ74" i="35" s="1"/>
  <c r="BP74" i="35" s="1"/>
  <c r="BV74" i="35" s="1"/>
  <c r="BG75" i="35"/>
  <c r="BM75" i="35" s="1"/>
  <c r="BS75" i="35" s="1"/>
  <c r="BY75" i="35" s="1"/>
  <c r="BE75" i="35"/>
  <c r="BK75" i="35" s="1"/>
  <c r="BQ75" i="35" s="1"/>
  <c r="BW75" i="35" s="1"/>
  <c r="BF76" i="35"/>
  <c r="BL76" i="35" s="1"/>
  <c r="BR76" i="35" s="1"/>
  <c r="BX76" i="35" s="1"/>
  <c r="BF74" i="35"/>
  <c r="BL74" i="35" s="1"/>
  <c r="BR74" i="35" s="1"/>
  <c r="BX74" i="35" s="1"/>
  <c r="D77" i="35"/>
  <c r="J77" i="35" s="1"/>
  <c r="P77" i="35" s="1"/>
  <c r="V77" i="35" s="1"/>
  <c r="F74" i="35"/>
  <c r="L74" i="35" s="1"/>
  <c r="R74" i="35" s="1"/>
  <c r="X74" i="35" s="1"/>
  <c r="F75" i="35"/>
  <c r="L75" i="35" s="1"/>
  <c r="R75" i="35" s="1"/>
  <c r="X75" i="35" s="1"/>
  <c r="G88" i="35"/>
  <c r="M88" i="35" s="1"/>
  <c r="S88" i="35" s="1"/>
  <c r="Y88" i="35" s="1"/>
  <c r="E86" i="35"/>
  <c r="K86" i="35" s="1"/>
  <c r="Q86" i="35" s="1"/>
  <c r="W86" i="35" s="1"/>
  <c r="C84" i="35"/>
  <c r="I84" i="35" s="1"/>
  <c r="O84" i="35" s="1"/>
  <c r="U84" i="35" s="1"/>
  <c r="F87" i="35"/>
  <c r="L87" i="35" s="1"/>
  <c r="R87" i="35" s="1"/>
  <c r="X87" i="35" s="1"/>
  <c r="F86" i="35"/>
  <c r="L86" i="35" s="1"/>
  <c r="R86" i="35" s="1"/>
  <c r="X86" i="35" s="1"/>
  <c r="G87" i="35"/>
  <c r="M87" i="35" s="1"/>
  <c r="S87" i="35" s="1"/>
  <c r="Y87" i="35" s="1"/>
  <c r="E85" i="35"/>
  <c r="K85" i="35" s="1"/>
  <c r="Q85" i="35" s="1"/>
  <c r="W85" i="35" s="1"/>
  <c r="D84" i="35"/>
  <c r="J84" i="35" s="1"/>
  <c r="P84" i="35" s="1"/>
  <c r="V84" i="35" s="1"/>
  <c r="I91" i="35"/>
  <c r="O91" i="35" s="1"/>
  <c r="U91" i="35" s="1"/>
  <c r="BK73" i="35"/>
  <c r="BQ73" i="35" s="1"/>
  <c r="BW73" i="35" s="1"/>
  <c r="AG76" i="35"/>
  <c r="AM76" i="35" s="1"/>
  <c r="AS76" i="35" s="1"/>
  <c r="AY76" i="35" s="1"/>
  <c r="E80" i="35"/>
  <c r="K80" i="35" s="1"/>
  <c r="Q80" i="35" s="1"/>
  <c r="W80" i="35" s="1"/>
  <c r="BL73" i="35"/>
  <c r="BR73" i="35" s="1"/>
  <c r="BX73" i="35" s="1"/>
  <c r="F84" i="35"/>
  <c r="L84" i="35" s="1"/>
  <c r="R84" i="35" s="1"/>
  <c r="X84" i="35" s="1"/>
  <c r="G74" i="35"/>
  <c r="M74" i="35" s="1"/>
  <c r="S74" i="35" s="1"/>
  <c r="Y74" i="35" s="1"/>
  <c r="F79" i="35"/>
  <c r="L79" i="35" s="1"/>
  <c r="R79" i="35" s="1"/>
  <c r="X79" i="35" s="1"/>
  <c r="G76" i="35"/>
  <c r="M76" i="35" s="1"/>
  <c r="S76" i="35" s="1"/>
  <c r="Y76" i="35" s="1"/>
  <c r="AG74" i="35"/>
  <c r="AM74" i="35" s="1"/>
  <c r="AS74" i="35" s="1"/>
  <c r="AY74" i="35" s="1"/>
  <c r="F81" i="35"/>
  <c r="L81" i="35" s="1"/>
  <c r="R81" i="35" s="1"/>
  <c r="X81" i="35" s="1"/>
  <c r="BI73" i="35"/>
  <c r="BO73" i="35" s="1"/>
  <c r="BU73" i="35" s="1"/>
  <c r="I76" i="35"/>
  <c r="O76" i="35" s="1"/>
  <c r="U76" i="35" s="1"/>
  <c r="AL73" i="35"/>
  <c r="AR73" i="35" s="1"/>
  <c r="AX73" i="35" s="1"/>
  <c r="AF75" i="35"/>
  <c r="AL75" i="35" s="1"/>
  <c r="AR75" i="35" s="1"/>
  <c r="AX75" i="35" s="1"/>
  <c r="BC69" i="35"/>
  <c r="BI69" i="35" s="1"/>
  <c r="BO69" i="35" s="1"/>
  <c r="BU69" i="35" s="1"/>
  <c r="BD70" i="35"/>
  <c r="BJ70" i="35" s="1"/>
  <c r="BP70" i="35" s="1"/>
  <c r="BV70" i="35" s="1"/>
  <c r="BG73" i="35"/>
  <c r="BM73" i="35" s="1"/>
  <c r="BS73" i="35" s="1"/>
  <c r="BY73" i="35" s="1"/>
  <c r="BE71" i="35"/>
  <c r="BK71" i="35" s="1"/>
  <c r="BQ71" i="35" s="1"/>
  <c r="BW71" i="35" s="1"/>
  <c r="BF72" i="35"/>
  <c r="BL72" i="35" s="1"/>
  <c r="BR72" i="35" s="1"/>
  <c r="BX72" i="35" s="1"/>
  <c r="V46" i="31"/>
  <c r="H48" i="31" s="1"/>
  <c r="AK47" i="35"/>
  <c r="AQ47" i="35" s="1"/>
  <c r="AW47" i="35" s="1"/>
  <c r="K47" i="35"/>
  <c r="Q47" i="35" s="1"/>
  <c r="W47" i="35" s="1"/>
  <c r="L47" i="35"/>
  <c r="R47" i="35" s="1"/>
  <c r="X47" i="35" s="1"/>
  <c r="AR28" i="16"/>
  <c r="E42" i="36"/>
  <c r="D45" i="11"/>
  <c r="C93" i="35"/>
  <c r="I93" i="35" s="1"/>
  <c r="O93" i="35" s="1"/>
  <c r="U93" i="35" s="1"/>
  <c r="D93" i="35"/>
  <c r="J93" i="35" s="1"/>
  <c r="P93" i="35" s="1"/>
  <c r="V93" i="35" s="1"/>
  <c r="G93" i="35"/>
  <c r="M93" i="35" s="1"/>
  <c r="S93" i="35" s="1"/>
  <c r="Y93" i="35" s="1"/>
  <c r="E93" i="35"/>
  <c r="K93" i="35" s="1"/>
  <c r="Q93" i="35" s="1"/>
  <c r="W93" i="35" s="1"/>
  <c r="F93" i="35"/>
  <c r="L93" i="35" s="1"/>
  <c r="R93" i="35" s="1"/>
  <c r="X93" i="35" s="1"/>
  <c r="C46" i="11"/>
  <c r="D27" i="29"/>
  <c r="D42" i="10"/>
  <c r="AO29" i="16"/>
  <c r="AO34" i="16" s="1"/>
  <c r="H8" i="33" s="1"/>
  <c r="F41" i="36"/>
  <c r="AP28" i="16"/>
  <c r="C48" i="35"/>
  <c r="I48" i="35" s="1"/>
  <c r="O48" i="35" s="1"/>
  <c r="U48" i="35" s="1"/>
  <c r="D49" i="35"/>
  <c r="BC93" i="35"/>
  <c r="BI93" i="35" s="1"/>
  <c r="BD93" i="35"/>
  <c r="BJ93" i="35" s="1"/>
  <c r="BP93" i="35" s="1"/>
  <c r="BV93" i="35" s="1"/>
  <c r="BG93" i="35"/>
  <c r="BM93" i="35" s="1"/>
  <c r="BS93" i="35" s="1"/>
  <c r="BY93" i="35" s="1"/>
  <c r="BF93" i="35"/>
  <c r="BL93" i="35" s="1"/>
  <c r="BR93" i="35" s="1"/>
  <c r="BX93" i="35" s="1"/>
  <c r="BE93" i="35"/>
  <c r="BK93" i="35" s="1"/>
  <c r="BQ93" i="35" s="1"/>
  <c r="BW93" i="35" s="1"/>
  <c r="BK92" i="35"/>
  <c r="BJ92" i="35"/>
  <c r="BL92" i="35"/>
  <c r="BI92" i="35"/>
  <c r="AD49" i="35"/>
  <c r="AC48" i="35"/>
  <c r="AI48" i="35" s="1"/>
  <c r="AO48" i="35" s="1"/>
  <c r="AU48" i="35" s="1"/>
  <c r="AL47" i="35"/>
  <c r="AR47" i="35" s="1"/>
  <c r="AX47" i="35" s="1"/>
  <c r="AC93" i="35"/>
  <c r="AI93" i="35" s="1"/>
  <c r="AO93" i="35" s="1"/>
  <c r="AU93" i="35" s="1"/>
  <c r="AE93" i="35"/>
  <c r="AK93" i="35" s="1"/>
  <c r="AQ93" i="35" s="1"/>
  <c r="AW93" i="35" s="1"/>
  <c r="AG93" i="35"/>
  <c r="AM93" i="35" s="1"/>
  <c r="AS93" i="35" s="1"/>
  <c r="AY93" i="35" s="1"/>
  <c r="AF93" i="35"/>
  <c r="AL93" i="35" s="1"/>
  <c r="AR93" i="35" s="1"/>
  <c r="AX93" i="35" s="1"/>
  <c r="AD93" i="35"/>
  <c r="AJ93" i="35" s="1"/>
  <c r="AP93" i="35" s="1"/>
  <c r="AV93" i="35" s="1"/>
  <c r="AI92" i="35"/>
  <c r="BC48" i="35"/>
  <c r="BI48" i="35" s="1"/>
  <c r="BO48" i="35" s="1"/>
  <c r="BU48" i="35" s="1"/>
  <c r="BD49" i="35"/>
  <c r="R67" i="35"/>
  <c r="AY67" i="35"/>
  <c r="AU67" i="35"/>
  <c r="AV67" i="35"/>
  <c r="AX67" i="35"/>
  <c r="AW67" i="35"/>
  <c r="E70" i="35"/>
  <c r="K70" i="35" s="1"/>
  <c r="Q70" i="35" s="1"/>
  <c r="W70" i="35" s="1"/>
  <c r="G69" i="35"/>
  <c r="M69" i="35" s="1"/>
  <c r="S69" i="35" s="1"/>
  <c r="Y69" i="35" s="1"/>
  <c r="F71" i="35"/>
  <c r="L71" i="35" s="1"/>
  <c r="R71" i="35" s="1"/>
  <c r="X71" i="35" s="1"/>
  <c r="E69" i="35"/>
  <c r="K69" i="35" s="1"/>
  <c r="Q69" i="35" s="1"/>
  <c r="W69" i="35" s="1"/>
  <c r="F69" i="35"/>
  <c r="L69" i="35" s="1"/>
  <c r="R69" i="35" s="1"/>
  <c r="X69" i="35" s="1"/>
  <c r="D70" i="35"/>
  <c r="J70" i="35" s="1"/>
  <c r="P70" i="35" s="1"/>
  <c r="V70" i="35" s="1"/>
  <c r="E71" i="35"/>
  <c r="K71" i="35" s="1"/>
  <c r="Q71" i="35" s="1"/>
  <c r="W71" i="35" s="1"/>
  <c r="F70" i="35"/>
  <c r="L70" i="35" s="1"/>
  <c r="R70" i="35" s="1"/>
  <c r="X70" i="35" s="1"/>
  <c r="D69" i="35"/>
  <c r="J69" i="35" s="1"/>
  <c r="P69" i="35" s="1"/>
  <c r="V69" i="35" s="1"/>
  <c r="G71" i="35"/>
  <c r="M71" i="35" s="1"/>
  <c r="S71" i="35" s="1"/>
  <c r="Y71" i="35" s="1"/>
  <c r="C69" i="35"/>
  <c r="I69" i="35" s="1"/>
  <c r="O69" i="35" s="1"/>
  <c r="U69" i="35" s="1"/>
  <c r="G73" i="35"/>
  <c r="M73" i="35" s="1"/>
  <c r="S73" i="35" s="1"/>
  <c r="Y73" i="35" s="1"/>
  <c r="F72" i="35"/>
  <c r="L72" i="35" s="1"/>
  <c r="R72" i="35" s="1"/>
  <c r="X72" i="35" s="1"/>
  <c r="G72" i="35"/>
  <c r="M72" i="35" s="1"/>
  <c r="S72" i="35" s="1"/>
  <c r="Y72" i="35" s="1"/>
  <c r="G70" i="35"/>
  <c r="M70" i="35" s="1"/>
  <c r="S70" i="35" s="1"/>
  <c r="Y70" i="35" s="1"/>
  <c r="I68" i="35"/>
  <c r="BM45" i="35"/>
  <c r="BS45" i="35" s="1"/>
  <c r="BY45" i="35" s="1"/>
  <c r="BK35" i="35"/>
  <c r="BQ35" i="35" s="1"/>
  <c r="BW35" i="35" s="1"/>
  <c r="BI45" i="35"/>
  <c r="BO45" i="35" s="1"/>
  <c r="BU45" i="35" s="1"/>
  <c r="BL43" i="35"/>
  <c r="BR43" i="35" s="1"/>
  <c r="BX43" i="35" s="1"/>
  <c r="BM35" i="35"/>
  <c r="BS35" i="35" s="1"/>
  <c r="BY35" i="35" s="1"/>
  <c r="BM37" i="35"/>
  <c r="BS37" i="35" s="1"/>
  <c r="BY37" i="35" s="1"/>
  <c r="BM44" i="35"/>
  <c r="BS44" i="35" s="1"/>
  <c r="BY44" i="35" s="1"/>
  <c r="BI44" i="35"/>
  <c r="BO44" i="35" s="1"/>
  <c r="BU44" i="35" s="1"/>
  <c r="BJ20" i="35"/>
  <c r="BP20" i="35" s="1"/>
  <c r="BV20" i="35" s="1"/>
  <c r="BL40" i="35"/>
  <c r="BR40" i="35" s="1"/>
  <c r="BX40" i="35" s="1"/>
  <c r="BL34" i="35"/>
  <c r="BR34" i="35" s="1"/>
  <c r="BX34" i="35" s="1"/>
  <c r="BI40" i="35"/>
  <c r="BO40" i="35" s="1"/>
  <c r="BU40" i="35" s="1"/>
  <c r="BM27" i="35"/>
  <c r="BS27" i="35" s="1"/>
  <c r="BY27" i="35" s="1"/>
  <c r="BM48" i="35"/>
  <c r="BS48" i="35" s="1"/>
  <c r="BY48" i="35" s="1"/>
  <c r="BL33" i="35"/>
  <c r="BR33" i="35" s="1"/>
  <c r="BX33" i="35" s="1"/>
  <c r="BJ22" i="35"/>
  <c r="BP22" i="35" s="1"/>
  <c r="BV22" i="35" s="1"/>
  <c r="BK43" i="35"/>
  <c r="BQ43" i="35" s="1"/>
  <c r="BW43" i="35" s="1"/>
  <c r="BL36" i="35"/>
  <c r="BR36" i="35" s="1"/>
  <c r="BX36" i="35" s="1"/>
  <c r="BJ17" i="35"/>
  <c r="BP17" i="35" s="1"/>
  <c r="BV17" i="35" s="1"/>
  <c r="BI19" i="35"/>
  <c r="BO19" i="35" s="1"/>
  <c r="BU19" i="35" s="1"/>
  <c r="L34" i="35"/>
  <c r="R34" i="35" s="1"/>
  <c r="X34" i="35" s="1"/>
  <c r="BI37" i="35"/>
  <c r="BO37" i="35" s="1"/>
  <c r="BU37" i="35" s="1"/>
  <c r="BK33" i="35"/>
  <c r="BQ33" i="35" s="1"/>
  <c r="BW33" i="35" s="1"/>
  <c r="BK17" i="35"/>
  <c r="BQ17" i="35" s="1"/>
  <c r="BW17" i="35" s="1"/>
  <c r="BM20" i="35"/>
  <c r="BS20" i="35" s="1"/>
  <c r="BY20" i="35" s="1"/>
  <c r="BL24" i="35"/>
  <c r="BR24" i="35" s="1"/>
  <c r="BX24" i="35" s="1"/>
  <c r="BK25" i="35"/>
  <c r="BQ25" i="35" s="1"/>
  <c r="BW25" i="35" s="1"/>
  <c r="BJ45" i="35"/>
  <c r="BP45" i="35" s="1"/>
  <c r="BV45" i="35" s="1"/>
  <c r="BI30" i="35"/>
  <c r="BO30" i="35" s="1"/>
  <c r="BU30" i="35" s="1"/>
  <c r="BL18" i="35"/>
  <c r="BR18" i="35" s="1"/>
  <c r="BX18" i="35" s="1"/>
  <c r="BJ41" i="35"/>
  <c r="BP41" i="35" s="1"/>
  <c r="BV41" i="35" s="1"/>
  <c r="BJ42" i="35"/>
  <c r="BP42" i="35" s="1"/>
  <c r="BV42" i="35" s="1"/>
  <c r="BK32" i="35"/>
  <c r="BQ32" i="35" s="1"/>
  <c r="BW32" i="35" s="1"/>
  <c r="BK39" i="35"/>
  <c r="BQ39" i="35" s="1"/>
  <c r="BW39" i="35" s="1"/>
  <c r="BI41" i="35"/>
  <c r="BO41" i="35" s="1"/>
  <c r="BU41" i="35" s="1"/>
  <c r="BM19" i="35"/>
  <c r="BS19" i="35" s="1"/>
  <c r="BY19" i="35" s="1"/>
  <c r="BI16" i="35"/>
  <c r="BO16" i="35" s="1"/>
  <c r="BU16" i="35" s="1"/>
  <c r="BL48" i="35"/>
  <c r="BR48" i="35" s="1"/>
  <c r="BX48" i="35" s="1"/>
  <c r="BM25" i="35"/>
  <c r="BS25" i="35" s="1"/>
  <c r="BY25" i="35" s="1"/>
  <c r="BL19" i="35"/>
  <c r="BR19" i="35" s="1"/>
  <c r="BX19" i="35" s="1"/>
  <c r="BL22" i="35"/>
  <c r="BR22" i="35" s="1"/>
  <c r="BX22" i="35" s="1"/>
  <c r="BJ32" i="35"/>
  <c r="BP32" i="35" s="1"/>
  <c r="BV32" i="35" s="1"/>
  <c r="BI15" i="35"/>
  <c r="BO15" i="35" s="1"/>
  <c r="BU15" i="35" s="1"/>
  <c r="BL47" i="35"/>
  <c r="BR47" i="35" s="1"/>
  <c r="BX47" i="35" s="1"/>
  <c r="BM41" i="35"/>
  <c r="BS41" i="35" s="1"/>
  <c r="BY41" i="35" s="1"/>
  <c r="BL44" i="35"/>
  <c r="BR44" i="35" s="1"/>
  <c r="BX44" i="35" s="1"/>
  <c r="BJ16" i="35"/>
  <c r="BP16" i="35" s="1"/>
  <c r="BV16" i="35" s="1"/>
  <c r="BI33" i="35"/>
  <c r="BO33" i="35" s="1"/>
  <c r="BU33" i="35" s="1"/>
  <c r="BK18" i="35"/>
  <c r="BQ18" i="35" s="1"/>
  <c r="BW18" i="35" s="1"/>
  <c r="BK47" i="35"/>
  <c r="BQ47" i="35" s="1"/>
  <c r="BW47" i="35" s="1"/>
  <c r="BJ24" i="35"/>
  <c r="BP24" i="35" s="1"/>
  <c r="BV24" i="35" s="1"/>
  <c r="M34" i="35"/>
  <c r="S34" i="35" s="1"/>
  <c r="Y34" i="35" s="1"/>
  <c r="BY21" i="35"/>
  <c r="AL21" i="35"/>
  <c r="AR21" i="35" s="1"/>
  <c r="AX21" i="35" s="1"/>
  <c r="BY46" i="35"/>
  <c r="AJ26" i="35"/>
  <c r="AP26" i="35" s="1"/>
  <c r="AV26" i="35" s="1"/>
  <c r="BU34" i="35"/>
  <c r="BW21" i="35"/>
  <c r="AI42" i="35"/>
  <c r="AO42" i="35" s="1"/>
  <c r="AU42" i="35" s="1"/>
  <c r="BV38" i="35"/>
  <c r="BY38" i="35"/>
  <c r="BV34" i="35"/>
  <c r="BY42" i="35"/>
  <c r="K46" i="35"/>
  <c r="Q46" i="35" s="1"/>
  <c r="W46" i="35" s="1"/>
  <c r="BU42" i="35"/>
  <c r="AK38" i="35"/>
  <c r="AQ38" i="35" s="1"/>
  <c r="AW38" i="35" s="1"/>
  <c r="BW42" i="35"/>
  <c r="BV26" i="35"/>
  <c r="BW46" i="35"/>
  <c r="J46" i="35"/>
  <c r="P46" i="35" s="1"/>
  <c r="V46" i="35" s="1"/>
  <c r="BU38" i="35"/>
  <c r="AI38" i="35"/>
  <c r="AO38" i="35" s="1"/>
  <c r="AU38" i="35" s="1"/>
  <c r="AK23" i="35"/>
  <c r="AQ23" i="35" s="1"/>
  <c r="AW23" i="35" s="1"/>
  <c r="AI30" i="35"/>
  <c r="AO30" i="35" s="1"/>
  <c r="AU30" i="35" s="1"/>
  <c r="AR16" i="35"/>
  <c r="O47" i="31"/>
  <c r="AM34" i="35"/>
  <c r="AS34" i="35" s="1"/>
  <c r="AY34" i="35" s="1"/>
  <c r="AM19" i="35"/>
  <c r="AS19" i="35" s="1"/>
  <c r="AY19" i="35" s="1"/>
  <c r="AI44" i="35"/>
  <c r="AO44" i="35" s="1"/>
  <c r="AU44" i="35" s="1"/>
  <c r="AI21" i="35"/>
  <c r="AO21" i="35" s="1"/>
  <c r="AU21" i="35" s="1"/>
  <c r="F42" i="35"/>
  <c r="L42" i="35" s="1"/>
  <c r="R42" i="35" s="1"/>
  <c r="X42" i="35" s="1"/>
  <c r="C39" i="35"/>
  <c r="I39" i="35" s="1"/>
  <c r="O39" i="35" s="1"/>
  <c r="U39" i="35" s="1"/>
  <c r="G43" i="35"/>
  <c r="M43" i="35" s="1"/>
  <c r="S43" i="35" s="1"/>
  <c r="Y43" i="35" s="1"/>
  <c r="D40" i="35"/>
  <c r="J40" i="35" s="1"/>
  <c r="P40" i="35" s="1"/>
  <c r="V40" i="35" s="1"/>
  <c r="E41" i="35"/>
  <c r="K41" i="35" s="1"/>
  <c r="Q41" i="35" s="1"/>
  <c r="W41" i="35" s="1"/>
  <c r="M47" i="31"/>
  <c r="C47" i="31"/>
  <c r="U47" i="31"/>
  <c r="AL33" i="35"/>
  <c r="AR33" i="35" s="1"/>
  <c r="AX33" i="35" s="1"/>
  <c r="AI15" i="35"/>
  <c r="AO15" i="35" s="1"/>
  <c r="AU15" i="35" s="1"/>
  <c r="BE34" i="35"/>
  <c r="BF35" i="35"/>
  <c r="BD33" i="35"/>
  <c r="BG36" i="35"/>
  <c r="BC32" i="35"/>
  <c r="AI45" i="35"/>
  <c r="AO45" i="35" s="1"/>
  <c r="AU45" i="35" s="1"/>
  <c r="AJ38" i="35"/>
  <c r="AP38" i="35" s="1"/>
  <c r="AV38" i="35" s="1"/>
  <c r="AI31" i="35"/>
  <c r="AO31" i="35" s="1"/>
  <c r="AU31" i="35" s="1"/>
  <c r="AJ34" i="35"/>
  <c r="AP34" i="35" s="1"/>
  <c r="AV34" i="35" s="1"/>
  <c r="J31" i="35"/>
  <c r="P31" i="35" s="1"/>
  <c r="V31" i="35" s="1"/>
  <c r="K42" i="35"/>
  <c r="Q42" i="35" s="1"/>
  <c r="W42" i="35" s="1"/>
  <c r="AI23" i="35"/>
  <c r="AO23" i="35" s="1"/>
  <c r="AU23" i="35" s="1"/>
  <c r="AM48" i="35"/>
  <c r="AS48" i="35" s="1"/>
  <c r="AY48" i="35" s="1"/>
  <c r="AL24" i="35"/>
  <c r="AR24" i="35" s="1"/>
  <c r="AX24" i="35" s="1"/>
  <c r="AK42" i="35"/>
  <c r="AQ42" i="35" s="1"/>
  <c r="AW42" i="35" s="1"/>
  <c r="AS17" i="35"/>
  <c r="AD48" i="35"/>
  <c r="AJ48" i="35" s="1"/>
  <c r="AP48" i="35" s="1"/>
  <c r="AV48" i="35" s="1"/>
  <c r="AE49" i="35"/>
  <c r="AC47" i="35"/>
  <c r="D48" i="35"/>
  <c r="J48" i="35" s="1"/>
  <c r="P48" i="35" s="1"/>
  <c r="V48" i="35" s="1"/>
  <c r="C47" i="35"/>
  <c r="I47" i="35" s="1"/>
  <c r="O47" i="35" s="1"/>
  <c r="U47" i="35" s="1"/>
  <c r="E49" i="35"/>
  <c r="I46" i="35"/>
  <c r="O46" i="35" s="1"/>
  <c r="U46" i="35" s="1"/>
  <c r="G47" i="31"/>
  <c r="I47" i="31"/>
  <c r="AB28" i="35"/>
  <c r="AL48" i="35"/>
  <c r="AR48" i="35" s="1"/>
  <c r="AX48" i="35" s="1"/>
  <c r="AK39" i="35"/>
  <c r="AQ39" i="35" s="1"/>
  <c r="AW39" i="35" s="1"/>
  <c r="AL34" i="35"/>
  <c r="AR34" i="35" s="1"/>
  <c r="AX34" i="35" s="1"/>
  <c r="AG26" i="35"/>
  <c r="AC22" i="35"/>
  <c r="AF25" i="35"/>
  <c r="AD23" i="35"/>
  <c r="AE24" i="35"/>
  <c r="BV21" i="35"/>
  <c r="BG31" i="35"/>
  <c r="BC27" i="35"/>
  <c r="BE29" i="35"/>
  <c r="BF30" i="35"/>
  <c r="BD28" i="35"/>
  <c r="BJ28" i="35" s="1"/>
  <c r="BP28" i="35" s="1"/>
  <c r="M42" i="35"/>
  <c r="S42" i="35" s="1"/>
  <c r="Y42" i="35" s="1"/>
  <c r="AM21" i="35"/>
  <c r="AS21" i="35" s="1"/>
  <c r="AY21" i="35" s="1"/>
  <c r="AM27" i="35"/>
  <c r="AS27" i="35" s="1"/>
  <c r="AY27" i="35" s="1"/>
  <c r="BU21" i="35"/>
  <c r="AI16" i="35"/>
  <c r="AO16" i="35" s="1"/>
  <c r="AU16" i="35" s="1"/>
  <c r="AJ21" i="35"/>
  <c r="AP21" i="35" s="1"/>
  <c r="AV21" i="35" s="1"/>
  <c r="AP22" i="35"/>
  <c r="AV22" i="35" s="1"/>
  <c r="AL43" i="35"/>
  <c r="AR43" i="35" s="1"/>
  <c r="AX43" i="35" s="1"/>
  <c r="AO13" i="35"/>
  <c r="Y17" i="35"/>
  <c r="BE49" i="35"/>
  <c r="BD48" i="35"/>
  <c r="BC47" i="35"/>
  <c r="H47" i="31"/>
  <c r="AM37" i="35"/>
  <c r="AS37" i="35" s="1"/>
  <c r="AY37" i="35" s="1"/>
  <c r="F35" i="35"/>
  <c r="L35" i="35" s="1"/>
  <c r="R35" i="35" s="1"/>
  <c r="X35" i="35" s="1"/>
  <c r="C32" i="35"/>
  <c r="I32" i="35" s="1"/>
  <c r="O32" i="35" s="1"/>
  <c r="U32" i="35" s="1"/>
  <c r="G36" i="35"/>
  <c r="M36" i="35" s="1"/>
  <c r="S36" i="35" s="1"/>
  <c r="Y36" i="35" s="1"/>
  <c r="D33" i="35"/>
  <c r="J33" i="35" s="1"/>
  <c r="P33" i="35" s="1"/>
  <c r="V33" i="35" s="1"/>
  <c r="E34" i="35"/>
  <c r="K34" i="35" s="1"/>
  <c r="Q34" i="35" s="1"/>
  <c r="W34" i="35" s="1"/>
  <c r="BC35" i="35"/>
  <c r="BD36" i="35"/>
  <c r="BF38" i="35"/>
  <c r="BG39" i="35"/>
  <c r="BE37" i="35"/>
  <c r="BD40" i="35"/>
  <c r="BG43" i="35"/>
  <c r="BF42" i="35"/>
  <c r="BC39" i="35"/>
  <c r="BE41" i="35"/>
  <c r="AL36" i="35"/>
  <c r="AR36" i="35" s="1"/>
  <c r="AX36" i="35" s="1"/>
  <c r="V14" i="35"/>
  <c r="AK25" i="35"/>
  <c r="AQ25" i="35" s="1"/>
  <c r="AW25" i="35" s="1"/>
  <c r="BV31" i="35"/>
  <c r="AG31" i="35"/>
  <c r="AE29" i="35"/>
  <c r="AF30" i="35"/>
  <c r="AD28" i="35"/>
  <c r="AC27" i="35"/>
  <c r="AL19" i="35"/>
  <c r="AR19" i="35" s="1"/>
  <c r="AX19" i="35" s="1"/>
  <c r="R47" i="31"/>
  <c r="J47" i="31"/>
  <c r="AD44" i="35"/>
  <c r="AJ44" i="35" s="1"/>
  <c r="AP44" i="35" s="1"/>
  <c r="AV44" i="35" s="1"/>
  <c r="AG47" i="35"/>
  <c r="AC43" i="35"/>
  <c r="AE45" i="35"/>
  <c r="AF46" i="35"/>
  <c r="AJ46" i="35"/>
  <c r="AP46" i="35" s="1"/>
  <c r="AV46" i="35" s="1"/>
  <c r="AM35" i="35"/>
  <c r="AS35" i="35" s="1"/>
  <c r="AY35" i="35" s="1"/>
  <c r="AM46" i="35"/>
  <c r="AS46" i="35" s="1"/>
  <c r="AY46" i="35" s="1"/>
  <c r="I38" i="35"/>
  <c r="O38" i="35" s="1"/>
  <c r="U38" i="35" s="1"/>
  <c r="BE26" i="35"/>
  <c r="BG28" i="35"/>
  <c r="BM28" i="35" s="1"/>
  <c r="BS28" i="35" s="1"/>
  <c r="BC24" i="35"/>
  <c r="BD25" i="35"/>
  <c r="BF27" i="35"/>
  <c r="BV46" i="35"/>
  <c r="AL26" i="35"/>
  <c r="AR26" i="35" s="1"/>
  <c r="AX26" i="35" s="1"/>
  <c r="AJ45" i="35"/>
  <c r="AP45" i="35" s="1"/>
  <c r="AV45" i="35" s="1"/>
  <c r="AJ17" i="35"/>
  <c r="AP17" i="35" s="1"/>
  <c r="AV17" i="35" s="1"/>
  <c r="BY34" i="35"/>
  <c r="AM45" i="35"/>
  <c r="AS45" i="35" s="1"/>
  <c r="AY45" i="35" s="1"/>
  <c r="AG36" i="35"/>
  <c r="AE34" i="35"/>
  <c r="AD33" i="35"/>
  <c r="AC32" i="35"/>
  <c r="AF35" i="35"/>
  <c r="AL40" i="35"/>
  <c r="AR40" i="35" s="1"/>
  <c r="AX40" i="35" s="1"/>
  <c r="W15" i="35"/>
  <c r="T47" i="31"/>
  <c r="AJ31" i="35"/>
  <c r="AP31" i="35" s="1"/>
  <c r="AV31" i="35" s="1"/>
  <c r="AL31" i="35"/>
  <c r="AR31" i="35" s="1"/>
  <c r="AX31" i="35" s="1"/>
  <c r="AK46" i="35"/>
  <c r="AQ46" i="35" s="1"/>
  <c r="AW46" i="35" s="1"/>
  <c r="AI40" i="35"/>
  <c r="AO40" i="35" s="1"/>
  <c r="AU40" i="35" s="1"/>
  <c r="X16" i="35"/>
  <c r="BG47" i="35"/>
  <c r="BC43" i="35"/>
  <c r="BE45" i="35"/>
  <c r="BD44" i="35"/>
  <c r="BF46" i="35"/>
  <c r="K38" i="35"/>
  <c r="Q38" i="35" s="1"/>
  <c r="W38" i="35" s="1"/>
  <c r="AK33" i="35"/>
  <c r="AQ33" i="35" s="1"/>
  <c r="AW33" i="35" s="1"/>
  <c r="AI26" i="35"/>
  <c r="AO26" i="35" s="1"/>
  <c r="AU26" i="35" s="1"/>
  <c r="AE26" i="35"/>
  <c r="AD25" i="35"/>
  <c r="AC24" i="35"/>
  <c r="AG28" i="35"/>
  <c r="AF27" i="35"/>
  <c r="F38" i="35"/>
  <c r="L38" i="35" s="1"/>
  <c r="R38" i="35" s="1"/>
  <c r="X38" i="35" s="1"/>
  <c r="D36" i="35"/>
  <c r="J36" i="35" s="1"/>
  <c r="P36" i="35" s="1"/>
  <c r="V36" i="35" s="1"/>
  <c r="C35" i="35"/>
  <c r="I35" i="35" s="1"/>
  <c r="O35" i="35" s="1"/>
  <c r="U35" i="35" s="1"/>
  <c r="E37" i="35"/>
  <c r="K37" i="35" s="1"/>
  <c r="Q37" i="35" s="1"/>
  <c r="W37" i="35" s="1"/>
  <c r="G39" i="35"/>
  <c r="M39" i="35" s="1"/>
  <c r="S39" i="35" s="1"/>
  <c r="Y39" i="35" s="1"/>
  <c r="BX31" i="35"/>
  <c r="AM44" i="35"/>
  <c r="AS44" i="35" s="1"/>
  <c r="AY44" i="35" s="1"/>
  <c r="AK21" i="35"/>
  <c r="AQ21" i="35" s="1"/>
  <c r="AW21" i="35" s="1"/>
  <c r="D28" i="35"/>
  <c r="C27" i="35"/>
  <c r="I27" i="35" s="1"/>
  <c r="O27" i="35" s="1"/>
  <c r="U27" i="35" s="1"/>
  <c r="F30" i="35"/>
  <c r="L30" i="35" s="1"/>
  <c r="R30" i="35" s="1"/>
  <c r="X30" i="35" s="1"/>
  <c r="E29" i="35"/>
  <c r="K29" i="35" s="1"/>
  <c r="Q29" i="35" s="1"/>
  <c r="W29" i="35" s="1"/>
  <c r="G31" i="35"/>
  <c r="M31" i="35" s="1"/>
  <c r="S31" i="35" s="1"/>
  <c r="Y31" i="35" s="1"/>
  <c r="I26" i="35"/>
  <c r="J26" i="35"/>
  <c r="AQ15" i="35"/>
  <c r="AL44" i="35"/>
  <c r="AR44" i="35" s="1"/>
  <c r="AX44" i="35" s="1"/>
  <c r="B28" i="35"/>
  <c r="BU31" i="35"/>
  <c r="AJ32" i="35"/>
  <c r="AP32" i="35" s="1"/>
  <c r="AV32" i="35" s="1"/>
  <c r="BC22" i="35"/>
  <c r="BE24" i="35"/>
  <c r="BG26" i="35"/>
  <c r="BF25" i="35"/>
  <c r="BD23" i="35"/>
  <c r="F46" i="35"/>
  <c r="L46" i="35" s="1"/>
  <c r="R46" i="35" s="1"/>
  <c r="X46" i="35" s="1"/>
  <c r="G47" i="35"/>
  <c r="M47" i="35" s="1"/>
  <c r="S47" i="35" s="1"/>
  <c r="Y47" i="35" s="1"/>
  <c r="E45" i="35"/>
  <c r="K45" i="35" s="1"/>
  <c r="Q45" i="35" s="1"/>
  <c r="W45" i="35" s="1"/>
  <c r="D44" i="35"/>
  <c r="J44" i="35" s="1"/>
  <c r="P44" i="35" s="1"/>
  <c r="V44" i="35" s="1"/>
  <c r="C43" i="35"/>
  <c r="I43" i="35" s="1"/>
  <c r="O43" i="35" s="1"/>
  <c r="U43" i="35" s="1"/>
  <c r="M38" i="35"/>
  <c r="S38" i="35" s="1"/>
  <c r="Y38" i="35" s="1"/>
  <c r="J42" i="35"/>
  <c r="P42" i="35" s="1"/>
  <c r="V42" i="35" s="1"/>
  <c r="BX26" i="35"/>
  <c r="E47" i="31"/>
  <c r="P47" i="31"/>
  <c r="AJ16" i="35"/>
  <c r="AP16" i="35" s="1"/>
  <c r="AV16" i="35" s="1"/>
  <c r="L31" i="35"/>
  <c r="R31" i="35" s="1"/>
  <c r="X31" i="35" s="1"/>
  <c r="AM23" i="35"/>
  <c r="AS23" i="35" s="1"/>
  <c r="AY23" i="35" s="1"/>
  <c r="J38" i="35"/>
  <c r="P38" i="35" s="1"/>
  <c r="V38" i="35" s="1"/>
  <c r="BX23" i="35"/>
  <c r="AG39" i="35"/>
  <c r="AE37" i="35"/>
  <c r="AD36" i="35"/>
  <c r="AF38" i="35"/>
  <c r="AC35" i="35"/>
  <c r="I31" i="35"/>
  <c r="O31" i="35" s="1"/>
  <c r="U31" i="35" s="1"/>
  <c r="AF42" i="35"/>
  <c r="AL42" i="35" s="1"/>
  <c r="AR42" i="35" s="1"/>
  <c r="AX42" i="35" s="1"/>
  <c r="AE41" i="35"/>
  <c r="AG43" i="35"/>
  <c r="AC39" i="35"/>
  <c r="AD40" i="35"/>
  <c r="AP14" i="35"/>
  <c r="AJ42" i="35"/>
  <c r="AP42" i="35" s="1"/>
  <c r="AV42" i="35" s="1"/>
  <c r="AA39" i="7"/>
  <c r="Z39" i="7"/>
  <c r="AC39" i="7"/>
  <c r="AB44" i="11"/>
  <c r="X44" i="11"/>
  <c r="Y44" i="11" s="1"/>
  <c r="S44" i="11"/>
  <c r="T44" i="11" s="1"/>
  <c r="N44" i="11"/>
  <c r="O44" i="11" s="1"/>
  <c r="C27" i="29"/>
  <c r="C42" i="10"/>
  <c r="AA37" i="7"/>
  <c r="E37" i="14"/>
  <c r="F37" i="14" s="1"/>
  <c r="G37" i="14" s="1"/>
  <c r="L42" i="8"/>
  <c r="H43" i="8"/>
  <c r="G96" i="26"/>
  <c r="Z37" i="7"/>
  <c r="AC37" i="7"/>
  <c r="K50" i="8"/>
  <c r="H28" i="8"/>
  <c r="G50" i="8"/>
  <c r="O12" i="10"/>
  <c r="AB12" i="10"/>
  <c r="S12" i="10"/>
  <c r="T12" i="10" s="1"/>
  <c r="X12" i="10"/>
  <c r="Y12" i="10" s="1"/>
  <c r="AA25" i="29"/>
  <c r="Z25" i="29"/>
  <c r="W18" i="32"/>
  <c r="S25" i="11"/>
  <c r="T25" i="11" s="1"/>
  <c r="AB25" i="11"/>
  <c r="N25" i="11"/>
  <c r="O25" i="11" s="1"/>
  <c r="X25" i="11"/>
  <c r="Y25" i="11" s="1"/>
  <c r="Z30" i="7"/>
  <c r="AA30" i="7"/>
  <c r="E30" i="14"/>
  <c r="F30" i="14" s="1"/>
  <c r="G30" i="14" s="1"/>
  <c r="E115" i="26"/>
  <c r="AC30" i="7"/>
  <c r="S34" i="10"/>
  <c r="T34" i="10" s="1"/>
  <c r="AB34" i="10"/>
  <c r="N34" i="10"/>
  <c r="O34" i="10" s="1"/>
  <c r="X34" i="10"/>
  <c r="Y34" i="10" s="1"/>
  <c r="S15" i="11"/>
  <c r="T15" i="11" s="1"/>
  <c r="AB15" i="11"/>
  <c r="X15" i="11"/>
  <c r="Y15" i="11" s="1"/>
  <c r="N15" i="11"/>
  <c r="O15" i="11" s="1"/>
  <c r="F22" i="2"/>
  <c r="P22" i="2" s="1"/>
  <c r="G22" i="2"/>
  <c r="Q22" i="2" s="1"/>
  <c r="E16" i="2"/>
  <c r="AA18" i="7"/>
  <c r="Z18" i="7"/>
  <c r="E18" i="14"/>
  <c r="F18" i="14" s="1"/>
  <c r="G18" i="14" s="1"/>
  <c r="E103" i="26"/>
  <c r="AC18" i="7"/>
  <c r="Z45" i="10"/>
  <c r="AA45" i="10"/>
  <c r="N47" i="31"/>
  <c r="AC24" i="32"/>
  <c r="AB30" i="11"/>
  <c r="S30" i="11"/>
  <c r="T30" i="11" s="1"/>
  <c r="N30" i="11"/>
  <c r="O30" i="11" s="1"/>
  <c r="X30" i="11"/>
  <c r="Y30" i="11" s="1"/>
  <c r="S22" i="10"/>
  <c r="T22" i="10" s="1"/>
  <c r="N22" i="10"/>
  <c r="O22" i="10" s="1"/>
  <c r="AB22" i="10"/>
  <c r="X22" i="10"/>
  <c r="Y22" i="10" s="1"/>
  <c r="AA35" i="7"/>
  <c r="Z35" i="7"/>
  <c r="E35" i="14"/>
  <c r="F35" i="14" s="1"/>
  <c r="G35" i="14" s="1"/>
  <c r="E120" i="26"/>
  <c r="AC35" i="7"/>
  <c r="Z34" i="7"/>
  <c r="AA34" i="7"/>
  <c r="E34" i="14"/>
  <c r="F34" i="14" s="1"/>
  <c r="G34" i="14" s="1"/>
  <c r="E119" i="26"/>
  <c r="AC34" i="7"/>
  <c r="AA26" i="11"/>
  <c r="Z26" i="11"/>
  <c r="AA15" i="7"/>
  <c r="Z15" i="7"/>
  <c r="E15" i="14"/>
  <c r="F15" i="14" s="1"/>
  <c r="G15" i="14" s="1"/>
  <c r="E100" i="26"/>
  <c r="W21" i="32"/>
  <c r="Z20" i="29"/>
  <c r="AA20" i="29"/>
  <c r="AB13" i="11"/>
  <c r="S13" i="11"/>
  <c r="T13" i="11" s="1"/>
  <c r="N13" i="11"/>
  <c r="O13" i="11" s="1"/>
  <c r="X13" i="11"/>
  <c r="Y13" i="11" s="1"/>
  <c r="S22" i="8"/>
  <c r="S50" i="8" s="1"/>
  <c r="Z19" i="10"/>
  <c r="AA19" i="10"/>
  <c r="N20" i="10"/>
  <c r="O20" i="10" s="1"/>
  <c r="AB20" i="10"/>
  <c r="S20" i="10"/>
  <c r="T20" i="10" s="1"/>
  <c r="X20" i="10"/>
  <c r="Y20" i="10" s="1"/>
  <c r="N18" i="10"/>
  <c r="O18" i="10" s="1"/>
  <c r="AB18" i="10"/>
  <c r="S18" i="10"/>
  <c r="T18" i="10" s="1"/>
  <c r="X18" i="10"/>
  <c r="Y18" i="10" s="1"/>
  <c r="Z28" i="7"/>
  <c r="AA28" i="7"/>
  <c r="E113" i="26"/>
  <c r="E28" i="14"/>
  <c r="F28" i="14" s="1"/>
  <c r="G28" i="14" s="1"/>
  <c r="Z21" i="10"/>
  <c r="AA21" i="10"/>
  <c r="E39" i="14"/>
  <c r="F39" i="14" s="1"/>
  <c r="G39" i="14" s="1"/>
  <c r="E124" i="26"/>
  <c r="C28" i="29"/>
  <c r="C43" i="10"/>
  <c r="C25" i="11"/>
  <c r="D21" i="10"/>
  <c r="Z17" i="7"/>
  <c r="AA17" i="7"/>
  <c r="E17" i="14"/>
  <c r="F17" i="14" s="1"/>
  <c r="G17" i="14" s="1"/>
  <c r="E102" i="26"/>
  <c r="AC17" i="7"/>
  <c r="AC19" i="32"/>
  <c r="C33" i="11"/>
  <c r="D14" i="29"/>
  <c r="D29" i="10"/>
  <c r="Z24" i="11"/>
  <c r="AA24" i="11"/>
  <c r="Z22" i="11"/>
  <c r="AA22" i="11"/>
  <c r="AA38" i="7"/>
  <c r="Z38" i="7"/>
  <c r="E38" i="14"/>
  <c r="F38" i="14" s="1"/>
  <c r="G38" i="14" s="1"/>
  <c r="E123" i="26"/>
  <c r="AC38" i="7"/>
  <c r="AA13" i="29"/>
  <c r="Z13" i="29"/>
  <c r="P50" i="8"/>
  <c r="C15" i="29"/>
  <c r="C30" i="10"/>
  <c r="C38" i="10"/>
  <c r="C23" i="29"/>
  <c r="J24" i="8"/>
  <c r="J50" i="8" s="1"/>
  <c r="Z36" i="10"/>
  <c r="AA36" i="10"/>
  <c r="D47" i="31"/>
  <c r="AC25" i="32"/>
  <c r="N23" i="8"/>
  <c r="N50" i="8" s="1"/>
  <c r="E21" i="2"/>
  <c r="E19" i="2"/>
  <c r="Z16" i="7"/>
  <c r="AA16" i="7"/>
  <c r="E16" i="14"/>
  <c r="F16" i="14" s="1"/>
  <c r="G16" i="14" s="1"/>
  <c r="E101" i="26"/>
  <c r="AC16" i="7"/>
  <c r="W26" i="32"/>
  <c r="C17" i="10"/>
  <c r="Z35" i="10"/>
  <c r="AA35" i="10"/>
  <c r="W15" i="32"/>
  <c r="E15" i="2"/>
  <c r="AA28" i="10"/>
  <c r="Z28" i="10"/>
  <c r="H18" i="8"/>
  <c r="AA31" i="7"/>
  <c r="Z31" i="7"/>
  <c r="E31" i="14"/>
  <c r="F31" i="14" s="1"/>
  <c r="G31" i="14" s="1"/>
  <c r="E116" i="26"/>
  <c r="AC31" i="7"/>
  <c r="L17" i="8"/>
  <c r="N37" i="11"/>
  <c r="O37" i="11" s="1"/>
  <c r="AB37" i="11"/>
  <c r="S37" i="11"/>
  <c r="T37" i="11" s="1"/>
  <c r="X37" i="11"/>
  <c r="Y37" i="11" s="1"/>
  <c r="D32" i="11"/>
  <c r="D24" i="11"/>
  <c r="AA39" i="10"/>
  <c r="Z39" i="10"/>
  <c r="Z32" i="7"/>
  <c r="AA32" i="7"/>
  <c r="E32" i="14"/>
  <c r="F32" i="14" s="1"/>
  <c r="G32" i="14" s="1"/>
  <c r="E117" i="26"/>
  <c r="B26" i="8"/>
  <c r="D46" i="11"/>
  <c r="N46" i="11" s="1"/>
  <c r="AC15" i="7"/>
  <c r="E13" i="2"/>
  <c r="Q41" i="8"/>
  <c r="D29" i="11"/>
  <c r="AB38" i="11"/>
  <c r="S38" i="11"/>
  <c r="T38" i="11" s="1"/>
  <c r="N38" i="11"/>
  <c r="O38" i="11" s="1"/>
  <c r="X38" i="11"/>
  <c r="Y38" i="11" s="1"/>
  <c r="C22" i="10"/>
  <c r="AA27" i="7"/>
  <c r="Z27" i="7"/>
  <c r="E27" i="14"/>
  <c r="F27" i="14" s="1"/>
  <c r="G27" i="14" s="1"/>
  <c r="E112" i="26"/>
  <c r="AC27" i="7"/>
  <c r="W22" i="32"/>
  <c r="AC28" i="7"/>
  <c r="D26" i="29"/>
  <c r="D41" i="10"/>
  <c r="C30" i="11"/>
  <c r="D11" i="29"/>
  <c r="D26" i="10"/>
  <c r="W16" i="32"/>
  <c r="D40" i="8"/>
  <c r="W17" i="32"/>
  <c r="AA26" i="7"/>
  <c r="Z26" i="7"/>
  <c r="E26" i="14"/>
  <c r="F26" i="14" s="1"/>
  <c r="G26" i="14" s="1"/>
  <c r="E111" i="26"/>
  <c r="AC26" i="7"/>
  <c r="Q16" i="8"/>
  <c r="M50" i="8"/>
  <c r="Z17" i="29"/>
  <c r="AA17" i="29"/>
  <c r="AA36" i="7"/>
  <c r="Z36" i="7"/>
  <c r="E121" i="26"/>
  <c r="E36" i="14"/>
  <c r="F36" i="14" s="1"/>
  <c r="G36" i="14" s="1"/>
  <c r="O23" i="8"/>
  <c r="O50" i="8" s="1"/>
  <c r="Z38" i="11"/>
  <c r="AA38" i="11"/>
  <c r="D19" i="11"/>
  <c r="L38" i="8"/>
  <c r="F11" i="2"/>
  <c r="G11" i="2"/>
  <c r="Y11" i="10"/>
  <c r="AA32" i="10"/>
  <c r="Z32" i="10"/>
  <c r="C41" i="11"/>
  <c r="D22" i="29"/>
  <c r="D37" i="10"/>
  <c r="AA29" i="7"/>
  <c r="Z29" i="7"/>
  <c r="E29" i="14"/>
  <c r="F29" i="14" s="1"/>
  <c r="G29" i="14" s="1"/>
  <c r="E114" i="26"/>
  <c r="AC29" i="7"/>
  <c r="G122" i="26"/>
  <c r="F122" i="26"/>
  <c r="AA11" i="11"/>
  <c r="Z11" i="11"/>
  <c r="AA14" i="7"/>
  <c r="Z14" i="7"/>
  <c r="E14" i="14"/>
  <c r="F14" i="14" s="1"/>
  <c r="G14" i="14" s="1"/>
  <c r="E99" i="26"/>
  <c r="AC14" i="7"/>
  <c r="C50" i="8"/>
  <c r="H9" i="8"/>
  <c r="E50" i="8"/>
  <c r="AB46" i="10"/>
  <c r="N46" i="10"/>
  <c r="O46" i="10" s="1"/>
  <c r="S46" i="10"/>
  <c r="T46" i="10" s="1"/>
  <c r="X46" i="10"/>
  <c r="Y46" i="10" s="1"/>
  <c r="C12" i="29"/>
  <c r="C27" i="10"/>
  <c r="Z21" i="29"/>
  <c r="AA21" i="29"/>
  <c r="C37" i="11"/>
  <c r="D18" i="29"/>
  <c r="D33" i="10"/>
  <c r="AB42" i="11"/>
  <c r="N42" i="11"/>
  <c r="O42" i="11" s="1"/>
  <c r="S42" i="11"/>
  <c r="T42" i="11" s="1"/>
  <c r="X42" i="11"/>
  <c r="Y42" i="11" s="1"/>
  <c r="G97" i="26"/>
  <c r="F97" i="26"/>
  <c r="AA14" i="11"/>
  <c r="Z14" i="11"/>
  <c r="F25" i="8"/>
  <c r="F50" i="8" s="1"/>
  <c r="D40" i="11"/>
  <c r="I50" i="8"/>
  <c r="L8" i="8"/>
  <c r="Z24" i="29"/>
  <c r="AA24" i="29"/>
  <c r="D36" i="11"/>
  <c r="AB34" i="11"/>
  <c r="N34" i="11"/>
  <c r="O34" i="11" s="1"/>
  <c r="S34" i="11"/>
  <c r="T34" i="11" s="1"/>
  <c r="X34" i="11"/>
  <c r="Y34" i="11" s="1"/>
  <c r="W14" i="32"/>
  <c r="Q37" i="8"/>
  <c r="Q47" i="31"/>
  <c r="U15" i="8"/>
  <c r="R50" i="8"/>
  <c r="C20" i="11"/>
  <c r="D16" i="10"/>
  <c r="C34" i="10"/>
  <c r="C19" i="29"/>
  <c r="G18" i="2"/>
  <c r="Q18" i="2" s="1"/>
  <c r="F18" i="2"/>
  <c r="P18" i="2" s="1"/>
  <c r="AA40" i="10"/>
  <c r="Z40" i="10"/>
  <c r="AA33" i="7"/>
  <c r="Z33" i="7"/>
  <c r="E33" i="14"/>
  <c r="F33" i="14" s="1"/>
  <c r="G33" i="14" s="1"/>
  <c r="E118" i="26"/>
  <c r="AC33" i="7"/>
  <c r="S21" i="11"/>
  <c r="T21" i="11" s="1"/>
  <c r="N21" i="11"/>
  <c r="O21" i="11" s="1"/>
  <c r="AB21" i="11"/>
  <c r="X21" i="11"/>
  <c r="Y21" i="11" s="1"/>
  <c r="T50" i="8"/>
  <c r="U36" i="8"/>
  <c r="H39" i="8"/>
  <c r="W23" i="32"/>
  <c r="AB19" i="29"/>
  <c r="N19" i="29"/>
  <c r="O19" i="29" s="1"/>
  <c r="S19" i="29"/>
  <c r="T19" i="29" s="1"/>
  <c r="X19" i="29"/>
  <c r="Y19" i="29" s="1"/>
  <c r="D10" i="8"/>
  <c r="Z16" i="11"/>
  <c r="AA16" i="11"/>
  <c r="AA13" i="7"/>
  <c r="Z13" i="7"/>
  <c r="E13" i="14"/>
  <c r="F13" i="14" s="1"/>
  <c r="G13" i="14" s="1"/>
  <c r="E98" i="26"/>
  <c r="AC13" i="7"/>
  <c r="F47" i="31"/>
  <c r="X28" i="29" l="1"/>
  <c r="Y28" i="29" s="1"/>
  <c r="S28" i="29"/>
  <c r="T28" i="29" s="1"/>
  <c r="AA44" i="10"/>
  <c r="AB28" i="29"/>
  <c r="E68" i="9"/>
  <c r="E126" i="26"/>
  <c r="G126" i="26" s="1"/>
  <c r="Z40" i="7"/>
  <c r="E40" i="14"/>
  <c r="F40" i="14" s="1"/>
  <c r="G40" i="14" s="1"/>
  <c r="S43" i="10"/>
  <c r="T43" i="10" s="1"/>
  <c r="E125" i="26"/>
  <c r="AA40" i="7"/>
  <c r="AB43" i="10"/>
  <c r="X43" i="10"/>
  <c r="Y43" i="10" s="1"/>
  <c r="Q48" i="31"/>
  <c r="Z45" i="11"/>
  <c r="Z26" i="29"/>
  <c r="AA26" i="29"/>
  <c r="N40" i="10"/>
  <c r="O40" i="10" s="1"/>
  <c r="X40" i="10"/>
  <c r="Y40" i="10" s="1"/>
  <c r="S40" i="10"/>
  <c r="T40" i="10" s="1"/>
  <c r="AB40" i="10"/>
  <c r="X25" i="29"/>
  <c r="Y25" i="29" s="1"/>
  <c r="N25" i="29"/>
  <c r="O25" i="29" s="1"/>
  <c r="AB25" i="29"/>
  <c r="S25" i="29"/>
  <c r="T25" i="29" s="1"/>
  <c r="R48" i="31"/>
  <c r="AA41" i="10"/>
  <c r="Z41" i="10"/>
  <c r="I27" i="2"/>
  <c r="H33" i="2" s="1"/>
  <c r="H37" i="2" s="1"/>
  <c r="U48" i="31"/>
  <c r="C48" i="31"/>
  <c r="AB43" i="11"/>
  <c r="N43" i="11"/>
  <c r="O43" i="11" s="1"/>
  <c r="X43" i="11"/>
  <c r="Y43" i="11" s="1"/>
  <c r="S43" i="11"/>
  <c r="T43" i="11" s="1"/>
  <c r="AA44" i="11"/>
  <c r="Z44" i="11"/>
  <c r="BL96" i="35"/>
  <c r="E110" i="26"/>
  <c r="G110" i="26" s="1"/>
  <c r="Q11" i="2"/>
  <c r="L96" i="35"/>
  <c r="N48" i="31"/>
  <c r="P48" i="31"/>
  <c r="BK96" i="35"/>
  <c r="AK96" i="35"/>
  <c r="BI96" i="35"/>
  <c r="AL96" i="35"/>
  <c r="AC25" i="7"/>
  <c r="F48" i="31"/>
  <c r="M96" i="35"/>
  <c r="L48" i="31"/>
  <c r="G48" i="31"/>
  <c r="M48" i="31"/>
  <c r="E25" i="14"/>
  <c r="F25" i="14" s="1"/>
  <c r="G25" i="14" s="1"/>
  <c r="Z25" i="7"/>
  <c r="BJ96" i="35"/>
  <c r="K96" i="35"/>
  <c r="AM96" i="35"/>
  <c r="T48" i="31"/>
  <c r="D48" i="31"/>
  <c r="E25" i="2"/>
  <c r="I96" i="35"/>
  <c r="AI96" i="35"/>
  <c r="O48" i="31"/>
  <c r="BM96" i="35"/>
  <c r="S48" i="31"/>
  <c r="B48" i="31"/>
  <c r="K48" i="31"/>
  <c r="AJ96" i="35"/>
  <c r="J96" i="35"/>
  <c r="E48" i="31"/>
  <c r="J48" i="31"/>
  <c r="I48" i="31"/>
  <c r="P11" i="2"/>
  <c r="L21" i="36"/>
  <c r="M21" i="36" s="1"/>
  <c r="W17" i="35"/>
  <c r="F7" i="33"/>
  <c r="D7" i="33"/>
  <c r="C41" i="32"/>
  <c r="J44" i="32"/>
  <c r="J45" i="32"/>
  <c r="AN37" i="16"/>
  <c r="G11" i="33" s="1"/>
  <c r="AN35" i="16"/>
  <c r="G9" i="33" s="1"/>
  <c r="L18" i="36"/>
  <c r="M18" i="36" s="1"/>
  <c r="AV15" i="35"/>
  <c r="V59" i="35"/>
  <c r="AY18" i="35"/>
  <c r="AU58" i="35"/>
  <c r="BY18" i="35"/>
  <c r="BW60" i="35"/>
  <c r="BX61" i="35"/>
  <c r="Y18" i="35"/>
  <c r="X61" i="35"/>
  <c r="BX17" i="35"/>
  <c r="BV59" i="35"/>
  <c r="BY62" i="35"/>
  <c r="AW16" i="35"/>
  <c r="Y62" i="35"/>
  <c r="AW60" i="35"/>
  <c r="BU58" i="35"/>
  <c r="BW16" i="35"/>
  <c r="AV59" i="35"/>
  <c r="AV96" i="35" s="1"/>
  <c r="AD7" i="35" s="1"/>
  <c r="AP96" i="35"/>
  <c r="BV15" i="35"/>
  <c r="W60" i="35"/>
  <c r="AY62" i="35"/>
  <c r="AY96" i="35" s="1"/>
  <c r="AG7" i="35" s="1"/>
  <c r="AS96" i="35"/>
  <c r="U58" i="35"/>
  <c r="AX61" i="35"/>
  <c r="L17" i="36"/>
  <c r="M17" i="36" s="1"/>
  <c r="K20" i="36"/>
  <c r="M20" i="36" s="1"/>
  <c r="K19" i="36"/>
  <c r="M19" i="36" s="1"/>
  <c r="K22" i="36"/>
  <c r="M22" i="36" s="1"/>
  <c r="H40" i="36"/>
  <c r="H35" i="36"/>
  <c r="H26" i="36"/>
  <c r="H23" i="36"/>
  <c r="H43" i="36"/>
  <c r="H38" i="36"/>
  <c r="H31" i="36"/>
  <c r="E23" i="36"/>
  <c r="H30" i="36"/>
  <c r="H27" i="36"/>
  <c r="J68" i="9"/>
  <c r="H57" i="9"/>
  <c r="H58" i="9"/>
  <c r="H36" i="36"/>
  <c r="H37" i="36"/>
  <c r="E65" i="9"/>
  <c r="D59" i="9"/>
  <c r="L58" i="9"/>
  <c r="H42" i="36"/>
  <c r="H41" i="36"/>
  <c r="H34" i="36"/>
  <c r="L57" i="9"/>
  <c r="H24" i="36"/>
  <c r="H32" i="36"/>
  <c r="H33" i="36"/>
  <c r="H28" i="36"/>
  <c r="L59" i="9"/>
  <c r="D58" i="9"/>
  <c r="H39" i="36"/>
  <c r="H25" i="36"/>
  <c r="H29" i="36"/>
  <c r="H59" i="9"/>
  <c r="D57" i="9"/>
  <c r="M28" i="35"/>
  <c r="W31" i="32"/>
  <c r="W32" i="32" s="1"/>
  <c r="W33" i="32" s="1"/>
  <c r="V36" i="32"/>
  <c r="E22" i="14"/>
  <c r="F22" i="14" s="1"/>
  <c r="G22" i="14" s="1"/>
  <c r="C45" i="32"/>
  <c r="Z20" i="7"/>
  <c r="AI97" i="35"/>
  <c r="K97" i="35"/>
  <c r="K36" i="32"/>
  <c r="AS98" i="35"/>
  <c r="AM97" i="35"/>
  <c r="AK98" i="35"/>
  <c r="AS97" i="35"/>
  <c r="AK97" i="35"/>
  <c r="AM98" i="35"/>
  <c r="BO92" i="35"/>
  <c r="BI98" i="35"/>
  <c r="BI97" i="35"/>
  <c r="L97" i="35"/>
  <c r="M98" i="35"/>
  <c r="AJ97" i="35"/>
  <c r="AR92" i="35"/>
  <c r="AR96" i="35" s="1"/>
  <c r="AL97" i="35"/>
  <c r="BS92" i="35"/>
  <c r="BS96" i="35" s="1"/>
  <c r="BM98" i="35"/>
  <c r="BM97" i="35"/>
  <c r="X42" i="10"/>
  <c r="Y42" i="10" s="1"/>
  <c r="AB42" i="10"/>
  <c r="N42" i="10"/>
  <c r="O42" i="10" s="1"/>
  <c r="S42" i="10"/>
  <c r="T42" i="10" s="1"/>
  <c r="AP98" i="35"/>
  <c r="S45" i="11"/>
  <c r="T45" i="11" s="1"/>
  <c r="X45" i="11"/>
  <c r="Y45" i="11" s="1"/>
  <c r="AB45" i="11"/>
  <c r="N45" i="11"/>
  <c r="O45" i="11" s="1"/>
  <c r="J98" i="35"/>
  <c r="AP97" i="35"/>
  <c r="AO92" i="35"/>
  <c r="AO96" i="35" s="1"/>
  <c r="AI98" i="35"/>
  <c r="BP92" i="35"/>
  <c r="BP96" i="35" s="1"/>
  <c r="BJ98" i="35"/>
  <c r="BJ97" i="35"/>
  <c r="AB27" i="29"/>
  <c r="S27" i="29"/>
  <c r="T27" i="29" s="1"/>
  <c r="X27" i="29"/>
  <c r="Y27" i="29" s="1"/>
  <c r="N27" i="29"/>
  <c r="O27" i="29" s="1"/>
  <c r="BO93" i="35"/>
  <c r="BU93" i="35" s="1"/>
  <c r="I98" i="35"/>
  <c r="AJ98" i="35"/>
  <c r="BQ92" i="35"/>
  <c r="BQ96" i="35" s="1"/>
  <c r="BK98" i="35"/>
  <c r="BK97" i="35"/>
  <c r="BR92" i="35"/>
  <c r="BR96" i="35" s="1"/>
  <c r="BL98" i="35"/>
  <c r="BL97" i="35"/>
  <c r="K98" i="35"/>
  <c r="AL98" i="35"/>
  <c r="AQ92" i="35"/>
  <c r="AQ96" i="35" s="1"/>
  <c r="Z46" i="11"/>
  <c r="AA46" i="11"/>
  <c r="I97" i="35"/>
  <c r="W67" i="35"/>
  <c r="L98" i="35"/>
  <c r="M97" i="35"/>
  <c r="X67" i="35"/>
  <c r="U67" i="35"/>
  <c r="J97" i="35"/>
  <c r="V67" i="35"/>
  <c r="Y67" i="35"/>
  <c r="S68" i="35"/>
  <c r="S97" i="35" s="1"/>
  <c r="P68" i="35"/>
  <c r="P98" i="35" s="1"/>
  <c r="O68" i="35"/>
  <c r="O97" i="35" s="1"/>
  <c r="R68" i="35"/>
  <c r="R97" i="35" s="1"/>
  <c r="Q68" i="35"/>
  <c r="Q98" i="35" s="1"/>
  <c r="BJ25" i="35"/>
  <c r="BP25" i="35" s="1"/>
  <c r="BV25" i="35" s="1"/>
  <c r="BL42" i="35"/>
  <c r="BR42" i="35" s="1"/>
  <c r="BX42" i="35" s="1"/>
  <c r="BM43" i="35"/>
  <c r="BS43" i="35" s="1"/>
  <c r="BY43" i="35" s="1"/>
  <c r="BJ40" i="35"/>
  <c r="BP40" i="35" s="1"/>
  <c r="BV40" i="35" s="1"/>
  <c r="BM26" i="35"/>
  <c r="BS26" i="35" s="1"/>
  <c r="BY26" i="35" s="1"/>
  <c r="BK26" i="35"/>
  <c r="BQ26" i="35" s="1"/>
  <c r="BW26" i="35" s="1"/>
  <c r="BK37" i="35"/>
  <c r="BQ37" i="35" s="1"/>
  <c r="BW37" i="35" s="1"/>
  <c r="BL30" i="35"/>
  <c r="BR30" i="35" s="1"/>
  <c r="BX30" i="35" s="1"/>
  <c r="BK34" i="35"/>
  <c r="BQ34" i="35" s="1"/>
  <c r="BW34" i="35" s="1"/>
  <c r="BL25" i="35"/>
  <c r="BR25" i="35" s="1"/>
  <c r="BX25" i="35" s="1"/>
  <c r="BL46" i="35"/>
  <c r="BR46" i="35" s="1"/>
  <c r="BX46" i="35" s="1"/>
  <c r="BK29" i="35"/>
  <c r="BQ29" i="35" s="1"/>
  <c r="BW29" i="35" s="1"/>
  <c r="BI22" i="35"/>
  <c r="BO22" i="35" s="1"/>
  <c r="BU22" i="35" s="1"/>
  <c r="BJ44" i="35"/>
  <c r="BP44" i="35" s="1"/>
  <c r="BV44" i="35" s="1"/>
  <c r="BL38" i="35"/>
  <c r="BR38" i="35" s="1"/>
  <c r="BX38" i="35" s="1"/>
  <c r="BJ48" i="35"/>
  <c r="BP48" i="35" s="1"/>
  <c r="BV48" i="35" s="1"/>
  <c r="BI27" i="35"/>
  <c r="BO27" i="35" s="1"/>
  <c r="BU27" i="35" s="1"/>
  <c r="BM36" i="35"/>
  <c r="BS36" i="35" s="1"/>
  <c r="BY36" i="35" s="1"/>
  <c r="BM47" i="35"/>
  <c r="BS47" i="35" s="1"/>
  <c r="BY47" i="35" s="1"/>
  <c r="BI24" i="35"/>
  <c r="BO24" i="35" s="1"/>
  <c r="BU24" i="35" s="1"/>
  <c r="BK24" i="35"/>
  <c r="BQ24" i="35" s="1"/>
  <c r="BW24" i="35" s="1"/>
  <c r="BM39" i="35"/>
  <c r="BS39" i="35" s="1"/>
  <c r="BY39" i="35" s="1"/>
  <c r="BI47" i="35"/>
  <c r="BO47" i="35" s="1"/>
  <c r="BU47" i="35" s="1"/>
  <c r="BK45" i="35"/>
  <c r="BQ45" i="35" s="1"/>
  <c r="BW45" i="35" s="1"/>
  <c r="BK41" i="35"/>
  <c r="BQ41" i="35" s="1"/>
  <c r="BW41" i="35" s="1"/>
  <c r="BJ36" i="35"/>
  <c r="BP36" i="35" s="1"/>
  <c r="BV36" i="35" s="1"/>
  <c r="BM31" i="35"/>
  <c r="BS31" i="35" s="1"/>
  <c r="BY31" i="35" s="1"/>
  <c r="BJ33" i="35"/>
  <c r="BP33" i="35" s="1"/>
  <c r="BV33" i="35" s="1"/>
  <c r="BJ23" i="35"/>
  <c r="BP23" i="35" s="1"/>
  <c r="BV23" i="35" s="1"/>
  <c r="BI32" i="35"/>
  <c r="BO32" i="35" s="1"/>
  <c r="BU32" i="35" s="1"/>
  <c r="BI43" i="35"/>
  <c r="BO43" i="35" s="1"/>
  <c r="BU43" i="35" s="1"/>
  <c r="BL27" i="35"/>
  <c r="BR27" i="35" s="1"/>
  <c r="BX27" i="35" s="1"/>
  <c r="BI39" i="35"/>
  <c r="BO39" i="35" s="1"/>
  <c r="BU39" i="35" s="1"/>
  <c r="BI35" i="35"/>
  <c r="BO35" i="35" s="1"/>
  <c r="BU35" i="35" s="1"/>
  <c r="BL35" i="35"/>
  <c r="BR35" i="35" s="1"/>
  <c r="BX35" i="35" s="1"/>
  <c r="BV28" i="35"/>
  <c r="BY28" i="35"/>
  <c r="AJ28" i="35"/>
  <c r="AP28" i="35" s="1"/>
  <c r="AV28" i="35" s="1"/>
  <c r="AI47" i="35"/>
  <c r="AO47" i="35" s="1"/>
  <c r="AU47" i="35" s="1"/>
  <c r="AI24" i="35"/>
  <c r="AO24" i="35" s="1"/>
  <c r="AU24" i="35" s="1"/>
  <c r="AJ23" i="35"/>
  <c r="AP23" i="35" s="1"/>
  <c r="AV23" i="35" s="1"/>
  <c r="AI39" i="35"/>
  <c r="AO39" i="35" s="1"/>
  <c r="AU39" i="35" s="1"/>
  <c r="AK37" i="35"/>
  <c r="AQ37" i="35" s="1"/>
  <c r="AW37" i="35" s="1"/>
  <c r="O26" i="35"/>
  <c r="AJ25" i="35"/>
  <c r="AP25" i="35" s="1"/>
  <c r="AV25" i="35" s="1"/>
  <c r="BX16" i="35"/>
  <c r="AK29" i="35"/>
  <c r="AQ29" i="35" s="1"/>
  <c r="AW29" i="35" s="1"/>
  <c r="AL25" i="35"/>
  <c r="AR25" i="35" s="1"/>
  <c r="AX25" i="35" s="1"/>
  <c r="AM43" i="35"/>
  <c r="AS43" i="35" s="1"/>
  <c r="AY43" i="35" s="1"/>
  <c r="AM39" i="35"/>
  <c r="AS39" i="35" s="1"/>
  <c r="AY39" i="35" s="1"/>
  <c r="BW15" i="35"/>
  <c r="AK26" i="35"/>
  <c r="AQ26" i="35" s="1"/>
  <c r="AW26" i="35" s="1"/>
  <c r="AL46" i="35"/>
  <c r="AR46" i="35" s="1"/>
  <c r="AX46" i="35" s="1"/>
  <c r="AM31" i="35"/>
  <c r="AS31" i="35" s="1"/>
  <c r="AY31" i="35" s="1"/>
  <c r="AI22" i="35"/>
  <c r="BY17" i="35"/>
  <c r="AX16" i="35"/>
  <c r="AW15" i="35"/>
  <c r="AM28" i="35"/>
  <c r="AS28" i="35" s="1"/>
  <c r="AY28" i="35" s="1"/>
  <c r="AJ36" i="35"/>
  <c r="AP36" i="35" s="1"/>
  <c r="AV36" i="35" s="1"/>
  <c r="P26" i="35"/>
  <c r="Q26" i="35"/>
  <c r="AI32" i="35"/>
  <c r="AO32" i="35" s="1"/>
  <c r="AU32" i="35" s="1"/>
  <c r="AI43" i="35"/>
  <c r="AO43" i="35" s="1"/>
  <c r="AU43" i="35" s="1"/>
  <c r="AU13" i="35"/>
  <c r="AY17" i="35"/>
  <c r="AL38" i="35"/>
  <c r="AR38" i="35" s="1"/>
  <c r="AX38" i="35" s="1"/>
  <c r="AL30" i="35"/>
  <c r="AR30" i="35" s="1"/>
  <c r="AX30" i="35" s="1"/>
  <c r="AK41" i="35"/>
  <c r="AQ41" i="35" s="1"/>
  <c r="AW41" i="35" s="1"/>
  <c r="AL35" i="35"/>
  <c r="AR35" i="35" s="1"/>
  <c r="AX35" i="35" s="1"/>
  <c r="AK45" i="35"/>
  <c r="AQ45" i="35" s="1"/>
  <c r="AW45" i="35" s="1"/>
  <c r="AM26" i="35"/>
  <c r="AS26" i="35" s="1"/>
  <c r="AY26" i="35" s="1"/>
  <c r="BU13" i="35"/>
  <c r="AJ33" i="35"/>
  <c r="AP33" i="35" s="1"/>
  <c r="AV33" i="35" s="1"/>
  <c r="AM47" i="35"/>
  <c r="AS47" i="35" s="1"/>
  <c r="AY47" i="35" s="1"/>
  <c r="BV14" i="35"/>
  <c r="BC29" i="35"/>
  <c r="BG33" i="35"/>
  <c r="BF32" i="35"/>
  <c r="BE31" i="35"/>
  <c r="BD30" i="35"/>
  <c r="AV14" i="35"/>
  <c r="AM36" i="35"/>
  <c r="AS36" i="35" s="1"/>
  <c r="AY36" i="35" s="1"/>
  <c r="AK24" i="35"/>
  <c r="AQ24" i="35" s="1"/>
  <c r="AJ40" i="35"/>
  <c r="AP40" i="35" s="1"/>
  <c r="AV40" i="35" s="1"/>
  <c r="G33" i="35"/>
  <c r="M33" i="35" s="1"/>
  <c r="S33" i="35" s="1"/>
  <c r="Y33" i="35" s="1"/>
  <c r="E31" i="35"/>
  <c r="K31" i="35" s="1"/>
  <c r="Q31" i="35" s="1"/>
  <c r="W31" i="35" s="1"/>
  <c r="F32" i="35"/>
  <c r="L32" i="35" s="1"/>
  <c r="R32" i="35" s="1"/>
  <c r="X32" i="35" s="1"/>
  <c r="D30" i="35"/>
  <c r="J30" i="35" s="1"/>
  <c r="P30" i="35" s="1"/>
  <c r="V30" i="35" s="1"/>
  <c r="C29" i="35"/>
  <c r="I29" i="35" s="1"/>
  <c r="O29" i="35" s="1"/>
  <c r="U29" i="35" s="1"/>
  <c r="L28" i="35"/>
  <c r="K28" i="35"/>
  <c r="I28" i="35"/>
  <c r="AI35" i="35"/>
  <c r="AO35" i="35" s="1"/>
  <c r="AU35" i="35" s="1"/>
  <c r="J28" i="35"/>
  <c r="P28" i="35" s="1"/>
  <c r="V28" i="35" s="1"/>
  <c r="AL27" i="35"/>
  <c r="AR27" i="35" s="1"/>
  <c r="AX27" i="35" s="1"/>
  <c r="AK34" i="35"/>
  <c r="AQ34" i="35" s="1"/>
  <c r="AW34" i="35" s="1"/>
  <c r="AI27" i="35"/>
  <c r="AO27" i="35" s="1"/>
  <c r="AU27" i="35" s="1"/>
  <c r="AC29" i="35"/>
  <c r="AI29" i="35" s="1"/>
  <c r="AO29" i="35" s="1"/>
  <c r="AU29" i="35" s="1"/>
  <c r="AG33" i="35"/>
  <c r="AM33" i="35" s="1"/>
  <c r="AS33" i="35" s="1"/>
  <c r="AY33" i="35" s="1"/>
  <c r="AE31" i="35"/>
  <c r="AD30" i="35"/>
  <c r="AF32" i="35"/>
  <c r="BX28" i="35"/>
  <c r="BW28" i="35"/>
  <c r="AK28" i="35"/>
  <c r="AQ28" i="35" s="1"/>
  <c r="AW28" i="35" s="1"/>
  <c r="AI28" i="35"/>
  <c r="AO28" i="35" s="1"/>
  <c r="AU28" i="35" s="1"/>
  <c r="AL28" i="35"/>
  <c r="AR28" i="35" s="1"/>
  <c r="AX28" i="35" s="1"/>
  <c r="BU28" i="35"/>
  <c r="Z42" i="10"/>
  <c r="AA42" i="10"/>
  <c r="Z27" i="29"/>
  <c r="AA27" i="29"/>
  <c r="E107" i="26"/>
  <c r="F107" i="26" s="1"/>
  <c r="C21" i="2"/>
  <c r="Z22" i="7"/>
  <c r="AA22" i="7"/>
  <c r="C19" i="2"/>
  <c r="U22" i="8"/>
  <c r="U50" i="8" s="1"/>
  <c r="AC23" i="7"/>
  <c r="C13" i="2"/>
  <c r="E108" i="26"/>
  <c r="G108" i="26" s="1"/>
  <c r="C16" i="2"/>
  <c r="C15" i="2"/>
  <c r="E23" i="14"/>
  <c r="F23" i="14" s="1"/>
  <c r="G23" i="14" s="1"/>
  <c r="AC20" i="7"/>
  <c r="AA20" i="7"/>
  <c r="L24" i="8"/>
  <c r="L50" i="8" s="1"/>
  <c r="Z23" i="7"/>
  <c r="E105" i="26"/>
  <c r="G105" i="26" s="1"/>
  <c r="AA43" i="10"/>
  <c r="Z43" i="10"/>
  <c r="Z19" i="7"/>
  <c r="AA19" i="7"/>
  <c r="E19" i="14"/>
  <c r="F19" i="14" s="1"/>
  <c r="G19" i="14" s="1"/>
  <c r="E104" i="26"/>
  <c r="AC19" i="7"/>
  <c r="N33" i="10"/>
  <c r="O33" i="10" s="1"/>
  <c r="AB33" i="10"/>
  <c r="S33" i="10"/>
  <c r="T33" i="10" s="1"/>
  <c r="X33" i="10"/>
  <c r="Y33" i="10" s="1"/>
  <c r="F110" i="26"/>
  <c r="N16" i="10"/>
  <c r="O16" i="10" s="1"/>
  <c r="AB16" i="10"/>
  <c r="S16" i="10"/>
  <c r="T16" i="10" s="1"/>
  <c r="X16" i="10"/>
  <c r="Y16" i="10" s="1"/>
  <c r="Q23" i="8"/>
  <c r="Q50" i="8" s="1"/>
  <c r="AB40" i="11"/>
  <c r="N40" i="11"/>
  <c r="O40" i="11" s="1"/>
  <c r="S40" i="11"/>
  <c r="T40" i="11" s="1"/>
  <c r="X40" i="11"/>
  <c r="Y40" i="11" s="1"/>
  <c r="N26" i="29"/>
  <c r="O26" i="29" s="1"/>
  <c r="S26" i="29"/>
  <c r="T26" i="29" s="1"/>
  <c r="AB26" i="29"/>
  <c r="X26" i="29"/>
  <c r="Y26" i="29" s="1"/>
  <c r="AC22" i="32"/>
  <c r="AA24" i="7"/>
  <c r="Z24" i="7"/>
  <c r="E24" i="14"/>
  <c r="F24" i="14" s="1"/>
  <c r="G24" i="14" s="1"/>
  <c r="E109" i="26"/>
  <c r="AC24" i="7"/>
  <c r="G15" i="2"/>
  <c r="F15" i="2"/>
  <c r="Z23" i="29"/>
  <c r="AA23" i="29"/>
  <c r="N29" i="10"/>
  <c r="O29" i="10" s="1"/>
  <c r="AB29" i="10"/>
  <c r="S29" i="10"/>
  <c r="T29" i="10" s="1"/>
  <c r="X29" i="10"/>
  <c r="Y29" i="10" s="1"/>
  <c r="H25" i="8"/>
  <c r="H50" i="8" s="1"/>
  <c r="G115" i="26"/>
  <c r="F115" i="26"/>
  <c r="C42" i="32"/>
  <c r="V47" i="31"/>
  <c r="F118" i="26"/>
  <c r="G118" i="26"/>
  <c r="Z20" i="11"/>
  <c r="AA20" i="11"/>
  <c r="AC17" i="32"/>
  <c r="D26" i="8"/>
  <c r="D50" i="8" s="1"/>
  <c r="B50" i="8"/>
  <c r="V50" i="8" s="1"/>
  <c r="R51" i="8" s="1"/>
  <c r="AA17" i="10"/>
  <c r="Z17" i="10"/>
  <c r="D26" i="11"/>
  <c r="AA38" i="10"/>
  <c r="Z38" i="10"/>
  <c r="AB14" i="29"/>
  <c r="S14" i="29"/>
  <c r="T14" i="29" s="1"/>
  <c r="N14" i="29"/>
  <c r="O14" i="29" s="1"/>
  <c r="X14" i="29"/>
  <c r="Y14" i="29" s="1"/>
  <c r="C11" i="2"/>
  <c r="C22" i="2"/>
  <c r="C18" i="2"/>
  <c r="AC18" i="32"/>
  <c r="S26" i="10"/>
  <c r="T26" i="10" s="1"/>
  <c r="AB26" i="10"/>
  <c r="X26" i="10"/>
  <c r="N26" i="10"/>
  <c r="O26" i="10" s="1"/>
  <c r="Z28" i="29"/>
  <c r="AA28" i="29"/>
  <c r="G113" i="26"/>
  <c r="F113" i="26"/>
  <c r="F103" i="26"/>
  <c r="G103" i="26"/>
  <c r="AB18" i="29"/>
  <c r="S18" i="29"/>
  <c r="T18" i="29" s="1"/>
  <c r="N18" i="29"/>
  <c r="O18" i="29" s="1"/>
  <c r="X18" i="29"/>
  <c r="Y18" i="29" s="1"/>
  <c r="N24" i="11"/>
  <c r="O24" i="11" s="1"/>
  <c r="AB24" i="11"/>
  <c r="S24" i="11"/>
  <c r="T24" i="11" s="1"/>
  <c r="X24" i="11"/>
  <c r="Y24" i="11" s="1"/>
  <c r="Z15" i="29"/>
  <c r="AA15" i="29"/>
  <c r="Z21" i="7"/>
  <c r="AA21" i="7"/>
  <c r="E21" i="14"/>
  <c r="F21" i="14" s="1"/>
  <c r="G21" i="14" s="1"/>
  <c r="E106" i="26"/>
  <c r="AC21" i="7"/>
  <c r="Z19" i="29"/>
  <c r="AA19" i="29"/>
  <c r="AA37" i="11"/>
  <c r="Z37" i="11"/>
  <c r="F99" i="26"/>
  <c r="G99" i="26"/>
  <c r="AB37" i="10"/>
  <c r="S37" i="10"/>
  <c r="T37" i="10" s="1"/>
  <c r="N37" i="10"/>
  <c r="O37" i="10" s="1"/>
  <c r="X37" i="10"/>
  <c r="Y37" i="10" s="1"/>
  <c r="G121" i="26"/>
  <c r="F121" i="26"/>
  <c r="Z30" i="11"/>
  <c r="AA30" i="11"/>
  <c r="AC15" i="32"/>
  <c r="G102" i="26"/>
  <c r="F102" i="26"/>
  <c r="G120" i="26"/>
  <c r="F120" i="26"/>
  <c r="F13" i="2"/>
  <c r="P13" i="2" s="1"/>
  <c r="G13" i="2"/>
  <c r="Q13" i="2" s="1"/>
  <c r="Z33" i="11"/>
  <c r="AA33" i="11"/>
  <c r="AA22" i="10"/>
  <c r="Z22" i="10"/>
  <c r="G123" i="26"/>
  <c r="F123" i="26"/>
  <c r="S29" i="11"/>
  <c r="T29" i="11" s="1"/>
  <c r="N29" i="11"/>
  <c r="O29" i="11" s="1"/>
  <c r="AB29" i="11"/>
  <c r="X29" i="11"/>
  <c r="AA34" i="10"/>
  <c r="Z34" i="10"/>
  <c r="AC14" i="32"/>
  <c r="N22" i="29"/>
  <c r="O22" i="29" s="1"/>
  <c r="AB22" i="29"/>
  <c r="S22" i="29"/>
  <c r="T22" i="29" s="1"/>
  <c r="X22" i="29"/>
  <c r="Y22" i="29" s="1"/>
  <c r="F112" i="26"/>
  <c r="G112" i="26"/>
  <c r="AB46" i="11"/>
  <c r="O46" i="11"/>
  <c r="S46" i="11"/>
  <c r="T46" i="11" s="1"/>
  <c r="X46" i="11"/>
  <c r="Y46" i="11" s="1"/>
  <c r="AB32" i="11"/>
  <c r="S32" i="11"/>
  <c r="T32" i="11" s="1"/>
  <c r="N32" i="11"/>
  <c r="O32" i="11" s="1"/>
  <c r="X32" i="11"/>
  <c r="Y32" i="11" s="1"/>
  <c r="G101" i="26"/>
  <c r="F101" i="26"/>
  <c r="D23" i="10"/>
  <c r="C27" i="11"/>
  <c r="AB21" i="10"/>
  <c r="N21" i="10"/>
  <c r="O21" i="10" s="1"/>
  <c r="S21" i="10"/>
  <c r="T21" i="10" s="1"/>
  <c r="X21" i="10"/>
  <c r="Y21" i="10" s="1"/>
  <c r="AC21" i="32"/>
  <c r="G119" i="26"/>
  <c r="F119" i="26"/>
  <c r="F111" i="26"/>
  <c r="G111" i="26"/>
  <c r="G116" i="26"/>
  <c r="F116" i="26"/>
  <c r="F19" i="2"/>
  <c r="P19" i="2" s="1"/>
  <c r="G19" i="2"/>
  <c r="Q19" i="2" s="1"/>
  <c r="G16" i="2"/>
  <c r="Q16" i="2" s="1"/>
  <c r="F16" i="2"/>
  <c r="P16" i="2" s="1"/>
  <c r="G117" i="26"/>
  <c r="F117" i="26"/>
  <c r="AC26" i="32"/>
  <c r="AA30" i="10"/>
  <c r="Z30" i="10"/>
  <c r="S11" i="29"/>
  <c r="T11" i="29" s="1"/>
  <c r="AB11" i="29"/>
  <c r="N11" i="29"/>
  <c r="O11" i="29" s="1"/>
  <c r="X11" i="29"/>
  <c r="E36" i="32"/>
  <c r="G124" i="26"/>
  <c r="F124" i="26"/>
  <c r="AB36" i="11"/>
  <c r="N36" i="11"/>
  <c r="O36" i="11" s="1"/>
  <c r="S36" i="11"/>
  <c r="T36" i="11" s="1"/>
  <c r="X36" i="11"/>
  <c r="Y36" i="11" s="1"/>
  <c r="C24" i="10"/>
  <c r="Z27" i="10"/>
  <c r="AA27" i="10"/>
  <c r="F114" i="26"/>
  <c r="G114" i="26"/>
  <c r="G98" i="26"/>
  <c r="F98" i="26"/>
  <c r="AC23" i="32"/>
  <c r="AA12" i="29"/>
  <c r="Z12" i="29"/>
  <c r="AA41" i="11"/>
  <c r="Z41" i="11"/>
  <c r="S19" i="11"/>
  <c r="T19" i="11" s="1"/>
  <c r="N19" i="11"/>
  <c r="O19" i="11" s="1"/>
  <c r="AB19" i="11"/>
  <c r="X19" i="11"/>
  <c r="Y19" i="11" s="1"/>
  <c r="AC16" i="32"/>
  <c r="AB41" i="10"/>
  <c r="S41" i="10"/>
  <c r="T41" i="10" s="1"/>
  <c r="N41" i="10"/>
  <c r="O41" i="10" s="1"/>
  <c r="X41" i="10"/>
  <c r="Y41" i="10" s="1"/>
  <c r="G21" i="2"/>
  <c r="Q21" i="2" s="1"/>
  <c r="F21" i="2"/>
  <c r="P21" i="2" s="1"/>
  <c r="AA25" i="11"/>
  <c r="Z25" i="11"/>
  <c r="F100" i="26"/>
  <c r="G100" i="26"/>
  <c r="L51" i="35" l="1"/>
  <c r="F126" i="26"/>
  <c r="E138" i="26"/>
  <c r="E140" i="26"/>
  <c r="E139" i="26"/>
  <c r="E141" i="26"/>
  <c r="F125" i="26"/>
  <c r="E142" i="26"/>
  <c r="E137" i="26"/>
  <c r="G125" i="26"/>
  <c r="G142" i="26" s="1"/>
  <c r="I51" i="35"/>
  <c r="K51" i="35"/>
  <c r="O96" i="35"/>
  <c r="P96" i="35"/>
  <c r="BO96" i="35"/>
  <c r="AY51" i="35"/>
  <c r="AG5" i="35" s="1"/>
  <c r="AI51" i="35"/>
  <c r="S96" i="35"/>
  <c r="Q96" i="35"/>
  <c r="AV101" i="35"/>
  <c r="I52" i="35"/>
  <c r="P51" i="35"/>
  <c r="AM51" i="35"/>
  <c r="G25" i="2"/>
  <c r="J51" i="35"/>
  <c r="H42" i="2"/>
  <c r="H41" i="2"/>
  <c r="R96" i="35"/>
  <c r="AY101" i="35"/>
  <c r="F25" i="2"/>
  <c r="S28" i="35"/>
  <c r="M51" i="35"/>
  <c r="AS51" i="35"/>
  <c r="D8" i="33"/>
  <c r="L8" i="33" s="1"/>
  <c r="P8" i="33" s="1"/>
  <c r="F8" i="33"/>
  <c r="N8" i="33" s="1"/>
  <c r="R8" i="33" s="1"/>
  <c r="D9" i="33"/>
  <c r="F9" i="33"/>
  <c r="F12" i="33"/>
  <c r="D12" i="33"/>
  <c r="I38" i="36"/>
  <c r="L38" i="36" s="1"/>
  <c r="I19" i="30" s="1"/>
  <c r="V19" i="30" s="1"/>
  <c r="I33" i="36"/>
  <c r="K33" i="36" s="1"/>
  <c r="I27" i="36"/>
  <c r="K27" i="36" s="1"/>
  <c r="I43" i="36"/>
  <c r="K43" i="36" s="1"/>
  <c r="K49" i="36" s="1"/>
  <c r="I30" i="36"/>
  <c r="L30" i="36" s="1"/>
  <c r="I11" i="30" s="1"/>
  <c r="V11" i="30" s="1"/>
  <c r="I25" i="36"/>
  <c r="K25" i="36" s="1"/>
  <c r="I35" i="36"/>
  <c r="L35" i="36" s="1"/>
  <c r="I28" i="36"/>
  <c r="L28" i="36" s="1"/>
  <c r="I32" i="36"/>
  <c r="K32" i="36" s="1"/>
  <c r="I37" i="36"/>
  <c r="L37" i="36" s="1"/>
  <c r="I34" i="36"/>
  <c r="L34" i="36" s="1"/>
  <c r="I15" i="30" s="1"/>
  <c r="V15" i="30" s="1"/>
  <c r="I41" i="36"/>
  <c r="K41" i="36" s="1"/>
  <c r="I31" i="36"/>
  <c r="K31" i="36" s="1"/>
  <c r="I40" i="36"/>
  <c r="K40" i="36" s="1"/>
  <c r="I24" i="36"/>
  <c r="L24" i="36" s="1"/>
  <c r="I26" i="36"/>
  <c r="L26" i="36" s="1"/>
  <c r="I39" i="36"/>
  <c r="K39" i="36" s="1"/>
  <c r="I36" i="36"/>
  <c r="L36" i="36" s="1"/>
  <c r="I17" i="30" s="1"/>
  <c r="V17" i="30" s="1"/>
  <c r="I42" i="36"/>
  <c r="K42" i="36" s="1"/>
  <c r="I29" i="36"/>
  <c r="K29" i="36" s="1"/>
  <c r="I23" i="36"/>
  <c r="W51" i="7"/>
  <c r="AC31" i="32"/>
  <c r="AC32" i="32" s="1"/>
  <c r="AC33" i="32" s="1"/>
  <c r="Q97" i="35"/>
  <c r="V48" i="31"/>
  <c r="C43" i="32"/>
  <c r="AI36" i="32"/>
  <c r="P97" i="35"/>
  <c r="R98" i="35"/>
  <c r="O98" i="35"/>
  <c r="AW92" i="35"/>
  <c r="AQ98" i="35"/>
  <c r="AQ97" i="35"/>
  <c r="AU92" i="35"/>
  <c r="AO97" i="35"/>
  <c r="AO98" i="35"/>
  <c r="BY92" i="35"/>
  <c r="BY96" i="35" s="1"/>
  <c r="BS98" i="35"/>
  <c r="BS97" i="35"/>
  <c r="BV92" i="35"/>
  <c r="BV96" i="35" s="1"/>
  <c r="BP98" i="35"/>
  <c r="BP97" i="35"/>
  <c r="AX92" i="35"/>
  <c r="AR98" i="35"/>
  <c r="AR97" i="35"/>
  <c r="BU92" i="35"/>
  <c r="BU96" i="35" s="1"/>
  <c r="BO97" i="35"/>
  <c r="BO98" i="35"/>
  <c r="BX92" i="35"/>
  <c r="BX96" i="35" s="1"/>
  <c r="BR98" i="35"/>
  <c r="BR97" i="35"/>
  <c r="BW92" i="35"/>
  <c r="BW96" i="35" s="1"/>
  <c r="BQ97" i="35"/>
  <c r="BQ98" i="35"/>
  <c r="S98" i="35"/>
  <c r="M53" i="35"/>
  <c r="O28" i="35"/>
  <c r="U28" i="35" s="1"/>
  <c r="I53" i="35"/>
  <c r="Q28" i="35"/>
  <c r="W28" i="35" s="1"/>
  <c r="K52" i="35"/>
  <c r="L53" i="35"/>
  <c r="L52" i="35"/>
  <c r="J52" i="35"/>
  <c r="M52" i="35"/>
  <c r="J53" i="35"/>
  <c r="K53" i="35"/>
  <c r="X68" i="35"/>
  <c r="X96" i="35" s="1"/>
  <c r="F7" i="35" s="1"/>
  <c r="V68" i="35"/>
  <c r="V96" i="35" s="1"/>
  <c r="D7" i="35" s="1"/>
  <c r="U68" i="35"/>
  <c r="U96" i="35" s="1"/>
  <c r="C7" i="35" s="1"/>
  <c r="W68" i="35"/>
  <c r="W96" i="35" s="1"/>
  <c r="E7" i="35" s="1"/>
  <c r="Y68" i="35"/>
  <c r="Y96" i="35" s="1"/>
  <c r="G7" i="35" s="1"/>
  <c r="BJ30" i="35"/>
  <c r="BP30" i="35" s="1"/>
  <c r="BV30" i="35" s="1"/>
  <c r="BL32" i="35"/>
  <c r="BR32" i="35" s="1"/>
  <c r="BX32" i="35" s="1"/>
  <c r="BK31" i="35"/>
  <c r="BM33" i="35"/>
  <c r="BS33" i="35" s="1"/>
  <c r="BS51" i="35" s="1"/>
  <c r="BI29" i="35"/>
  <c r="BO29" i="35" s="1"/>
  <c r="BU29" i="35" s="1"/>
  <c r="R28" i="35"/>
  <c r="R51" i="35" s="1"/>
  <c r="AW24" i="35"/>
  <c r="AO22" i="35"/>
  <c r="AO51" i="35" s="1"/>
  <c r="U26" i="35"/>
  <c r="AL32" i="35"/>
  <c r="AR32" i="35" s="1"/>
  <c r="AX32" i="35" s="1"/>
  <c r="AK31" i="35"/>
  <c r="AQ31" i="35" s="1"/>
  <c r="AW31" i="35" s="1"/>
  <c r="V26" i="35"/>
  <c r="V51" i="35" s="1"/>
  <c r="D5" i="35" s="1"/>
  <c r="W26" i="35"/>
  <c r="AJ30" i="35"/>
  <c r="AJ51" i="35" s="1"/>
  <c r="G107" i="26"/>
  <c r="O33" i="29"/>
  <c r="O32" i="29"/>
  <c r="F108" i="26"/>
  <c r="O51" i="8"/>
  <c r="N51" i="8"/>
  <c r="D51" i="8"/>
  <c r="M51" i="8"/>
  <c r="F105" i="26"/>
  <c r="H51" i="8"/>
  <c r="E149" i="26"/>
  <c r="E150" i="26"/>
  <c r="P51" i="8"/>
  <c r="E51" i="8"/>
  <c r="E148" i="26"/>
  <c r="E145" i="26"/>
  <c r="AA27" i="11"/>
  <c r="Z27" i="11"/>
  <c r="L51" i="8"/>
  <c r="T33" i="29"/>
  <c r="U51" i="8"/>
  <c r="AB23" i="10"/>
  <c r="S23" i="10"/>
  <c r="T23" i="10" s="1"/>
  <c r="T52" i="10" s="1"/>
  <c r="N15" i="2" s="1"/>
  <c r="N23" i="10"/>
  <c r="O23" i="10" s="1"/>
  <c r="O51" i="10" s="1"/>
  <c r="X23" i="10"/>
  <c r="Y26" i="10"/>
  <c r="Y55" i="10" s="1"/>
  <c r="X55" i="10"/>
  <c r="H38" i="2"/>
  <c r="G109" i="26"/>
  <c r="F109" i="26"/>
  <c r="J51" i="8"/>
  <c r="F51" i="8"/>
  <c r="Z24" i="10"/>
  <c r="AA24" i="10"/>
  <c r="Y29" i="11"/>
  <c r="C51" i="8"/>
  <c r="B51" i="8"/>
  <c r="Q36" i="32"/>
  <c r="I51" i="8"/>
  <c r="T51" i="8"/>
  <c r="G106" i="26"/>
  <c r="F106" i="26"/>
  <c r="S51" i="8"/>
  <c r="X33" i="29"/>
  <c r="Y11" i="29"/>
  <c r="Q51" i="8"/>
  <c r="N26" i="11"/>
  <c r="O26" i="11" s="1"/>
  <c r="O51" i="11" s="1"/>
  <c r="S26" i="11"/>
  <c r="T26" i="11" s="1"/>
  <c r="T51" i="11" s="1"/>
  <c r="N18" i="2" s="1"/>
  <c r="AB26" i="11"/>
  <c r="X26" i="11"/>
  <c r="Y26" i="11" s="1"/>
  <c r="E147" i="26"/>
  <c r="E146" i="26"/>
  <c r="V51" i="8"/>
  <c r="K51" i="8"/>
  <c r="G51" i="8"/>
  <c r="F104" i="26"/>
  <c r="G104" i="26"/>
  <c r="F139" i="26" l="1"/>
  <c r="AR51" i="35"/>
  <c r="F141" i="26"/>
  <c r="F140" i="26"/>
  <c r="F137" i="26"/>
  <c r="F142" i="26"/>
  <c r="G137" i="26"/>
  <c r="F138" i="26"/>
  <c r="G139" i="26"/>
  <c r="G140" i="26"/>
  <c r="G141" i="26"/>
  <c r="G138" i="26"/>
  <c r="AW51" i="35"/>
  <c r="AE5" i="35" s="1"/>
  <c r="AD44" i="10"/>
  <c r="AL51" i="35"/>
  <c r="O51" i="35"/>
  <c r="L25" i="36"/>
  <c r="I6" i="30" s="1"/>
  <c r="V6" i="30" s="1"/>
  <c r="Y6" i="30" s="1"/>
  <c r="BI51" i="35"/>
  <c r="L33" i="36"/>
  <c r="M33" i="36" s="1"/>
  <c r="BL51" i="35"/>
  <c r="BQ31" i="35"/>
  <c r="BK51" i="35"/>
  <c r="BJ51" i="35"/>
  <c r="AK51" i="35"/>
  <c r="BM51" i="35"/>
  <c r="BR51" i="35"/>
  <c r="BP51" i="35"/>
  <c r="BO51" i="35"/>
  <c r="AQ51" i="35"/>
  <c r="BV51" i="35"/>
  <c r="BD5" i="35" s="1"/>
  <c r="Y28" i="35"/>
  <c r="Y51" i="35" s="1"/>
  <c r="G5" i="35" s="1"/>
  <c r="S51" i="35"/>
  <c r="AX51" i="35"/>
  <c r="AF5" i="35" s="1"/>
  <c r="BU51" i="35"/>
  <c r="BC5" i="35" s="1"/>
  <c r="BX51" i="35"/>
  <c r="BF5" i="35" s="1"/>
  <c r="Q51" i="35"/>
  <c r="D10" i="33"/>
  <c r="F10" i="33"/>
  <c r="L40" i="36"/>
  <c r="I21" i="30" s="1"/>
  <c r="V21" i="30" s="1"/>
  <c r="X21" i="30" s="1"/>
  <c r="K38" i="36"/>
  <c r="M38" i="36" s="1"/>
  <c r="L27" i="36"/>
  <c r="I8" i="30" s="1"/>
  <c r="V8" i="30" s="1"/>
  <c r="K30" i="36"/>
  <c r="M30" i="36" s="1"/>
  <c r="L31" i="36"/>
  <c r="I12" i="30" s="1"/>
  <c r="V12" i="30" s="1"/>
  <c r="K34" i="36"/>
  <c r="M34" i="36" s="1"/>
  <c r="L43" i="36"/>
  <c r="L39" i="36"/>
  <c r="M39" i="36" s="1"/>
  <c r="L42" i="36"/>
  <c r="I23" i="30" s="1"/>
  <c r="V23" i="30" s="1"/>
  <c r="Y23" i="30" s="1"/>
  <c r="Z23" i="30" s="1"/>
  <c r="L32" i="36"/>
  <c r="I13" i="30" s="1"/>
  <c r="V13" i="30" s="1"/>
  <c r="X13" i="30" s="1"/>
  <c r="K26" i="36"/>
  <c r="M26" i="36" s="1"/>
  <c r="K28" i="36"/>
  <c r="M28" i="36" s="1"/>
  <c r="K24" i="36"/>
  <c r="M24" i="36" s="1"/>
  <c r="K35" i="36"/>
  <c r="M35" i="36" s="1"/>
  <c r="L29" i="36"/>
  <c r="M29" i="36" s="1"/>
  <c r="L41" i="36"/>
  <c r="I22" i="30" s="1"/>
  <c r="V22" i="30" s="1"/>
  <c r="Y22" i="30" s="1"/>
  <c r="Z22" i="30" s="1"/>
  <c r="K36" i="36"/>
  <c r="M36" i="36" s="1"/>
  <c r="K37" i="36"/>
  <c r="M37" i="36" s="1"/>
  <c r="K23" i="36"/>
  <c r="L23" i="36"/>
  <c r="AA19" i="30"/>
  <c r="X19" i="30"/>
  <c r="Y19" i="30"/>
  <c r="Z19" i="30" s="1"/>
  <c r="Y17" i="30"/>
  <c r="Z17" i="30" s="1"/>
  <c r="X17" i="30"/>
  <c r="AA17" i="30"/>
  <c r="AA11" i="30"/>
  <c r="Y11" i="30"/>
  <c r="Z11" i="30" s="1"/>
  <c r="X11" i="30"/>
  <c r="Y15" i="30"/>
  <c r="Z15" i="30" s="1"/>
  <c r="X15" i="30"/>
  <c r="AA15" i="30"/>
  <c r="U51" i="35"/>
  <c r="C5" i="35" s="1"/>
  <c r="W36" i="32"/>
  <c r="L7" i="33"/>
  <c r="Y26" i="33"/>
  <c r="N7" i="33"/>
  <c r="AA26" i="33"/>
  <c r="X101" i="35"/>
  <c r="I16" i="30"/>
  <c r="V16" i="30" s="1"/>
  <c r="I9" i="30"/>
  <c r="V9" i="30" s="1"/>
  <c r="I7" i="30"/>
  <c r="V7" i="30" s="1"/>
  <c r="I18" i="30"/>
  <c r="V18" i="30" s="1"/>
  <c r="BC7" i="35"/>
  <c r="BU101" i="35"/>
  <c r="BD7" i="35"/>
  <c r="BV101" i="35"/>
  <c r="AU96" i="35"/>
  <c r="AC7" i="35" s="1"/>
  <c r="AU101" i="35"/>
  <c r="BE7" i="35"/>
  <c r="BW101" i="35"/>
  <c r="BF7" i="35"/>
  <c r="BX101" i="35"/>
  <c r="AX96" i="35"/>
  <c r="AF7" i="35" s="1"/>
  <c r="AX101" i="35"/>
  <c r="BY101" i="35"/>
  <c r="BG7" i="35"/>
  <c r="AW101" i="35"/>
  <c r="AW96" i="35"/>
  <c r="AE7" i="35" s="1"/>
  <c r="U101" i="35"/>
  <c r="W51" i="35"/>
  <c r="E5" i="35" s="1"/>
  <c r="V101" i="35"/>
  <c r="Y101" i="35"/>
  <c r="W101" i="35"/>
  <c r="BY33" i="35"/>
  <c r="X28" i="35"/>
  <c r="X51" i="35" s="1"/>
  <c r="F5" i="35" s="1"/>
  <c r="AP30" i="35"/>
  <c r="AP51" i="35" s="1"/>
  <c r="AU22" i="35"/>
  <c r="Y54" i="11"/>
  <c r="X54" i="11"/>
  <c r="O50" i="11"/>
  <c r="O52" i="10"/>
  <c r="R27" i="29"/>
  <c r="W27" i="29" s="1"/>
  <c r="Q27" i="29"/>
  <c r="V27" i="29" s="1"/>
  <c r="X51" i="11"/>
  <c r="L18" i="2" s="1"/>
  <c r="G148" i="26"/>
  <c r="F146" i="26"/>
  <c r="F149" i="26"/>
  <c r="Y51" i="11"/>
  <c r="M18" i="2" s="1"/>
  <c r="Y36" i="29"/>
  <c r="Y33" i="29"/>
  <c r="G149" i="26"/>
  <c r="G145" i="26"/>
  <c r="Y23" i="10"/>
  <c r="X52" i="10"/>
  <c r="L15" i="2" s="1"/>
  <c r="Q28" i="29"/>
  <c r="V28" i="29" s="1"/>
  <c r="R22" i="29"/>
  <c r="W22" i="29" s="1"/>
  <c r="Q26" i="29"/>
  <c r="V26" i="29" s="1"/>
  <c r="Q30" i="29"/>
  <c r="Q22" i="29"/>
  <c r="V22" i="29" s="1"/>
  <c r="R18" i="29"/>
  <c r="W18" i="29" s="1"/>
  <c r="R26" i="29"/>
  <c r="W26" i="29" s="1"/>
  <c r="Q18" i="29"/>
  <c r="V18" i="29" s="1"/>
  <c r="Q23" i="29"/>
  <c r="V23" i="29" s="1"/>
  <c r="R17" i="29"/>
  <c r="W17" i="29" s="1"/>
  <c r="R14" i="29"/>
  <c r="W14" i="29" s="1"/>
  <c r="Q14" i="29"/>
  <c r="V14" i="29" s="1"/>
  <c r="R20" i="29"/>
  <c r="W20" i="29" s="1"/>
  <c r="Q21" i="29"/>
  <c r="V21" i="29" s="1"/>
  <c r="Q15" i="29"/>
  <c r="V15" i="29" s="1"/>
  <c r="R13" i="29"/>
  <c r="W13" i="29" s="1"/>
  <c r="R21" i="29"/>
  <c r="W21" i="29" s="1"/>
  <c r="Q16" i="29"/>
  <c r="V16" i="29" s="1"/>
  <c r="R11" i="29"/>
  <c r="W11" i="29" s="1"/>
  <c r="R19" i="29"/>
  <c r="W19" i="29" s="1"/>
  <c r="Q13" i="29"/>
  <c r="V13" i="29" s="1"/>
  <c r="Q12" i="29"/>
  <c r="V12" i="29" s="1"/>
  <c r="R12" i="29"/>
  <c r="W12" i="29" s="1"/>
  <c r="R15" i="29"/>
  <c r="W15" i="29" s="1"/>
  <c r="Q17" i="29"/>
  <c r="V17" i="29" s="1"/>
  <c r="Q19" i="29"/>
  <c r="V19" i="29" s="1"/>
  <c r="Q11" i="29"/>
  <c r="V11" i="29" s="1"/>
  <c r="Q20" i="29"/>
  <c r="V20" i="29" s="1"/>
  <c r="R28" i="29"/>
  <c r="W28" i="29" s="1"/>
  <c r="R25" i="29"/>
  <c r="W25" i="29" s="1"/>
  <c r="R16" i="29"/>
  <c r="W16" i="29" s="1"/>
  <c r="R23" i="29"/>
  <c r="W23" i="29" s="1"/>
  <c r="R30" i="29"/>
  <c r="R24" i="29"/>
  <c r="W24" i="29" s="1"/>
  <c r="Q24" i="29"/>
  <c r="V24" i="29" s="1"/>
  <c r="Q25" i="29"/>
  <c r="V25" i="29" s="1"/>
  <c r="AE30" i="29"/>
  <c r="F148" i="26"/>
  <c r="G150" i="26"/>
  <c r="F147" i="26"/>
  <c r="F145" i="26"/>
  <c r="F150" i="26"/>
  <c r="G146" i="26"/>
  <c r="G147" i="26"/>
  <c r="C44" i="32"/>
  <c r="I14" i="30" l="1"/>
  <c r="V14" i="30" s="1"/>
  <c r="Y14" i="30" s="1"/>
  <c r="Z14" i="30" s="1"/>
  <c r="M27" i="36"/>
  <c r="AA6" i="30"/>
  <c r="M25" i="36"/>
  <c r="Y21" i="30"/>
  <c r="Z21" i="30" s="1"/>
  <c r="R43" i="10"/>
  <c r="W43" i="10" s="1"/>
  <c r="Q44" i="10"/>
  <c r="V44" i="10" s="1"/>
  <c r="R44" i="10"/>
  <c r="W44" i="10" s="1"/>
  <c r="X6" i="30"/>
  <c r="AA21" i="30"/>
  <c r="M31" i="36"/>
  <c r="M40" i="36"/>
  <c r="M32" i="36"/>
  <c r="M42" i="36"/>
  <c r="AU51" i="35"/>
  <c r="AC5" i="35" s="1"/>
  <c r="BW31" i="35"/>
  <c r="BQ51" i="35"/>
  <c r="BY51" i="35"/>
  <c r="BG5" i="35" s="1"/>
  <c r="AA23" i="30"/>
  <c r="D11" i="33"/>
  <c r="F11" i="33"/>
  <c r="L49" i="36"/>
  <c r="I24" i="30"/>
  <c r="I30" i="30" s="1"/>
  <c r="V30" i="30" s="1"/>
  <c r="Y52" i="10"/>
  <c r="M15" i="2" s="1"/>
  <c r="M43" i="36"/>
  <c r="I20" i="30"/>
  <c r="V20" i="30" s="1"/>
  <c r="X20" i="30" s="1"/>
  <c r="AA13" i="30"/>
  <c r="X23" i="30"/>
  <c r="Y13" i="30"/>
  <c r="Z13" i="30" s="1"/>
  <c r="I10" i="30"/>
  <c r="V10" i="30" s="1"/>
  <c r="X10" i="30" s="1"/>
  <c r="M41" i="36"/>
  <c r="X22" i="30"/>
  <c r="AA22" i="30"/>
  <c r="M23" i="36"/>
  <c r="AA18" i="30"/>
  <c r="Y18" i="30"/>
  <c r="Z18" i="30" s="1"/>
  <c r="X18" i="30"/>
  <c r="Y7" i="30"/>
  <c r="Z7" i="30" s="1"/>
  <c r="X7" i="30"/>
  <c r="AA7" i="30"/>
  <c r="Y16" i="30"/>
  <c r="Z16" i="30" s="1"/>
  <c r="X16" i="30"/>
  <c r="AA16" i="30"/>
  <c r="X12" i="30"/>
  <c r="AA12" i="30"/>
  <c r="Y12" i="30"/>
  <c r="Z12" i="30" s="1"/>
  <c r="Y8" i="30"/>
  <c r="Z8" i="30" s="1"/>
  <c r="X8" i="30"/>
  <c r="AA8" i="30"/>
  <c r="Z6" i="30"/>
  <c r="Y9" i="30"/>
  <c r="Z9" i="30" s="1"/>
  <c r="AA9" i="30"/>
  <c r="X9" i="30"/>
  <c r="L12" i="33"/>
  <c r="P12" i="33" s="1"/>
  <c r="N12" i="33"/>
  <c r="R12" i="33" s="1"/>
  <c r="N10" i="33"/>
  <c r="R10" i="33" s="1"/>
  <c r="L10" i="33"/>
  <c r="P10" i="33" s="1"/>
  <c r="L9" i="33"/>
  <c r="P9" i="33" s="1"/>
  <c r="N9" i="33"/>
  <c r="R9" i="33" s="1"/>
  <c r="AA28" i="33"/>
  <c r="R7" i="33"/>
  <c r="Y28" i="33"/>
  <c r="P7" i="33"/>
  <c r="AV30" i="35"/>
  <c r="AD44" i="11"/>
  <c r="R45" i="11"/>
  <c r="W45" i="11" s="1"/>
  <c r="Q45" i="11"/>
  <c r="V45" i="11" s="1"/>
  <c r="AE45" i="11"/>
  <c r="AD45" i="11"/>
  <c r="AD36" i="11"/>
  <c r="AE21" i="11"/>
  <c r="Q23" i="11"/>
  <c r="V23" i="11" s="1"/>
  <c r="Q21" i="11"/>
  <c r="V21" i="11" s="1"/>
  <c r="Q26" i="11"/>
  <c r="V26" i="11" s="1"/>
  <c r="AD20" i="11"/>
  <c r="AD13" i="11"/>
  <c r="AD32" i="11"/>
  <c r="Q16" i="11"/>
  <c r="V16" i="11" s="1"/>
  <c r="R42" i="11"/>
  <c r="W42" i="11" s="1"/>
  <c r="R43" i="11"/>
  <c r="W43" i="11" s="1"/>
  <c r="AE25" i="11"/>
  <c r="AE31" i="11"/>
  <c r="R28" i="11"/>
  <c r="W28" i="11" s="1"/>
  <c r="R33" i="11"/>
  <c r="W33" i="11" s="1"/>
  <c r="AD35" i="11"/>
  <c r="AE13" i="11"/>
  <c r="R16" i="11"/>
  <c r="W16" i="11" s="1"/>
  <c r="Q25" i="11"/>
  <c r="V25" i="11" s="1"/>
  <c r="R41" i="11"/>
  <c r="W41" i="11" s="1"/>
  <c r="AD33" i="11"/>
  <c r="AE11" i="11"/>
  <c r="AE32" i="11"/>
  <c r="AE19" i="11"/>
  <c r="Q27" i="11"/>
  <c r="V27" i="11" s="1"/>
  <c r="R48" i="11"/>
  <c r="W48" i="11" s="1"/>
  <c r="K18" i="2" s="1"/>
  <c r="Q37" i="11"/>
  <c r="V37" i="11" s="1"/>
  <c r="AD25" i="11"/>
  <c r="AE44" i="11"/>
  <c r="AE38" i="11"/>
  <c r="AD42" i="11"/>
  <c r="AE46" i="11"/>
  <c r="Q19" i="11"/>
  <c r="V19" i="11" s="1"/>
  <c r="R11" i="11"/>
  <c r="W11" i="11" s="1"/>
  <c r="Q46" i="11"/>
  <c r="V46" i="11" s="1"/>
  <c r="AD27" i="11"/>
  <c r="Q44" i="11"/>
  <c r="V44" i="11" s="1"/>
  <c r="AD26" i="11"/>
  <c r="AD23" i="11"/>
  <c r="AD40" i="11"/>
  <c r="Q12" i="11"/>
  <c r="V12" i="11" s="1"/>
  <c r="Q31" i="11"/>
  <c r="V31" i="11" s="1"/>
  <c r="AE27" i="11"/>
  <c r="AD17" i="11"/>
  <c r="R12" i="11"/>
  <c r="W12" i="11" s="1"/>
  <c r="AD38" i="11"/>
  <c r="AE36" i="11"/>
  <c r="AE40" i="11"/>
  <c r="R46" i="11"/>
  <c r="W46" i="11" s="1"/>
  <c r="Q41" i="11"/>
  <c r="V41" i="11" s="1"/>
  <c r="AD14" i="11"/>
  <c r="AE18" i="11"/>
  <c r="AD19" i="11"/>
  <c r="R40" i="11"/>
  <c r="W40" i="11" s="1"/>
  <c r="Q13" i="11"/>
  <c r="V13" i="11" s="1"/>
  <c r="Q30" i="11"/>
  <c r="V30" i="11" s="1"/>
  <c r="R20" i="11"/>
  <c r="W20" i="11" s="1"/>
  <c r="AE16" i="11"/>
  <c r="AD15" i="11"/>
  <c r="AD18" i="11"/>
  <c r="Q36" i="11"/>
  <c r="V36" i="11" s="1"/>
  <c r="R29" i="11"/>
  <c r="W29" i="11" s="1"/>
  <c r="Q39" i="11"/>
  <c r="V39" i="11" s="1"/>
  <c r="Q33" i="11"/>
  <c r="V33" i="11" s="1"/>
  <c r="R38" i="11"/>
  <c r="W38" i="11" s="1"/>
  <c r="R39" i="11"/>
  <c r="W39" i="11" s="1"/>
  <c r="Q43" i="11"/>
  <c r="V43" i="11" s="1"/>
  <c r="R44" i="11"/>
  <c r="W44" i="11" s="1"/>
  <c r="AD37" i="11"/>
  <c r="AE26" i="11"/>
  <c r="AD21" i="11"/>
  <c r="AE42" i="11"/>
  <c r="AD12" i="11"/>
  <c r="R22" i="11"/>
  <c r="W22" i="11" s="1"/>
  <c r="R14" i="11"/>
  <c r="W14" i="11" s="1"/>
  <c r="Q15" i="11"/>
  <c r="V15" i="11" s="1"/>
  <c r="R21" i="11"/>
  <c r="W21" i="11" s="1"/>
  <c r="Q20" i="11"/>
  <c r="V20" i="11" s="1"/>
  <c r="R26" i="11"/>
  <c r="W26" i="11" s="1"/>
  <c r="Q42" i="11"/>
  <c r="V42" i="11" s="1"/>
  <c r="AE30" i="11"/>
  <c r="AD11" i="11"/>
  <c r="AD16" i="11"/>
  <c r="AE17" i="11"/>
  <c r="AD34" i="11"/>
  <c r="AE43" i="11"/>
  <c r="AE12" i="11"/>
  <c r="Q32" i="11"/>
  <c r="V32" i="11" s="1"/>
  <c r="R24" i="11"/>
  <c r="W24" i="11" s="1"/>
  <c r="Q11" i="11"/>
  <c r="V11" i="11" s="1"/>
  <c r="Q14" i="11"/>
  <c r="V14" i="11" s="1"/>
  <c r="R37" i="11"/>
  <c r="W37" i="11" s="1"/>
  <c r="Q48" i="11"/>
  <c r="V48" i="11" s="1"/>
  <c r="J18" i="2" s="1"/>
  <c r="AD41" i="11"/>
  <c r="AE22" i="11"/>
  <c r="AE24" i="11"/>
  <c r="AE34" i="11"/>
  <c r="AE39" i="11"/>
  <c r="AD29" i="11"/>
  <c r="Q17" i="11"/>
  <c r="V17" i="11" s="1"/>
  <c r="R17" i="11"/>
  <c r="W17" i="11" s="1"/>
  <c r="R32" i="11"/>
  <c r="W32" i="11" s="1"/>
  <c r="Q28" i="11"/>
  <c r="V28" i="11" s="1"/>
  <c r="Q24" i="11"/>
  <c r="V24" i="11" s="1"/>
  <c r="Q18" i="11"/>
  <c r="V18" i="11" s="1"/>
  <c r="Q38" i="11"/>
  <c r="V38" i="11" s="1"/>
  <c r="AE33" i="11"/>
  <c r="AD22" i="11"/>
  <c r="AE14" i="11"/>
  <c r="AD31" i="11"/>
  <c r="AE15" i="11"/>
  <c r="AE23" i="11"/>
  <c r="AE29" i="11"/>
  <c r="AD46" i="11"/>
  <c r="R19" i="11"/>
  <c r="W19" i="11" s="1"/>
  <c r="R30" i="11"/>
  <c r="W30" i="11" s="1"/>
  <c r="R27" i="11"/>
  <c r="W27" i="11" s="1"/>
  <c r="R23" i="11"/>
  <c r="W23" i="11" s="1"/>
  <c r="R25" i="11"/>
  <c r="W25" i="11" s="1"/>
  <c r="Q22" i="11"/>
  <c r="V22" i="11" s="1"/>
  <c r="Q34" i="11"/>
  <c r="V34" i="11" s="1"/>
  <c r="R18" i="11"/>
  <c r="W18" i="11" s="1"/>
  <c r="AE37" i="11"/>
  <c r="AE20" i="11"/>
  <c r="AD24" i="11"/>
  <c r="AD39" i="11"/>
  <c r="AE35" i="11"/>
  <c r="AD43" i="11"/>
  <c r="AE28" i="11"/>
  <c r="AD28" i="11"/>
  <c r="R34" i="11"/>
  <c r="W34" i="11" s="1"/>
  <c r="R36" i="11"/>
  <c r="W36" i="11" s="1"/>
  <c r="R13" i="11"/>
  <c r="W13" i="11" s="1"/>
  <c r="R15" i="11"/>
  <c r="W15" i="11" s="1"/>
  <c r="Q29" i="11"/>
  <c r="V29" i="11" s="1"/>
  <c r="Q40" i="11"/>
  <c r="V40" i="11" s="1"/>
  <c r="R31" i="11"/>
  <c r="W31" i="11" s="1"/>
  <c r="R35" i="11"/>
  <c r="W35" i="11" s="1"/>
  <c r="Q35" i="11"/>
  <c r="V35" i="11" s="1"/>
  <c r="AD30" i="11"/>
  <c r="AE41" i="11"/>
  <c r="Y57" i="10"/>
  <c r="R31" i="10"/>
  <c r="W31" i="10" s="1"/>
  <c r="Q12" i="10"/>
  <c r="V12" i="10" s="1"/>
  <c r="R42" i="10"/>
  <c r="W42" i="10" s="1"/>
  <c r="Q37" i="10"/>
  <c r="V37" i="10" s="1"/>
  <c r="R13" i="10"/>
  <c r="W13" i="10" s="1"/>
  <c r="Q31" i="10"/>
  <c r="V31" i="10" s="1"/>
  <c r="Q19" i="10"/>
  <c r="V19" i="10" s="1"/>
  <c r="R25" i="10"/>
  <c r="W25" i="10" s="1"/>
  <c r="R15" i="10"/>
  <c r="W15" i="10" s="1"/>
  <c r="R33" i="10"/>
  <c r="W33" i="10" s="1"/>
  <c r="Q22" i="10"/>
  <c r="V22" i="10" s="1"/>
  <c r="R46" i="10"/>
  <c r="W46" i="10" s="1"/>
  <c r="R24" i="10"/>
  <c r="W24" i="10" s="1"/>
  <c r="R21" i="10"/>
  <c r="W21" i="10" s="1"/>
  <c r="R29" i="10"/>
  <c r="W29" i="10" s="1"/>
  <c r="R20" i="10"/>
  <c r="W20" i="10" s="1"/>
  <c r="Q38" i="10"/>
  <c r="V38" i="10" s="1"/>
  <c r="R27" i="10"/>
  <c r="W27" i="10" s="1"/>
  <c r="Q36" i="10"/>
  <c r="V36" i="10" s="1"/>
  <c r="Q42" i="10"/>
  <c r="V42" i="10" s="1"/>
  <c r="R28" i="10"/>
  <c r="W28" i="10" s="1"/>
  <c r="Q11" i="10"/>
  <c r="V11" i="10" s="1"/>
  <c r="R11" i="10"/>
  <c r="W11" i="10" s="1"/>
  <c r="Q18" i="10"/>
  <c r="V18" i="10" s="1"/>
  <c r="R22" i="10"/>
  <c r="W22" i="10" s="1"/>
  <c r="Q43" i="10"/>
  <c r="V43" i="10" s="1"/>
  <c r="R18" i="10"/>
  <c r="W18" i="10" s="1"/>
  <c r="Q24" i="10"/>
  <c r="V24" i="10" s="1"/>
  <c r="R32" i="10"/>
  <c r="W32" i="10" s="1"/>
  <c r="Q34" i="10"/>
  <c r="V34" i="10" s="1"/>
  <c r="R12" i="10"/>
  <c r="W12" i="10" s="1"/>
  <c r="Q13" i="10"/>
  <c r="V13" i="10" s="1"/>
  <c r="R19" i="10"/>
  <c r="W19" i="10" s="1"/>
  <c r="Q26" i="10"/>
  <c r="V26" i="10" s="1"/>
  <c r="Q33" i="10"/>
  <c r="V33" i="10" s="1"/>
  <c r="R30" i="10"/>
  <c r="W30" i="10" s="1"/>
  <c r="Q25" i="10"/>
  <c r="V25" i="10" s="1"/>
  <c r="R17" i="10"/>
  <c r="W17" i="10" s="1"/>
  <c r="Q30" i="10"/>
  <c r="V30" i="10" s="1"/>
  <c r="R35" i="10"/>
  <c r="W35" i="10" s="1"/>
  <c r="R26" i="10"/>
  <c r="W26" i="10" s="1"/>
  <c r="Q23" i="10"/>
  <c r="V23" i="10" s="1"/>
  <c r="Q28" i="10"/>
  <c r="V28" i="10" s="1"/>
  <c r="K15" i="2"/>
  <c r="R39" i="10"/>
  <c r="W39" i="10" s="1"/>
  <c r="R45" i="10"/>
  <c r="W45" i="10" s="1"/>
  <c r="Q17" i="10"/>
  <c r="V17" i="10" s="1"/>
  <c r="R40" i="10"/>
  <c r="W40" i="10" s="1"/>
  <c r="R37" i="10"/>
  <c r="W37" i="10" s="1"/>
  <c r="Q41" i="10"/>
  <c r="V41" i="10" s="1"/>
  <c r="Q20" i="10"/>
  <c r="V20" i="10" s="1"/>
  <c r="Q39" i="10"/>
  <c r="V39" i="10" s="1"/>
  <c r="Q32" i="10"/>
  <c r="V32" i="10" s="1"/>
  <c r="R36" i="10"/>
  <c r="W36" i="10" s="1"/>
  <c r="Q45" i="10"/>
  <c r="V45" i="10" s="1"/>
  <c r="R38" i="10"/>
  <c r="W38" i="10" s="1"/>
  <c r="Q29" i="10"/>
  <c r="V29" i="10" s="1"/>
  <c r="Q27" i="10"/>
  <c r="V27" i="10" s="1"/>
  <c r="J15" i="2"/>
  <c r="R16" i="10"/>
  <c r="W16" i="10" s="1"/>
  <c r="Q46" i="10"/>
  <c r="V46" i="10" s="1"/>
  <c r="R14" i="10"/>
  <c r="W14" i="10" s="1"/>
  <c r="Q40" i="10"/>
  <c r="V40" i="10" s="1"/>
  <c r="R23" i="10"/>
  <c r="W23" i="10" s="1"/>
  <c r="Q14" i="10"/>
  <c r="V14" i="10" s="1"/>
  <c r="Q35" i="10"/>
  <c r="V35" i="10" s="1"/>
  <c r="Q16" i="10"/>
  <c r="V16" i="10" s="1"/>
  <c r="R34" i="10"/>
  <c r="W34" i="10" s="1"/>
  <c r="R41" i="10"/>
  <c r="W41" i="10" s="1"/>
  <c r="Q21" i="10"/>
  <c r="V21" i="10" s="1"/>
  <c r="Q15" i="10"/>
  <c r="V15" i="10" s="1"/>
  <c r="V30" i="29"/>
  <c r="Q35" i="29"/>
  <c r="AC36" i="32"/>
  <c r="R35" i="29"/>
  <c r="W30" i="29"/>
  <c r="AA14" i="30" l="1"/>
  <c r="X14" i="30"/>
  <c r="X29" i="30" s="1"/>
  <c r="AV51" i="35"/>
  <c r="AD5" i="35" s="1"/>
  <c r="BW51" i="35"/>
  <c r="BE5" i="35" s="1"/>
  <c r="I31" i="30"/>
  <c r="V31" i="30" s="1"/>
  <c r="V24" i="30"/>
  <c r="B35" i="30" s="1"/>
  <c r="B34" i="30" s="1"/>
  <c r="C34" i="30" s="1"/>
  <c r="AA20" i="30"/>
  <c r="Y20" i="30"/>
  <c r="Z20" i="30" s="1"/>
  <c r="P15" i="2"/>
  <c r="P27" i="2" s="1"/>
  <c r="J27" i="2" s="1"/>
  <c r="I33" i="2" s="1"/>
  <c r="I37" i="2" s="1"/>
  <c r="J25" i="2"/>
  <c r="Q15" i="2"/>
  <c r="Q27" i="2" s="1"/>
  <c r="K27" i="2" s="1"/>
  <c r="J33" i="2" s="1"/>
  <c r="J37" i="2" s="1"/>
  <c r="K25" i="2"/>
  <c r="AA10" i="30"/>
  <c r="Y10" i="30"/>
  <c r="Z10" i="30" s="1"/>
  <c r="R54" i="10"/>
  <c r="Q54" i="10"/>
  <c r="X28" i="30" l="1"/>
  <c r="X30" i="30"/>
  <c r="X27" i="30"/>
  <c r="C35" i="30"/>
  <c r="E13" i="33" s="1"/>
  <c r="M13" i="33" s="1"/>
  <c r="Q13" i="33" s="1"/>
  <c r="Z29" i="33" s="1"/>
  <c r="Z27" i="30"/>
  <c r="B36" i="30"/>
  <c r="C36" i="30" s="1"/>
  <c r="Z30" i="30"/>
  <c r="H13" i="33" s="1"/>
  <c r="AA34" i="30"/>
  <c r="Z29" i="30"/>
  <c r="G13" i="33" s="1"/>
  <c r="Y28" i="30"/>
  <c r="I13" i="33" s="1"/>
  <c r="Y30" i="30"/>
  <c r="AA3" i="30"/>
  <c r="Y27" i="30"/>
  <c r="Y29" i="30"/>
  <c r="Z28" i="30"/>
  <c r="AA27" i="30"/>
  <c r="L11" i="33"/>
  <c r="P11" i="33" s="1"/>
  <c r="N11" i="33"/>
  <c r="R11" i="33" s="1"/>
  <c r="D13" i="33"/>
  <c r="H34" i="30"/>
  <c r="M34" i="30" s="1"/>
  <c r="N34" i="30" s="1"/>
  <c r="J38" i="2"/>
  <c r="J41" i="2"/>
  <c r="J42" i="2"/>
  <c r="I38" i="2"/>
  <c r="I42" i="2"/>
  <c r="I41" i="2"/>
  <c r="H35" i="30" l="1"/>
  <c r="M35" i="30" s="1"/>
  <c r="N35" i="30" s="1"/>
  <c r="AA35" i="30"/>
  <c r="AA36" i="30" s="1"/>
  <c r="L13" i="33"/>
  <c r="P13" i="33" s="1"/>
  <c r="Y29" i="33" s="1"/>
  <c r="H36" i="30"/>
  <c r="M36" i="30" s="1"/>
  <c r="N36" i="30" s="1"/>
  <c r="F13" i="33"/>
  <c r="C48" i="11"/>
  <c r="AA48" i="11" s="1"/>
  <c r="D48" i="11"/>
  <c r="S48" i="11" s="1"/>
  <c r="T48" i="11" s="1"/>
  <c r="N13" i="33" l="1"/>
  <c r="R13" i="33" s="1"/>
  <c r="AA29" i="33" s="1"/>
  <c r="AD48" i="11"/>
  <c r="AE48" i="11"/>
  <c r="AF48" i="11"/>
  <c r="N48" i="11"/>
  <c r="O48" i="11" s="1"/>
  <c r="Z48" i="11"/>
  <c r="AE24" i="10"/>
  <c r="AE40" i="10"/>
  <c r="AF28" i="10"/>
  <c r="AF30" i="10"/>
  <c r="AF35" i="10"/>
  <c r="AE38" i="10"/>
  <c r="AE34" i="10"/>
  <c r="AE16" i="10"/>
  <c r="AE23" i="10"/>
  <c r="AF27" i="10"/>
  <c r="AD25" i="10"/>
  <c r="AF42" i="10"/>
  <c r="AE15" i="10"/>
  <c r="AE32" i="10"/>
  <c r="AF19" i="10"/>
  <c r="AF43" i="10"/>
  <c r="AD33" i="10"/>
  <c r="AF11" i="10"/>
  <c r="AF15" i="10"/>
  <c r="AD14" i="10"/>
  <c r="AF32" i="10"/>
  <c r="AE27" i="10"/>
  <c r="AE14" i="10"/>
  <c r="AE43" i="10"/>
  <c r="AD34" i="10"/>
  <c r="AE12" i="10"/>
  <c r="AF21" i="10"/>
  <c r="AF46" i="10"/>
  <c r="AD42" i="10"/>
  <c r="AF36" i="10"/>
  <c r="AE45" i="10"/>
  <c r="AD38" i="10"/>
  <c r="AD40" i="10"/>
  <c r="AD31" i="10"/>
  <c r="AE11" i="10"/>
  <c r="AD39" i="10"/>
  <c r="AF23" i="10"/>
  <c r="AF39" i="10"/>
  <c r="AE36" i="10"/>
  <c r="AE33" i="10"/>
  <c r="AE35" i="10"/>
  <c r="AE39" i="10"/>
  <c r="AF24" i="10"/>
  <c r="AD11" i="10"/>
  <c r="AD24" i="10"/>
  <c r="AD20" i="10"/>
  <c r="AE25" i="10"/>
  <c r="AD12" i="10"/>
  <c r="AE37" i="10"/>
  <c r="AF34" i="10"/>
  <c r="AD22" i="10"/>
  <c r="AE21" i="10"/>
  <c r="AF22" i="10"/>
  <c r="AD21" i="10"/>
  <c r="AF41" i="10"/>
  <c r="AD46" i="10"/>
  <c r="AD30" i="10"/>
  <c r="AF26" i="10"/>
  <c r="AE46" i="10"/>
  <c r="AF14" i="10"/>
  <c r="AD45" i="10"/>
  <c r="AD17" i="10"/>
  <c r="AF12" i="10"/>
  <c r="AE18" i="10"/>
  <c r="AD43" i="10"/>
  <c r="AD29" i="10"/>
  <c r="AF18" i="10"/>
  <c r="AF13" i="10"/>
  <c r="AD28" i="10"/>
  <c r="AD36" i="10"/>
  <c r="AD26" i="10"/>
  <c r="AE17" i="10"/>
  <c r="AE30" i="10"/>
  <c r="AE13" i="10"/>
  <c r="AF20" i="10"/>
  <c r="AF38" i="10"/>
  <c r="AF37" i="10"/>
  <c r="AD35" i="10"/>
  <c r="AF25" i="10"/>
  <c r="AE42" i="10"/>
  <c r="AF40" i="10"/>
  <c r="AE31" i="10"/>
  <c r="AD18" i="10"/>
  <c r="AD15" i="10"/>
  <c r="AF17" i="10"/>
  <c r="AF45" i="10"/>
  <c r="AD16" i="10"/>
  <c r="AE29" i="10"/>
  <c r="AD23" i="10"/>
  <c r="AD37" i="10"/>
  <c r="AD27" i="10"/>
  <c r="AD13" i="10"/>
  <c r="AF33" i="10"/>
  <c r="AF16" i="10"/>
  <c r="AE26" i="10"/>
  <c r="AD19" i="10"/>
  <c r="AF31" i="10"/>
  <c r="AE28" i="10"/>
  <c r="AE41" i="10"/>
  <c r="AE19" i="10"/>
  <c r="AD32" i="10"/>
  <c r="AD41" i="10"/>
  <c r="AE20" i="10"/>
  <c r="AE22" i="10"/>
  <c r="AF29" i="10"/>
  <c r="AE19" i="29"/>
  <c r="AE18" i="29"/>
  <c r="AE25" i="29"/>
  <c r="AD21" i="29"/>
  <c r="AE17" i="29"/>
  <c r="AD28" i="29"/>
  <c r="AF26" i="29"/>
  <c r="AF17" i="29"/>
  <c r="AD19" i="29"/>
  <c r="AF23" i="29"/>
  <c r="AF25" i="29"/>
  <c r="AF28" i="29"/>
  <c r="AE16" i="29"/>
  <c r="AE15" i="29"/>
  <c r="AF20" i="29"/>
  <c r="AE14" i="29"/>
  <c r="AE27" i="29"/>
  <c r="AE24" i="29"/>
  <c r="AE26" i="29"/>
  <c r="AE13" i="29"/>
  <c r="AD26" i="29"/>
  <c r="AD14" i="29"/>
  <c r="AF27" i="29"/>
  <c r="AE11" i="29"/>
  <c r="AD18" i="29"/>
  <c r="AD12" i="29"/>
  <c r="AF24" i="29"/>
  <c r="AD30" i="29"/>
  <c r="AD20" i="29"/>
  <c r="AF12" i="29"/>
  <c r="AF14" i="29"/>
  <c r="AF15" i="29"/>
  <c r="AD15" i="29"/>
  <c r="AF18" i="29"/>
  <c r="AD25" i="29"/>
  <c r="AE23" i="29"/>
  <c r="AF22" i="29"/>
  <c r="AF11" i="29"/>
  <c r="AE22" i="29"/>
  <c r="AE21" i="29"/>
  <c r="AF16" i="29"/>
  <c r="AD11" i="29"/>
  <c r="AD16" i="29"/>
  <c r="AD17" i="29"/>
  <c r="AD13" i="29"/>
  <c r="AD24" i="29"/>
  <c r="AE20" i="29"/>
  <c r="AF21" i="29"/>
  <c r="AD23" i="29"/>
  <c r="AF19" i="29"/>
  <c r="AF13" i="29"/>
  <c r="AD22" i="29"/>
  <c r="AE28" i="29"/>
  <c r="AE12" i="29"/>
  <c r="AD2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Moffitt, Steve D (DFG)</author>
  </authors>
  <commentList>
    <comment ref="B5" authorId="0" shapeId="0" xr:uid="{00000000-0006-0000-1300-000001000000}">
      <text>
        <r>
          <rPr>
            <b/>
            <sz val="8"/>
            <color indexed="81"/>
            <rFont val="Tahoma"/>
            <family val="2"/>
          </rPr>
          <t>Moffitt, Steve D (DFG):</t>
        </r>
        <r>
          <rPr>
            <sz val="8"/>
            <color indexed="81"/>
            <rFont val="Tahoma"/>
            <family val="2"/>
          </rPr>
          <t xml:space="preserve">
</t>
        </r>
        <r>
          <rPr>
            <sz val="14"/>
            <color indexed="81"/>
            <rFont val="Tahoma"/>
            <family val="2"/>
          </rPr>
          <t>1980–1998 ASA model 
1999–2013 Mark-recapture minus upriver harvests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rebrenner</author>
  </authors>
  <commentList>
    <comment ref="F24" authorId="0" shapeId="0" xr:uid="{00000000-0006-0000-0D00-000001000000}">
      <text>
        <r>
          <rPr>
            <b/>
            <sz val="9"/>
            <color indexed="81"/>
            <rFont val="Tahoma"/>
            <family val="2"/>
          </rPr>
          <t>rebrenner:</t>
        </r>
        <r>
          <rPr>
            <sz val="9"/>
            <color indexed="81"/>
            <rFont val="Tahoma"/>
            <family val="2"/>
          </rPr>
          <t xml:space="preserve">
</t>
        </r>
        <r>
          <rPr>
            <sz val="16"/>
            <color indexed="81"/>
            <rFont val="Tahoma"/>
            <family val="2"/>
          </rPr>
          <t>1997 and prior, I obtained from a pivot table within the Historical AWL file. These may not have been aportioned by harvest.</t>
        </r>
      </text>
    </comment>
    <comment ref="F40" authorId="0" shapeId="0" xr:uid="{00000000-0006-0000-0D00-000002000000}">
      <text>
        <r>
          <rPr>
            <b/>
            <sz val="9"/>
            <color indexed="81"/>
            <rFont val="Tahoma"/>
            <family val="2"/>
          </rPr>
          <t>rebrenner:</t>
        </r>
        <r>
          <rPr>
            <sz val="9"/>
            <color indexed="81"/>
            <rFont val="Tahoma"/>
            <family val="2"/>
          </rPr>
          <t xml:space="preserve">
APPB0213CRChin
Strata combined
Years back to at least 1998 are also APPB02..
Need to convert years prior to 1998 and enter here.</t>
        </r>
      </text>
    </comment>
    <comment ref="F41" authorId="0" shapeId="0" xr:uid="{00000000-0006-0000-0D00-000003000000}">
      <text>
        <r>
          <rPr>
            <b/>
            <sz val="9"/>
            <color indexed="81"/>
            <rFont val="Tahoma"/>
            <family val="2"/>
          </rPr>
          <t>rebrenner:</t>
        </r>
        <r>
          <rPr>
            <sz val="9"/>
            <color indexed="81"/>
            <rFont val="Tahoma"/>
            <family val="2"/>
          </rPr>
          <t xml:space="preserve">
O:\DCF\SALMON\AWL\CURRENT\REPORTS\2014C&amp;E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Moffitt, Steve D (DFG)</author>
  </authors>
  <commentList>
    <comment ref="B7" authorId="0" shapeId="0" xr:uid="{00000000-0006-0000-0E00-000001000000}">
      <text>
        <r>
          <rPr>
            <b/>
            <sz val="8"/>
            <color indexed="81"/>
            <rFont val="Tahoma"/>
            <family val="2"/>
          </rPr>
          <t>Moffitt, Steve D (DFG):</t>
        </r>
        <r>
          <rPr>
            <sz val="8"/>
            <color indexed="81"/>
            <rFont val="Tahoma"/>
            <family val="2"/>
          </rPr>
          <t xml:space="preserve">
</t>
        </r>
        <r>
          <rPr>
            <sz val="14"/>
            <color indexed="81"/>
            <rFont val="Tahoma"/>
            <family val="2"/>
          </rPr>
          <t>Inriver abundance estimated as the proportion of upriver Sub/PU that was Chinook salmon multiplied by the Miles Lake sonar count.</t>
        </r>
      </text>
    </comment>
    <comment ref="B26" authorId="0" shapeId="0" xr:uid="{00000000-0006-0000-0E00-000002000000}">
      <text>
        <r>
          <rPr>
            <b/>
            <sz val="8"/>
            <color indexed="81"/>
            <rFont val="Tahoma"/>
            <family val="2"/>
          </rPr>
          <t>Moffitt, Steve D (DFG):</t>
        </r>
        <r>
          <rPr>
            <sz val="8"/>
            <color indexed="81"/>
            <rFont val="Tahoma"/>
            <family val="2"/>
          </rPr>
          <t xml:space="preserve">
</t>
        </r>
        <r>
          <rPr>
            <sz val="14"/>
            <color indexed="81"/>
            <rFont val="Tahoma"/>
            <family val="2"/>
          </rPr>
          <t>mark-recapture</t>
        </r>
        <r>
          <rPr>
            <sz val="8"/>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rebrenner</author>
  </authors>
  <commentList>
    <comment ref="F32" authorId="0" shapeId="0" xr:uid="{00000000-0006-0000-0F00-000001000000}">
      <text>
        <r>
          <rPr>
            <b/>
            <sz val="8"/>
            <color indexed="81"/>
            <rFont val="Tahoma"/>
            <family val="2"/>
          </rPr>
          <t>rebrenner:</t>
        </r>
        <r>
          <rPr>
            <sz val="8"/>
            <color indexed="81"/>
            <rFont val="Tahoma"/>
            <family val="2"/>
          </rPr>
          <t xml:space="preserve">
APPA0105.xls</t>
        </r>
      </text>
    </comment>
    <comment ref="F35" authorId="0" shapeId="0" xr:uid="{00000000-0006-0000-0F00-000002000000}">
      <text>
        <r>
          <rPr>
            <b/>
            <sz val="8"/>
            <color indexed="81"/>
            <rFont val="Tahoma"/>
            <family val="2"/>
          </rPr>
          <t>rebrenner:</t>
        </r>
        <r>
          <rPr>
            <sz val="8"/>
            <color indexed="81"/>
            <rFont val="Tahoma"/>
            <family val="2"/>
          </rPr>
          <t xml:space="preserve">
APPA0108.xls
</t>
        </r>
      </text>
    </comment>
    <comment ref="F36" authorId="0" shapeId="0" xr:uid="{00000000-0006-0000-0F00-000003000000}">
      <text>
        <r>
          <rPr>
            <b/>
            <sz val="8"/>
            <color indexed="81"/>
            <rFont val="Tahoma"/>
            <family val="2"/>
          </rPr>
          <t>rebrenner:</t>
        </r>
        <r>
          <rPr>
            <sz val="8"/>
            <color indexed="81"/>
            <rFont val="Tahoma"/>
            <family val="2"/>
          </rPr>
          <t xml:space="preserve">
</t>
        </r>
        <r>
          <rPr>
            <sz val="18"/>
            <color indexed="81"/>
            <rFont val="Tahoma"/>
            <family val="2"/>
          </rPr>
          <t>APPA0109.xls  This is the CR District Commercial Common Property Harvest.</t>
        </r>
      </text>
    </comment>
    <comment ref="F37" authorId="0" shapeId="0" xr:uid="{00000000-0006-0000-0F00-000004000000}">
      <text>
        <r>
          <rPr>
            <b/>
            <sz val="9"/>
            <color indexed="81"/>
            <rFont val="Tahoma"/>
            <family val="2"/>
          </rPr>
          <t>rebrenner:</t>
        </r>
        <r>
          <rPr>
            <sz val="9"/>
            <color indexed="81"/>
            <rFont val="Tahoma"/>
            <family val="2"/>
          </rPr>
          <t xml:space="preserve">
</t>
        </r>
        <r>
          <rPr>
            <sz val="18"/>
            <color indexed="81"/>
            <rFont val="Tahoma"/>
            <family val="2"/>
          </rPr>
          <t>From APPA0110</t>
        </r>
      </text>
    </comment>
    <comment ref="F38" authorId="0" shapeId="0" xr:uid="{00000000-0006-0000-0F00-000005000000}">
      <text>
        <r>
          <rPr>
            <b/>
            <sz val="9"/>
            <color indexed="81"/>
            <rFont val="Tahoma"/>
            <family val="2"/>
          </rPr>
          <t>rebrenner:</t>
        </r>
        <r>
          <rPr>
            <sz val="9"/>
            <color indexed="81"/>
            <rFont val="Tahoma"/>
            <family val="2"/>
          </rPr>
          <t xml:space="preserve">
</t>
        </r>
        <r>
          <rPr>
            <sz val="20"/>
            <color indexed="81"/>
            <rFont val="Tahoma"/>
            <family val="2"/>
          </rPr>
          <t>APPA0111</t>
        </r>
      </text>
    </comment>
    <comment ref="F39" authorId="0" shapeId="0" xr:uid="{00000000-0006-0000-0F00-000006000000}">
      <text>
        <r>
          <rPr>
            <b/>
            <sz val="9"/>
            <color indexed="81"/>
            <rFont val="Tahoma"/>
            <family val="2"/>
          </rPr>
          <t>rebrenner:</t>
        </r>
        <r>
          <rPr>
            <sz val="9"/>
            <color indexed="81"/>
            <rFont val="Tahoma"/>
            <family val="2"/>
          </rPr>
          <t xml:space="preserve">
</t>
        </r>
        <r>
          <rPr>
            <sz val="20"/>
            <color indexed="81"/>
            <rFont val="Tahoma"/>
            <family val="2"/>
          </rPr>
          <t>APPA0112</t>
        </r>
      </text>
    </comment>
    <comment ref="F40" authorId="0" shapeId="0" xr:uid="{00000000-0006-0000-0F00-000007000000}">
      <text>
        <r>
          <rPr>
            <b/>
            <sz val="9"/>
            <color indexed="81"/>
            <rFont val="Tahoma"/>
            <family val="2"/>
          </rPr>
          <t>rebrenner:</t>
        </r>
        <r>
          <rPr>
            <sz val="9"/>
            <color indexed="81"/>
            <rFont val="Tahoma"/>
            <family val="2"/>
          </rPr>
          <t xml:space="preserve">
APPA0113CRChin
Strata combined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Moffitt, Steve D (DFG)</author>
  </authors>
  <commentList>
    <comment ref="H5" authorId="0" shapeId="0" xr:uid="{00000000-0006-0000-1400-000001000000}">
      <text>
        <r>
          <rPr>
            <b/>
            <sz val="9"/>
            <color indexed="81"/>
            <rFont val="Tahoma"/>
            <family val="2"/>
          </rPr>
          <t>Moffitt, Steve D (DFG):</t>
        </r>
        <r>
          <rPr>
            <sz val="9"/>
            <color indexed="81"/>
            <rFont val="Tahoma"/>
            <family val="2"/>
          </rPr>
          <t xml:space="preserve">
Use Trend formula to calculate a linear forecast for each year starting with 9 years of data (1977–1985) to forecast 1986. Each year is forecast using the data that would have been available to generate the forecast, so the retrospective error of the forecast from each year can be calculated. </t>
        </r>
      </text>
    </comment>
    <comment ref="J6" authorId="0" shapeId="0" xr:uid="{00000000-0006-0000-1400-000002000000}">
      <text>
        <r>
          <rPr>
            <b/>
            <sz val="9"/>
            <color indexed="81"/>
            <rFont val="Tahoma"/>
            <family val="2"/>
          </rPr>
          <t>Moffitt, Steve D (DFG):</t>
        </r>
        <r>
          <rPr>
            <sz val="9"/>
            <color indexed="81"/>
            <rFont val="Tahoma"/>
            <family val="2"/>
          </rPr>
          <t xml:space="preserve">
MSE of residuals from Excel Data Analysis regression output. </t>
        </r>
      </text>
    </comment>
    <comment ref="L6" authorId="0" shapeId="0" xr:uid="{00000000-0006-0000-1400-000003000000}">
      <text>
        <r>
          <rPr>
            <b/>
            <sz val="9"/>
            <color indexed="81"/>
            <rFont val="Tahoma"/>
            <family val="2"/>
          </rPr>
          <t>Moffitt, Steve D (DFG):</t>
        </r>
        <r>
          <rPr>
            <sz val="9"/>
            <color indexed="81"/>
            <rFont val="Tahoma"/>
            <family val="2"/>
          </rPr>
          <t xml:space="preserve">
See Hayes et al. (1995)
CJFAS 52(1): 84-92.</t>
        </r>
      </text>
    </comment>
    <comment ref="L46" authorId="0" shapeId="0" xr:uid="{00000000-0006-0000-1400-000004000000}">
      <text>
        <r>
          <rPr>
            <b/>
            <sz val="9"/>
            <color indexed="81"/>
            <rFont val="Tahoma"/>
            <family val="2"/>
          </rPr>
          <t>Moffitt, Steve D (DFG):</t>
        </r>
        <r>
          <rPr>
            <sz val="9"/>
            <color indexed="81"/>
            <rFont val="Tahoma"/>
            <family val="2"/>
          </rPr>
          <t xml:space="preserve">
See Hayes et al. (1995)
CJFAS 52(1): 84-92.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Steve Moffitt</author>
    <author>rebrenner</author>
  </authors>
  <commentList>
    <comment ref="W55" authorId="0" shapeId="0" xr:uid="{00000000-0006-0000-1500-000001000000}">
      <text>
        <r>
          <rPr>
            <b/>
            <sz val="8"/>
            <color indexed="81"/>
            <rFont val="Tahoma"/>
            <family val="2"/>
          </rPr>
          <t>Steve Moffitt:</t>
        </r>
        <r>
          <rPr>
            <sz val="8"/>
            <color indexed="81"/>
            <rFont val="Tahoma"/>
            <family val="2"/>
          </rPr>
          <t xml:space="preserve">
Years with mark-recapture estimates of inriver abundance</t>
        </r>
      </text>
    </comment>
    <comment ref="A56" authorId="1" shapeId="0" xr:uid="{00000000-0006-0000-1500-000002000000}">
      <text>
        <r>
          <rPr>
            <b/>
            <sz val="9"/>
            <color indexed="81"/>
            <rFont val="Tahoma"/>
            <family val="2"/>
          </rPr>
          <t>rebrenner:</t>
        </r>
        <r>
          <rPr>
            <sz val="9"/>
            <color indexed="81"/>
            <rFont val="Tahoma"/>
            <family val="2"/>
          </rPr>
          <t xml:space="preserve">
</t>
        </r>
        <r>
          <rPr>
            <sz val="20"/>
            <color indexed="81"/>
            <rFont val="Tahoma"/>
            <family val="2"/>
          </rPr>
          <t>Need to manually insert a new row of data each year.  Also need to change the dates on the 'prediction' row. Finally, you need to update the formulas for MSE Leave 1 out, MSE All, MSE, Avg Err, etc. each year. Then, run the Jackknife procedure.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rebrenner</author>
  </authors>
  <commentList>
    <comment ref="A23" authorId="0" shapeId="0" xr:uid="{00000000-0006-0000-1600-000001000000}">
      <text>
        <r>
          <rPr>
            <b/>
            <sz val="9"/>
            <color indexed="81"/>
            <rFont val="Tahoma"/>
            <family val="2"/>
          </rPr>
          <t>rebrenner:</t>
        </r>
        <r>
          <rPr>
            <sz val="9"/>
            <color indexed="81"/>
            <rFont val="Tahoma"/>
            <family val="2"/>
          </rPr>
          <t xml:space="preserve">
</t>
        </r>
        <r>
          <rPr>
            <sz val="20"/>
            <color indexed="81"/>
            <rFont val="Tahoma"/>
            <family val="2"/>
          </rPr>
          <t>Need to manually add this year and copy/paste formulas to the new row each year. Also need to update prediction year below before running jackknife procedure.</t>
        </r>
      </text>
    </comment>
    <comment ref="A37" authorId="0" shapeId="0" xr:uid="{00000000-0006-0000-1600-000002000000}">
      <text>
        <r>
          <rPr>
            <b/>
            <sz val="9"/>
            <color indexed="81"/>
            <rFont val="Tahoma"/>
            <family val="2"/>
          </rPr>
          <t>rebrenner:</t>
        </r>
        <r>
          <rPr>
            <sz val="9"/>
            <color indexed="81"/>
            <rFont val="Tahoma"/>
            <family val="2"/>
          </rPr>
          <t xml:space="preserve">
</t>
        </r>
        <r>
          <rPr>
            <sz val="20"/>
            <color indexed="81"/>
            <rFont val="Tahoma"/>
            <family val="2"/>
          </rPr>
          <t>Need to manually insert a new row of data each year.  Also need to change the dates on the 'prediction' row. Finally, you need to update the formulas for MSE Leave 1 out, MSE All, MSE, Avg Err, etc. each year. Then, run the Jackknife procedure.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Moffitt, Steve D (DFG)</author>
    <author>Steve Moffitt</author>
    <author>Richard Merizon</author>
  </authors>
  <commentList>
    <comment ref="B7" authorId="0" shapeId="0" xr:uid="{00000000-0006-0000-0100-000001000000}">
      <text>
        <r>
          <rPr>
            <b/>
            <sz val="9"/>
            <color indexed="81"/>
            <rFont val="Tahoma"/>
            <family val="2"/>
          </rPr>
          <t>Moffitt, Steve D (DFG):</t>
        </r>
        <r>
          <rPr>
            <sz val="9"/>
            <color indexed="81"/>
            <rFont val="Tahoma"/>
            <family val="2"/>
          </rPr>
          <t xml:space="preserve">
</t>
        </r>
        <r>
          <rPr>
            <sz val="22"/>
            <color indexed="81"/>
            <rFont val="Tahoma"/>
            <family val="2"/>
          </rPr>
          <t>See Column T for source information.</t>
        </r>
      </text>
    </comment>
    <comment ref="F7" authorId="1" shapeId="0" xr:uid="{00000000-0006-0000-0100-000002000000}">
      <text>
        <r>
          <rPr>
            <b/>
            <sz val="8"/>
            <color indexed="81"/>
            <rFont val="Tahoma"/>
            <family val="2"/>
          </rPr>
          <t>Steve Moffitt:</t>
        </r>
        <r>
          <rPr>
            <sz val="8"/>
            <color indexed="81"/>
            <rFont val="Tahoma"/>
            <family val="2"/>
          </rPr>
          <t xml:space="preserve">
</t>
        </r>
        <r>
          <rPr>
            <sz val="12"/>
            <color indexed="81"/>
            <rFont val="Tahoma"/>
            <family val="2"/>
          </rPr>
          <t xml:space="preserve">Data from Mark Somerville database, AMRs, and Access database. </t>
        </r>
        <r>
          <rPr>
            <sz val="12"/>
            <color indexed="10"/>
            <rFont val="Tahoma"/>
            <family val="2"/>
          </rPr>
          <t>Includes both state and federal subsistence harvests.</t>
        </r>
      </text>
    </comment>
    <comment ref="H7" authorId="0" shapeId="0" xr:uid="{00000000-0006-0000-0100-000003000000}">
      <text>
        <r>
          <rPr>
            <b/>
            <sz val="8"/>
            <color indexed="81"/>
            <rFont val="Tahoma"/>
            <family val="2"/>
          </rPr>
          <t>Moffitt, Steve D (DFG):</t>
        </r>
        <r>
          <rPr>
            <sz val="8"/>
            <color indexed="81"/>
            <rFont val="Tahoma"/>
            <family val="2"/>
          </rPr>
          <t xml:space="preserve">
Data from Commercial harvest reports.</t>
        </r>
      </text>
    </comment>
    <comment ref="J7" authorId="2" shapeId="0" xr:uid="{00000000-0006-0000-0100-000004000000}">
      <text>
        <r>
          <rPr>
            <sz val="11"/>
            <color indexed="81"/>
            <rFont val="Tahoma"/>
            <family val="2"/>
          </rPr>
          <t xml:space="preserve">Data in black font from Mark Sommerville in 2011. Data expanded to reflect unreported state harvest and include reported federal harvest (2002-2004) and expanded federal harvest beginning in 2005. Data in red need to be source checked. </t>
        </r>
      </text>
    </comment>
    <comment ref="N7" authorId="2" shapeId="0" xr:uid="{00000000-0006-0000-0100-000005000000}">
      <text>
        <r>
          <rPr>
            <sz val="10"/>
            <color indexed="81"/>
            <rFont val="Tahoma"/>
            <family val="2"/>
          </rPr>
          <t xml:space="preserve">Data from Mark Sommerville in 2011. </t>
        </r>
      </text>
    </comment>
    <comment ref="J78" authorId="0" shapeId="0" xr:uid="{00000000-0006-0000-0100-000006000000}">
      <text>
        <r>
          <rPr>
            <b/>
            <sz val="8"/>
            <color indexed="81"/>
            <rFont val="Tahoma"/>
            <family val="2"/>
          </rPr>
          <t>Moffitt, Steve D (DFG):</t>
        </r>
        <r>
          <rPr>
            <sz val="8"/>
            <color indexed="81"/>
            <rFont val="Tahoma"/>
            <family val="2"/>
          </rPr>
          <t xml:space="preserve">
From Mark Sommerville Database, December 2015.  
</t>
        </r>
        <r>
          <rPr>
            <b/>
            <sz val="8"/>
            <color indexed="81"/>
            <rFont val="Tahoma"/>
            <family val="2"/>
          </rPr>
          <t>The 1960-2015 Chinook harvests are expanded</t>
        </r>
      </text>
    </comment>
    <comment ref="L78" authorId="0" shapeId="0" xr:uid="{00000000-0006-0000-0100-000007000000}">
      <text>
        <r>
          <rPr>
            <b/>
            <sz val="8"/>
            <color indexed="81"/>
            <rFont val="Tahoma"/>
            <family val="2"/>
          </rPr>
          <t>Moffitt, Steve D (DFG):</t>
        </r>
        <r>
          <rPr>
            <sz val="8"/>
            <color indexed="81"/>
            <rFont val="Tahoma"/>
            <family val="2"/>
          </rPr>
          <t xml:space="preserve">
From Mark Sommerville Database, December 2015.  
All expanded harvests.</t>
        </r>
      </text>
    </comment>
    <comment ref="N95" authorId="0" shapeId="0" xr:uid="{00000000-0006-0000-0100-000008000000}">
      <text>
        <r>
          <rPr>
            <b/>
            <sz val="8"/>
            <color indexed="81"/>
            <rFont val="Tahoma"/>
            <family val="2"/>
          </rPr>
          <t>Moffitt, Steve D (DFG):</t>
        </r>
        <r>
          <rPr>
            <sz val="8"/>
            <color indexed="81"/>
            <rFont val="Tahoma"/>
            <family val="2"/>
          </rPr>
          <t xml:space="preserve">
From Mark Sommerville database, 2015. No 2015 data available as yet. </t>
        </r>
      </text>
    </comment>
    <comment ref="B105" authorId="0" shapeId="0" xr:uid="{00000000-0006-0000-0100-000009000000}">
      <text>
        <r>
          <rPr>
            <b/>
            <sz val="9"/>
            <color indexed="81"/>
            <rFont val="Tahoma"/>
            <family val="2"/>
          </rPr>
          <t>Moffitt, Steve D (DFG):</t>
        </r>
        <r>
          <rPr>
            <sz val="9"/>
            <color indexed="81"/>
            <rFont val="Tahoma"/>
            <family val="2"/>
          </rPr>
          <t xml:space="preserve">
OceanAK FT query as of 12-15-2015. The 1987–2015 data include harvest codes 11 (state managed), 18 (confiscated), and 36 (donated).  Delivery code 95 (homepack) and 35 (Educational) are in separate fields and are not included here. </t>
        </r>
      </text>
    </comment>
    <comment ref="C105" authorId="0" shapeId="0" xr:uid="{00000000-0006-0000-0100-00000A000000}">
      <text>
        <r>
          <rPr>
            <b/>
            <sz val="9"/>
            <color indexed="81"/>
            <rFont val="Tahoma"/>
            <family val="2"/>
          </rPr>
          <t>Moffitt, Steve D (DFG):</t>
        </r>
        <r>
          <rPr>
            <sz val="9"/>
            <color indexed="81"/>
            <rFont val="Tahoma"/>
            <family val="2"/>
          </rPr>
          <t xml:space="preserve">
OceanAK FT query as of 12-15-2015. The 1987–2015 data include harvest codes 11 (state managed), 18 (confiscated), and 36 (donated).  Delivery code 95 (homepack) and 35 (Educational) are in separate fields and are not included here. </t>
        </r>
      </text>
    </comment>
    <comment ref="H105" authorId="0" shapeId="0" xr:uid="{00000000-0006-0000-0100-00000B000000}">
      <text>
        <r>
          <rPr>
            <b/>
            <sz val="9"/>
            <color indexed="81"/>
            <rFont val="Tahoma"/>
            <family val="2"/>
          </rPr>
          <t>Moffitt, Steve D (DFG):</t>
        </r>
        <r>
          <rPr>
            <sz val="9"/>
            <color indexed="81"/>
            <rFont val="Tahoma"/>
            <family val="2"/>
          </rPr>
          <t xml:space="preserve">
Some years entered in FT database, but most are not and are from separate reporting.</t>
        </r>
      </text>
    </comment>
    <comment ref="E112" authorId="0" shapeId="0" xr:uid="{00000000-0006-0000-0100-00000C000000}">
      <text>
        <r>
          <rPr>
            <b/>
            <sz val="9"/>
            <color indexed="81"/>
            <rFont val="Tahoma"/>
            <family val="2"/>
          </rPr>
          <t>Moffitt, Steve D (DFG):</t>
        </r>
        <r>
          <rPr>
            <sz val="9"/>
            <color indexed="81"/>
            <rFont val="Tahoma"/>
            <family val="2"/>
          </rPr>
          <t xml:space="preserve">
OceanAK FT query as of 12-15-2015. The 1987–2015 data include harvest codes 11 (state managed), 18 (confiscated), and 36 (donated).  Delivery code 95 (homepack) and 35 (Educational) are in separate fields and are not included here. </t>
        </r>
      </text>
    </comment>
    <comment ref="K120" authorId="0" shapeId="0" xr:uid="{00000000-0006-0000-0100-00000D000000}">
      <text>
        <r>
          <rPr>
            <b/>
            <sz val="8"/>
            <color indexed="81"/>
            <rFont val="Tahoma"/>
            <family val="2"/>
          </rPr>
          <t>Moffitt, Steve D (DFG):</t>
        </r>
        <r>
          <rPr>
            <sz val="8"/>
            <color indexed="81"/>
            <rFont val="Tahoma"/>
            <family val="2"/>
          </rPr>
          <t xml:space="preserve">
Per Mark Sommerville database December 2015.  
2002-2004 are reported only.
2005-2015 are expanded.</t>
        </r>
      </text>
    </comment>
    <comment ref="M120" authorId="0" shapeId="0" xr:uid="{00000000-0006-0000-0100-00000E000000}">
      <text>
        <r>
          <rPr>
            <b/>
            <sz val="8"/>
            <color indexed="81"/>
            <rFont val="Tahoma"/>
            <family val="2"/>
          </rPr>
          <t>Moffitt, Steve D (DFG):</t>
        </r>
        <r>
          <rPr>
            <sz val="8"/>
            <color indexed="81"/>
            <rFont val="Tahoma"/>
            <family val="2"/>
          </rPr>
          <t xml:space="preserve">
Per Mark Sommerville database December 2015.  
2002-2004 are reported only.
2005-2015 are expanded.</t>
        </r>
      </text>
    </comment>
    <comment ref="F122" authorId="0" shapeId="0" xr:uid="{00000000-0006-0000-0100-00000F000000}">
      <text>
        <r>
          <rPr>
            <b/>
            <sz val="9"/>
            <color indexed="81"/>
            <rFont val="Tahoma"/>
            <family val="2"/>
          </rPr>
          <t>Moffitt, Steve D (DFG):</t>
        </r>
        <r>
          <rPr>
            <sz val="9"/>
            <color indexed="81"/>
            <rFont val="Tahoma"/>
            <family val="2"/>
          </rPr>
          <t xml:space="preserve">
2004–2015 data are from Acess database as of 12-15-2015.</t>
        </r>
      </text>
    </comment>
    <comment ref="G123" authorId="0" shapeId="0" xr:uid="{00000000-0006-0000-0100-000010000000}">
      <text>
        <r>
          <rPr>
            <b/>
            <sz val="9"/>
            <color indexed="81"/>
            <rFont val="Tahoma"/>
            <family val="2"/>
          </rPr>
          <t>Moffitt, Steve D (DFG):</t>
        </r>
        <r>
          <rPr>
            <sz val="9"/>
            <color indexed="81"/>
            <rFont val="Tahoma"/>
            <family val="2"/>
          </rPr>
          <t xml:space="preserve">
2005–2014 Federal reports are all 0 Chinook salmon. </t>
        </r>
      </text>
    </comment>
    <comment ref="K123" authorId="0" shapeId="0" xr:uid="{00000000-0006-0000-0100-000011000000}">
      <text>
        <r>
          <rPr>
            <b/>
            <sz val="8"/>
            <color indexed="81"/>
            <rFont val="Tahoma"/>
            <family val="2"/>
          </rPr>
          <t>Moffitt, Steve D (DFG):</t>
        </r>
        <r>
          <rPr>
            <sz val="8"/>
            <color indexed="81"/>
            <rFont val="Tahoma"/>
            <family val="2"/>
          </rPr>
          <t xml:space="preserve">
Per Mark Sommerville database December 2015.  
2002-2004 are reported only.
2005-2015 are expanded.</t>
        </r>
      </text>
    </comment>
    <comment ref="M123" authorId="0" shapeId="0" xr:uid="{00000000-0006-0000-0100-000012000000}">
      <text>
        <r>
          <rPr>
            <b/>
            <sz val="8"/>
            <color indexed="81"/>
            <rFont val="Tahoma"/>
            <family val="2"/>
          </rPr>
          <t>Moffitt, Steve D (DFG):</t>
        </r>
        <r>
          <rPr>
            <sz val="8"/>
            <color indexed="81"/>
            <rFont val="Tahoma"/>
            <family val="2"/>
          </rPr>
          <t xml:space="preserve">
Per Mark Sommerville database December 2015.  
2002-2004 are reported only.
2005-2015 are expanded.</t>
        </r>
      </text>
    </comment>
    <comment ref="N124" authorId="0" shapeId="0" xr:uid="{00000000-0006-0000-0100-000013000000}">
      <text>
        <r>
          <rPr>
            <b/>
            <sz val="9"/>
            <color indexed="81"/>
            <rFont val="Tahoma"/>
            <family val="2"/>
          </rPr>
          <t>Moffitt, Steve D (DFG):</t>
        </r>
        <r>
          <rPr>
            <sz val="9"/>
            <color indexed="81"/>
            <rFont val="Tahoma"/>
            <family val="2"/>
          </rPr>
          <t xml:space="preserve">
Data for 2006–2015 as of 1-11-2016 are from 
http://www.adfg.alaska.gov/sf/sportfishingsurvey/index.cfm?ADFG=region.results    </t>
        </r>
      </text>
    </comment>
    <comment ref="R138" authorId="0" shapeId="0" xr:uid="{00000000-0006-0000-0100-000015000000}">
      <text>
        <r>
          <rPr>
            <b/>
            <sz val="8"/>
            <color indexed="81"/>
            <rFont val="Tahoma"/>
            <family val="2"/>
          </rPr>
          <t>Moffitt, Steve D (DFG):</t>
        </r>
        <r>
          <rPr>
            <sz val="8"/>
            <color indexed="81"/>
            <rFont val="Tahoma"/>
            <family val="2"/>
          </rPr>
          <t xml:space="preserve">
commercial harvest exploitation as a percentage of the total exploitation.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Moffitt, Steve D (DFG)</author>
    <author>Steve Moffitt</author>
    <author>rebrenner</author>
  </authors>
  <commentList>
    <comment ref="D5" authorId="0" shapeId="0" xr:uid="{00000000-0006-0000-0200-000001000000}">
      <text>
        <r>
          <rPr>
            <b/>
            <sz val="14"/>
            <color indexed="81"/>
            <rFont val="Tahoma"/>
            <family val="2"/>
          </rPr>
          <t>Moffitt, Steve D (DFG):</t>
        </r>
        <r>
          <rPr>
            <sz val="14"/>
            <color indexed="81"/>
            <rFont val="Tahoma"/>
            <family val="2"/>
          </rPr>
          <t xml:space="preserve">
REPORTED harvests from Mark Sommerville database, December 2011. Includes all state and federal (2002 to present) harvests in the Chitina and Glennallen subdistricts.</t>
        </r>
      </text>
    </comment>
    <comment ref="B6" authorId="1" shapeId="0" xr:uid="{00000000-0006-0000-0200-000002000000}">
      <text>
        <r>
          <rPr>
            <b/>
            <sz val="16"/>
            <color indexed="81"/>
            <rFont val="Tahoma"/>
            <family val="2"/>
          </rPr>
          <t>Steve Moffitt:</t>
        </r>
        <r>
          <rPr>
            <sz val="16"/>
            <color indexed="81"/>
            <rFont val="Tahoma"/>
            <family val="2"/>
          </rPr>
          <t xml:space="preserve">
Updated to DIDSON sonar equivalent numbers in 2011.</t>
        </r>
      </text>
    </comment>
    <comment ref="O6" authorId="0" shapeId="0" xr:uid="{00000000-0006-0000-0200-000003000000}">
      <text>
        <r>
          <rPr>
            <b/>
            <sz val="12"/>
            <color indexed="81"/>
            <rFont val="Tahoma"/>
            <family val="2"/>
          </rPr>
          <t>Moffitt, Steve D (DFG):</t>
        </r>
        <r>
          <rPr>
            <sz val="12"/>
            <color indexed="81"/>
            <rFont val="Tahoma"/>
            <family val="2"/>
          </rPr>
          <t xml:space="preserve">
Estimated by age-structured model published in CJFAS by James Saveride and Dr. Terry Quinn.</t>
        </r>
      </text>
    </comment>
    <comment ref="K28" authorId="0" shapeId="0" xr:uid="{00000000-0006-0000-0200-000004000000}">
      <text>
        <r>
          <rPr>
            <b/>
            <sz val="14"/>
            <color indexed="81"/>
            <rFont val="Tahoma"/>
            <family val="2"/>
          </rPr>
          <t>Moffitt, Steve D (DFG):</t>
        </r>
        <r>
          <rPr>
            <sz val="14"/>
            <color indexed="81"/>
            <rFont val="Tahoma"/>
            <family val="2"/>
          </rPr>
          <t xml:space="preserve">
See "O:\DCF\SALMON\ESCAPEMENT\116_TAGGING\111_CBR\111_Mark_Recap[CR Chinook salmon mark-recapture estimates 1999-2010.xls]Inriver Estimates and methods"  for citations of estimates.</t>
        </r>
      </text>
    </comment>
    <comment ref="E39" authorId="2" shapeId="0" xr:uid="{00000000-0006-0000-0200-000005000000}">
      <text>
        <r>
          <rPr>
            <b/>
            <sz val="9"/>
            <color indexed="81"/>
            <rFont val="Tahoma"/>
            <family val="2"/>
          </rPr>
          <t>rebrenner:</t>
        </r>
        <r>
          <rPr>
            <sz val="9"/>
            <color indexed="81"/>
            <rFont val="Tahoma"/>
            <family val="2"/>
          </rPr>
          <t xml:space="preserve">
</t>
        </r>
        <r>
          <rPr>
            <sz val="20"/>
            <color indexed="81"/>
            <rFont val="Tahoma"/>
            <family val="2"/>
          </rPr>
          <t>Check that these are REPORTED numbers (not EXPANDED) and should no longer be used in escapement estimate calculations. They are only used to obtain estimates of Chinook:other salmon for the old escapement estimate calculation.</t>
        </r>
      </text>
    </comment>
    <comment ref="D40" authorId="2" shapeId="0" xr:uid="{00000000-0006-0000-0200-000006000000}">
      <text>
        <r>
          <rPr>
            <b/>
            <sz val="9"/>
            <color indexed="81"/>
            <rFont val="Tahoma"/>
            <family val="2"/>
          </rPr>
          <t>rebrenner:</t>
        </r>
        <r>
          <rPr>
            <sz val="9"/>
            <color indexed="81"/>
            <rFont val="Tahoma"/>
            <family val="2"/>
          </rPr>
          <t xml:space="preserve">
</t>
        </r>
        <r>
          <rPr>
            <sz val="14"/>
            <color indexed="81"/>
            <rFont val="Tahoma"/>
            <family val="2"/>
          </rPr>
          <t>From here: 
O:\DCF\SALMON\CATCH\111_Research_Catch_Analysis\111_CBR\113_UCR\UCR PU_SU Harvests\2011\[UCR_Harvest_by_day_and_week_State_Federal_2011.xls]</t>
        </r>
      </text>
    </comment>
    <comment ref="E40" authorId="2" shapeId="0" xr:uid="{00000000-0006-0000-0200-000007000000}">
      <text>
        <r>
          <rPr>
            <b/>
            <sz val="9"/>
            <color indexed="81"/>
            <rFont val="Tahoma"/>
            <family val="2"/>
          </rPr>
          <t>rebrenner:</t>
        </r>
        <r>
          <rPr>
            <sz val="9"/>
            <color indexed="81"/>
            <rFont val="Tahoma"/>
            <family val="2"/>
          </rPr>
          <t xml:space="preserve">
</t>
        </r>
        <r>
          <rPr>
            <sz val="14"/>
            <color indexed="81"/>
            <rFont val="Tahoma"/>
            <family val="2"/>
          </rPr>
          <t>From here: 
O:\DCF\SALMON\CATCH\111_Research_Catch_Analysis\111_CBR\113_UCR\UCR PU_SU Harvests\2011\[UCR_Harvest_by_day_and_week_State_Federal_2011.xls]</t>
        </r>
      </text>
    </comment>
    <comment ref="F40" authorId="2" shapeId="0" xr:uid="{00000000-0006-0000-0200-000008000000}">
      <text>
        <r>
          <rPr>
            <b/>
            <sz val="9"/>
            <color indexed="81"/>
            <rFont val="Tahoma"/>
            <family val="2"/>
          </rPr>
          <t>rebrenner:</t>
        </r>
        <r>
          <rPr>
            <sz val="9"/>
            <color indexed="81"/>
            <rFont val="Tahoma"/>
            <family val="2"/>
          </rPr>
          <t xml:space="preserve">
</t>
        </r>
        <r>
          <rPr>
            <sz val="14"/>
            <color indexed="81"/>
            <rFont val="Tahoma"/>
            <family val="2"/>
          </rPr>
          <t>From here: 
O:\DCF\SALMON\CATCH\111_Research_Catch_Analysis\111_CBR\113_UCR\UCR PU_SU Harvests\2011\[UCR_Harvest_by_day_and_week_State_Federal_2011.xls]</t>
        </r>
      </text>
    </comment>
    <comment ref="D41" authorId="2" shapeId="0" xr:uid="{00000000-0006-0000-0200-000009000000}">
      <text>
        <r>
          <rPr>
            <b/>
            <sz val="9"/>
            <color indexed="81"/>
            <rFont val="Tahoma"/>
            <family val="2"/>
          </rPr>
          <t>rebrenner:</t>
        </r>
        <r>
          <rPr>
            <sz val="9"/>
            <color indexed="81"/>
            <rFont val="Tahoma"/>
            <family val="2"/>
          </rPr>
          <t xml:space="preserve">
</t>
        </r>
        <r>
          <rPr>
            <sz val="16"/>
            <color indexed="81"/>
            <rFont val="Tahoma"/>
            <family val="2"/>
          </rPr>
          <t>From:
O:\DCF\SALMON\CATCH\111_Research_Catch_Analysis\111_CBR\113_UCR\UCR PU_SU Harvests\2012\UCR_Harvest_by_day_and_week_State_Federal_2012.xlsx</t>
        </r>
      </text>
    </comment>
    <comment ref="E41" authorId="2" shapeId="0" xr:uid="{00000000-0006-0000-0200-00000A000000}">
      <text>
        <r>
          <rPr>
            <b/>
            <sz val="9"/>
            <color indexed="81"/>
            <rFont val="Tahoma"/>
            <family val="2"/>
          </rPr>
          <t>rebrenner:</t>
        </r>
        <r>
          <rPr>
            <sz val="9"/>
            <color indexed="81"/>
            <rFont val="Tahoma"/>
            <family val="2"/>
          </rPr>
          <t xml:space="preserve">
</t>
        </r>
        <r>
          <rPr>
            <sz val="16"/>
            <color indexed="81"/>
            <rFont val="Tahoma"/>
            <family val="2"/>
          </rPr>
          <t>From: From:
O:\DCF\SALMON\CATCH\111_Research_Catch_Analysis\111_CBR\113_UCR\UCR PU_SU Harvests\2012\UCR_Harvest_by_day_and_week_State_Federal_2012.xlsx</t>
        </r>
      </text>
    </comment>
    <comment ref="F41" authorId="2" shapeId="0" xr:uid="{00000000-0006-0000-0200-00000B000000}">
      <text>
        <r>
          <rPr>
            <b/>
            <sz val="9"/>
            <color indexed="81"/>
            <rFont val="Tahoma"/>
            <family val="2"/>
          </rPr>
          <t>rebrenner:</t>
        </r>
        <r>
          <rPr>
            <sz val="9"/>
            <color indexed="81"/>
            <rFont val="Tahoma"/>
            <family val="2"/>
          </rPr>
          <t xml:space="preserve">
</t>
        </r>
        <r>
          <rPr>
            <sz val="14"/>
            <color indexed="81"/>
            <rFont val="Tahoma"/>
            <family val="2"/>
          </rPr>
          <t xml:space="preserve">O:\DCF\SALMON\CATCH\111_Research_Catch_Analysis\111_CBR\113_UCR\UCR PU_SU Harvests\2012\UCR_Harvest_by_day_and_week_State_Federal_2012.xlsx
</t>
        </r>
      </text>
    </comment>
    <comment ref="D42" authorId="2" shapeId="0" xr:uid="{00000000-0006-0000-0200-00000C000000}">
      <text>
        <r>
          <rPr>
            <b/>
            <sz val="9"/>
            <color indexed="81"/>
            <rFont val="Tahoma"/>
            <family val="2"/>
          </rPr>
          <t>rebrenner:</t>
        </r>
        <r>
          <rPr>
            <sz val="9"/>
            <color indexed="81"/>
            <rFont val="Tahoma"/>
            <family val="2"/>
          </rPr>
          <t xml:space="preserve">
</t>
        </r>
        <r>
          <rPr>
            <sz val="14"/>
            <color indexed="81"/>
            <rFont val="Tahoma"/>
            <family val="2"/>
          </rPr>
          <t>From here:
O:\DCF\SALMON\CATCH\111_Research_Catch_Analysis\111_CBR\113_UCR\UCR PU_SU Harvests\2013\UCR_Harvest_by_dy_and_week_State_Federal_2013</t>
        </r>
      </text>
    </comment>
    <comment ref="E42" authorId="2" shapeId="0" xr:uid="{00000000-0006-0000-0200-00000D000000}">
      <text>
        <r>
          <rPr>
            <b/>
            <sz val="9"/>
            <color indexed="81"/>
            <rFont val="Tahoma"/>
            <family val="2"/>
          </rPr>
          <t>rebrenner:</t>
        </r>
        <r>
          <rPr>
            <sz val="9"/>
            <color indexed="81"/>
            <rFont val="Tahoma"/>
            <family val="2"/>
          </rPr>
          <t xml:space="preserve">
</t>
        </r>
        <r>
          <rPr>
            <sz val="14"/>
            <color indexed="81"/>
            <rFont val="Tahoma"/>
            <family val="2"/>
          </rPr>
          <t>From here:
O:\DCF\SALMON\CATCH\111_Research_Catch_Analysis\111_CBR\113_UCR\UCR PU_SU Harvests\2013\UCR_Harvest_by_dy_and_week_State_Federal_2013</t>
        </r>
      </text>
    </comment>
    <comment ref="F42" authorId="2" shapeId="0" xr:uid="{00000000-0006-0000-0200-00000E000000}">
      <text>
        <r>
          <rPr>
            <b/>
            <sz val="9"/>
            <color indexed="81"/>
            <rFont val="Tahoma"/>
            <family val="2"/>
          </rPr>
          <t>rebrenner:</t>
        </r>
        <r>
          <rPr>
            <sz val="9"/>
            <color indexed="81"/>
            <rFont val="Tahoma"/>
            <family val="2"/>
          </rPr>
          <t xml:space="preserve">
</t>
        </r>
        <r>
          <rPr>
            <sz val="14"/>
            <color indexed="81"/>
            <rFont val="Tahoma"/>
            <family val="2"/>
          </rPr>
          <t>From here:
O:\DCF\SALMON\CATCH\111_Research_Catch_Analysis\111_CBR\113_UCR\UCR PU_SU Harvests\2013\UCR_Harvest_by_dy_and_week_State_Federal_2013</t>
        </r>
      </text>
    </comment>
    <comment ref="K44" authorId="0" shapeId="0" xr:uid="{00000000-0006-0000-0200-00000F000000}">
      <text>
        <r>
          <rPr>
            <b/>
            <sz val="9"/>
            <color indexed="81"/>
            <rFont val="Tahoma"/>
            <family val="2"/>
          </rPr>
          <t>Moffitt, Steve D (DFG):</t>
        </r>
        <r>
          <rPr>
            <sz val="9"/>
            <color indexed="81"/>
            <rFont val="Tahoma"/>
            <family val="2"/>
          </rPr>
          <t xml:space="preserve">
NVE preliminary as of December 2015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Moffitt, Steve D (DFG)</author>
    <author>rebrenner</author>
  </authors>
  <commentList>
    <comment ref="C5" authorId="0" shapeId="0" xr:uid="{00000000-0006-0000-0300-000001000000}">
      <text>
        <r>
          <rPr>
            <b/>
            <sz val="14"/>
            <color indexed="81"/>
            <rFont val="Tahoma"/>
            <family val="2"/>
          </rPr>
          <t>Moffitt, Steve D (DFG):</t>
        </r>
        <r>
          <rPr>
            <sz val="14"/>
            <color indexed="81"/>
            <rFont val="Tahoma"/>
            <family val="2"/>
          </rPr>
          <t xml:space="preserve">
Spawning escapement from age structured model (1980-1998) and mark-recaptured projects (1999- present).</t>
        </r>
      </text>
    </comment>
    <comment ref="E5" authorId="1" shapeId="0" xr:uid="{00000000-0006-0000-0300-000002000000}">
      <text>
        <r>
          <rPr>
            <b/>
            <sz val="9"/>
            <color indexed="81"/>
            <rFont val="Tahoma"/>
            <family val="2"/>
          </rPr>
          <t>rebrenner:</t>
        </r>
        <r>
          <rPr>
            <sz val="9"/>
            <color indexed="81"/>
            <rFont val="Tahoma"/>
            <family val="2"/>
          </rPr>
          <t xml:space="preserve">
</t>
        </r>
        <r>
          <rPr>
            <sz val="14"/>
            <color indexed="81"/>
            <rFont val="Tahoma"/>
            <family val="2"/>
          </rPr>
          <t>It is not clear what this means given the different age classes of Chinook returning.</t>
        </r>
      </text>
    </comment>
    <comment ref="M5" authorId="1" shapeId="0" xr:uid="{00000000-0006-0000-0300-000003000000}">
      <text>
        <r>
          <rPr>
            <b/>
            <sz val="9"/>
            <color indexed="81"/>
            <rFont val="Tahoma"/>
            <family val="2"/>
          </rPr>
          <t>rebrenner:</t>
        </r>
        <r>
          <rPr>
            <sz val="9"/>
            <color indexed="81"/>
            <rFont val="Tahoma"/>
            <family val="2"/>
          </rPr>
          <t xml:space="preserve">
</t>
        </r>
        <r>
          <rPr>
            <sz val="16"/>
            <color indexed="81"/>
            <rFont val="Tahoma"/>
            <family val="2"/>
          </rPr>
          <t>CCP exploitation as a proportion of overall run size.</t>
        </r>
      </text>
    </comment>
    <comment ref="N5" authorId="1" shapeId="0" xr:uid="{00000000-0006-0000-0300-000004000000}">
      <text>
        <r>
          <rPr>
            <b/>
            <sz val="9"/>
            <color indexed="81"/>
            <rFont val="Tahoma"/>
            <family val="2"/>
          </rPr>
          <t>rebrenner:</t>
        </r>
        <r>
          <rPr>
            <sz val="9"/>
            <color indexed="81"/>
            <rFont val="Tahoma"/>
            <family val="2"/>
          </rPr>
          <t xml:space="preserve">
</t>
        </r>
        <r>
          <rPr>
            <sz val="20"/>
            <color indexed="81"/>
            <rFont val="Tahoma"/>
            <family val="2"/>
          </rPr>
          <t xml:space="preserve">Total exploitation from all sources (comm., Sub, PU, sport, etc.)
</t>
        </r>
      </text>
    </comment>
    <comment ref="C96" authorId="0" shapeId="0" xr:uid="{00000000-0006-0000-0300-000005000000}">
      <text>
        <r>
          <rPr>
            <b/>
            <sz val="8"/>
            <color indexed="81"/>
            <rFont val="Tahoma"/>
            <family val="2"/>
          </rPr>
          <t>Moffitt, Steve D (DFG):</t>
        </r>
        <r>
          <rPr>
            <sz val="8"/>
            <color indexed="81"/>
            <rFont val="Tahoma"/>
            <family val="2"/>
          </rPr>
          <t xml:space="preserve">
</t>
        </r>
        <r>
          <rPr>
            <sz val="12"/>
            <color indexed="81"/>
            <rFont val="Tahoma"/>
            <family val="2"/>
          </rPr>
          <t>1978-1998 estimated from age structured model reported in Canadian Journal of Fisheries and Aquat. Sci. by Saveride and Quinn.</t>
        </r>
      </text>
    </comment>
    <comment ref="C115" authorId="0" shapeId="0" xr:uid="{00000000-0006-0000-0300-000006000000}">
      <text>
        <r>
          <rPr>
            <b/>
            <sz val="12"/>
            <color indexed="81"/>
            <rFont val="Tahoma"/>
            <family val="2"/>
          </rPr>
          <t>Moffitt, Steve D (DFG):</t>
        </r>
        <r>
          <rPr>
            <sz val="12"/>
            <color indexed="81"/>
            <rFont val="Tahoma"/>
            <family val="2"/>
          </rPr>
          <t xml:space="preserve">
Mark-recapture minus estimated upriver harvests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Steve Moffitt</author>
  </authors>
  <commentList>
    <comment ref="B6" authorId="0" shapeId="0" xr:uid="{00000000-0006-0000-0600-000001000000}">
      <text>
        <r>
          <rPr>
            <b/>
            <sz val="8"/>
            <color indexed="81"/>
            <rFont val="Tahoma"/>
            <family val="2"/>
          </rPr>
          <t>Steve Moffitt:</t>
        </r>
        <r>
          <rPr>
            <sz val="8"/>
            <color indexed="81"/>
            <rFont val="Tahoma"/>
            <family val="2"/>
          </rPr>
          <t xml:space="preserve">
</t>
        </r>
        <r>
          <rPr>
            <sz val="10"/>
            <color indexed="81"/>
            <rFont val="Tahoma"/>
            <family val="2"/>
          </rPr>
          <t xml:space="preserve">Checked against 2001 AMR </t>
        </r>
      </text>
    </comment>
    <comment ref="D6" authorId="0" shapeId="0" xr:uid="{00000000-0006-0000-0600-000002000000}">
      <text>
        <r>
          <rPr>
            <b/>
            <sz val="8"/>
            <color indexed="81"/>
            <rFont val="Tahoma"/>
            <family val="2"/>
          </rPr>
          <t>Steve Moffitt:</t>
        </r>
        <r>
          <rPr>
            <sz val="8"/>
            <color indexed="81"/>
            <rFont val="Tahoma"/>
            <family val="2"/>
          </rPr>
          <t xml:space="preserve">
</t>
        </r>
        <r>
          <rPr>
            <sz val="12"/>
            <color indexed="81"/>
            <rFont val="Tahoma"/>
            <family val="2"/>
          </rPr>
          <t>1983-2004 from AMR table F.3</t>
        </r>
      </text>
    </comment>
    <comment ref="F6" authorId="0" shapeId="0" xr:uid="{00000000-0006-0000-0600-000003000000}">
      <text>
        <r>
          <rPr>
            <b/>
            <sz val="8"/>
            <color indexed="81"/>
            <rFont val="Tahoma"/>
            <family val="2"/>
          </rPr>
          <t>Steve Moffitt:</t>
        </r>
        <r>
          <rPr>
            <sz val="8"/>
            <color indexed="81"/>
            <rFont val="Tahoma"/>
            <family val="2"/>
          </rPr>
          <t xml:space="preserve">
</t>
        </r>
        <r>
          <rPr>
            <sz val="12"/>
            <color indexed="81"/>
            <rFont val="Tahoma"/>
            <family val="2"/>
          </rPr>
          <t>Confiscated, donated, discarded.</t>
        </r>
      </text>
    </comment>
    <comment ref="G6" authorId="0" shapeId="0" xr:uid="{00000000-0006-0000-0600-000004000000}">
      <text>
        <r>
          <rPr>
            <b/>
            <sz val="8"/>
            <color indexed="81"/>
            <rFont val="Tahoma"/>
            <family val="2"/>
          </rPr>
          <t>Steve Moffitt:</t>
        </r>
        <r>
          <rPr>
            <sz val="8"/>
            <color indexed="81"/>
            <rFont val="Tahoma"/>
            <family val="2"/>
          </rPr>
          <t xml:space="preserve">
</t>
        </r>
        <r>
          <rPr>
            <sz val="14"/>
            <color indexed="81"/>
            <rFont val="Tahoma"/>
            <family val="2"/>
          </rPr>
          <t xml:space="preserve">Numbers from  SF table that Matt Evenson presented to BEG committee  in May 2002.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rebrenner</author>
    <author>Steve Moffitt</author>
  </authors>
  <commentList>
    <comment ref="B7" authorId="0" shapeId="0" xr:uid="{00000000-0006-0000-0700-000001000000}">
      <text>
        <r>
          <rPr>
            <b/>
            <sz val="20"/>
            <color indexed="81"/>
            <rFont val="Tahoma"/>
            <family val="2"/>
          </rPr>
          <t>Steve Moffitt:</t>
        </r>
        <r>
          <rPr>
            <sz val="20"/>
            <color indexed="81"/>
            <rFont val="Tahoma"/>
            <family val="2"/>
          </rPr>
          <t xml:space="preserve"> </t>
        </r>
        <r>
          <rPr>
            <sz val="16"/>
            <color indexed="81"/>
            <rFont val="Tahoma"/>
            <family val="2"/>
          </rPr>
          <t xml:space="preserve">Total run forecast. Link from "Mean run forecast" worsheet.  This is currently the forecast using previous year's total run as a forecast for the next year.  
If you want to use another naïve model (e.g., recent 5 year average) adjust your forecast and actual links to the appropriate locations in the "Mean run forecasts" worksheet. </t>
        </r>
      </text>
    </comment>
    <comment ref="H7" authorId="0" shapeId="0" xr:uid="{00000000-0006-0000-0700-000002000000}">
      <text>
        <r>
          <rPr>
            <b/>
            <sz val="20"/>
            <color indexed="81"/>
            <rFont val="Tahoma"/>
            <family val="2"/>
          </rPr>
          <t>Steve Moffitt:</t>
        </r>
        <r>
          <rPr>
            <sz val="20"/>
            <color indexed="81"/>
            <rFont val="Tahoma"/>
            <family val="2"/>
          </rPr>
          <t xml:space="preserve"> </t>
        </r>
        <r>
          <rPr>
            <sz val="16"/>
            <color indexed="81"/>
            <rFont val="Tahoma"/>
            <family val="2"/>
          </rPr>
          <t xml:space="preserve">Total run forecast. Link from "Mean run forecast" worsheet.  This is currently the forecast using previous year's total run as a forecast for the next year.  
If you want to use another naïve model (e.g., recent 5 year average) adjust your forecast and actual links to the appropriate locations in the "Mean run forecasts" worksheet. </t>
        </r>
      </text>
    </comment>
    <comment ref="N7" authorId="0" shapeId="0" xr:uid="{00000000-0006-0000-0700-000003000000}">
      <text>
        <r>
          <rPr>
            <b/>
            <sz val="20"/>
            <color indexed="81"/>
            <rFont val="Tahoma"/>
            <family val="2"/>
          </rPr>
          <t>Steve Moffitt:</t>
        </r>
        <r>
          <rPr>
            <sz val="20"/>
            <color indexed="81"/>
            <rFont val="Tahoma"/>
            <family val="2"/>
          </rPr>
          <t xml:space="preserve"> </t>
        </r>
        <r>
          <rPr>
            <sz val="16"/>
            <color indexed="81"/>
            <rFont val="Tahoma"/>
            <family val="2"/>
          </rPr>
          <t xml:space="preserve">Total run forecast. Link from "Mean run forecast" worsheet.  This is currently the forecast using previous year's total run as a forecast for the next year.  
If you want to use another naïve model (e.g., recent 5 year average) adjust your forecast and actual links to the appropriate locations in the "Mean run forecasts" worksheet. </t>
        </r>
      </text>
    </comment>
    <comment ref="T7" authorId="0" shapeId="0" xr:uid="{00000000-0006-0000-0700-000004000000}">
      <text>
        <r>
          <rPr>
            <b/>
            <sz val="20"/>
            <color indexed="81"/>
            <rFont val="Tahoma"/>
            <family val="2"/>
          </rPr>
          <t>Steve Moffitt:</t>
        </r>
        <r>
          <rPr>
            <sz val="20"/>
            <color indexed="81"/>
            <rFont val="Tahoma"/>
            <family val="2"/>
          </rPr>
          <t xml:space="preserve"> </t>
        </r>
        <r>
          <rPr>
            <sz val="16"/>
            <color indexed="81"/>
            <rFont val="Tahoma"/>
            <family val="2"/>
          </rPr>
          <t xml:space="preserve">Total run forecast. Link from "Mean run forecast" worsheet.  This is currently the forecast using previous year's total run as a forecast for the next year.  
If you want to use another naïve model (e.g., recent 5 year average) adjust your forecast and actual links to the appropriate locations in the "Mean run forecasts" worksheet. </t>
        </r>
      </text>
    </comment>
    <comment ref="Z7" authorId="0" shapeId="0" xr:uid="{00000000-0006-0000-0700-000005000000}">
      <text>
        <r>
          <rPr>
            <b/>
            <sz val="20"/>
            <color indexed="81"/>
            <rFont val="Tahoma"/>
            <family val="2"/>
          </rPr>
          <t>Steve Moffitt:</t>
        </r>
        <r>
          <rPr>
            <sz val="20"/>
            <color indexed="81"/>
            <rFont val="Tahoma"/>
            <family val="2"/>
          </rPr>
          <t xml:space="preserve"> </t>
        </r>
        <r>
          <rPr>
            <sz val="16"/>
            <color indexed="81"/>
            <rFont val="Tahoma"/>
            <family val="2"/>
          </rPr>
          <t xml:space="preserve">Total run forecast. Link from "Mean run forecast" worsheet.  This is currently the forecast using previous year's total run as a forecast for the next year.  
If you want to use another naïve model (e.g., recent 5 year average) adjust your forecast and actual links to the appropriate locations in the "Mean run forecasts" worksheet. </t>
        </r>
      </text>
    </comment>
    <comment ref="AF7" authorId="0" shapeId="0" xr:uid="{00000000-0006-0000-0700-000006000000}">
      <text>
        <r>
          <rPr>
            <b/>
            <sz val="20"/>
            <color indexed="81"/>
            <rFont val="Tahoma"/>
            <family val="2"/>
          </rPr>
          <t>Steve Moffitt:</t>
        </r>
        <r>
          <rPr>
            <sz val="20"/>
            <color indexed="81"/>
            <rFont val="Tahoma"/>
            <family val="2"/>
          </rPr>
          <t xml:space="preserve"> </t>
        </r>
        <r>
          <rPr>
            <sz val="16"/>
            <color indexed="81"/>
            <rFont val="Tahoma"/>
            <family val="2"/>
          </rPr>
          <t xml:space="preserve">Total run forecast. Link from "Mean run forecast" worsheet.  This is currently the forecast using previous year's total run as a forecast for the next year.  
If you want to use another naïve model (e.g., recent 5 year average) adjust your forecast and actual links to the appropriate locations in the "Mean run forecasts" worksheet. </t>
        </r>
      </text>
    </comment>
    <comment ref="D36" authorId="1" shapeId="0" xr:uid="{00000000-0006-0000-0700-000007000000}">
      <text>
        <r>
          <rPr>
            <b/>
            <sz val="12"/>
            <color indexed="81"/>
            <rFont val="Tahoma"/>
            <family val="2"/>
          </rPr>
          <t>Steve Moffitt:</t>
        </r>
        <r>
          <rPr>
            <sz val="8"/>
            <color indexed="81"/>
            <rFont val="Tahoma"/>
            <family val="2"/>
          </rPr>
          <t xml:space="preserve">
</t>
        </r>
        <r>
          <rPr>
            <sz val="12"/>
            <color indexed="81"/>
            <rFont val="Tahoma"/>
            <family val="2"/>
          </rPr>
          <t>Use this to calcaulate the  total run 80% CI. 
Total run estimate plus/minus t(n-1,0.2)*mean total run forecast error
See Fried and Yuen 1989 for details.</t>
        </r>
      </text>
    </comment>
    <comment ref="E36" authorId="1" shapeId="0" xr:uid="{00000000-0006-0000-0700-000008000000}">
      <text>
        <r>
          <rPr>
            <b/>
            <sz val="12"/>
            <color indexed="81"/>
            <rFont val="Tahoma"/>
            <family val="2"/>
          </rPr>
          <t>Steve Moffitt:</t>
        </r>
        <r>
          <rPr>
            <sz val="12"/>
            <color indexed="81"/>
            <rFont val="Tahoma"/>
            <family val="2"/>
          </rPr>
          <t xml:space="preserve">
80% CI as a percentage of the Total Run forecast.  Make sure this formula gets updated to the</t>
        </r>
        <r>
          <rPr>
            <sz val="12"/>
            <color indexed="10"/>
            <rFont val="Tahoma"/>
            <family val="2"/>
          </rPr>
          <t xml:space="preserve"> year you are forecastings Total Run.</t>
        </r>
      </text>
    </comment>
    <comment ref="K36" authorId="1" shapeId="0" xr:uid="{00000000-0006-0000-0700-000009000000}">
      <text>
        <r>
          <rPr>
            <b/>
            <sz val="12"/>
            <color indexed="81"/>
            <rFont val="Tahoma"/>
            <family val="2"/>
          </rPr>
          <t>Steve Moffitt:</t>
        </r>
        <r>
          <rPr>
            <sz val="12"/>
            <color indexed="81"/>
            <rFont val="Tahoma"/>
            <family val="2"/>
          </rPr>
          <t xml:space="preserve">
80% CI as a percentage of the Total Run forecast.  Make sure this formula gets updated to the</t>
        </r>
        <r>
          <rPr>
            <sz val="12"/>
            <color indexed="10"/>
            <rFont val="Tahoma"/>
            <family val="2"/>
          </rPr>
          <t xml:space="preserve"> year you are forecastings Total Run.</t>
        </r>
      </text>
    </comment>
    <comment ref="Q36" authorId="1" shapeId="0" xr:uid="{00000000-0006-0000-0700-00000A000000}">
      <text>
        <r>
          <rPr>
            <b/>
            <sz val="12"/>
            <color indexed="81"/>
            <rFont val="Tahoma"/>
            <family val="2"/>
          </rPr>
          <t>Steve Moffitt:</t>
        </r>
        <r>
          <rPr>
            <sz val="12"/>
            <color indexed="81"/>
            <rFont val="Tahoma"/>
            <family val="2"/>
          </rPr>
          <t xml:space="preserve">
80% CI as a percentage of the Total Run forecast.  Make sure this formula gets updated to the</t>
        </r>
        <r>
          <rPr>
            <sz val="12"/>
            <color indexed="10"/>
            <rFont val="Tahoma"/>
            <family val="2"/>
          </rPr>
          <t xml:space="preserve"> year you are forecastings Total Run.</t>
        </r>
      </text>
    </comment>
    <comment ref="W36" authorId="1" shapeId="0" xr:uid="{00000000-0006-0000-0700-00000B000000}">
      <text>
        <r>
          <rPr>
            <b/>
            <sz val="12"/>
            <color indexed="81"/>
            <rFont val="Tahoma"/>
            <family val="2"/>
          </rPr>
          <t>Steve Moffitt:</t>
        </r>
        <r>
          <rPr>
            <sz val="12"/>
            <color indexed="81"/>
            <rFont val="Tahoma"/>
            <family val="2"/>
          </rPr>
          <t xml:space="preserve">
80% CI as a percentage of the Total Run forecast.  Make sure this formula gets updated to the</t>
        </r>
        <r>
          <rPr>
            <sz val="12"/>
            <color indexed="10"/>
            <rFont val="Tahoma"/>
            <family val="2"/>
          </rPr>
          <t xml:space="preserve"> year you are forecastings Total Run.</t>
        </r>
      </text>
    </comment>
    <comment ref="AC36" authorId="1" shapeId="0" xr:uid="{00000000-0006-0000-0700-00000C000000}">
      <text>
        <r>
          <rPr>
            <b/>
            <sz val="12"/>
            <color indexed="81"/>
            <rFont val="Tahoma"/>
            <family val="2"/>
          </rPr>
          <t>Steve Moffitt:</t>
        </r>
        <r>
          <rPr>
            <sz val="12"/>
            <color indexed="81"/>
            <rFont val="Tahoma"/>
            <family val="2"/>
          </rPr>
          <t xml:space="preserve">
80% CI as a percentage of the Total Run forecast.  Make sure this formula gets updated to the</t>
        </r>
        <r>
          <rPr>
            <sz val="12"/>
            <color indexed="10"/>
            <rFont val="Tahoma"/>
            <family val="2"/>
          </rPr>
          <t xml:space="preserve"> year you are forecastings Total Run.</t>
        </r>
      </text>
    </comment>
    <comment ref="AI36" authorId="1" shapeId="0" xr:uid="{00000000-0006-0000-0700-00000D000000}">
      <text>
        <r>
          <rPr>
            <b/>
            <sz val="12"/>
            <color indexed="81"/>
            <rFont val="Tahoma"/>
            <family val="2"/>
          </rPr>
          <t>Steve Moffitt:</t>
        </r>
        <r>
          <rPr>
            <sz val="12"/>
            <color indexed="81"/>
            <rFont val="Tahoma"/>
            <family val="2"/>
          </rPr>
          <t xml:space="preserve">
80% CI as a percentage of the Total Run forecast.  Make sure this formula gets updated to the</t>
        </r>
        <r>
          <rPr>
            <sz val="12"/>
            <color indexed="10"/>
            <rFont val="Tahoma"/>
            <family val="2"/>
          </rPr>
          <t xml:space="preserve"> year you are forecastings Total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Moffitt, Steve D (DFG)</author>
  </authors>
  <commentList>
    <comment ref="I5" authorId="0" shapeId="0" xr:uid="{00000000-0006-0000-0800-000001000000}">
      <text>
        <r>
          <rPr>
            <b/>
            <sz val="8"/>
            <color indexed="81"/>
            <rFont val="Tahoma"/>
            <family val="2"/>
          </rPr>
          <t>Moffitt, Steve D (DFG):</t>
        </r>
        <r>
          <rPr>
            <sz val="8"/>
            <color indexed="81"/>
            <rFont val="Tahoma"/>
            <family val="2"/>
          </rPr>
          <t xml:space="preserve">
Sibling forecasts.</t>
        </r>
      </text>
    </comment>
    <comment ref="V5" authorId="0" shapeId="0" xr:uid="{00000000-0006-0000-0800-000002000000}">
      <text>
        <r>
          <rPr>
            <b/>
            <sz val="8"/>
            <color indexed="81"/>
            <rFont val="Tahoma"/>
            <family val="2"/>
          </rPr>
          <t>Moffitt, Steve D (DFG):</t>
        </r>
        <r>
          <rPr>
            <sz val="8"/>
            <color indexed="81"/>
            <rFont val="Tahoma"/>
            <family val="2"/>
          </rPr>
          <t xml:space="preserve">
Retrospective forecasts that all use the same model to forecast the run for each year. </t>
        </r>
      </text>
    </comment>
    <comment ref="A27" authorId="0" shapeId="0" xr:uid="{00000000-0006-0000-0800-000003000000}">
      <text>
        <r>
          <rPr>
            <b/>
            <sz val="9"/>
            <color indexed="81"/>
            <rFont val="Tahoma"/>
            <family val="2"/>
          </rPr>
          <t>Moffitt, Steve D (DFG):</t>
        </r>
        <r>
          <rPr>
            <sz val="9"/>
            <color indexed="81"/>
            <rFont val="Tahoma"/>
            <family val="2"/>
          </rPr>
          <t xml:space="preserve">
Mean </t>
        </r>
        <r>
          <rPr>
            <sz val="9"/>
            <color indexed="81"/>
            <rFont val="Calibri"/>
            <family val="2"/>
          </rPr>
          <t>±</t>
        </r>
        <r>
          <rPr>
            <sz val="9"/>
            <color indexed="81"/>
            <rFont val="Tahoma"/>
            <family val="2"/>
          </rPr>
          <t xml:space="preserve"> </t>
        </r>
        <r>
          <rPr>
            <i/>
            <sz val="9"/>
            <color indexed="81"/>
            <rFont val="Tahoma"/>
            <family val="2"/>
          </rPr>
          <t>t</t>
        </r>
        <r>
          <rPr>
            <sz val="9"/>
            <color indexed="81"/>
            <rFont val="Tahoma"/>
            <family val="2"/>
          </rPr>
          <t xml:space="preserve">n-1, 0.2 * sqrt(n)
Check that formulas refer to forecast year. </t>
        </r>
      </text>
    </comment>
    <comment ref="A30" authorId="0" shapeId="0" xr:uid="{00000000-0006-0000-0800-000004000000}">
      <text>
        <r>
          <rPr>
            <b/>
            <sz val="9"/>
            <color indexed="81"/>
            <rFont val="Tahoma"/>
            <family val="2"/>
          </rPr>
          <t>Moffitt, Steve D (DFG):</t>
        </r>
        <r>
          <rPr>
            <sz val="9"/>
            <color indexed="81"/>
            <rFont val="Tahoma"/>
            <family val="2"/>
          </rPr>
          <t xml:space="preserve">
See blue high lighted area for example of how to calculate the overall confidence bounds of the individual year forecasts. 
There are several other ways to calculate this including the preformance of forecasts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rebrenner</author>
    <author>Moffitt, Steve D (DFG)</author>
  </authors>
  <commentList>
    <comment ref="J3" authorId="0" shapeId="0" xr:uid="{00000000-0006-0000-0900-000001000000}">
      <text>
        <r>
          <rPr>
            <b/>
            <sz val="18"/>
            <color indexed="81"/>
            <rFont val="Tahoma"/>
            <family val="2"/>
          </rPr>
          <t>rebrenner:</t>
        </r>
        <r>
          <rPr>
            <sz val="8"/>
            <color indexed="81"/>
            <rFont val="Tahoma"/>
            <family val="2"/>
          </rPr>
          <t xml:space="preserve">
</t>
        </r>
        <r>
          <rPr>
            <sz val="18"/>
            <color indexed="81"/>
            <rFont val="Tahoma"/>
            <family val="2"/>
          </rPr>
          <t>Note that this page is an attempt to gain a biological understanding of the Chinook returns to the CR. These estimates have generally not been used in the forecast document. Instead, yearly total run averages have been used, see the "Mean run forecasts" tab.  However, they might be very useful with a few more years of data!</t>
        </r>
      </text>
    </comment>
    <comment ref="P27" authorId="0" shapeId="0" xr:uid="{00000000-0006-0000-0900-000002000000}">
      <text>
        <r>
          <rPr>
            <b/>
            <sz val="9"/>
            <color indexed="81"/>
            <rFont val="Tahoma"/>
            <family val="2"/>
          </rPr>
          <t>rebrenner:</t>
        </r>
        <r>
          <rPr>
            <sz val="9"/>
            <color indexed="81"/>
            <rFont val="Tahoma"/>
            <family val="2"/>
          </rPr>
          <t xml:space="preserve">
</t>
        </r>
        <r>
          <rPr>
            <sz val="16"/>
            <color indexed="81"/>
            <rFont val="Tahoma"/>
            <family val="2"/>
          </rPr>
          <t>Uses method suggested by Doug Eggers</t>
        </r>
      </text>
    </comment>
    <comment ref="Q27" authorId="0" shapeId="0" xr:uid="{00000000-0006-0000-0900-000003000000}">
      <text>
        <r>
          <rPr>
            <b/>
            <sz val="9"/>
            <color indexed="81"/>
            <rFont val="Tahoma"/>
            <family val="2"/>
          </rPr>
          <t>rebrenner:</t>
        </r>
        <r>
          <rPr>
            <sz val="9"/>
            <color indexed="81"/>
            <rFont val="Tahoma"/>
            <family val="2"/>
          </rPr>
          <t xml:space="preserve">
</t>
        </r>
        <r>
          <rPr>
            <sz val="16"/>
            <color indexed="81"/>
            <rFont val="Tahoma"/>
            <family val="2"/>
          </rPr>
          <t>Uses method suggested by Doug Eggers</t>
        </r>
      </text>
    </comment>
    <comment ref="K33" authorId="0" shapeId="0" xr:uid="{00000000-0006-0000-0900-000004000000}">
      <text>
        <r>
          <rPr>
            <b/>
            <sz val="9"/>
            <color indexed="81"/>
            <rFont val="Tahoma"/>
            <family val="2"/>
          </rPr>
          <t xml:space="preserve">rebrenner:
</t>
        </r>
        <r>
          <rPr>
            <b/>
            <sz val="24"/>
            <color indexed="81"/>
            <rFont val="Tahoma"/>
            <family val="2"/>
          </rPr>
          <t xml:space="preserve"> Possible forecast, which uses 5-year average BY total run size plus the point estimate of the regression of #1.2 to predict #1.3's…..which we don't trust because of non-CR fish being harvested.</t>
        </r>
      </text>
    </comment>
    <comment ref="G41" authorId="1" shapeId="0" xr:uid="{00000000-0006-0000-0900-000005000000}">
      <text>
        <r>
          <rPr>
            <b/>
            <sz val="12"/>
            <color indexed="81"/>
            <rFont val="Tahoma"/>
            <family val="2"/>
          </rPr>
          <t>Moffitt, Steve D (DFG):</t>
        </r>
        <r>
          <rPr>
            <sz val="8"/>
            <color indexed="81"/>
            <rFont val="Tahoma"/>
            <family val="2"/>
          </rPr>
          <t xml:space="preserve">
</t>
        </r>
        <r>
          <rPr>
            <sz val="14"/>
            <color indexed="81"/>
            <rFont val="Tahoma"/>
            <family val="2"/>
          </rPr>
          <t>Average c</t>
        </r>
        <r>
          <rPr>
            <sz val="12"/>
            <color indexed="81"/>
            <rFont val="Tahoma"/>
            <family val="2"/>
          </rPr>
          <t xml:space="preserve">ommercial percentage of the total exploitation.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rebrenner</author>
  </authors>
  <commentList>
    <comment ref="C30" authorId="0" shapeId="0" xr:uid="{00000000-0006-0000-0C00-000001000000}">
      <text>
        <r>
          <rPr>
            <b/>
            <sz val="9"/>
            <color indexed="81"/>
            <rFont val="Tahoma"/>
            <family val="2"/>
          </rPr>
          <t>rebrenner:</t>
        </r>
        <r>
          <rPr>
            <sz val="9"/>
            <color indexed="81"/>
            <rFont val="Tahoma"/>
            <family val="2"/>
          </rPr>
          <t xml:space="preserve">
Changed to Mark-recapture based estimates of escapement
</t>
        </r>
      </text>
    </comment>
  </commentList>
</comments>
</file>

<file path=xl/sharedStrings.xml><?xml version="1.0" encoding="utf-8"?>
<sst xmlns="http://schemas.openxmlformats.org/spreadsheetml/2006/main" count="2829" uniqueCount="546">
  <si>
    <t>Total</t>
  </si>
  <si>
    <t>-</t>
  </si>
  <si>
    <t>Sample</t>
  </si>
  <si>
    <t xml:space="preserve">Sample </t>
  </si>
  <si>
    <t>Data</t>
  </si>
  <si>
    <t>Age 2</t>
  </si>
  <si>
    <t>Age 3</t>
  </si>
  <si>
    <t>Age 4</t>
  </si>
  <si>
    <t>Age 5</t>
  </si>
  <si>
    <t>Age 6</t>
  </si>
  <si>
    <t>Age 7</t>
  </si>
  <si>
    <t>Age 8</t>
  </si>
  <si>
    <t>Year</t>
  </si>
  <si>
    <t>Date(s)</t>
  </si>
  <si>
    <t>Source</t>
  </si>
  <si>
    <t>3.1</t>
  </si>
  <si>
    <t>AMR</t>
  </si>
  <si>
    <t>C&amp;E</t>
  </si>
  <si>
    <t xml:space="preserve">Mean </t>
  </si>
  <si>
    <t>a</t>
  </si>
  <si>
    <t xml:space="preserve">Blanks indicate that no fish of that age occurred in the age samples.  </t>
  </si>
  <si>
    <t>b</t>
  </si>
  <si>
    <t>Sample sizes indicate number of readable scales.</t>
  </si>
  <si>
    <t xml:space="preserve"> </t>
  </si>
  <si>
    <r>
      <t xml:space="preserve">Size </t>
    </r>
    <r>
      <rPr>
        <vertAlign val="superscript"/>
        <sz val="12"/>
        <rFont val="Times New Roman"/>
        <family val="1"/>
      </rPr>
      <t>b</t>
    </r>
  </si>
  <si>
    <t>Percentage by age class and Return year</t>
  </si>
  <si>
    <t>Mean</t>
  </si>
  <si>
    <t>Brood</t>
  </si>
  <si>
    <t>Return</t>
  </si>
  <si>
    <t xml:space="preserve">Copper River Chinook </t>
  </si>
  <si>
    <t>Total Brood Year</t>
  </si>
  <si>
    <t>N</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</si>
  <si>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</si>
  <si>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</si>
  <si>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</si>
  <si>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</si>
  <si>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</si>
  <si>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</si>
  <si>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</si>
  <si>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</si>
  <si>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</si>
  <si>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</si>
  <si>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</si>
  <si>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</si>
  <si>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</si>
  <si>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</si>
  <si>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</si>
  <si>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</si>
  <si>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</si>
  <si>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</si>
  <si>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</si>
  <si>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</si>
  <si>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</si>
  <si>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X Variable 1</t>
  </si>
  <si>
    <t>Run Size</t>
  </si>
  <si>
    <t>Steve Moffitt</t>
  </si>
  <si>
    <t>total</t>
  </si>
  <si>
    <t>Major brood years for forecasting</t>
  </si>
  <si>
    <t>Percentage</t>
  </si>
  <si>
    <t>Age 1.2</t>
  </si>
  <si>
    <t>R</t>
  </si>
  <si>
    <t>ln(R)</t>
  </si>
  <si>
    <t>Age 1.3</t>
  </si>
  <si>
    <t>Age 1.4</t>
  </si>
  <si>
    <t xml:space="preserve">        Variables</t>
  </si>
  <si>
    <t xml:space="preserve">          Regression Data</t>
  </si>
  <si>
    <t xml:space="preserve">       Confidence Intervals (transformed if applicable)</t>
  </si>
  <si>
    <t>Percent</t>
  </si>
  <si>
    <t>X</t>
  </si>
  <si>
    <t>(A)</t>
  </si>
  <si>
    <t>(B)</t>
  </si>
  <si>
    <t>Labels(B)</t>
  </si>
  <si>
    <t>Confidence Bounds</t>
  </si>
  <si>
    <t>Independent</t>
  </si>
  <si>
    <t>Dependent</t>
  </si>
  <si>
    <t>Std Err</t>
  </si>
  <si>
    <t>Y est</t>
  </si>
  <si>
    <t>Leave 1 out</t>
  </si>
  <si>
    <t>Point</t>
  </si>
  <si>
    <t>Lower</t>
  </si>
  <si>
    <t>Upper</t>
  </si>
  <si>
    <t>Error</t>
  </si>
  <si>
    <t>Predicted</t>
  </si>
  <si>
    <t>Actual</t>
  </si>
  <si>
    <t>(C)</t>
  </si>
  <si>
    <t>(D)</t>
  </si>
  <si>
    <t>d.f.</t>
  </si>
  <si>
    <t>Constant</t>
  </si>
  <si>
    <t>Coef. X</t>
  </si>
  <si>
    <t>"Error"</t>
  </si>
  <si>
    <t>Y</t>
  </si>
  <si>
    <t>Forecast</t>
  </si>
  <si>
    <t xml:space="preserve">Return age </t>
  </si>
  <si>
    <t>x =</t>
  </si>
  <si>
    <t>ln(1.2)</t>
  </si>
  <si>
    <t>y=</t>
  </si>
  <si>
    <t>ln(1.3)</t>
  </si>
  <si>
    <t>Resid df</t>
  </si>
  <si>
    <t>CoefX</t>
  </si>
  <si>
    <t>CoefXSE</t>
  </si>
  <si>
    <r>
      <t>Y</t>
    </r>
    <r>
      <rPr>
        <vertAlign val="subscript"/>
        <sz val="10"/>
        <rFont val="DUTCH"/>
      </rPr>
      <t>est</t>
    </r>
  </si>
  <si>
    <t>YestSE</t>
  </si>
  <si>
    <r>
      <t>R</t>
    </r>
    <r>
      <rPr>
        <vertAlign val="superscript"/>
        <sz val="10"/>
        <rFont val="DUTCH"/>
      </rPr>
      <t>sq</t>
    </r>
  </si>
  <si>
    <t>d.f. =</t>
  </si>
  <si>
    <t>M.S.E. Leave 1 out =</t>
  </si>
  <si>
    <t>t=</t>
  </si>
  <si>
    <t>M.S.E. ALL =</t>
  </si>
  <si>
    <t>M.S.E. =</t>
  </si>
  <si>
    <t>Avg Err=</t>
  </si>
  <si>
    <t>Table of t values (two tailed)</t>
  </si>
  <si>
    <t>LN 1.2</t>
  </si>
  <si>
    <t>ln(1.4)</t>
  </si>
  <si>
    <t>LN 1.3</t>
  </si>
  <si>
    <t>Major Age Classes used in sibling regressions .</t>
  </si>
  <si>
    <t>File:</t>
  </si>
  <si>
    <t>Estimate</t>
  </si>
  <si>
    <t>Avg</t>
  </si>
  <si>
    <t>Min</t>
  </si>
  <si>
    <t>Max</t>
  </si>
  <si>
    <t>Data Sources:</t>
  </si>
  <si>
    <t xml:space="preserve">1896-1926:  </t>
  </si>
  <si>
    <t>Rich, Willis H &amp; Edward M Ball.  1932.  Statistical Review of the Fisheries, Part III: PWS, CBR.  US Dept Commerce, BCF, Bulletin No 7.</t>
  </si>
  <si>
    <t>1928-1951:</t>
  </si>
  <si>
    <t>Seton H Thompson. 1964.  The red salmon of the Copper R, AK.</t>
  </si>
  <si>
    <t>Mostly calculated from case pack and avg size.</t>
  </si>
  <si>
    <t>1952-1959:</t>
  </si>
  <si>
    <t>INPFC publications.  Unknown which?</t>
  </si>
  <si>
    <t>Annual Management Report 1972-73.  Pirtle, Fridgen, and Bailey.  Appendices 6 and 7.  Citing:</t>
  </si>
  <si>
    <t>This AMR ("ADF&amp;G Field Data")</t>
  </si>
  <si>
    <t>1960-1971:</t>
  </si>
  <si>
    <t>1893-1971</t>
  </si>
  <si>
    <t>PWS Area Annual Finfish Management Report, 1981.  Randall, Fridgen, McCurdy, and Roberson.  1982</t>
  </si>
  <si>
    <t>1972-1973</t>
  </si>
  <si>
    <t>1974-1996</t>
  </si>
  <si>
    <t>PWS Management Area 1996 Annual Finfish Report.  Morstad, Sharp, Wilcock, and Johnson.</t>
  </si>
  <si>
    <t>Sport</t>
  </si>
  <si>
    <t>Harvest</t>
  </si>
  <si>
    <t>Date:</t>
  </si>
  <si>
    <t>Fcast Yr</t>
  </si>
  <si>
    <t>First Title</t>
  </si>
  <si>
    <t>Avg BY</t>
  </si>
  <si>
    <t xml:space="preserve">Age </t>
  </si>
  <si>
    <t>Low</t>
  </si>
  <si>
    <t>High</t>
  </si>
  <si>
    <t>Model</t>
  </si>
  <si>
    <t>Pct Error</t>
  </si>
  <si>
    <t xml:space="preserve"> Comments or Data Source</t>
  </si>
  <si>
    <t>Count</t>
  </si>
  <si>
    <t>n</t>
  </si>
  <si>
    <t>Stdev</t>
  </si>
  <si>
    <t>t value</t>
  </si>
  <si>
    <t>Ln(1.3)=Ln(1.2)</t>
  </si>
  <si>
    <t>Ln(1.4)=Ln(1.3)</t>
  </si>
  <si>
    <r>
      <t>Y</t>
    </r>
    <r>
      <rPr>
        <vertAlign val="subscript"/>
        <sz val="10"/>
        <rFont val="Times New Roman"/>
        <family val="1"/>
      </rPr>
      <t>o</t>
    </r>
  </si>
  <si>
    <r>
      <t>Y</t>
    </r>
    <r>
      <rPr>
        <vertAlign val="subscript"/>
        <sz val="10"/>
        <rFont val="Times New Roman"/>
        <family val="1"/>
      </rPr>
      <t>e</t>
    </r>
  </si>
  <si>
    <r>
      <t>R</t>
    </r>
    <r>
      <rPr>
        <vertAlign val="superscript"/>
        <sz val="10"/>
        <rFont val="Times New Roman"/>
        <family val="1"/>
      </rPr>
      <t>2</t>
    </r>
  </si>
  <si>
    <r>
      <t>Y</t>
    </r>
    <r>
      <rPr>
        <vertAlign val="subscript"/>
        <sz val="10"/>
        <rFont val="Times New Roman"/>
        <family val="1"/>
      </rPr>
      <t>o</t>
    </r>
    <r>
      <rPr>
        <sz val="10"/>
        <rFont val="Times New Roman"/>
        <family val="1"/>
      </rPr>
      <t>-Y</t>
    </r>
    <r>
      <rPr>
        <vertAlign val="subscript"/>
        <sz val="10"/>
        <rFont val="Times New Roman"/>
        <family val="1"/>
      </rPr>
      <t>e</t>
    </r>
  </si>
  <si>
    <r>
      <t>E</t>
    </r>
    <r>
      <rPr>
        <vertAlign val="superscript"/>
        <sz val="10"/>
        <rFont val="Times New Roman"/>
        <family val="1"/>
      </rPr>
      <t>2</t>
    </r>
    <r>
      <rPr>
        <sz val="10"/>
        <rFont val="Times New Roman"/>
        <family val="1"/>
      </rPr>
      <t>=(Y</t>
    </r>
    <r>
      <rPr>
        <vertAlign val="subscript"/>
        <sz val="10"/>
        <rFont val="Times New Roman"/>
        <family val="1"/>
      </rPr>
      <t>a</t>
    </r>
    <r>
      <rPr>
        <sz val="10"/>
        <rFont val="Times New Roman"/>
        <family val="1"/>
      </rPr>
      <t>-Y</t>
    </r>
    <r>
      <rPr>
        <vertAlign val="subscript"/>
        <sz val="10"/>
        <rFont val="Times New Roman"/>
        <family val="1"/>
      </rPr>
      <t>e</t>
    </r>
    <r>
      <rPr>
        <sz val="10"/>
        <rFont val="Times New Roman"/>
        <family val="1"/>
      </rPr>
      <t>)</t>
    </r>
    <r>
      <rPr>
        <vertAlign val="superscript"/>
        <sz val="10"/>
        <rFont val="Times New Roman"/>
        <family val="1"/>
      </rPr>
      <t>2</t>
    </r>
  </si>
  <si>
    <r>
      <t>Y</t>
    </r>
    <r>
      <rPr>
        <vertAlign val="subscript"/>
        <sz val="10"/>
        <rFont val="Times New Roman"/>
        <family val="1"/>
      </rPr>
      <t>e</t>
    </r>
    <r>
      <rPr>
        <sz val="10"/>
        <rFont val="Times New Roman"/>
        <family val="1"/>
      </rPr>
      <t>-Avg(E</t>
    </r>
    <r>
      <rPr>
        <vertAlign val="superscript"/>
        <sz val="10"/>
        <rFont val="Times New Roman"/>
        <family val="1"/>
      </rPr>
      <t>2</t>
    </r>
    <r>
      <rPr>
        <sz val="10"/>
        <rFont val="Times New Roman"/>
        <family val="1"/>
      </rPr>
      <t>)</t>
    </r>
  </si>
  <si>
    <r>
      <t>(Y</t>
    </r>
    <r>
      <rPr>
        <vertAlign val="subscript"/>
        <sz val="10"/>
        <rFont val="Times New Roman"/>
        <family val="1"/>
      </rPr>
      <t>e</t>
    </r>
    <r>
      <rPr>
        <sz val="10"/>
        <rFont val="Times New Roman"/>
        <family val="1"/>
      </rPr>
      <t>-Y</t>
    </r>
    <r>
      <rPr>
        <vertAlign val="subscript"/>
        <sz val="10"/>
        <rFont val="Times New Roman"/>
        <family val="1"/>
      </rPr>
      <t>o</t>
    </r>
    <r>
      <rPr>
        <sz val="10"/>
        <rFont val="Times New Roman"/>
        <family val="1"/>
      </rPr>
      <t>)/Y</t>
    </r>
    <r>
      <rPr>
        <vertAlign val="subscript"/>
        <sz val="10"/>
        <rFont val="Times New Roman"/>
        <family val="1"/>
      </rPr>
      <t>o</t>
    </r>
  </si>
  <si>
    <t>Totals</t>
  </si>
  <si>
    <t>Total Run Size Estimate</t>
  </si>
  <si>
    <t>Copper River Chinook Run Summary</t>
  </si>
  <si>
    <t>Forecasted Total Run Size</t>
  </si>
  <si>
    <t>Commercial</t>
  </si>
  <si>
    <t>80% CI</t>
  </si>
  <si>
    <t>80% CI of Mean</t>
  </si>
  <si>
    <t>Sockeye</t>
  </si>
  <si>
    <t>Chinook</t>
  </si>
  <si>
    <t>Mark/Recap</t>
  </si>
  <si>
    <t>Use for examining total age 4 to forecast total age 5, etc.</t>
  </si>
  <si>
    <t>Forecast Model for predicting Ln(1.3) from returns of Ln(1.2) from the same brood Year</t>
  </si>
  <si>
    <t>Age composition from harvest applied to estimated total Run Size</t>
  </si>
  <si>
    <t xml:space="preserve">Copper River Chinook Total Run </t>
  </si>
  <si>
    <t>80%         Confidence Intervals (in numbers of fish)</t>
  </si>
  <si>
    <t>Escapement</t>
  </si>
  <si>
    <t>Table</t>
  </si>
  <si>
    <t>Total BOF directed escapement</t>
  </si>
  <si>
    <t>NATURAL PRODUCTION:  Summary of Leaving-1-Out procedures and average brood year returns.</t>
  </si>
  <si>
    <t>00</t>
  </si>
  <si>
    <t>01</t>
  </si>
  <si>
    <t>MSE</t>
  </si>
  <si>
    <t>In No. of Fish</t>
  </si>
  <si>
    <t>02</t>
  </si>
  <si>
    <t xml:space="preserve">Brood </t>
  </si>
  <si>
    <t xml:space="preserve">Chart </t>
  </si>
  <si>
    <t xml:space="preserve">Predicted </t>
  </si>
  <si>
    <t xml:space="preserve">Escapement </t>
  </si>
  <si>
    <t>Label</t>
  </si>
  <si>
    <t>R/S</t>
  </si>
  <si>
    <t>Ln(R/S)</t>
  </si>
  <si>
    <t>Yield</t>
  </si>
  <si>
    <t>Range (millions)</t>
  </si>
  <si>
    <t>a =</t>
  </si>
  <si>
    <t>-a/b =</t>
  </si>
  <si>
    <t>b =</t>
  </si>
  <si>
    <t>a' =</t>
  </si>
  <si>
    <t>b' =</t>
  </si>
  <si>
    <t>Smsy =</t>
  </si>
  <si>
    <t>Umsy =</t>
  </si>
  <si>
    <t>Lower 95.0%</t>
  </si>
  <si>
    <t>Upper 95.0%</t>
  </si>
  <si>
    <t>RESIDUAL OUTPUT</t>
  </si>
  <si>
    <t>Observation</t>
  </si>
  <si>
    <t>Predicted Y</t>
  </si>
  <si>
    <t>Residuals</t>
  </si>
  <si>
    <t>Standard Residuals</t>
  </si>
  <si>
    <t>Yield Curve</t>
  </si>
  <si>
    <t>Copper River District</t>
  </si>
  <si>
    <t>Personal Use</t>
  </si>
  <si>
    <t>Subsistence</t>
  </si>
  <si>
    <t>Educational</t>
  </si>
  <si>
    <t>03</t>
  </si>
  <si>
    <t>04</t>
  </si>
  <si>
    <t>05</t>
  </si>
  <si>
    <t>06</t>
  </si>
  <si>
    <t>Copper River Chinook salmon ricker model.</t>
  </si>
  <si>
    <t>spawners</t>
  </si>
  <si>
    <t>Numbers by age class by BROOD YEAR</t>
  </si>
  <si>
    <t>Average</t>
  </si>
  <si>
    <t>Misc.</t>
  </si>
  <si>
    <t xml:space="preserve">Harvest </t>
  </si>
  <si>
    <t>Upper Copper River</t>
  </si>
  <si>
    <t>NA</t>
  </si>
  <si>
    <t>Table x.</t>
  </si>
  <si>
    <t xml:space="preserve">Mark recapture </t>
  </si>
  <si>
    <t xml:space="preserve">Sport   </t>
  </si>
  <si>
    <t>d</t>
  </si>
  <si>
    <t>e</t>
  </si>
  <si>
    <t xml:space="preserve">Total   </t>
  </si>
  <si>
    <r>
      <t xml:space="preserve">Inriver estimate </t>
    </r>
    <r>
      <rPr>
        <vertAlign val="superscript"/>
        <sz val="12"/>
        <rFont val="Times New Roman"/>
        <family val="1"/>
      </rPr>
      <t>c</t>
    </r>
  </si>
  <si>
    <t>Spawning Esc.</t>
  </si>
  <si>
    <t>Total Harvest</t>
  </si>
  <si>
    <t>All harvests</t>
  </si>
  <si>
    <r>
      <t xml:space="preserve">SUB/PU </t>
    </r>
    <r>
      <rPr>
        <vertAlign val="superscript"/>
        <sz val="12"/>
        <rFont val="Times New Roman"/>
        <family val="1"/>
      </rPr>
      <t xml:space="preserve">a   </t>
    </r>
  </si>
  <si>
    <r>
      <t xml:space="preserve">Upriver only </t>
    </r>
    <r>
      <rPr>
        <vertAlign val="superscript"/>
        <sz val="12"/>
        <rFont val="Times New Roman"/>
        <family val="1"/>
      </rPr>
      <t>b</t>
    </r>
  </si>
  <si>
    <r>
      <t xml:space="preserve">a </t>
    </r>
    <r>
      <rPr>
        <sz val="12"/>
        <rFont val="Times New Roman"/>
        <family val="1"/>
      </rPr>
      <t>All State and Federal subsistence harvests in the Glennallen and Chitina Subdistricts and all Chitina Subdistrict personal use harvests combined.</t>
    </r>
  </si>
  <si>
    <r>
      <t xml:space="preserve">b </t>
    </r>
    <r>
      <rPr>
        <sz val="12"/>
        <rFont val="Times New Roman"/>
        <family val="1"/>
      </rPr>
      <t>All State and Federal subsistence harvests in the Glennallen and Chitina Subdistricts, all Chitina Subdistrict personal use harvests, and all sport fishery harvests combinded.</t>
    </r>
  </si>
  <si>
    <r>
      <t xml:space="preserve">c </t>
    </r>
    <r>
      <rPr>
        <sz val="12"/>
        <rFont val="Times New Roman"/>
        <family val="1"/>
      </rPr>
      <t>The estimate of Chinook salmon in the Copper River above Miles Lake before any inriver fishery harvests.</t>
    </r>
  </si>
  <si>
    <r>
      <t>d</t>
    </r>
    <r>
      <rPr>
        <sz val="12"/>
        <rFont val="Times New Roman"/>
        <family val="1"/>
      </rPr>
      <t xml:space="preserve"> ADF&amp;G mark-recapture estimate.</t>
    </r>
  </si>
  <si>
    <r>
      <t>e</t>
    </r>
    <r>
      <rPr>
        <sz val="12"/>
        <rFont val="Times New Roman"/>
        <family val="1"/>
      </rPr>
      <t xml:space="preserve"> NVE mark-recapture estimate. </t>
    </r>
  </si>
  <si>
    <t>SD</t>
  </si>
  <si>
    <t>2 year</t>
  </si>
  <si>
    <t>3 year</t>
  </si>
  <si>
    <t xml:space="preserve">4 year </t>
  </si>
  <si>
    <t>5 year</t>
  </si>
  <si>
    <t>Forecast using total run size averages</t>
  </si>
  <si>
    <t>Forecast error in fish</t>
  </si>
  <si>
    <t>Forecast percentage error</t>
  </si>
  <si>
    <t>Forecast absolute percentage error</t>
  </si>
  <si>
    <t>PY</t>
  </si>
  <si>
    <t>07</t>
  </si>
  <si>
    <t>Mean all yrs</t>
  </si>
  <si>
    <t>Absolute</t>
  </si>
  <si>
    <t>% Error</t>
  </si>
  <si>
    <r>
      <t>ABS(Y</t>
    </r>
    <r>
      <rPr>
        <vertAlign val="subscript"/>
        <sz val="10"/>
        <rFont val="Times New Roman"/>
        <family val="1"/>
      </rPr>
      <t>e</t>
    </r>
    <r>
      <rPr>
        <sz val="10"/>
        <rFont val="Times New Roman"/>
        <family val="1"/>
      </rPr>
      <t>-Y</t>
    </r>
    <r>
      <rPr>
        <vertAlign val="subscript"/>
        <sz val="10"/>
        <rFont val="Times New Roman"/>
        <family val="1"/>
      </rPr>
      <t>o</t>
    </r>
    <r>
      <rPr>
        <sz val="10"/>
        <rFont val="Times New Roman"/>
        <family val="1"/>
      </rPr>
      <t>)/Y</t>
    </r>
    <r>
      <rPr>
        <vertAlign val="subscript"/>
        <sz val="10"/>
        <rFont val="Times New Roman"/>
        <family val="1"/>
      </rPr>
      <t>o</t>
    </r>
  </si>
  <si>
    <t>Avg Err =</t>
  </si>
  <si>
    <t>All Years</t>
  </si>
  <si>
    <r>
      <t xml:space="preserve">Copper River Chinook </t>
    </r>
    <r>
      <rPr>
        <b/>
        <sz val="26"/>
        <rFont val="Times New Roman"/>
        <family val="1"/>
      </rPr>
      <t>Commercial</t>
    </r>
    <r>
      <rPr>
        <b/>
        <sz val="18"/>
        <rFont val="Times New Roman"/>
        <family val="1"/>
      </rPr>
      <t xml:space="preserve"> Harvest</t>
    </r>
  </si>
  <si>
    <t>08</t>
  </si>
  <si>
    <t>09</t>
  </si>
  <si>
    <t>Median</t>
  </si>
  <si>
    <t>1999-2010</t>
  </si>
  <si>
    <t>10</t>
  </si>
  <si>
    <t>Proportion of commercial harvest from the overall harvest</t>
  </si>
  <si>
    <t>11</t>
  </si>
  <si>
    <t>n =</t>
  </si>
  <si>
    <t>Mark Sommerville database from December 2010 for upriver harvests, 1960-2009 or 2010.</t>
  </si>
  <si>
    <t>by decade</t>
  </si>
  <si>
    <t>Harvest Total</t>
  </si>
  <si>
    <t>Federal</t>
  </si>
  <si>
    <t>State</t>
  </si>
  <si>
    <t>Homepack/ Personal Use</t>
  </si>
  <si>
    <t>Total Commercial harvest</t>
  </si>
  <si>
    <t xml:space="preserve">Bering River </t>
  </si>
  <si>
    <t>Copper River</t>
  </si>
  <si>
    <t>Return Year</t>
  </si>
  <si>
    <t>Glennallen SubDist</t>
  </si>
  <si>
    <t>Chitina SubDist.</t>
  </si>
  <si>
    <t>Commercial Harvest</t>
  </si>
  <si>
    <t>Average harvest</t>
  </si>
  <si>
    <t>Upper River Subsistence and/or personal use</t>
  </si>
  <si>
    <t>Copper River District (below Baird Canyon)</t>
  </si>
  <si>
    <t>Data in red need to be confirmed and source checked!</t>
  </si>
  <si>
    <t xml:space="preserve">Add historical upriver aerial survey indices at some point. </t>
  </si>
  <si>
    <t xml:space="preserve">Estimated Inriver </t>
  </si>
  <si>
    <t>Estimated spawning escapement</t>
  </si>
  <si>
    <r>
      <t xml:space="preserve">Total Sonar Count </t>
    </r>
    <r>
      <rPr>
        <sz val="12"/>
        <color rgb="FFFF0000"/>
        <rFont val="Times New Roman"/>
        <family val="1"/>
      </rPr>
      <t>all salmon</t>
    </r>
  </si>
  <si>
    <t>Coho</t>
  </si>
  <si>
    <t>UCR     proportion Chinook</t>
  </si>
  <si>
    <t>Proportion of sonar count</t>
  </si>
  <si>
    <t xml:space="preserve">Modeled </t>
  </si>
  <si>
    <t>Total System harvest</t>
  </si>
  <si>
    <t>Spawning Escapement</t>
  </si>
  <si>
    <t>Total Run</t>
  </si>
  <si>
    <t>Brood Year Return</t>
  </si>
  <si>
    <t xml:space="preserve">The worksheets "Harvests", "Escapements", and "Total_Run_Size" are in the Escapement_Goal_analysis\111_Catch &amp; Escapement by Stock also. </t>
  </si>
  <si>
    <t>= MAPE</t>
  </si>
  <si>
    <t>= SD</t>
  </si>
  <si>
    <t>RANK</t>
  </si>
  <si>
    <t>Ranks</t>
  </si>
  <si>
    <t>1999–present (years with Mark-recapture estimates of inriver abundance)</t>
  </si>
  <si>
    <t>1980-present</t>
  </si>
  <si>
    <t>REPORTED UCR Sub/PU harvests</t>
  </si>
  <si>
    <t>12</t>
  </si>
  <si>
    <t>(1) Enter the Forecast Year here:</t>
  </si>
  <si>
    <t>(2) Update all harvest and escapement data.</t>
  </si>
  <si>
    <t>13</t>
  </si>
  <si>
    <r>
      <t xml:space="preserve">Copper River Chinook </t>
    </r>
    <r>
      <rPr>
        <b/>
        <sz val="26"/>
        <rFont val="Times New Roman"/>
        <family val="1"/>
      </rPr>
      <t>PU&amp;Subsistence</t>
    </r>
    <r>
      <rPr>
        <b/>
        <sz val="18"/>
        <rFont val="Times New Roman"/>
        <family val="1"/>
      </rPr>
      <t xml:space="preserve"> Harvests</t>
    </r>
  </si>
  <si>
    <t>Mean Absolute</t>
  </si>
  <si>
    <t>Point - Lower</t>
  </si>
  <si>
    <t>UPPER - POINT</t>
  </si>
  <si>
    <t>All Yrs Mean</t>
  </si>
  <si>
    <t>5-Yr Mean</t>
  </si>
  <si>
    <t>5 YR Avg BY</t>
  </si>
  <si>
    <t>Exploitation Rate</t>
  </si>
  <si>
    <t xml:space="preserve">Total Commercial harvest </t>
  </si>
  <si>
    <t>5 year average</t>
  </si>
  <si>
    <t>10 year average</t>
  </si>
  <si>
    <t xml:space="preserve">Estimated </t>
  </si>
  <si>
    <t>Run_Year</t>
  </si>
  <si>
    <t>Run Year</t>
  </si>
  <si>
    <t>Inriver abundance</t>
  </si>
  <si>
    <t>LCR Total</t>
  </si>
  <si>
    <t>LCR</t>
  </si>
  <si>
    <t>Total harvests</t>
  </si>
  <si>
    <t>Harvest at long-term Esc.</t>
  </si>
  <si>
    <t>SD of error</t>
  </si>
  <si>
    <t>Total Forecast</t>
  </si>
  <si>
    <t>Actual Return</t>
  </si>
  <si>
    <t>Run</t>
  </si>
  <si>
    <t>Numbers by age class by RUN YEAR</t>
  </si>
  <si>
    <t>APE</t>
  </si>
  <si>
    <t>Sum</t>
  </si>
  <si>
    <t>MAPE</t>
  </si>
  <si>
    <t>A sibling regression was used to forecast age 1.3 using the number of age 1.2 fish the previous year.</t>
  </si>
  <si>
    <t>Squared Error</t>
  </si>
  <si>
    <t>Sum of errors</t>
  </si>
  <si>
    <t>Mean Error</t>
  </si>
  <si>
    <t>n-1 =</t>
  </si>
  <si>
    <t>t_n-1,0.2 =</t>
  </si>
  <si>
    <t>Error 1/2 width</t>
  </si>
  <si>
    <t>U 80%</t>
  </si>
  <si>
    <t>L 80%</t>
  </si>
  <si>
    <t>The following is correct calculation suggested by Doug Eggers</t>
  </si>
  <si>
    <t>Point-Lower</t>
  </si>
  <si>
    <t>Upper-Point</t>
  </si>
  <si>
    <t>Stock 1</t>
  </si>
  <si>
    <t>Stock 2</t>
  </si>
  <si>
    <t>Stock 3</t>
  </si>
  <si>
    <t>Stock 4</t>
  </si>
  <si>
    <t>Point -L80%</t>
  </si>
  <si>
    <t>U80% - Point</t>
  </si>
  <si>
    <t>L80% CI</t>
  </si>
  <si>
    <t xml:space="preserve">Point </t>
  </si>
  <si>
    <t>U80% CI</t>
  </si>
  <si>
    <t>From Xinxian in 2009</t>
  </si>
  <si>
    <t>5 Year average CCP proportion of total harvest =</t>
  </si>
  <si>
    <t>%Error</t>
  </si>
  <si>
    <t>Forecast Model for predicting ln(1.4) from returns of ln(1.3) from the same brood Year</t>
  </si>
  <si>
    <t>1.3 Return</t>
  </si>
  <si>
    <t>CCP Harvest</t>
  </si>
  <si>
    <t>CCP Overall Exploitaiton</t>
  </si>
  <si>
    <t>Overall Total Exploitation</t>
  </si>
  <si>
    <t>CR District State Subsistence</t>
  </si>
  <si>
    <t>CR Delta Federal Subsistence</t>
  </si>
  <si>
    <t>Commercial Rank</t>
  </si>
  <si>
    <t>Avg. 1890–present</t>
  </si>
  <si>
    <t>Median 1890–present</t>
  </si>
  <si>
    <t>Median 1980–present</t>
  </si>
  <si>
    <t>1999-2015</t>
  </si>
  <si>
    <t>14</t>
  </si>
  <si>
    <t xml:space="preserve">Unweighted age composition.  Add in weighted by harvest when harvest data are available. </t>
  </si>
  <si>
    <t>Long-term Escapement goal =</t>
  </si>
  <si>
    <r>
      <t xml:space="preserve">Return </t>
    </r>
    <r>
      <rPr>
        <b/>
        <vertAlign val="superscript"/>
        <sz val="14"/>
        <rFont val="Times New Roman"/>
        <family val="1"/>
      </rPr>
      <t>a</t>
    </r>
  </si>
  <si>
    <r>
      <t xml:space="preserve">R </t>
    </r>
    <r>
      <rPr>
        <b/>
        <vertAlign val="superscript"/>
        <sz val="14"/>
        <rFont val="Times New Roman"/>
        <family val="1"/>
      </rPr>
      <t>2</t>
    </r>
  </si>
  <si>
    <t>These data are looked up in regression worksheets, e.g., Ln1.3=ln1.2</t>
  </si>
  <si>
    <t>Ricker regression is Escapement (x) = Ln(R/S) (y)</t>
  </si>
  <si>
    <t>10% of MSY</t>
  </si>
  <si>
    <t>S</t>
  </si>
  <si>
    <t>90% of  yield at Smsy</t>
  </si>
  <si>
    <t>Squared</t>
  </si>
  <si>
    <t>Total Squared Error</t>
  </si>
  <si>
    <t>80% of Mean Error</t>
  </si>
  <si>
    <t>1/2 Width</t>
  </si>
  <si>
    <t>80% C. I.</t>
  </si>
  <si>
    <t>Estimation of 80% Confidence Intervals for Copper River Chinook salmon forecasts.</t>
  </si>
  <si>
    <t>Run forecast = previous year's total run</t>
  </si>
  <si>
    <t>Forecast Model</t>
  </si>
  <si>
    <t>Previous Year</t>
  </si>
  <si>
    <t>10 year</t>
  </si>
  <si>
    <t>L80%</t>
  </si>
  <si>
    <t>U80%</t>
  </si>
  <si>
    <t>4 year</t>
  </si>
  <si>
    <t>t_n-1,0.2</t>
  </si>
  <si>
    <t>d.o.f.</t>
  </si>
  <si>
    <t xml:space="preserve">Run forecast = previous 2 year's average </t>
  </si>
  <si>
    <t xml:space="preserve">Run forecast = previous 3 year's average </t>
  </si>
  <si>
    <t xml:space="preserve">Run forecast = previous 4 year's average </t>
  </si>
  <si>
    <t>1/2 width</t>
  </si>
  <si>
    <t>SD of MAPE</t>
  </si>
  <si>
    <t>Forecasts</t>
  </si>
  <si>
    <t>Previous 2–years average</t>
  </si>
  <si>
    <t>Previous 3–years average</t>
  </si>
  <si>
    <t>Previous 4–years average</t>
  </si>
  <si>
    <t>Previous 5–years average</t>
  </si>
  <si>
    <t>Lower Bound SEG</t>
  </si>
  <si>
    <t>Commercial proportion of total harvest (5-year average)</t>
  </si>
  <si>
    <t xml:space="preserve"> Maximum Total Harvest</t>
  </si>
  <si>
    <t>Cumulative error =</t>
  </si>
  <si>
    <t xml:space="preserve">Run forecast = previous 5 year's average </t>
  </si>
  <si>
    <t>Copper River Chinook salmon harvests, mark-recapture escapement estimate, total run size, 1999–2016.  All upriver 2015 harvests are preliminary.</t>
  </si>
  <si>
    <t>Figure 1–Commercial harvests of Chinook salmon from the Copper River and Bering River districts, 1890–2016.</t>
  </si>
  <si>
    <t>Yr-1</t>
  </si>
  <si>
    <t>Yr-2</t>
  </si>
  <si>
    <t>Yr-3</t>
  </si>
  <si>
    <t>Yr-4</t>
  </si>
  <si>
    <t>Yr-5</t>
  </si>
  <si>
    <t>2017 Total Run Forecast</t>
  </si>
  <si>
    <t>2017 Total harvest Forecast</t>
  </si>
  <si>
    <t>2017 Commercial harvest Forecast</t>
  </si>
  <si>
    <t xml:space="preserve">Run </t>
  </si>
  <si>
    <t>Numbers by age class and run year from estimated Lower Copper River harvests and commercial harvest age compositions.</t>
  </si>
  <si>
    <t>Absolute % Error</t>
  </si>
  <si>
    <t>Cumulative percentage errors</t>
  </si>
  <si>
    <t>Cumulative differences</t>
  </si>
  <si>
    <t>Mean Absolute Percentage Errors</t>
  </si>
  <si>
    <t>2 Year Mean</t>
  </si>
  <si>
    <t>3 Year Mean</t>
  </si>
  <si>
    <t>4 Year Mean</t>
  </si>
  <si>
    <t>5 Year Mean</t>
  </si>
  <si>
    <t>Comparison of 2 Age specific Naïve forecast models for age 1.2, 1.3, and 1.4 Chinook salmon</t>
  </si>
  <si>
    <t>Count =</t>
  </si>
  <si>
    <t>Count if &lt;0 =</t>
  </si>
  <si>
    <t xml:space="preserve">Untransformed </t>
  </si>
  <si>
    <t>Log Transformed</t>
  </si>
  <si>
    <t>Difference</t>
  </si>
  <si>
    <t>Variance of residuals (MSE)</t>
  </si>
  <si>
    <t xml:space="preserve">Backtransformed </t>
  </si>
  <si>
    <t>=exp(R)</t>
  </si>
  <si>
    <t>Ln12</t>
  </si>
  <si>
    <t>Ln13</t>
  </si>
  <si>
    <t>Lower 80% PI</t>
  </si>
  <si>
    <t>Upper 80% PI</t>
  </si>
  <si>
    <t>Num12</t>
  </si>
  <si>
    <t>Num13</t>
  </si>
  <si>
    <t>Brood_Year</t>
  </si>
  <si>
    <t>Age5_Rt_Year</t>
  </si>
  <si>
    <t>Point Estimate 2017</t>
  </si>
  <si>
    <t>1977–2017</t>
  </si>
  <si>
    <t>Values from SAS</t>
  </si>
  <si>
    <t>Excluded 1976 as it was an outlier that significantly affected the normality of the data</t>
  </si>
  <si>
    <t>Excluded 1976 as it significantly affected the normality of the data.</t>
  </si>
  <si>
    <t>Retrospective forecasts using previous year to forecast all but age 1.3 fish which is from a sibling model.</t>
  </si>
  <si>
    <t>Back transformed log forecast</t>
  </si>
  <si>
    <r>
      <t xml:space="preserve">Forecast (Start with </t>
    </r>
    <r>
      <rPr>
        <b/>
        <strike/>
        <sz val="12"/>
        <rFont val="Times New Roman"/>
        <family val="1"/>
      </rPr>
      <t>10</t>
    </r>
    <r>
      <rPr>
        <b/>
        <sz val="12"/>
        <rFont val="Times New Roman"/>
        <family val="1"/>
      </rPr>
      <t xml:space="preserve"> 9 Years)</t>
    </r>
  </si>
  <si>
    <t>Worksheet to calculate the retrospective forecasts of sibling models to predict the return of age 1.3 fish from age 1.2 fish returning the previous year.</t>
  </si>
  <si>
    <t xml:space="preserve">This is used with the worksheet "Brood_Forecasts" to calculate overall retrospective forecasts and forecast errors so this model can be compared to other models. </t>
  </si>
  <si>
    <t xml:space="preserve">in the previous year (both returns from same brood year) and the return of the previous year for the other age classes. The other models are all naïve models that use the previous year or average of previous years </t>
  </si>
  <si>
    <t xml:space="preserve">to forecast the run for 2017. </t>
  </si>
  <si>
    <t>Cumulative % Error</t>
  </si>
  <si>
    <t>Previous 10-years average</t>
  </si>
  <si>
    <t xml:space="preserve">Run forecast = previous 10 year's average </t>
  </si>
  <si>
    <r>
      <rPr>
        <i/>
        <sz val="9"/>
        <rFont val="Times New Roman"/>
        <family val="1"/>
      </rPr>
      <t xml:space="preserve">Note: </t>
    </r>
    <r>
      <rPr>
        <sz val="9"/>
        <rFont val="Times New Roman"/>
        <family val="1"/>
      </rPr>
      <t>MAPE = mean absolute percentage error, SD = Standard Deviation, SEG= sustainable escapement goal. All naïve models used 1999–2016 run data. The sibling relationship used 1977–2016 data.</t>
    </r>
  </si>
  <si>
    <t>Table 1. Summary of 2017 forecast model results for Copper River Chinook salmon. The previous year was selected as the forecast for 2017.</t>
  </si>
  <si>
    <t>Figure 1–Retrospective preseason forecast errors for models considered for Copper River Chinook salmon, 2017. The hybrid sibling model uses a sibling model to project age 1.3 returns from age 1.2 returns</t>
  </si>
  <si>
    <r>
      <t xml:space="preserve">Commercial Harvest </t>
    </r>
    <r>
      <rPr>
        <vertAlign val="superscript"/>
        <sz val="12"/>
        <rFont val="Times New Roman"/>
        <family val="1"/>
      </rPr>
      <t>c</t>
    </r>
  </si>
  <si>
    <r>
      <t>Hybrid sibling: (Ln1.3=Ln1.2) and previous year return of remaining age classes</t>
    </r>
    <r>
      <rPr>
        <vertAlign val="superscript"/>
        <sz val="11"/>
        <rFont val="Times New Roman"/>
        <family val="1"/>
      </rPr>
      <t>e</t>
    </r>
  </si>
  <si>
    <t xml:space="preserve">Overall prediction intervals were calculated as the sum of the point estimates minus the sum of the squared differences between the individual point estimates and </t>
  </si>
  <si>
    <t xml:space="preserve">indivdual lower and upper prediction intervals. </t>
  </si>
  <si>
    <t xml:space="preserve">Harvest rates only shown for years with an inriver abundance estimate from a mark-recapture project. </t>
  </si>
  <si>
    <t>Harvest rates</t>
  </si>
  <si>
    <r>
      <t xml:space="preserve">Lower Copper River </t>
    </r>
    <r>
      <rPr>
        <vertAlign val="superscript"/>
        <sz val="11"/>
        <rFont val="Times New Roman"/>
        <family val="1"/>
      </rPr>
      <t>a</t>
    </r>
  </si>
  <si>
    <t xml:space="preserve">  All harvests</t>
  </si>
  <si>
    <t xml:space="preserve">harvest rate includes all commercial harvests (Bering and Copper), commercial homepack, and Copper River </t>
  </si>
  <si>
    <t>District subsistence.</t>
  </si>
  <si>
    <r>
      <rPr>
        <vertAlign val="superscript"/>
        <sz val="10"/>
        <rFont val="Times New Roman"/>
        <family val="1"/>
      </rPr>
      <t>a</t>
    </r>
    <r>
      <rPr>
        <sz val="10"/>
        <rFont val="Times New Roman"/>
        <family val="1"/>
      </rPr>
      <t xml:space="preserve"> Lower Copper River commercial harvests include Bering River and Copper River districts; the all harvests</t>
    </r>
  </si>
  <si>
    <t>Mean Forecast Error</t>
  </si>
  <si>
    <t>Category</t>
  </si>
  <si>
    <t>Point Estimate</t>
  </si>
  <si>
    <t xml:space="preserve">Sustainable Escapement Goal </t>
  </si>
  <si>
    <t>Max Harvest (all fisheries)</t>
  </si>
  <si>
    <t xml:space="preserve">Commercial harvest </t>
  </si>
  <si>
    <t>decade</t>
  </si>
  <si>
    <t>Weighted Avg</t>
  </si>
  <si>
    <t>1995 to present</t>
  </si>
  <si>
    <t>1999 to present</t>
  </si>
  <si>
    <t>1978 to present</t>
  </si>
  <si>
    <r>
      <t>Cumulative % Error</t>
    </r>
    <r>
      <rPr>
        <vertAlign val="superscript"/>
        <sz val="11"/>
        <rFont val="Times New Roman"/>
        <family val="1"/>
      </rPr>
      <t xml:space="preserve"> d</t>
    </r>
  </si>
  <si>
    <r>
      <t xml:space="preserve">L80% </t>
    </r>
    <r>
      <rPr>
        <vertAlign val="superscript"/>
        <sz val="11"/>
        <rFont val="Times New Roman"/>
        <family val="1"/>
      </rPr>
      <t>b</t>
    </r>
  </si>
  <si>
    <r>
      <t xml:space="preserve">U80% </t>
    </r>
    <r>
      <rPr>
        <vertAlign val="superscript"/>
        <sz val="11"/>
        <rFont val="Times New Roman"/>
        <family val="1"/>
      </rPr>
      <t>b</t>
    </r>
  </si>
  <si>
    <r>
      <t xml:space="preserve">Total Run </t>
    </r>
    <r>
      <rPr>
        <vertAlign val="superscript"/>
        <sz val="12"/>
        <rFont val="Times New Roman"/>
        <family val="1"/>
      </rPr>
      <t>a</t>
    </r>
  </si>
  <si>
    <t>c</t>
  </si>
  <si>
    <t xml:space="preserve">Total run includes commercial harvest of fish that did not originate from Copper River stocks. </t>
  </si>
  <si>
    <t>The cumulative percentage error provides an indication of the direction of overall bias in the retrospective forecasts. A positive cumulative percentage error indicates that, overall, the forecasts tend to be higher than the actual runs (over estimates).</t>
  </si>
  <si>
    <t xml:space="preserve">The sibling model was calculated using natural log transformed data. Point estimate and 80% prediction intervals were back transformed using methods from Hayes et al. (1995).    The hybrid model prediction interval for all age classes was calculated as the sum of the forecast point estimates for all age classes plus/minus the sum of squared differences between the individual age class point estimates and lower and upper prediction intervals. </t>
  </si>
  <si>
    <t>1 year</t>
  </si>
  <si>
    <t>Model Row</t>
  </si>
  <si>
    <t>Select Forecast Method:</t>
  </si>
  <si>
    <t>Best Spawning Escapement Estimate</t>
  </si>
  <si>
    <t>Best Inriver Estimate</t>
  </si>
  <si>
    <t>daver: This is causing averages to be incorrect.  I changed blanks to zeros.</t>
  </si>
  <si>
    <t>Percentage (last 5 yr)</t>
  </si>
  <si>
    <t>Root Mean Square Error</t>
  </si>
  <si>
    <t>Slope</t>
  </si>
  <si>
    <t>Regression Ln1.3 vs Ln1.2</t>
  </si>
  <si>
    <t>BY 1995 onwards</t>
  </si>
  <si>
    <t>Regression Ln1.4 vs Ln1.2</t>
  </si>
  <si>
    <t>Regression Ln1.4 vs Ln1.3</t>
  </si>
  <si>
    <t>BY 1975 onwards</t>
  </si>
  <si>
    <t>R^2</t>
  </si>
  <si>
    <t>Age 1.2 in</t>
  </si>
  <si>
    <t>was</t>
  </si>
  <si>
    <t>predict Age 1.3 in</t>
  </si>
  <si>
    <t>to be</t>
  </si>
  <si>
    <t>based on 1995-present regression</t>
  </si>
  <si>
    <t>predict Age 1.4 in</t>
  </si>
  <si>
    <t>Predict returns for Year:</t>
  </si>
  <si>
    <t>Age 1.3 in</t>
  </si>
  <si>
    <t>Return (To Date)</t>
  </si>
  <si>
    <t>Brood Years 2010-2014</t>
  </si>
  <si>
    <t>Lagged</t>
  </si>
  <si>
    <t>Averaged</t>
  </si>
  <si>
    <t>The total run 80% prediction intervals for all forecasts except the hybrid sibling model were calculated using the mean performance of retrospective forecasts (Fried and Yuen 1987).</t>
  </si>
  <si>
    <t>Current-year prediction:</t>
  </si>
  <si>
    <t>Mean Absolute Scaled Error</t>
  </si>
  <si>
    <t>| Actual i = Act i-1 |</t>
  </si>
  <si>
    <t>T</t>
  </si>
  <si>
    <t>cnt (T)</t>
  </si>
  <si>
    <t>avg</t>
  </si>
  <si>
    <t>= MASE</t>
  </si>
  <si>
    <t>sum [2:T]</t>
  </si>
  <si>
    <t>denom stuff</t>
  </si>
  <si>
    <t>Ln (Ratio of predicted to Actual Values)  AKA lnQ</t>
  </si>
  <si>
    <t>SS lnQ</t>
  </si>
  <si>
    <t>Median lnQ</t>
  </si>
  <si>
    <t>to indicate bias</t>
  </si>
  <si>
    <t>ABS(Ln (Ratio of predicted to Actual Values) )</t>
  </si>
  <si>
    <t>(all are positive)</t>
  </si>
  <si>
    <t>median symmetric accuracy</t>
  </si>
  <si>
    <t>latest 8</t>
  </si>
  <si>
    <t>last 8</t>
  </si>
  <si>
    <t>Table 3–Estimated harvest (exploitation) rate of Copper River Chinook salmon by fishery, 1999–2017.</t>
  </si>
  <si>
    <t>Copper River Chinook salmon summary, 1890–2017.</t>
  </si>
  <si>
    <t>Copper River Chinook salmon estimates of inriver run size and spawning escapement, 1978–2017.</t>
  </si>
  <si>
    <t>Copper/Bering River Chinook Harvests, 1890–2017.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</si>
</sst>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3" formatCode="_(* #,##0.00_);_(* \(#,##0.00\);_(* &quot;-&quot;??_);_(@_)"/>
    <numFmt numFmtId="164" formatCode="_-* #,##0.00_-;\-* #,##0.00_-;_-* &quot;-&quot;??_-;_-@_-"/>
    <numFmt numFmtId="165" formatCode="_(* #,##0_);_(* \(#,##0\);_(* &quot;-&quot;??_);_(@_)"/>
    <numFmt numFmtId="166" formatCode="0.0000"/>
    <numFmt numFmtId="167" formatCode="0.000"/>
    <numFmt numFmtId="168" formatCode="mm/dd_)"/>
    <numFmt numFmtId="169" formatCode="0.00000"/>
    <numFmt numFmtId="170" formatCode="mm/dd/yy_)"/>
    <numFmt numFmtId="171" formatCode="0.0_)"/>
    <numFmt numFmtId="172" formatCode="0.00_)"/>
    <numFmt numFmtId="173" formatCode="dd\-mmm\-yy_)"/>
    <numFmt numFmtId="174" formatCode="#,##0.0"/>
    <numFmt numFmtId="175" formatCode="0.0000000"/>
    <numFmt numFmtId="176" formatCode="0.0%"/>
    <numFmt numFmtId="177" formatCode="0.0000_)"/>
    <numFmt numFmtId="178" formatCode="0.0000000_)"/>
    <numFmt numFmtId="179" formatCode="0.00000_)"/>
    <numFmt numFmtId="180" formatCode="0.000_)"/>
    <numFmt numFmtId="181" formatCode="0_)"/>
    <numFmt numFmtId="182" formatCode="0.00_);[Red]\(0.00\)"/>
    <numFmt numFmtId="183" formatCode="#,##0.0000"/>
    <numFmt numFmtId="184" formatCode="0.0000000000000000"/>
    <numFmt numFmtId="185" formatCode="0.000000"/>
    <numFmt numFmtId="186" formatCode="0.0000000000000"/>
    <numFmt numFmtId="187" formatCode="0.00000000"/>
    <numFmt numFmtId="188" formatCode="#,##0.000"/>
    <numFmt numFmtId="189" formatCode="0.000_);[Red]\(0.000\)"/>
    <numFmt numFmtId="190" formatCode="0.0"/>
    <numFmt numFmtId="191" formatCode="#,##0.000_);[Red]\(#,##0.000\)"/>
    <numFmt numFmtId="192" formatCode="#,##0.0_);[Red]\(#,##0.0\)"/>
    <numFmt numFmtId="193" formatCode="_(* #,##0.000_);_(* \(#,##0.000\);_(* &quot;-&quot;??_);_(@_)"/>
  </numFmts>
  <fonts count="121">
    <font>
      <sz val="12"/>
      <name val="Times New Roman"/>
      <family val="1"/>
    </font>
    <font>
      <sz val="10"/>
      <name val="Times New Roman"/>
      <family val="1"/>
    </font>
    <font>
      <sz val="12"/>
      <name val="Times New Roman"/>
      <family val="1"/>
    </font>
    <font>
      <sz val="12"/>
      <color indexed="48"/>
      <name val="Times New Roman"/>
      <family val="1"/>
    </font>
    <font>
      <b/>
      <sz val="18"/>
      <name val="Times New Roman"/>
      <family val="1"/>
    </font>
    <font>
      <sz val="10"/>
      <name val="Times New Roman"/>
      <family val="1"/>
    </font>
    <font>
      <sz val="12"/>
      <color indexed="8"/>
      <name val="Times New Roman"/>
      <family val="1"/>
    </font>
    <font>
      <sz val="14"/>
      <name val="Times New Roman"/>
      <family val="1"/>
    </font>
    <font>
      <sz val="14"/>
      <color indexed="12"/>
      <name val="Times New Roman"/>
      <family val="1"/>
    </font>
    <font>
      <sz val="12"/>
      <color indexed="12"/>
      <name val="Times New Roman"/>
      <family val="1"/>
    </font>
    <font>
      <vertAlign val="superscript"/>
      <sz val="12"/>
      <name val="Times New Roman"/>
      <family val="1"/>
    </font>
    <font>
      <sz val="12"/>
      <name val="Arial"/>
      <family val="2"/>
    </font>
    <font>
      <sz val="10"/>
      <color indexed="12"/>
      <name val="Times New Roman"/>
      <family val="1"/>
    </font>
    <font>
      <i/>
      <sz val="10"/>
      <name val="Times New Roman"/>
      <family val="1"/>
    </font>
    <font>
      <sz val="14"/>
      <color indexed="48"/>
      <name val="Times New Roman"/>
      <family val="1"/>
    </font>
    <font>
      <sz val="16"/>
      <name val="Times New Roman"/>
      <family val="1"/>
    </font>
    <font>
      <sz val="18"/>
      <name val="Times New Roman"/>
      <family val="1"/>
    </font>
    <font>
      <vertAlign val="superscript"/>
      <sz val="10"/>
      <name val="Times New Roman"/>
      <family val="1"/>
    </font>
    <font>
      <sz val="10"/>
      <name val="DUTCH"/>
      <family val="1"/>
    </font>
    <font>
      <vertAlign val="subscript"/>
      <sz val="10"/>
      <name val="DUTCH"/>
    </font>
    <font>
      <vertAlign val="superscript"/>
      <sz val="10"/>
      <name val="DUTCH"/>
    </font>
    <font>
      <sz val="14"/>
      <color indexed="53"/>
      <name val="Times New Roman"/>
      <family val="1"/>
    </font>
    <font>
      <sz val="12"/>
      <color indexed="53"/>
      <name val="Times New Roman"/>
      <family val="1"/>
    </font>
    <font>
      <vertAlign val="subscript"/>
      <sz val="10"/>
      <name val="Times New Roman"/>
      <family val="1"/>
    </font>
    <font>
      <vertAlign val="superscript"/>
      <sz val="14"/>
      <name val="Times New Roman"/>
      <family val="1"/>
    </font>
    <font>
      <b/>
      <sz val="16"/>
      <name val="Times New Roman"/>
      <family val="1"/>
    </font>
    <font>
      <b/>
      <sz val="14"/>
      <name val="Times New Roman"/>
      <family val="1"/>
    </font>
    <font>
      <b/>
      <sz val="8"/>
      <color indexed="81"/>
      <name val="Tahoma"/>
      <family val="2"/>
    </font>
    <font>
      <sz val="8"/>
      <color indexed="81"/>
      <name val="Tahoma"/>
      <family val="2"/>
    </font>
    <font>
      <sz val="16"/>
      <color indexed="53"/>
      <name val="Times New Roman"/>
      <family val="1"/>
    </font>
    <font>
      <sz val="14"/>
      <color indexed="81"/>
      <name val="Tahoma"/>
      <family val="2"/>
    </font>
    <font>
      <b/>
      <sz val="12"/>
      <name val="Times New Roman"/>
      <family val="1"/>
    </font>
    <font>
      <b/>
      <sz val="18"/>
      <color indexed="12"/>
      <name val="Times New Roman"/>
      <family val="1"/>
    </font>
    <font>
      <sz val="10"/>
      <color indexed="10"/>
      <name val="Times New Roman"/>
      <family val="1"/>
    </font>
    <font>
      <b/>
      <sz val="10"/>
      <name val="Times New Roman"/>
      <family val="1"/>
    </font>
    <font>
      <sz val="12"/>
      <color indexed="81"/>
      <name val="Tahoma"/>
      <family val="2"/>
    </font>
    <font>
      <sz val="12"/>
      <color indexed="10"/>
      <name val="Times New Roman"/>
      <family val="1"/>
    </font>
    <font>
      <sz val="10"/>
      <color indexed="81"/>
      <name val="Tahoma"/>
      <family val="2"/>
    </font>
    <font>
      <sz val="10"/>
      <name val="Arial"/>
      <family val="2"/>
    </font>
    <font>
      <sz val="10"/>
      <color indexed="8"/>
      <name val="Times New Roman"/>
      <family val="1"/>
    </font>
    <font>
      <sz val="22"/>
      <color indexed="8"/>
      <name val="Times New Roman"/>
      <family val="1"/>
    </font>
    <font>
      <sz val="24"/>
      <color indexed="8"/>
      <name val="Times New Roman"/>
      <family val="1"/>
    </font>
    <font>
      <b/>
      <sz val="10"/>
      <color indexed="10"/>
      <name val="Times New Roman"/>
      <family val="1"/>
    </font>
    <font>
      <b/>
      <sz val="10"/>
      <color indexed="12"/>
      <name val="Arial"/>
      <family val="2"/>
    </font>
    <font>
      <b/>
      <sz val="10"/>
      <color indexed="10"/>
      <name val="Arial"/>
      <family val="2"/>
    </font>
    <font>
      <sz val="16"/>
      <color indexed="81"/>
      <name val="Tahoma"/>
      <family val="2"/>
    </font>
    <font>
      <sz val="14"/>
      <color indexed="10"/>
      <name val="Times New Roman"/>
      <family val="1"/>
    </font>
    <font>
      <sz val="8"/>
      <name val="Times New Roman"/>
      <family val="1"/>
    </font>
    <font>
      <sz val="10"/>
      <color indexed="12"/>
      <name val="Times New Roman"/>
      <family val="1"/>
    </font>
    <font>
      <b/>
      <sz val="14"/>
      <color indexed="8"/>
      <name val="Times New Roman"/>
      <family val="1"/>
    </font>
    <font>
      <vertAlign val="superscript"/>
      <sz val="12"/>
      <color indexed="8"/>
      <name val="Times New Roman"/>
      <family val="1"/>
    </font>
    <font>
      <b/>
      <sz val="12"/>
      <color indexed="81"/>
      <name val="Tahoma"/>
      <family val="2"/>
    </font>
    <font>
      <b/>
      <sz val="16"/>
      <color indexed="12"/>
      <name val="Times New Roman"/>
      <family val="1"/>
    </font>
    <font>
      <sz val="12"/>
      <name val="Times New Roman"/>
      <family val="1"/>
    </font>
    <font>
      <sz val="10"/>
      <color indexed="10"/>
      <name val="Times New Roman"/>
      <family val="1"/>
    </font>
    <font>
      <sz val="12"/>
      <color indexed="12"/>
      <name val="Times New Roman"/>
      <family val="1"/>
    </font>
    <font>
      <sz val="12"/>
      <color indexed="10"/>
      <name val="Times New Roman"/>
      <family val="1"/>
    </font>
    <font>
      <b/>
      <sz val="12"/>
      <name val="Times New Roman"/>
      <family val="1"/>
    </font>
    <font>
      <vertAlign val="superscript"/>
      <sz val="12"/>
      <name val="Times New Roman"/>
      <family val="1"/>
    </font>
    <font>
      <b/>
      <sz val="20"/>
      <name val="Times New Roman"/>
      <family val="1"/>
    </font>
    <font>
      <b/>
      <sz val="14"/>
      <color indexed="81"/>
      <name val="Tahoma"/>
      <family val="2"/>
    </font>
    <font>
      <vertAlign val="superscript"/>
      <sz val="12"/>
      <color indexed="10"/>
      <name val="Times New Roman"/>
      <family val="1"/>
    </font>
    <font>
      <sz val="18"/>
      <color indexed="10"/>
      <name val="Times New Roman"/>
      <family val="1"/>
    </font>
    <font>
      <sz val="20"/>
      <color indexed="81"/>
      <name val="Tahoma"/>
      <family val="2"/>
    </font>
    <font>
      <b/>
      <sz val="16"/>
      <color indexed="81"/>
      <name val="Tahoma"/>
      <family val="2"/>
    </font>
    <font>
      <sz val="18"/>
      <color indexed="81"/>
      <name val="Tahoma"/>
      <family val="2"/>
    </font>
    <font>
      <b/>
      <sz val="18"/>
      <color indexed="81"/>
      <name val="Tahoma"/>
      <family val="2"/>
    </font>
    <font>
      <b/>
      <sz val="26"/>
      <name val="Times New Roman"/>
      <family val="1"/>
    </font>
    <font>
      <sz val="9"/>
      <color indexed="81"/>
      <name val="Tahoma"/>
      <family val="2"/>
    </font>
    <font>
      <b/>
      <sz val="9"/>
      <color indexed="81"/>
      <name val="Tahoma"/>
      <family val="2"/>
    </font>
    <font>
      <sz val="12"/>
      <color rgb="FFFF0000"/>
      <name val="Times New Roman"/>
      <family val="1"/>
    </font>
    <font>
      <sz val="10"/>
      <color rgb="FF0000FF"/>
      <name val="Times New Roman"/>
      <family val="1"/>
    </font>
    <font>
      <sz val="10"/>
      <color theme="1"/>
      <name val="Times New Roman"/>
      <family val="1"/>
    </font>
    <font>
      <sz val="10"/>
      <color rgb="FFFF0000"/>
      <name val="Times New Roman"/>
      <family val="1"/>
    </font>
    <font>
      <sz val="9"/>
      <name val="Times New Roman"/>
      <family val="1"/>
    </font>
    <font>
      <sz val="11"/>
      <color indexed="81"/>
      <name val="Tahoma"/>
      <family val="2"/>
    </font>
    <font>
      <sz val="16"/>
      <color rgb="FFFF0000"/>
      <name val="Times New Roman"/>
      <family val="1"/>
    </font>
    <font>
      <sz val="11"/>
      <name val="Times New Roman"/>
      <family val="1"/>
    </font>
    <font>
      <sz val="12"/>
      <color theme="1"/>
      <name val="Times New Roman"/>
      <family val="1"/>
    </font>
    <font>
      <b/>
      <sz val="12"/>
      <color rgb="FFFF0000"/>
      <name val="Times New Roman"/>
      <family val="1"/>
    </font>
    <font>
      <u/>
      <sz val="12"/>
      <name val="Times New Roman"/>
      <family val="1"/>
    </font>
    <font>
      <sz val="12"/>
      <color rgb="FF0000FF"/>
      <name val="Times New Roman"/>
      <family val="1"/>
    </font>
    <font>
      <sz val="20"/>
      <name val="Times New Roman"/>
      <family val="1"/>
    </font>
    <font>
      <b/>
      <sz val="14"/>
      <color rgb="FF0000FF"/>
      <name val="Times New Roman"/>
      <family val="1"/>
    </font>
    <font>
      <b/>
      <sz val="12"/>
      <color rgb="FF0000FF"/>
      <name val="Times New Roman"/>
      <family val="1"/>
    </font>
    <font>
      <sz val="14"/>
      <color rgb="FF0000FF"/>
      <name val="Times New Roman"/>
      <family val="1"/>
    </font>
    <font>
      <b/>
      <sz val="24"/>
      <color indexed="81"/>
      <name val="Tahoma"/>
      <family val="2"/>
    </font>
    <font>
      <sz val="11"/>
      <color indexed="48"/>
      <name val="Times New Roman"/>
      <family val="1"/>
    </font>
    <font>
      <b/>
      <sz val="11"/>
      <color indexed="48"/>
      <name val="Times New Roman"/>
      <family val="1"/>
    </font>
    <font>
      <sz val="12"/>
      <color indexed="12"/>
      <name val="SWISS"/>
    </font>
    <font>
      <sz val="12"/>
      <color indexed="12"/>
      <name val="Arial MT"/>
    </font>
    <font>
      <sz val="11"/>
      <color rgb="FFFF0000"/>
      <name val="Times New Roman"/>
      <family val="1"/>
    </font>
    <font>
      <sz val="10"/>
      <color rgb="FF000000"/>
      <name val="Times New Roman"/>
      <family val="1"/>
    </font>
    <font>
      <sz val="12"/>
      <color indexed="10"/>
      <name val="Tahoma"/>
      <family val="2"/>
    </font>
    <font>
      <b/>
      <sz val="12"/>
      <color indexed="12"/>
      <name val="Times New Roman"/>
      <family val="1"/>
    </font>
    <font>
      <sz val="9"/>
      <color indexed="81"/>
      <name val="Calibri"/>
      <family val="2"/>
    </font>
    <font>
      <i/>
      <sz val="9"/>
      <color indexed="81"/>
      <name val="Tahoma"/>
      <family val="2"/>
    </font>
    <font>
      <b/>
      <vertAlign val="superscript"/>
      <sz val="14"/>
      <name val="Times New Roman"/>
      <family val="1"/>
    </font>
    <font>
      <b/>
      <sz val="11"/>
      <name val="Times New Roman"/>
      <family val="1"/>
    </font>
    <font>
      <sz val="12"/>
      <name val="SWISS"/>
    </font>
    <font>
      <sz val="12"/>
      <color indexed="10"/>
      <name val="SWISS"/>
    </font>
    <font>
      <b/>
      <sz val="20"/>
      <color indexed="81"/>
      <name val="Tahoma"/>
      <family val="2"/>
    </font>
    <font>
      <u/>
      <sz val="6.6"/>
      <color indexed="12"/>
      <name val="Arial MT"/>
    </font>
    <font>
      <sz val="11"/>
      <color theme="1"/>
      <name val="Times New Roman"/>
      <family val="1"/>
    </font>
    <font>
      <sz val="12"/>
      <color rgb="FF3333FF"/>
      <name val="Times New Roman"/>
      <family val="1"/>
    </font>
    <font>
      <sz val="11"/>
      <color rgb="FF3333FF"/>
      <name val="Times New Roman"/>
      <family val="1"/>
    </font>
    <font>
      <vertAlign val="superscript"/>
      <sz val="11"/>
      <name val="Times New Roman"/>
      <family val="1"/>
    </font>
    <font>
      <b/>
      <sz val="10"/>
      <color rgb="FF0000FF"/>
      <name val="Times New Roman"/>
      <family val="1"/>
    </font>
    <font>
      <sz val="10"/>
      <color indexed="12"/>
      <name val="Arial MT"/>
    </font>
    <font>
      <i/>
      <sz val="12"/>
      <name val="Times New Roman"/>
      <family val="1"/>
    </font>
    <font>
      <b/>
      <sz val="10"/>
      <color rgb="FF3333FF"/>
      <name val="Times New Roman"/>
      <family val="1"/>
    </font>
    <font>
      <sz val="22"/>
      <color indexed="81"/>
      <name val="Tahoma"/>
      <family val="2"/>
    </font>
    <font>
      <sz val="22"/>
      <name val="Times New Roman"/>
      <family val="1"/>
    </font>
    <font>
      <sz val="12"/>
      <color rgb="FF000000"/>
      <name val="Times New Roman"/>
      <family val="1"/>
    </font>
    <font>
      <b/>
      <strike/>
      <sz val="12"/>
      <name val="Times New Roman"/>
      <family val="1"/>
    </font>
    <font>
      <i/>
      <sz val="9"/>
      <name val="Times New Roman"/>
      <family val="1"/>
    </font>
    <font>
      <sz val="11"/>
      <color indexed="12"/>
      <name val="Times New Roman"/>
      <family val="1"/>
    </font>
    <font>
      <sz val="10"/>
      <color theme="0" tint="-0.14999847407452621"/>
      <name val="Times New Roman"/>
      <family val="1"/>
    </font>
    <font>
      <sz val="12"/>
      <color theme="0" tint="-0.34998626667073579"/>
      <name val="Times New Roman"/>
      <family val="1"/>
    </font>
    <font>
      <sz val="12"/>
      <color theme="0"/>
      <name val="Times New Roman"/>
      <family val="1"/>
    </font>
    <font>
      <sz val="10"/>
      <color rgb="FF3333FF"/>
      <name val="Times New Roman"/>
      <family val="1"/>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indexed="44"/>
        <bgColor indexed="64"/>
      </patternFill>
    </fill>
    <fill>
      <patternFill patternType="solid">
        <fgColor rgb="FFFFFFFF"/>
        <bgColor indexed="64"/>
      </patternFill>
    </fill>
    <fill>
      <patternFill patternType="solid">
        <fgColor indexed="15"/>
        <bgColor indexed="15"/>
      </patternFill>
    </fill>
    <fill>
      <patternFill patternType="solid">
        <fgColor rgb="FFFF99FF"/>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118">
    <border>
      <left/>
      <right/>
      <top/>
      <bottom/>
      <diagonal/>
    </border>
    <border>
      <left/>
      <right/>
      <top/>
      <bottom style="thin">
        <color indexed="64"/>
      </bottom>
      <diagonal/>
    </border>
    <border>
      <left style="thin">
        <color indexed="8"/>
      </left>
      <right style="thin">
        <color indexed="8"/>
      </right>
      <top style="thin">
        <color indexed="8"/>
      </top>
      <bottom/>
      <diagonal/>
    </border>
    <border>
      <left style="double">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right/>
      <top/>
      <bottom style="thin">
        <color indexed="8"/>
      </bottom>
      <diagonal/>
    </border>
    <border>
      <left style="thin">
        <color indexed="8"/>
      </left>
      <right style="thin">
        <color indexed="8"/>
      </right>
      <top style="thin">
        <color indexed="8"/>
      </top>
      <bottom style="double">
        <color indexed="8"/>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8"/>
      </left>
      <right/>
      <top style="thin">
        <color indexed="8"/>
      </top>
      <bottom style="double">
        <color indexed="8"/>
      </bottom>
      <diagonal/>
    </border>
    <border>
      <left/>
      <right style="thin">
        <color indexed="8"/>
      </right>
      <top style="thin">
        <color indexed="8"/>
      </top>
      <bottom style="double">
        <color indexed="8"/>
      </bottom>
      <diagonal/>
    </border>
    <border>
      <left style="medium">
        <color indexed="64"/>
      </left>
      <right style="medium">
        <color indexed="64"/>
      </right>
      <top style="medium">
        <color indexed="64"/>
      </top>
      <bottom style="double">
        <color indexed="8"/>
      </bottom>
      <diagonal/>
    </border>
    <border>
      <left style="thin">
        <color indexed="8"/>
      </left>
      <right/>
      <top style="thin">
        <color indexed="8"/>
      </top>
      <bottom/>
      <diagonal/>
    </border>
    <border>
      <left style="medium">
        <color indexed="64"/>
      </left>
      <right/>
      <top style="medium">
        <color indexed="64"/>
      </top>
      <bottom style="thin">
        <color indexed="8"/>
      </bottom>
      <diagonal/>
    </border>
    <border>
      <left/>
      <right style="thin">
        <color indexed="8"/>
      </right>
      <top style="medium">
        <color indexed="64"/>
      </top>
      <bottom style="thin">
        <color indexed="8"/>
      </bottom>
      <diagonal/>
    </border>
    <border>
      <left style="medium">
        <color indexed="64"/>
      </left>
      <right style="thin">
        <color indexed="8"/>
      </right>
      <top style="thin">
        <color indexed="8"/>
      </top>
      <bottom style="double">
        <color indexed="8"/>
      </bottom>
      <diagonal/>
    </border>
    <border>
      <left/>
      <right/>
      <top style="medium">
        <color indexed="64"/>
      </top>
      <bottom style="thin">
        <color indexed="8"/>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indexed="8"/>
      </bottom>
      <diagonal/>
    </border>
    <border>
      <left style="thin">
        <color indexed="8"/>
      </left>
      <right style="thin">
        <color indexed="8"/>
      </right>
      <top/>
      <bottom style="thin">
        <color indexed="8"/>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thin">
        <color indexed="8"/>
      </right>
      <top/>
      <bottom/>
      <diagonal/>
    </border>
    <border>
      <left style="thin">
        <color indexed="8"/>
      </left>
      <right style="thin">
        <color indexed="8"/>
      </right>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64"/>
      </right>
      <top/>
      <bottom/>
      <diagonal/>
    </border>
    <border>
      <left/>
      <right/>
      <top/>
      <bottom style="medium">
        <color indexed="8"/>
      </bottom>
      <diagonal/>
    </border>
    <border>
      <left style="double">
        <color indexed="8"/>
      </left>
      <right/>
      <top/>
      <bottom style="medium">
        <color indexed="8"/>
      </bottom>
      <diagonal/>
    </border>
    <border>
      <left/>
      <right style="double">
        <color indexed="8"/>
      </right>
      <top/>
      <bottom style="medium">
        <color indexed="8"/>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style="thin">
        <color indexed="8"/>
      </right>
      <top style="medium">
        <color indexed="64"/>
      </top>
      <bottom/>
      <diagonal/>
    </border>
    <border>
      <left style="medium">
        <color indexed="64"/>
      </left>
      <right style="thin">
        <color indexed="8"/>
      </right>
      <top style="thin">
        <color indexed="8"/>
      </top>
      <bottom style="medium">
        <color indexed="8"/>
      </bottom>
      <diagonal/>
    </border>
    <border>
      <left/>
      <right style="medium">
        <color indexed="64"/>
      </right>
      <top/>
      <bottom style="medium">
        <color indexed="8"/>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thin">
        <color indexed="8"/>
      </top>
      <bottom/>
      <diagonal/>
    </border>
    <border>
      <left style="medium">
        <color indexed="64"/>
      </left>
      <right/>
      <top/>
      <bottom style="double">
        <color indexed="8"/>
      </bottom>
      <diagonal/>
    </border>
    <border>
      <left/>
      <right style="medium">
        <color indexed="64"/>
      </right>
      <top/>
      <bottom style="double">
        <color indexed="64"/>
      </bottom>
      <diagonal/>
    </border>
    <border>
      <left style="medium">
        <color indexed="64"/>
      </left>
      <right/>
      <top/>
      <bottom style="thin">
        <color indexed="8"/>
      </bottom>
      <diagonal/>
    </border>
    <border>
      <left style="thin">
        <color indexed="8"/>
      </left>
      <right/>
      <top style="thin">
        <color indexed="8"/>
      </top>
      <bottom style="medium">
        <color indexed="8"/>
      </bottom>
      <diagonal/>
    </border>
    <border>
      <left style="thin">
        <color indexed="64"/>
      </left>
      <right/>
      <top/>
      <bottom style="medium">
        <color indexed="8"/>
      </bottom>
      <diagonal/>
    </border>
    <border>
      <left style="thin">
        <color indexed="64"/>
      </left>
      <right/>
      <top style="thin">
        <color indexed="64"/>
      </top>
      <bottom style="medium">
        <color indexed="8"/>
      </bottom>
      <diagonal/>
    </border>
    <border>
      <left style="double">
        <color indexed="8"/>
      </left>
      <right/>
      <top style="medium">
        <color indexed="64"/>
      </top>
      <bottom/>
      <diagonal/>
    </border>
    <border>
      <left/>
      <right style="double">
        <color indexed="8"/>
      </right>
      <top style="medium">
        <color indexed="64"/>
      </top>
      <bottom style="thin">
        <color indexed="64"/>
      </bottom>
      <diagonal/>
    </border>
    <border>
      <left style="medium">
        <color indexed="64"/>
      </left>
      <right/>
      <top/>
      <bottom style="medium">
        <color indexed="8"/>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64"/>
      </bottom>
      <diagonal/>
    </border>
    <border>
      <left style="thin">
        <color indexed="8"/>
      </left>
      <right style="medium">
        <color indexed="64"/>
      </right>
      <top style="medium">
        <color indexed="64"/>
      </top>
      <bottom style="thin">
        <color indexed="64"/>
      </bottom>
      <diagonal/>
    </border>
    <border>
      <left style="thin">
        <color indexed="64"/>
      </left>
      <right/>
      <top style="thin">
        <color indexed="8"/>
      </top>
      <bottom style="thin">
        <color indexed="64"/>
      </bottom>
      <diagonal/>
    </border>
    <border>
      <left style="medium">
        <color indexed="64"/>
      </left>
      <right/>
      <top style="thin">
        <color indexed="8"/>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double">
        <color indexed="8"/>
      </left>
      <right/>
      <top style="thin">
        <color indexed="8"/>
      </top>
      <bottom/>
      <diagonal/>
    </border>
    <border>
      <left style="thin">
        <color indexed="64"/>
      </left>
      <right style="thin">
        <color indexed="8"/>
      </right>
      <top style="thin">
        <color indexed="8"/>
      </top>
      <bottom/>
      <diagonal/>
    </border>
    <border>
      <left/>
      <right/>
      <top style="thin">
        <color indexed="64"/>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style="thin">
        <color indexed="8"/>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ck">
        <color indexed="64"/>
      </left>
      <right style="thick">
        <color indexed="64"/>
      </right>
      <top/>
      <bottom/>
      <diagonal/>
    </border>
    <border>
      <left style="thin">
        <color indexed="8"/>
      </left>
      <right style="thin">
        <color indexed="8"/>
      </right>
      <top style="thin">
        <color indexed="64"/>
      </top>
      <bottom/>
      <diagonal/>
    </border>
    <border>
      <left style="medium">
        <color indexed="64"/>
      </left>
      <right style="medium">
        <color indexed="64"/>
      </right>
      <top style="thin">
        <color indexed="64"/>
      </top>
      <bottom/>
      <diagonal/>
    </border>
    <border>
      <left style="double">
        <color indexed="8"/>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thin">
        <color indexed="8"/>
      </right>
      <top/>
      <bottom style="thin">
        <color indexed="64"/>
      </bottom>
      <diagonal/>
    </border>
    <border>
      <left style="medium">
        <color indexed="64"/>
      </left>
      <right style="medium">
        <color indexed="64"/>
      </right>
      <top style="thin">
        <color indexed="8"/>
      </top>
      <bottom style="thin">
        <color indexed="64"/>
      </bottom>
      <diagonal/>
    </border>
    <border>
      <left style="double">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64"/>
      </top>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right/>
      <top/>
      <bottom style="hair">
        <color indexed="64"/>
      </bottom>
      <diagonal/>
    </border>
    <border>
      <left/>
      <right/>
      <top style="hair">
        <color indexed="64"/>
      </top>
      <bottom style="thin">
        <color indexed="64"/>
      </bottom>
      <diagonal/>
    </border>
    <border>
      <left style="medium">
        <color indexed="64"/>
      </left>
      <right/>
      <top style="thin">
        <color indexed="64"/>
      </top>
      <bottom/>
      <diagonal/>
    </border>
    <border>
      <left/>
      <right/>
      <top style="thin">
        <color indexed="64"/>
      </top>
      <bottom style="hair">
        <color indexed="64"/>
      </bottom>
      <diagonal/>
    </border>
    <border>
      <left/>
      <right style="medium">
        <color indexed="64"/>
      </right>
      <top style="thin">
        <color indexed="64"/>
      </top>
      <bottom style="thin">
        <color indexed="64"/>
      </bottom>
      <diagonal/>
    </border>
    <border>
      <left/>
      <right/>
      <top style="hair">
        <color indexed="64"/>
      </top>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8"/>
      </bottom>
      <diagonal/>
    </border>
    <border>
      <left style="medium">
        <color rgb="FFFF99FF"/>
      </left>
      <right style="medium">
        <color rgb="FFFF99FF"/>
      </right>
      <top style="medium">
        <color rgb="FFFF99FF"/>
      </top>
      <bottom/>
      <diagonal/>
    </border>
    <border>
      <left style="medium">
        <color rgb="FFFF99FF"/>
      </left>
      <right style="medium">
        <color rgb="FFFF99FF"/>
      </right>
      <top/>
      <bottom style="medium">
        <color rgb="FFFF99FF"/>
      </bottom>
      <diagonal/>
    </border>
    <border>
      <left/>
      <right style="medium">
        <color indexed="64"/>
      </right>
      <top style="thin">
        <color indexed="8"/>
      </top>
      <bottom style="thin">
        <color indexed="8"/>
      </bottom>
      <diagonal/>
    </border>
    <border>
      <left style="thin">
        <color indexed="8"/>
      </left>
      <right style="thin">
        <color indexed="64"/>
      </right>
      <top style="thin">
        <color indexed="8"/>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99" fillId="0" borderId="0"/>
    <xf numFmtId="0" fontId="102" fillId="0" borderId="0" applyNumberFormat="0" applyFill="0" applyBorder="0" applyAlignment="0" applyProtection="0">
      <alignment vertical="top"/>
      <protection locked="0"/>
    </xf>
  </cellStyleXfs>
  <cellXfs count="1326">
    <xf numFmtId="0" fontId="0" fillId="0" borderId="0" xfId="0"/>
    <xf numFmtId="0" fontId="0" fillId="0" borderId="0" xfId="0" applyAlignment="1">
      <alignment horizontal="center"/>
    </xf>
    <xf numFmtId="0" fontId="0" fillId="0" borderId="1" xfId="0" applyBorder="1"/>
    <xf numFmtId="165" fontId="0" fillId="0" borderId="0" xfId="1" applyNumberFormat="1" applyFont="1"/>
    <xf numFmtId="0" fontId="2" fillId="0" borderId="0" xfId="0" applyFont="1"/>
    <xf numFmtId="0" fontId="4" fillId="0" borderId="0" xfId="0" applyFont="1"/>
    <xf numFmtId="0" fontId="5" fillId="0" borderId="0" xfId="0" applyFont="1"/>
    <xf numFmtId="171" fontId="5" fillId="0" borderId="0" xfId="0" applyNumberFormat="1" applyFont="1" applyProtection="1"/>
    <xf numFmtId="0" fontId="2" fillId="0" borderId="3" xfId="0" applyFont="1" applyBorder="1" applyAlignment="1">
      <alignment horizontal="center"/>
    </xf>
    <xf numFmtId="0" fontId="2" fillId="0" borderId="4" xfId="0" applyFont="1" applyBorder="1" applyAlignment="1">
      <alignment horizontal="centerContinuous"/>
    </xf>
    <xf numFmtId="0" fontId="2" fillId="0" borderId="5" xfId="0" applyFont="1" applyBorder="1" applyAlignment="1">
      <alignment horizontal="centerContinuous"/>
    </xf>
    <xf numFmtId="0" fontId="2" fillId="0" borderId="6" xfId="0" applyFont="1" applyBorder="1" applyAlignment="1">
      <alignment horizontal="centerContinuous"/>
    </xf>
    <xf numFmtId="0" fontId="2" fillId="0" borderId="8" xfId="0" applyFont="1" applyBorder="1"/>
    <xf numFmtId="0" fontId="2" fillId="0" borderId="0" xfId="0" applyFont="1" applyBorder="1"/>
    <xf numFmtId="168" fontId="9" fillId="0" borderId="0" xfId="0" applyNumberFormat="1" applyFont="1" applyProtection="1"/>
    <xf numFmtId="168" fontId="9" fillId="0" borderId="0" xfId="0" applyNumberFormat="1" applyFont="1" applyAlignment="1" applyProtection="1">
      <alignment horizontal="center"/>
    </xf>
    <xf numFmtId="171" fontId="2" fillId="0" borderId="0" xfId="0" applyNumberFormat="1" applyFont="1" applyProtection="1"/>
    <xf numFmtId="173" fontId="5" fillId="0" borderId="0" xfId="0" applyNumberFormat="1" applyFont="1" applyProtection="1"/>
    <xf numFmtId="0" fontId="11" fillId="0" borderId="9" xfId="0" applyFont="1" applyBorder="1" applyAlignment="1">
      <alignment horizontal="centerContinuous"/>
    </xf>
    <xf numFmtId="0" fontId="0" fillId="0" borderId="0" xfId="0" applyFill="1" applyBorder="1" applyAlignment="1"/>
    <xf numFmtId="0" fontId="0" fillId="0" borderId="10" xfId="0" applyFill="1" applyBorder="1" applyAlignment="1"/>
    <xf numFmtId="0" fontId="13" fillId="0" borderId="11" xfId="0" applyFont="1" applyFill="1" applyBorder="1" applyAlignment="1">
      <alignment horizontal="center"/>
    </xf>
    <xf numFmtId="0" fontId="13" fillId="0" borderId="11" xfId="0" applyFont="1" applyFill="1" applyBorder="1" applyAlignment="1">
      <alignment horizontal="centerContinuous"/>
    </xf>
    <xf numFmtId="0" fontId="0" fillId="0" borderId="0" xfId="0" applyBorder="1"/>
    <xf numFmtId="0" fontId="5" fillId="0" borderId="12" xfId="0" applyFont="1" applyBorder="1" applyAlignment="1">
      <alignment horizontal="center"/>
    </xf>
    <xf numFmtId="0" fontId="12" fillId="0" borderId="0" xfId="0" applyFont="1"/>
    <xf numFmtId="0" fontId="0" fillId="0" borderId="14" xfId="0" applyBorder="1"/>
    <xf numFmtId="0" fontId="0" fillId="0" borderId="15" xfId="0" applyBorder="1"/>
    <xf numFmtId="0" fontId="0" fillId="0" borderId="16" xfId="0" applyBorder="1"/>
    <xf numFmtId="0" fontId="0" fillId="0" borderId="17" xfId="0" applyBorder="1"/>
    <xf numFmtId="0" fontId="0" fillId="0" borderId="10" xfId="0" applyBorder="1"/>
    <xf numFmtId="0" fontId="0" fillId="0" borderId="18" xfId="0" applyBorder="1"/>
    <xf numFmtId="0" fontId="0" fillId="0" borderId="19" xfId="0" applyBorder="1"/>
    <xf numFmtId="3" fontId="12" fillId="0" borderId="0" xfId="0" applyNumberFormat="1" applyFont="1"/>
    <xf numFmtId="0" fontId="11" fillId="0" borderId="9" xfId="0" applyFont="1" applyBorder="1" applyAlignment="1">
      <alignment horizontal="center"/>
    </xf>
    <xf numFmtId="3" fontId="0" fillId="0" borderId="0" xfId="0" applyNumberFormat="1"/>
    <xf numFmtId="0" fontId="11" fillId="0" borderId="20" xfId="0" applyFont="1" applyBorder="1" applyAlignment="1">
      <alignment horizontal="center"/>
    </xf>
    <xf numFmtId="0" fontId="11" fillId="0" borderId="21" xfId="0" applyFont="1" applyBorder="1" applyAlignment="1">
      <alignment horizontal="centerContinuous"/>
    </xf>
    <xf numFmtId="0" fontId="11" fillId="0" borderId="22" xfId="0" applyFont="1" applyBorder="1" applyAlignment="1">
      <alignment horizontal="centerContinuous"/>
    </xf>
    <xf numFmtId="3" fontId="12" fillId="0" borderId="13" xfId="0" applyNumberFormat="1" applyFont="1" applyBorder="1"/>
    <xf numFmtId="0" fontId="11" fillId="0" borderId="23" xfId="0" applyFont="1" applyBorder="1"/>
    <xf numFmtId="0" fontId="11" fillId="0" borderId="24" xfId="0" applyFont="1" applyBorder="1" applyAlignment="1">
      <alignment horizontal="centerContinuous"/>
    </xf>
    <xf numFmtId="0" fontId="11" fillId="0" borderId="25" xfId="0" applyFont="1" applyBorder="1" applyAlignment="1">
      <alignment horizontal="centerContinuous"/>
    </xf>
    <xf numFmtId="0" fontId="11" fillId="0" borderId="15" xfId="0" applyFont="1" applyBorder="1" applyAlignment="1">
      <alignment horizontal="centerContinuous"/>
    </xf>
    <xf numFmtId="0" fontId="11" fillId="0" borderId="26" xfId="0" applyFont="1" applyBorder="1" applyAlignment="1">
      <alignment horizontal="centerContinuous"/>
    </xf>
    <xf numFmtId="3" fontId="0" fillId="0" borderId="0" xfId="0" applyNumberFormat="1" applyBorder="1"/>
    <xf numFmtId="0" fontId="11" fillId="0" borderId="27" xfId="0" applyFont="1" applyBorder="1" applyAlignment="1">
      <alignment horizontal="centerContinuous"/>
    </xf>
    <xf numFmtId="0" fontId="0" fillId="0" borderId="27" xfId="0" applyBorder="1" applyAlignment="1">
      <alignment horizontal="centerContinuous"/>
    </xf>
    <xf numFmtId="0" fontId="0" fillId="0" borderId="24" xfId="0" applyBorder="1" applyAlignment="1">
      <alignment horizontal="centerContinuous"/>
    </xf>
    <xf numFmtId="0" fontId="0" fillId="0" borderId="25" xfId="0" applyBorder="1" applyAlignment="1">
      <alignment horizontal="centerContinuous"/>
    </xf>
    <xf numFmtId="0" fontId="0" fillId="0" borderId="15" xfId="0" applyBorder="1" applyAlignment="1">
      <alignment horizontal="centerContinuous"/>
    </xf>
    <xf numFmtId="0" fontId="16" fillId="0" borderId="0" xfId="0" applyFont="1"/>
    <xf numFmtId="0" fontId="11" fillId="0" borderId="0" xfId="0" applyFont="1" applyBorder="1"/>
    <xf numFmtId="3" fontId="12" fillId="0" borderId="0" xfId="0" applyNumberFormat="1" applyFont="1" applyBorder="1"/>
    <xf numFmtId="0" fontId="0" fillId="0" borderId="29" xfId="0" applyBorder="1" applyAlignment="1">
      <alignment horizontal="center"/>
    </xf>
    <xf numFmtId="0" fontId="2" fillId="0" borderId="30" xfId="0" applyFont="1" applyBorder="1"/>
    <xf numFmtId="172" fontId="18" fillId="0" borderId="31" xfId="0" applyNumberFormat="1" applyFont="1" applyBorder="1" applyAlignment="1" applyProtection="1">
      <alignment horizontal="center"/>
    </xf>
    <xf numFmtId="0" fontId="18" fillId="0" borderId="31" xfId="0" applyFont="1" applyBorder="1" applyAlignment="1">
      <alignment horizontal="center"/>
    </xf>
    <xf numFmtId="178" fontId="18" fillId="0" borderId="31" xfId="0" applyNumberFormat="1" applyFont="1" applyBorder="1" applyAlignment="1" applyProtection="1">
      <alignment horizontal="center"/>
    </xf>
    <xf numFmtId="179" fontId="18" fillId="0" borderId="31" xfId="0" applyNumberFormat="1" applyFont="1" applyBorder="1" applyAlignment="1" applyProtection="1">
      <alignment horizontal="center"/>
    </xf>
    <xf numFmtId="180" fontId="18" fillId="0" borderId="31" xfId="0" applyNumberFormat="1" applyFont="1" applyBorder="1" applyAlignment="1" applyProtection="1">
      <alignment horizontal="center"/>
    </xf>
    <xf numFmtId="0" fontId="12" fillId="0" borderId="32" xfId="0" applyFont="1" applyBorder="1"/>
    <xf numFmtId="0" fontId="12" fillId="0" borderId="33" xfId="0" applyFont="1" applyBorder="1"/>
    <xf numFmtId="0" fontId="12" fillId="0" borderId="34" xfId="0" applyFont="1" applyBorder="1"/>
    <xf numFmtId="2" fontId="12" fillId="0" borderId="0" xfId="0" quotePrefix="1" applyNumberFormat="1" applyFont="1" applyFill="1" applyBorder="1"/>
    <xf numFmtId="177" fontId="12" fillId="0" borderId="0" xfId="0" applyNumberFormat="1" applyFont="1" applyProtection="1"/>
    <xf numFmtId="179" fontId="12" fillId="0" borderId="0" xfId="0" applyNumberFormat="1" applyFont="1" applyProtection="1"/>
    <xf numFmtId="181" fontId="12" fillId="0" borderId="0" xfId="0" applyNumberFormat="1" applyFont="1" applyProtection="1"/>
    <xf numFmtId="37" fontId="12" fillId="0" borderId="0" xfId="0" applyNumberFormat="1" applyFont="1" applyProtection="1"/>
    <xf numFmtId="176" fontId="12" fillId="0" borderId="35" xfId="0" applyNumberFormat="1" applyFont="1" applyBorder="1" applyProtection="1"/>
    <xf numFmtId="0" fontId="12" fillId="0" borderId="35" xfId="0" applyFont="1" applyBorder="1"/>
    <xf numFmtId="177" fontId="12" fillId="0" borderId="36" xfId="0" applyNumberFormat="1" applyFont="1" applyBorder="1" applyProtection="1"/>
    <xf numFmtId="180" fontId="0" fillId="0" borderId="0" xfId="0" applyNumberFormat="1" applyProtection="1"/>
    <xf numFmtId="180" fontId="0" fillId="0" borderId="23" xfId="0" applyNumberFormat="1" applyBorder="1" applyProtection="1"/>
    <xf numFmtId="180" fontId="0" fillId="0" borderId="7" xfId="0" applyNumberFormat="1" applyBorder="1" applyProtection="1"/>
    <xf numFmtId="180" fontId="0" fillId="0" borderId="37" xfId="0" applyNumberFormat="1" applyBorder="1" applyProtection="1"/>
    <xf numFmtId="180" fontId="0" fillId="0" borderId="38" xfId="0" applyNumberFormat="1" applyBorder="1" applyProtection="1"/>
    <xf numFmtId="180" fontId="0" fillId="0" borderId="35" xfId="0" applyNumberFormat="1" applyBorder="1" applyProtection="1"/>
    <xf numFmtId="180" fontId="0" fillId="0" borderId="39" xfId="0" applyNumberFormat="1" applyBorder="1" applyProtection="1"/>
    <xf numFmtId="180" fontId="0" fillId="0" borderId="8" xfId="0" applyNumberFormat="1" applyBorder="1" applyProtection="1"/>
    <xf numFmtId="180" fontId="0" fillId="0" borderId="40" xfId="0" applyNumberFormat="1" applyBorder="1" applyProtection="1"/>
    <xf numFmtId="166" fontId="12" fillId="0" borderId="38" xfId="0" applyNumberFormat="1" applyFont="1" applyBorder="1"/>
    <xf numFmtId="166" fontId="12" fillId="0" borderId="35" xfId="0" applyNumberFormat="1" applyFont="1" applyBorder="1"/>
    <xf numFmtId="4" fontId="12" fillId="0" borderId="0" xfId="0" applyNumberFormat="1" applyFont="1" applyBorder="1"/>
    <xf numFmtId="174" fontId="12" fillId="0" borderId="41" xfId="0" applyNumberFormat="1" applyFont="1" applyBorder="1"/>
    <xf numFmtId="0" fontId="21" fillId="0" borderId="0" xfId="0" applyFont="1"/>
    <xf numFmtId="0" fontId="5" fillId="0" borderId="6" xfId="0" applyFont="1" applyBorder="1" applyAlignment="1">
      <alignment horizontal="centerContinuous"/>
    </xf>
    <xf numFmtId="0" fontId="5" fillId="0" borderId="4" xfId="0" applyFont="1" applyBorder="1" applyAlignment="1">
      <alignment horizontal="centerContinuous"/>
    </xf>
    <xf numFmtId="0" fontId="5" fillId="0" borderId="5" xfId="0" applyFont="1" applyBorder="1" applyAlignment="1">
      <alignment horizontal="centerContinuous"/>
    </xf>
    <xf numFmtId="3" fontId="9" fillId="0" borderId="0" xfId="1" applyNumberFormat="1" applyFont="1" applyBorder="1" applyAlignment="1" applyProtection="1">
      <alignment horizontal="right"/>
    </xf>
    <xf numFmtId="10" fontId="9" fillId="0" borderId="0" xfId="2" applyNumberFormat="1" applyFont="1"/>
    <xf numFmtId="165" fontId="9" fillId="0" borderId="0" xfId="1" applyNumberFormat="1" applyFont="1" applyBorder="1" applyAlignment="1" applyProtection="1">
      <alignment horizontal="right"/>
    </xf>
    <xf numFmtId="165" fontId="12" fillId="0" borderId="0" xfId="1" applyNumberFormat="1" applyFont="1" applyBorder="1" applyAlignment="1">
      <alignment horizontal="right"/>
    </xf>
    <xf numFmtId="10" fontId="9" fillId="0" borderId="0" xfId="2" applyNumberFormat="1" applyFont="1" applyBorder="1"/>
    <xf numFmtId="0" fontId="5" fillId="0" borderId="0" xfId="0" applyFont="1" applyBorder="1"/>
    <xf numFmtId="0" fontId="5" fillId="0" borderId="0" xfId="0" applyFont="1" applyAlignment="1">
      <alignment horizontal="right"/>
    </xf>
    <xf numFmtId="0" fontId="5" fillId="0" borderId="0" xfId="0" applyFont="1" applyAlignment="1">
      <alignment horizontal="left"/>
    </xf>
    <xf numFmtId="0" fontId="5" fillId="0" borderId="2" xfId="0" applyFont="1" applyBorder="1"/>
    <xf numFmtId="0" fontId="5" fillId="0" borderId="4" xfId="0" applyFont="1" applyBorder="1"/>
    <xf numFmtId="0" fontId="5" fillId="0" borderId="5" xfId="0" applyFont="1" applyBorder="1"/>
    <xf numFmtId="0" fontId="5" fillId="0" borderId="6" xfId="0" applyFont="1" applyBorder="1"/>
    <xf numFmtId="172" fontId="5" fillId="0" borderId="6" xfId="0" applyNumberFormat="1" applyFont="1" applyBorder="1" applyProtection="1"/>
    <xf numFmtId="177" fontId="5" fillId="0" borderId="5" xfId="0" applyNumberFormat="1" applyFont="1" applyBorder="1" applyProtection="1"/>
    <xf numFmtId="0" fontId="5" fillId="0" borderId="2" xfId="0" applyFont="1" applyBorder="1" applyAlignment="1">
      <alignment horizontal="center"/>
    </xf>
    <xf numFmtId="0" fontId="5" fillId="0" borderId="45" xfId="0" applyFont="1" applyBorder="1" applyAlignment="1">
      <alignment horizontal="center"/>
    </xf>
    <xf numFmtId="0" fontId="5" fillId="0" borderId="36" xfId="0" applyFont="1" applyBorder="1" applyAlignment="1">
      <alignment horizontal="center"/>
    </xf>
    <xf numFmtId="0" fontId="5" fillId="0" borderId="36" xfId="0" applyFont="1" applyBorder="1"/>
    <xf numFmtId="172" fontId="5" fillId="0" borderId="2" xfId="0" applyNumberFormat="1" applyFont="1" applyBorder="1" applyProtection="1"/>
    <xf numFmtId="177" fontId="5" fillId="0" borderId="2" xfId="0" applyNumberFormat="1" applyFont="1" applyBorder="1" applyAlignment="1" applyProtection="1">
      <alignment horizontal="center"/>
    </xf>
    <xf numFmtId="0" fontId="5" fillId="0" borderId="31" xfId="0" applyFont="1" applyBorder="1" applyAlignment="1">
      <alignment horizontal="center"/>
    </xf>
    <xf numFmtId="0" fontId="5" fillId="0" borderId="31" xfId="0" applyFont="1" applyBorder="1"/>
    <xf numFmtId="37" fontId="5" fillId="0" borderId="31" xfId="0" applyNumberFormat="1" applyFont="1" applyBorder="1" applyAlignment="1" applyProtection="1">
      <alignment horizontal="center"/>
    </xf>
    <xf numFmtId="172" fontId="5" fillId="0" borderId="31" xfId="0" applyNumberFormat="1" applyFont="1" applyBorder="1" applyAlignment="1" applyProtection="1">
      <alignment horizontal="center"/>
    </xf>
    <xf numFmtId="178" fontId="5" fillId="0" borderId="31" xfId="0" applyNumberFormat="1" applyFont="1" applyBorder="1" applyAlignment="1" applyProtection="1">
      <alignment horizontal="center"/>
    </xf>
    <xf numFmtId="179" fontId="5" fillId="0" borderId="31" xfId="0" applyNumberFormat="1" applyFont="1" applyBorder="1" applyAlignment="1" applyProtection="1">
      <alignment horizontal="center"/>
    </xf>
    <xf numFmtId="180" fontId="5" fillId="0" borderId="31" xfId="0" applyNumberFormat="1" applyFont="1" applyBorder="1" applyAlignment="1" applyProtection="1">
      <alignment horizontal="center"/>
    </xf>
    <xf numFmtId="0" fontId="5" fillId="0" borderId="31" xfId="0" quotePrefix="1" applyFont="1" applyBorder="1" applyAlignment="1">
      <alignment horizontal="center"/>
    </xf>
    <xf numFmtId="37" fontId="5" fillId="0" borderId="0" xfId="0" applyNumberFormat="1" applyFont="1" applyBorder="1" applyAlignment="1" applyProtection="1">
      <alignment horizontal="center"/>
    </xf>
    <xf numFmtId="172" fontId="5" fillId="0" borderId="0" xfId="0" applyNumberFormat="1" applyFont="1" applyBorder="1" applyAlignment="1" applyProtection="1">
      <alignment horizontal="center"/>
    </xf>
    <xf numFmtId="0" fontId="5" fillId="0" borderId="0" xfId="0" applyFont="1" applyBorder="1" applyAlignment="1">
      <alignment horizontal="center"/>
    </xf>
    <xf numFmtId="178" fontId="5" fillId="0" borderId="0" xfId="0" applyNumberFormat="1" applyFont="1" applyBorder="1" applyAlignment="1" applyProtection="1">
      <alignment horizontal="center"/>
    </xf>
    <xf numFmtId="179" fontId="5" fillId="0" borderId="0" xfId="0" applyNumberFormat="1" applyFont="1" applyBorder="1" applyAlignment="1" applyProtection="1">
      <alignment horizontal="center"/>
    </xf>
    <xf numFmtId="180" fontId="5" fillId="0" borderId="0" xfId="0" applyNumberFormat="1" applyFont="1" applyBorder="1" applyAlignment="1" applyProtection="1">
      <alignment horizontal="center"/>
    </xf>
    <xf numFmtId="0" fontId="5" fillId="0" borderId="0" xfId="0" quotePrefix="1" applyFont="1" applyBorder="1" applyAlignment="1">
      <alignment horizontal="center"/>
    </xf>
    <xf numFmtId="180" fontId="5" fillId="0" borderId="0" xfId="0" applyNumberFormat="1" applyFont="1"/>
    <xf numFmtId="177" fontId="5" fillId="0" borderId="0" xfId="0" applyNumberFormat="1" applyFont="1"/>
    <xf numFmtId="0" fontId="9" fillId="0" borderId="39" xfId="0" applyFont="1" applyBorder="1"/>
    <xf numFmtId="0" fontId="5" fillId="0" borderId="8" xfId="0" applyFont="1" applyBorder="1"/>
    <xf numFmtId="177" fontId="5" fillId="0" borderId="8" xfId="0" applyNumberFormat="1" applyFont="1" applyBorder="1" applyProtection="1"/>
    <xf numFmtId="179" fontId="5" fillId="0" borderId="8" xfId="0" applyNumberFormat="1" applyFont="1" applyBorder="1" applyProtection="1"/>
    <xf numFmtId="0" fontId="5" fillId="0" borderId="40" xfId="0" applyFont="1" applyBorder="1"/>
    <xf numFmtId="0" fontId="5" fillId="0" borderId="38" xfId="0" applyFont="1" applyBorder="1"/>
    <xf numFmtId="177" fontId="5" fillId="0" borderId="0" xfId="0" applyNumberFormat="1" applyFont="1" applyProtection="1"/>
    <xf numFmtId="179" fontId="5" fillId="0" borderId="0" xfId="0" applyNumberFormat="1" applyFont="1" applyAlignment="1" applyProtection="1">
      <alignment horizontal="right"/>
    </xf>
    <xf numFmtId="0" fontId="5" fillId="0" borderId="35" xfId="0" applyFont="1" applyBorder="1"/>
    <xf numFmtId="179" fontId="5" fillId="0" borderId="0" xfId="0" applyNumberFormat="1" applyFont="1" applyProtection="1"/>
    <xf numFmtId="0" fontId="12" fillId="0" borderId="39" xfId="0" applyFont="1" applyBorder="1"/>
    <xf numFmtId="0" fontId="24" fillId="0" borderId="0" xfId="0" applyFont="1" applyAlignment="1">
      <alignment horizontal="right"/>
    </xf>
    <xf numFmtId="0" fontId="7" fillId="0" borderId="10" xfId="0" applyFont="1" applyBorder="1"/>
    <xf numFmtId="165" fontId="7" fillId="0" borderId="1" xfId="1" applyNumberFormat="1" applyFont="1" applyBorder="1" applyAlignment="1">
      <alignment horizontal="centerContinuous"/>
    </xf>
    <xf numFmtId="0" fontId="7" fillId="0" borderId="33" xfId="0" applyFont="1" applyBorder="1"/>
    <xf numFmtId="165" fontId="7" fillId="0" borderId="33" xfId="1" applyNumberFormat="1" applyFont="1" applyBorder="1" applyAlignment="1">
      <alignment horizontal="center"/>
    </xf>
    <xf numFmtId="0" fontId="26" fillId="0" borderId="10" xfId="0" applyFont="1" applyBorder="1"/>
    <xf numFmtId="0" fontId="7" fillId="0" borderId="1" xfId="0" applyFont="1" applyBorder="1"/>
    <xf numFmtId="165" fontId="8" fillId="0" borderId="1" xfId="1" applyNumberFormat="1" applyFont="1" applyBorder="1"/>
    <xf numFmtId="0" fontId="4" fillId="0" borderId="46" xfId="0" applyFont="1" applyBorder="1"/>
    <xf numFmtId="0" fontId="4" fillId="0" borderId="16" xfId="0" applyFont="1" applyBorder="1"/>
    <xf numFmtId="0" fontId="15" fillId="0" borderId="0" xfId="0" applyFont="1" applyBorder="1"/>
    <xf numFmtId="165" fontId="25" fillId="0" borderId="0" xfId="1" applyNumberFormat="1" applyFont="1" applyBorder="1"/>
    <xf numFmtId="0" fontId="7" fillId="0" borderId="16" xfId="0" applyFont="1" applyBorder="1"/>
    <xf numFmtId="0" fontId="7" fillId="0" borderId="0" xfId="0" applyFont="1" applyBorder="1"/>
    <xf numFmtId="0" fontId="7" fillId="0" borderId="17" xfId="0" applyFont="1" applyBorder="1"/>
    <xf numFmtId="165" fontId="7" fillId="0" borderId="0" xfId="1" applyNumberFormat="1" applyFont="1" applyBorder="1"/>
    <xf numFmtId="9" fontId="8" fillId="0" borderId="0" xfId="2" applyNumberFormat="1" applyFont="1" applyBorder="1"/>
    <xf numFmtId="0" fontId="2" fillId="0" borderId="16" xfId="0" applyFont="1" applyBorder="1"/>
    <xf numFmtId="165" fontId="2" fillId="0" borderId="0" xfId="1" applyNumberFormat="1" applyFont="1" applyBorder="1"/>
    <xf numFmtId="165" fontId="12" fillId="0" borderId="0" xfId="1" applyNumberFormat="1" applyFont="1"/>
    <xf numFmtId="0" fontId="29" fillId="0" borderId="0" xfId="0" applyFont="1"/>
    <xf numFmtId="0" fontId="2" fillId="0" borderId="46" xfId="0" applyFont="1" applyBorder="1"/>
    <xf numFmtId="3" fontId="9" fillId="0" borderId="15" xfId="0" applyNumberFormat="1" applyFont="1" applyBorder="1"/>
    <xf numFmtId="3" fontId="9" fillId="0" borderId="17" xfId="1" applyNumberFormat="1" applyFont="1" applyBorder="1" applyAlignment="1" applyProtection="1">
      <alignment horizontal="right"/>
    </xf>
    <xf numFmtId="37" fontId="9" fillId="0" borderId="0" xfId="0" applyNumberFormat="1" applyFont="1" applyBorder="1" applyProtection="1"/>
    <xf numFmtId="0" fontId="2" fillId="0" borderId="19" xfId="0" applyFont="1" applyBorder="1"/>
    <xf numFmtId="10" fontId="9" fillId="0" borderId="10" xfId="2" applyNumberFormat="1" applyFont="1" applyBorder="1"/>
    <xf numFmtId="0" fontId="2" fillId="0" borderId="18" xfId="0" applyFont="1" applyBorder="1"/>
    <xf numFmtId="0" fontId="0" fillId="0" borderId="46" xfId="0" applyBorder="1"/>
    <xf numFmtId="0" fontId="0" fillId="0" borderId="50" xfId="0" applyBorder="1" applyAlignment="1">
      <alignment horizontal="center"/>
    </xf>
    <xf numFmtId="0" fontId="0" fillId="0" borderId="14" xfId="0" applyBorder="1" applyAlignment="1">
      <alignment horizontal="centerContinuous"/>
    </xf>
    <xf numFmtId="0" fontId="0" fillId="0" borderId="51" xfId="0" applyBorder="1" applyAlignment="1">
      <alignment horizontal="centerContinuous"/>
    </xf>
    <xf numFmtId="0" fontId="0" fillId="0" borderId="14" xfId="0" applyFill="1" applyBorder="1" applyAlignment="1">
      <alignment horizontal="centerContinuous"/>
    </xf>
    <xf numFmtId="0" fontId="11" fillId="0" borderId="52" xfId="0" applyFont="1" applyBorder="1"/>
    <xf numFmtId="0" fontId="11" fillId="0" borderId="53" xfId="0" applyFont="1" applyBorder="1"/>
    <xf numFmtId="0" fontId="12" fillId="0" borderId="54" xfId="0" applyFont="1" applyBorder="1"/>
    <xf numFmtId="0" fontId="2" fillId="0" borderId="55" xfId="0" applyFont="1" applyBorder="1"/>
    <xf numFmtId="174" fontId="12" fillId="0" borderId="17" xfId="0" applyNumberFormat="1" applyFont="1" applyBorder="1"/>
    <xf numFmtId="9" fontId="0" fillId="0" borderId="0" xfId="0" applyNumberFormat="1" applyAlignment="1">
      <alignment horizontal="center"/>
    </xf>
    <xf numFmtId="0" fontId="32" fillId="0" borderId="0" xfId="0" applyFont="1" applyAlignment="1">
      <alignment horizontal="center" vertical="center"/>
    </xf>
    <xf numFmtId="165" fontId="34" fillId="0" borderId="0" xfId="1" applyNumberFormat="1" applyFont="1"/>
    <xf numFmtId="172" fontId="2" fillId="0" borderId="8" xfId="0" applyNumberFormat="1" applyFont="1" applyBorder="1" applyAlignment="1" applyProtection="1">
      <alignment horizontal="right"/>
    </xf>
    <xf numFmtId="0" fontId="2" fillId="0" borderId="6" xfId="0" applyFont="1" applyBorder="1"/>
    <xf numFmtId="37" fontId="2" fillId="0" borderId="6" xfId="0" applyNumberFormat="1" applyFont="1" applyBorder="1" applyAlignment="1" applyProtection="1">
      <alignment horizontal="center"/>
    </xf>
    <xf numFmtId="168" fontId="2" fillId="0" borderId="6" xfId="0" applyNumberFormat="1" applyFont="1" applyBorder="1" applyProtection="1"/>
    <xf numFmtId="0" fontId="8" fillId="0" borderId="6" xfId="0" applyFont="1" applyBorder="1" applyAlignment="1">
      <alignment horizontal="centerContinuous"/>
    </xf>
    <xf numFmtId="0" fontId="8" fillId="0" borderId="6" xfId="0" applyFont="1" applyBorder="1" applyAlignment="1">
      <alignment horizontal="center"/>
    </xf>
    <xf numFmtId="172" fontId="8" fillId="0" borderId="6" xfId="0" applyNumberFormat="1" applyFont="1" applyBorder="1" applyAlignment="1" applyProtection="1">
      <alignment horizontal="right"/>
    </xf>
    <xf numFmtId="0" fontId="2" fillId="0" borderId="36" xfId="0" applyFont="1" applyBorder="1" applyAlignment="1">
      <alignment horizontal="center"/>
    </xf>
    <xf numFmtId="0" fontId="2" fillId="0" borderId="2" xfId="0" applyFont="1" applyBorder="1" applyAlignment="1">
      <alignment horizontal="centerContinuous"/>
    </xf>
    <xf numFmtId="0" fontId="2" fillId="0" borderId="2" xfId="0" applyFont="1" applyBorder="1" applyAlignment="1">
      <alignment horizontal="center"/>
    </xf>
    <xf numFmtId="0" fontId="2" fillId="0" borderId="23" xfId="0" applyFont="1" applyBorder="1" applyAlignment="1">
      <alignment horizontal="centerContinuous"/>
    </xf>
    <xf numFmtId="37" fontId="14" fillId="0" borderId="6" xfId="0" applyNumberFormat="1" applyFont="1" applyBorder="1" applyProtection="1"/>
    <xf numFmtId="0" fontId="2" fillId="0" borderId="66" xfId="0" applyFont="1" applyBorder="1"/>
    <xf numFmtId="0" fontId="2" fillId="0" borderId="67" xfId="0" applyFont="1" applyBorder="1"/>
    <xf numFmtId="0" fontId="2" fillId="0" borderId="68" xfId="0" applyFont="1" applyBorder="1"/>
    <xf numFmtId="0" fontId="2" fillId="0" borderId="69" xfId="0" applyFont="1" applyBorder="1"/>
    <xf numFmtId="0" fontId="2" fillId="0" borderId="70" xfId="0" applyFont="1" applyBorder="1"/>
    <xf numFmtId="0" fontId="2" fillId="0" borderId="71" xfId="0" applyFont="1" applyBorder="1" applyAlignment="1">
      <alignment horizontal="centerContinuous"/>
    </xf>
    <xf numFmtId="0" fontId="12" fillId="0" borderId="46" xfId="0" applyFont="1" applyBorder="1" applyAlignment="1">
      <alignment horizontal="center"/>
    </xf>
    <xf numFmtId="0" fontId="12" fillId="0" borderId="16" xfId="0" applyFont="1" applyBorder="1" applyAlignment="1">
      <alignment horizontal="center"/>
    </xf>
    <xf numFmtId="172" fontId="6" fillId="0" borderId="8" xfId="0" applyNumberFormat="1" applyFont="1" applyBorder="1" applyAlignment="1" applyProtection="1">
      <alignment horizontal="right"/>
    </xf>
    <xf numFmtId="168" fontId="6" fillId="0" borderId="0" xfId="0" applyNumberFormat="1" applyFont="1" applyBorder="1" applyAlignment="1" applyProtection="1">
      <alignment horizontal="right"/>
    </xf>
    <xf numFmtId="168" fontId="6" fillId="0" borderId="0" xfId="0" applyNumberFormat="1" applyFont="1" applyBorder="1" applyAlignment="1" applyProtection="1">
      <alignment horizontal="left"/>
    </xf>
    <xf numFmtId="0" fontId="6" fillId="0" borderId="0" xfId="0" applyFont="1" applyBorder="1" applyAlignment="1">
      <alignment horizontal="center"/>
    </xf>
    <xf numFmtId="172" fontId="6" fillId="0" borderId="0" xfId="0" applyNumberFormat="1" applyFont="1" applyBorder="1" applyAlignment="1" applyProtection="1">
      <alignment horizontal="right"/>
    </xf>
    <xf numFmtId="37" fontId="3" fillId="0" borderId="0" xfId="0" applyNumberFormat="1" applyFont="1" applyBorder="1" applyAlignment="1" applyProtection="1">
      <alignment horizontal="right"/>
    </xf>
    <xf numFmtId="37" fontId="3" fillId="0" borderId="8" xfId="0" applyNumberFormat="1" applyFont="1" applyBorder="1" applyAlignment="1" applyProtection="1">
      <alignment horizontal="right"/>
    </xf>
    <xf numFmtId="165" fontId="22" fillId="0" borderId="8" xfId="1" applyNumberFormat="1" applyFont="1" applyBorder="1"/>
    <xf numFmtId="0" fontId="2" fillId="0" borderId="72" xfId="0" applyFont="1" applyBorder="1"/>
    <xf numFmtId="3" fontId="9" fillId="0" borderId="72" xfId="1" applyNumberFormat="1" applyFont="1" applyBorder="1" applyAlignment="1" applyProtection="1">
      <alignment horizontal="right"/>
    </xf>
    <xf numFmtId="3" fontId="12" fillId="0" borderId="72" xfId="0" applyNumberFormat="1" applyFont="1" applyBorder="1"/>
    <xf numFmtId="0" fontId="0" fillId="0" borderId="0" xfId="0" applyAlignment="1">
      <alignment horizontal="right"/>
    </xf>
    <xf numFmtId="0" fontId="25" fillId="0" borderId="0" xfId="0" applyFont="1"/>
    <xf numFmtId="177" fontId="12" fillId="0" borderId="35" xfId="0" applyNumberFormat="1" applyFont="1" applyBorder="1" applyProtection="1"/>
    <xf numFmtId="166" fontId="12" fillId="0" borderId="0" xfId="0" applyNumberFormat="1" applyFont="1" applyBorder="1"/>
    <xf numFmtId="181" fontId="12" fillId="0" borderId="0" xfId="0" quotePrefix="1" applyNumberFormat="1" applyFont="1" applyAlignment="1" applyProtection="1">
      <alignment horizontal="right"/>
    </xf>
    <xf numFmtId="0" fontId="34" fillId="0" borderId="16" xfId="0" applyFont="1" applyBorder="1"/>
    <xf numFmtId="177" fontId="5" fillId="2" borderId="0" xfId="0" applyNumberFormat="1" applyFont="1" applyFill="1"/>
    <xf numFmtId="0" fontId="15" fillId="0" borderId="73" xfId="0" applyFont="1" applyBorder="1"/>
    <xf numFmtId="0" fontId="40" fillId="0" borderId="0" xfId="0" applyFont="1"/>
    <xf numFmtId="0" fontId="41" fillId="0" borderId="0" xfId="0" applyFont="1"/>
    <xf numFmtId="0" fontId="5" fillId="0" borderId="0" xfId="0" applyFont="1" applyAlignment="1">
      <alignment horizontal="center"/>
    </xf>
    <xf numFmtId="0" fontId="5" fillId="0" borderId="72" xfId="0" applyFont="1" applyBorder="1"/>
    <xf numFmtId="0" fontId="5" fillId="0" borderId="72" xfId="0" applyFont="1" applyBorder="1" applyAlignment="1">
      <alignment horizontal="center"/>
    </xf>
    <xf numFmtId="0" fontId="5" fillId="0" borderId="1" xfId="0" applyFont="1" applyBorder="1" applyAlignment="1">
      <alignment horizontal="center"/>
    </xf>
    <xf numFmtId="0" fontId="12" fillId="0" borderId="0" xfId="0" applyFont="1" applyBorder="1" applyAlignment="1">
      <alignment horizontal="center"/>
    </xf>
    <xf numFmtId="3" fontId="5" fillId="0" borderId="0" xfId="0" applyNumberFormat="1" applyFont="1" applyBorder="1" applyAlignment="1">
      <alignment horizontal="center"/>
    </xf>
    <xf numFmtId="3" fontId="12" fillId="0" borderId="0" xfId="0" applyNumberFormat="1" applyFont="1" applyBorder="1" applyAlignment="1">
      <alignment horizontal="center"/>
    </xf>
    <xf numFmtId="37" fontId="12" fillId="0" borderId="0" xfId="0" applyNumberFormat="1" applyFont="1" applyBorder="1" applyAlignment="1">
      <alignment horizontal="center"/>
    </xf>
    <xf numFmtId="2" fontId="12" fillId="0" borderId="0" xfId="0" applyNumberFormat="1" applyFont="1" applyBorder="1" applyAlignment="1">
      <alignment horizontal="center"/>
    </xf>
    <xf numFmtId="0" fontId="42" fillId="0" borderId="46" xfId="0" applyFont="1" applyBorder="1" applyAlignment="1">
      <alignment horizontal="right"/>
    </xf>
    <xf numFmtId="0" fontId="42" fillId="0" borderId="16" xfId="0" applyFont="1" applyBorder="1" applyAlignment="1">
      <alignment horizontal="right"/>
    </xf>
    <xf numFmtId="0" fontId="42" fillId="0" borderId="19" xfId="0" applyFont="1" applyBorder="1" applyAlignment="1">
      <alignment horizontal="right"/>
    </xf>
    <xf numFmtId="169" fontId="43" fillId="0" borderId="15" xfId="0" applyNumberFormat="1" applyFont="1" applyBorder="1"/>
    <xf numFmtId="169" fontId="43" fillId="0" borderId="17" xfId="0" applyNumberFormat="1" applyFont="1" applyBorder="1"/>
    <xf numFmtId="165" fontId="43" fillId="0" borderId="17" xfId="1" applyNumberFormat="1" applyFont="1" applyBorder="1"/>
    <xf numFmtId="3" fontId="44" fillId="0" borderId="17" xfId="1" applyNumberFormat="1" applyFont="1" applyBorder="1"/>
    <xf numFmtId="169" fontId="43" fillId="0" borderId="18" xfId="0" applyNumberFormat="1" applyFont="1" applyBorder="1"/>
    <xf numFmtId="3" fontId="12" fillId="0" borderId="0" xfId="1" applyNumberFormat="1" applyFont="1"/>
    <xf numFmtId="169" fontId="12" fillId="0" borderId="0" xfId="0" applyNumberFormat="1" applyFont="1"/>
    <xf numFmtId="38" fontId="12" fillId="0" borderId="0" xfId="0" applyNumberFormat="1" applyFont="1"/>
    <xf numFmtId="0" fontId="31" fillId="0" borderId="0" xfId="0" applyFont="1"/>
    <xf numFmtId="3" fontId="0" fillId="0" borderId="0" xfId="0" applyNumberFormat="1" applyAlignment="1">
      <alignment horizontal="right"/>
    </xf>
    <xf numFmtId="0" fontId="46" fillId="2" borderId="0" xfId="0" applyFont="1" applyFill="1"/>
    <xf numFmtId="3" fontId="12" fillId="0" borderId="0" xfId="1" applyNumberFormat="1" applyFont="1" applyBorder="1" applyAlignment="1" applyProtection="1">
      <alignment horizontal="right"/>
    </xf>
    <xf numFmtId="170" fontId="12" fillId="0" borderId="0" xfId="0" applyNumberFormat="1" applyFont="1" applyProtection="1"/>
    <xf numFmtId="0" fontId="6" fillId="0" borderId="0" xfId="0" applyFont="1" applyBorder="1" applyAlignment="1">
      <alignment horizontal="right"/>
    </xf>
    <xf numFmtId="0" fontId="2" fillId="0" borderId="72" xfId="0" applyFont="1" applyBorder="1" applyAlignment="1">
      <alignment horizontal="centerContinuous"/>
    </xf>
    <xf numFmtId="0" fontId="2" fillId="0" borderId="72" xfId="0" applyFont="1" applyBorder="1" applyAlignment="1">
      <alignment horizontal="center"/>
    </xf>
    <xf numFmtId="0" fontId="2" fillId="0" borderId="75" xfId="0" applyFont="1" applyBorder="1" applyAlignment="1">
      <alignment horizontal="centerContinuous"/>
    </xf>
    <xf numFmtId="0" fontId="5" fillId="0" borderId="72" xfId="0" applyFont="1" applyBorder="1" applyAlignment="1">
      <alignment horizontal="centerContinuous"/>
    </xf>
    <xf numFmtId="0" fontId="2" fillId="0" borderId="1" xfId="0" applyFont="1" applyBorder="1" applyAlignment="1">
      <alignment horizontal="centerContinuous"/>
    </xf>
    <xf numFmtId="0" fontId="2" fillId="0" borderId="1" xfId="0" applyFont="1" applyBorder="1" applyAlignment="1">
      <alignment horizontal="center"/>
    </xf>
    <xf numFmtId="0" fontId="2" fillId="0" borderId="76" xfId="0" applyFont="1" applyBorder="1" applyAlignment="1">
      <alignment horizontal="center"/>
    </xf>
    <xf numFmtId="0" fontId="2" fillId="0" borderId="77" xfId="0" applyFont="1" applyBorder="1" applyAlignment="1">
      <alignment horizontal="centerContinuous"/>
    </xf>
    <xf numFmtId="0" fontId="2" fillId="0" borderId="78" xfId="0" applyFont="1" applyBorder="1" applyAlignment="1">
      <alignment horizontal="centerContinuous"/>
    </xf>
    <xf numFmtId="0" fontId="2" fillId="0" borderId="79" xfId="0" applyFont="1" applyBorder="1" applyAlignment="1">
      <alignment horizontal="right"/>
    </xf>
    <xf numFmtId="0" fontId="48" fillId="0" borderId="0" xfId="0" applyFont="1"/>
    <xf numFmtId="3" fontId="6" fillId="0" borderId="0" xfId="0" applyNumberFormat="1" applyFont="1" applyBorder="1" applyAlignment="1">
      <alignment horizontal="center"/>
    </xf>
    <xf numFmtId="0" fontId="2" fillId="0" borderId="80" xfId="0" applyFont="1" applyBorder="1" applyAlignment="1">
      <alignment horizontal="right"/>
    </xf>
    <xf numFmtId="0" fontId="2" fillId="0" borderId="66" xfId="0" applyFont="1" applyBorder="1" applyAlignment="1">
      <alignment horizontal="right"/>
    </xf>
    <xf numFmtId="0" fontId="2" fillId="0" borderId="81" xfId="0" applyFont="1" applyBorder="1" applyAlignment="1">
      <alignment horizontal="right"/>
    </xf>
    <xf numFmtId="0" fontId="2" fillId="0" borderId="81" xfId="0" quotePrefix="1" applyFont="1" applyBorder="1" applyAlignment="1">
      <alignment horizontal="right"/>
    </xf>
    <xf numFmtId="172" fontId="9" fillId="0" borderId="0" xfId="0" applyNumberFormat="1" applyFont="1" applyBorder="1" applyAlignment="1" applyProtection="1">
      <alignment horizontal="right"/>
    </xf>
    <xf numFmtId="0" fontId="49" fillId="0" borderId="6" xfId="0" applyFont="1" applyBorder="1"/>
    <xf numFmtId="0" fontId="50" fillId="0" borderId="0" xfId="0" applyFont="1" applyAlignment="1">
      <alignment horizontal="right"/>
    </xf>
    <xf numFmtId="168" fontId="6" fillId="0" borderId="0" xfId="0" applyNumberFormat="1" applyFont="1" applyProtection="1"/>
    <xf numFmtId="0" fontId="39" fillId="0" borderId="0" xfId="0" applyFont="1"/>
    <xf numFmtId="0" fontId="6" fillId="0" borderId="0" xfId="0" applyFont="1"/>
    <xf numFmtId="0" fontId="2" fillId="0" borderId="50" xfId="0" applyFont="1" applyBorder="1" applyAlignment="1">
      <alignment horizontal="center"/>
    </xf>
    <xf numFmtId="0" fontId="2" fillId="0" borderId="83" xfId="0" applyFont="1" applyBorder="1" applyAlignment="1">
      <alignment horizontal="center"/>
    </xf>
    <xf numFmtId="3" fontId="48" fillId="0" borderId="0" xfId="0" applyNumberFormat="1" applyFont="1" applyBorder="1"/>
    <xf numFmtId="3" fontId="48" fillId="0" borderId="12" xfId="0" applyNumberFormat="1" applyFont="1" applyBorder="1"/>
    <xf numFmtId="176" fontId="48" fillId="0" borderId="0" xfId="2" applyNumberFormat="1" applyFont="1" applyBorder="1"/>
    <xf numFmtId="176" fontId="48" fillId="0" borderId="84" xfId="2" applyNumberFormat="1" applyFont="1" applyBorder="1"/>
    <xf numFmtId="176" fontId="48" fillId="0" borderId="18" xfId="2" applyNumberFormat="1" applyFont="1" applyBorder="1"/>
    <xf numFmtId="3" fontId="12" fillId="2" borderId="0" xfId="0" applyNumberFormat="1" applyFont="1" applyFill="1" applyProtection="1"/>
    <xf numFmtId="3" fontId="0" fillId="0" borderId="0" xfId="0" applyNumberFormat="1" applyFill="1" applyAlignment="1">
      <alignment horizontal="right"/>
    </xf>
    <xf numFmtId="165" fontId="12" fillId="0" borderId="0" xfId="1" applyNumberFormat="1" applyFont="1" applyFill="1"/>
    <xf numFmtId="3" fontId="12" fillId="0" borderId="0" xfId="0" applyNumberFormat="1" applyFont="1" applyFill="1"/>
    <xf numFmtId="0" fontId="53" fillId="0" borderId="0" xfId="0" applyFont="1" applyAlignment="1">
      <alignment horizontal="center"/>
    </xf>
    <xf numFmtId="0" fontId="2" fillId="0" borderId="0" xfId="0" applyFont="1" applyBorder="1" applyAlignment="1">
      <alignment horizontal="center"/>
    </xf>
    <xf numFmtId="0" fontId="2" fillId="0" borderId="14" xfId="0" applyFont="1" applyBorder="1"/>
    <xf numFmtId="0" fontId="2" fillId="0" borderId="10" xfId="0" applyFont="1" applyBorder="1"/>
    <xf numFmtId="0" fontId="5" fillId="0" borderId="82" xfId="0" applyFont="1" applyBorder="1"/>
    <xf numFmtId="0" fontId="0" fillId="0" borderId="72" xfId="0" applyBorder="1"/>
    <xf numFmtId="0" fontId="5" fillId="0" borderId="29" xfId="0" applyFont="1" applyBorder="1"/>
    <xf numFmtId="0" fontId="0" fillId="0" borderId="1" xfId="0" applyBorder="1" applyAlignment="1">
      <alignment horizontal="right"/>
    </xf>
    <xf numFmtId="37" fontId="36" fillId="0" borderId="0" xfId="0" applyNumberFormat="1" applyFont="1" applyBorder="1" applyProtection="1"/>
    <xf numFmtId="37" fontId="54" fillId="0" borderId="0" xfId="0" applyNumberFormat="1" applyFont="1" applyBorder="1"/>
    <xf numFmtId="2" fontId="54" fillId="0" borderId="0" xfId="0" applyNumberFormat="1" applyFont="1"/>
    <xf numFmtId="10" fontId="9" fillId="2" borderId="0" xfId="2" applyNumberFormat="1" applyFont="1" applyFill="1" applyBorder="1"/>
    <xf numFmtId="3" fontId="55" fillId="0" borderId="0" xfId="0" applyNumberFormat="1" applyFont="1" applyFill="1" applyBorder="1"/>
    <xf numFmtId="0" fontId="55" fillId="0" borderId="0" xfId="0" applyFont="1"/>
    <xf numFmtId="0" fontId="53" fillId="0" borderId="0" xfId="0" applyFont="1"/>
    <xf numFmtId="0" fontId="53" fillId="0" borderId="1" xfId="0" applyFont="1" applyBorder="1"/>
    <xf numFmtId="0" fontId="53" fillId="0" borderId="0" xfId="0" applyFont="1" applyBorder="1"/>
    <xf numFmtId="0" fontId="53" fillId="0" borderId="1" xfId="0" applyFont="1" applyBorder="1" applyAlignment="1">
      <alignment horizontal="right"/>
    </xf>
    <xf numFmtId="3" fontId="55" fillId="0" borderId="0" xfId="0" applyNumberFormat="1" applyFont="1"/>
    <xf numFmtId="0" fontId="53" fillId="0" borderId="0" xfId="0" applyFont="1" applyFill="1" applyBorder="1"/>
    <xf numFmtId="3" fontId="55" fillId="0" borderId="0" xfId="0" applyNumberFormat="1" applyFont="1" applyBorder="1"/>
    <xf numFmtId="0" fontId="53" fillId="0" borderId="85" xfId="0" applyFont="1" applyBorder="1" applyAlignment="1">
      <alignment horizontal="centerContinuous"/>
    </xf>
    <xf numFmtId="0" fontId="53" fillId="0" borderId="0" xfId="0" applyFont="1" applyBorder="1" applyAlignment="1">
      <alignment horizontal="centerContinuous"/>
    </xf>
    <xf numFmtId="0" fontId="53" fillId="0" borderId="0" xfId="0" applyFont="1" applyBorder="1" applyAlignment="1">
      <alignment horizontal="right"/>
    </xf>
    <xf numFmtId="0" fontId="53" fillId="0" borderId="72" xfId="0" applyFont="1" applyBorder="1"/>
    <xf numFmtId="0" fontId="53" fillId="0" borderId="72" xfId="0" applyFont="1" applyBorder="1" applyAlignment="1">
      <alignment horizontal="right"/>
    </xf>
    <xf numFmtId="0" fontId="57" fillId="0" borderId="85" xfId="0" applyFont="1" applyBorder="1" applyAlignment="1">
      <alignment horizontal="centerContinuous"/>
    </xf>
    <xf numFmtId="0" fontId="53" fillId="0" borderId="0" xfId="0" applyFont="1" applyFill="1" applyBorder="1" applyAlignment="1">
      <alignment horizontal="right"/>
    </xf>
    <xf numFmtId="0" fontId="53" fillId="0" borderId="1" xfId="0" applyFont="1" applyFill="1" applyBorder="1" applyAlignment="1">
      <alignment horizontal="right"/>
    </xf>
    <xf numFmtId="3" fontId="55" fillId="0" borderId="85" xfId="0" applyNumberFormat="1" applyFont="1" applyBorder="1"/>
    <xf numFmtId="0" fontId="53" fillId="0" borderId="85" xfId="0" applyFont="1" applyBorder="1"/>
    <xf numFmtId="0" fontId="10" fillId="0" borderId="0" xfId="0" applyFont="1"/>
    <xf numFmtId="167" fontId="53" fillId="0" borderId="0" xfId="0" applyNumberFormat="1" applyFont="1"/>
    <xf numFmtId="0" fontId="56" fillId="2" borderId="72" xfId="0" applyFont="1" applyFill="1" applyBorder="1" applyAlignment="1">
      <alignment horizontal="right"/>
    </xf>
    <xf numFmtId="0" fontId="56" fillId="2" borderId="1" xfId="0" applyFont="1" applyFill="1" applyBorder="1" applyAlignment="1">
      <alignment horizontal="right"/>
    </xf>
    <xf numFmtId="0" fontId="13" fillId="0" borderId="0" xfId="0" applyFont="1" applyFill="1" applyBorder="1" applyAlignment="1">
      <alignment horizontal="center"/>
    </xf>
    <xf numFmtId="0" fontId="0" fillId="0" borderId="0" xfId="0" applyBorder="1" applyAlignment="1">
      <alignment horizontal="right"/>
    </xf>
    <xf numFmtId="0" fontId="13" fillId="0" borderId="0" xfId="0" applyFont="1" applyFill="1" applyBorder="1" applyAlignment="1">
      <alignment horizontal="right"/>
    </xf>
    <xf numFmtId="0" fontId="0" fillId="0" borderId="0" xfId="0" applyFill="1" applyBorder="1" applyAlignment="1">
      <alignment horizontal="right"/>
    </xf>
    <xf numFmtId="0" fontId="5" fillId="0" borderId="0" xfId="0" applyFont="1" applyBorder="1" applyAlignment="1">
      <alignment horizontal="right"/>
    </xf>
    <xf numFmtId="175" fontId="5" fillId="0" borderId="0" xfId="0" applyNumberFormat="1" applyFont="1" applyAlignment="1">
      <alignment horizontal="right"/>
    </xf>
    <xf numFmtId="167" fontId="0" fillId="0" borderId="0" xfId="0" applyNumberFormat="1"/>
    <xf numFmtId="176" fontId="12" fillId="2" borderId="35" xfId="0" applyNumberFormat="1" applyFont="1" applyFill="1" applyBorder="1" applyProtection="1"/>
    <xf numFmtId="11" fontId="5" fillId="0" borderId="0" xfId="0" applyNumberFormat="1" applyFont="1" applyAlignment="1">
      <alignment horizontal="right"/>
    </xf>
    <xf numFmtId="0" fontId="53" fillId="0" borderId="0" xfId="0" applyFont="1" applyAlignment="1">
      <alignment horizontal="right"/>
    </xf>
    <xf numFmtId="172" fontId="6" fillId="0" borderId="0" xfId="0" applyNumberFormat="1" applyFont="1" applyFill="1" applyBorder="1" applyAlignment="1" applyProtection="1">
      <alignment horizontal="right"/>
    </xf>
    <xf numFmtId="0" fontId="38" fillId="0" borderId="0" xfId="0" applyFont="1" applyBorder="1" applyAlignment="1">
      <alignment horizontal="center"/>
    </xf>
    <xf numFmtId="3" fontId="55" fillId="0" borderId="0" xfId="0" applyNumberFormat="1" applyFont="1" applyFill="1"/>
    <xf numFmtId="0" fontId="55" fillId="0" borderId="0" xfId="0" applyFont="1" applyFill="1"/>
    <xf numFmtId="176" fontId="12" fillId="0" borderId="35" xfId="0" applyNumberFormat="1" applyFont="1" applyFill="1" applyBorder="1" applyProtection="1"/>
    <xf numFmtId="183" fontId="0" fillId="0" borderId="0" xfId="0" applyNumberFormat="1" applyBorder="1"/>
    <xf numFmtId="183" fontId="0" fillId="0" borderId="0" xfId="0" applyNumberFormat="1"/>
    <xf numFmtId="167" fontId="0" fillId="0" borderId="0" xfId="0" applyNumberFormat="1" applyFill="1" applyBorder="1" applyAlignment="1"/>
    <xf numFmtId="0" fontId="1" fillId="0" borderId="0" xfId="0" applyFont="1"/>
    <xf numFmtId="165" fontId="1" fillId="0" borderId="0" xfId="1" applyNumberFormat="1" applyFont="1" applyBorder="1"/>
    <xf numFmtId="0" fontId="1" fillId="0" borderId="1" xfId="0" applyFont="1" applyBorder="1"/>
    <xf numFmtId="0" fontId="12" fillId="0" borderId="0" xfId="0" applyFont="1" applyFill="1" applyBorder="1" applyAlignment="1">
      <alignment horizontal="center"/>
    </xf>
    <xf numFmtId="0" fontId="2" fillId="0" borderId="16" xfId="0" applyFont="1" applyFill="1" applyBorder="1"/>
    <xf numFmtId="0" fontId="2" fillId="0" borderId="83" xfId="0" applyFont="1" applyFill="1" applyBorder="1"/>
    <xf numFmtId="3" fontId="9" fillId="3" borderId="14" xfId="0" applyNumberFormat="1" applyFont="1" applyFill="1" applyBorder="1"/>
    <xf numFmtId="10" fontId="9" fillId="3" borderId="0" xfId="2" applyNumberFormat="1" applyFont="1" applyFill="1" applyBorder="1"/>
    <xf numFmtId="2" fontId="12" fillId="0" borderId="35" xfId="0" applyNumberFormat="1" applyFont="1" applyBorder="1"/>
    <xf numFmtId="1" fontId="72" fillId="0" borderId="0" xfId="0" quotePrefix="1" applyNumberFormat="1" applyFont="1" applyFill="1" applyBorder="1"/>
    <xf numFmtId="1" fontId="72" fillId="0" borderId="0" xfId="0" applyNumberFormat="1" applyFont="1"/>
    <xf numFmtId="172" fontId="5" fillId="0" borderId="0" xfId="0" applyNumberFormat="1" applyFont="1" applyFill="1" applyBorder="1" applyProtection="1"/>
    <xf numFmtId="0" fontId="5" fillId="0" borderId="0" xfId="0" applyFont="1" applyFill="1" applyBorder="1"/>
    <xf numFmtId="0" fontId="5" fillId="0" borderId="0" xfId="0" applyFont="1" applyFill="1" applyBorder="1" applyAlignment="1">
      <alignment horizontal="center"/>
    </xf>
    <xf numFmtId="177" fontId="5" fillId="0" borderId="0" xfId="0" applyNumberFormat="1" applyFont="1" applyFill="1" applyBorder="1" applyAlignment="1" applyProtection="1">
      <alignment horizontal="center"/>
    </xf>
    <xf numFmtId="0" fontId="0" fillId="0" borderId="0" xfId="0" applyFill="1" applyBorder="1"/>
    <xf numFmtId="172" fontId="5" fillId="0" borderId="0" xfId="0" applyNumberFormat="1" applyFont="1" applyFill="1" applyBorder="1" applyAlignment="1" applyProtection="1">
      <alignment horizontal="center"/>
    </xf>
    <xf numFmtId="178" fontId="5" fillId="0" borderId="0" xfId="0" applyNumberFormat="1" applyFont="1" applyFill="1" applyBorder="1" applyAlignment="1" applyProtection="1">
      <alignment horizontal="center"/>
    </xf>
    <xf numFmtId="179" fontId="5" fillId="0" borderId="0" xfId="0" applyNumberFormat="1" applyFont="1" applyFill="1" applyBorder="1" applyAlignment="1" applyProtection="1">
      <alignment horizontal="center"/>
    </xf>
    <xf numFmtId="180" fontId="5" fillId="0" borderId="0" xfId="0" applyNumberFormat="1" applyFont="1" applyFill="1" applyBorder="1" applyAlignment="1" applyProtection="1">
      <alignment horizontal="center"/>
    </xf>
    <xf numFmtId="0" fontId="12" fillId="0" borderId="79" xfId="0" applyFont="1" applyBorder="1"/>
    <xf numFmtId="177" fontId="72" fillId="0" borderId="0" xfId="0" applyNumberFormat="1" applyFont="1" applyProtection="1"/>
    <xf numFmtId="184" fontId="12" fillId="0" borderId="0" xfId="0" applyNumberFormat="1" applyFont="1"/>
    <xf numFmtId="2" fontId="71" fillId="0" borderId="0" xfId="0" applyNumberFormat="1" applyFont="1"/>
    <xf numFmtId="180" fontId="12" fillId="0" borderId="0" xfId="0" applyNumberFormat="1" applyFont="1"/>
    <xf numFmtId="181" fontId="73" fillId="0" borderId="0" xfId="0" applyNumberFormat="1" applyFont="1" applyProtection="1"/>
    <xf numFmtId="0" fontId="73" fillId="0" borderId="0" xfId="0" applyFont="1"/>
    <xf numFmtId="37" fontId="73" fillId="0" borderId="0" xfId="0" applyNumberFormat="1" applyFont="1" applyProtection="1"/>
    <xf numFmtId="176" fontId="73" fillId="0" borderId="35" xfId="0" applyNumberFormat="1" applyFont="1" applyBorder="1" applyProtection="1"/>
    <xf numFmtId="0" fontId="73" fillId="0" borderId="35" xfId="0" applyFont="1" applyBorder="1"/>
    <xf numFmtId="166" fontId="73" fillId="0" borderId="35" xfId="0" applyNumberFormat="1" applyFont="1" applyBorder="1"/>
    <xf numFmtId="177" fontId="73" fillId="0" borderId="35" xfId="0" applyNumberFormat="1" applyFont="1" applyBorder="1" applyProtection="1"/>
    <xf numFmtId="166" fontId="73" fillId="0" borderId="0" xfId="0" applyNumberFormat="1" applyFont="1" applyBorder="1"/>
    <xf numFmtId="181" fontId="12" fillId="3" borderId="0" xfId="0" applyNumberFormat="1" applyFont="1" applyFill="1" applyProtection="1"/>
    <xf numFmtId="37" fontId="12" fillId="3" borderId="0" xfId="0" applyNumberFormat="1" applyFont="1" applyFill="1" applyProtection="1"/>
    <xf numFmtId="37" fontId="0" fillId="0" borderId="0" xfId="0" applyNumberFormat="1"/>
    <xf numFmtId="0" fontId="1" fillId="0" borderId="0" xfId="0" applyFont="1" applyAlignment="1">
      <alignment wrapText="1"/>
    </xf>
    <xf numFmtId="181" fontId="12" fillId="0" borderId="0" xfId="0" applyNumberFormat="1" applyFont="1" applyAlignment="1" applyProtection="1">
      <alignment horizontal="right"/>
    </xf>
    <xf numFmtId="0" fontId="73" fillId="0" borderId="35" xfId="0" applyFont="1" applyBorder="1" applyAlignment="1">
      <alignment horizontal="right"/>
    </xf>
    <xf numFmtId="185" fontId="12" fillId="0" borderId="0" xfId="0" applyNumberFormat="1" applyFont="1"/>
    <xf numFmtId="186" fontId="12" fillId="0" borderId="0" xfId="0" applyNumberFormat="1" applyFont="1"/>
    <xf numFmtId="0" fontId="0" fillId="0" borderId="28" xfId="0" applyBorder="1" applyAlignment="1">
      <alignment horizontal="right"/>
    </xf>
    <xf numFmtId="0" fontId="0" fillId="0" borderId="29" xfId="0" applyBorder="1" applyAlignment="1">
      <alignment horizontal="right"/>
    </xf>
    <xf numFmtId="187" fontId="0" fillId="0" borderId="0" xfId="0" applyNumberFormat="1" applyFill="1" applyBorder="1" applyAlignment="1"/>
    <xf numFmtId="0" fontId="1" fillId="0" borderId="0" xfId="3" applyFont="1"/>
    <xf numFmtId="0" fontId="1" fillId="0" borderId="0" xfId="3" applyFont="1" applyBorder="1"/>
    <xf numFmtId="0" fontId="1" fillId="0" borderId="0" xfId="3" applyFont="1" applyBorder="1" applyAlignment="1">
      <alignment horizontal="center"/>
    </xf>
    <xf numFmtId="0" fontId="1" fillId="0" borderId="29" xfId="3" applyFont="1" applyBorder="1" applyAlignment="1">
      <alignment horizontal="center"/>
    </xf>
    <xf numFmtId="0" fontId="1" fillId="0" borderId="83" xfId="3" applyFont="1" applyBorder="1" applyAlignment="1">
      <alignment horizontal="center"/>
    </xf>
    <xf numFmtId="3" fontId="12" fillId="0" borderId="0" xfId="1" applyNumberFormat="1" applyFont="1" applyFill="1" applyBorder="1" applyAlignment="1" applyProtection="1">
      <alignment horizontal="right"/>
    </xf>
    <xf numFmtId="37" fontId="1" fillId="0" borderId="0" xfId="3" applyNumberFormat="1" applyFont="1" applyFill="1" applyBorder="1" applyProtection="1"/>
    <xf numFmtId="37" fontId="1" fillId="0" borderId="72" xfId="3" applyNumberFormat="1" applyFont="1" applyBorder="1" applyProtection="1"/>
    <xf numFmtId="165" fontId="1" fillId="0" borderId="72" xfId="1" applyNumberFormat="1" applyFont="1" applyBorder="1"/>
    <xf numFmtId="3" fontId="12" fillId="0" borderId="0" xfId="3" applyNumberFormat="1" applyFont="1" applyFill="1" applyBorder="1" applyProtection="1"/>
    <xf numFmtId="3" fontId="12" fillId="0" borderId="0" xfId="1" applyNumberFormat="1" applyFont="1" applyFill="1" applyBorder="1"/>
    <xf numFmtId="3" fontId="39" fillId="0" borderId="0" xfId="1" applyNumberFormat="1" applyFont="1" applyBorder="1" applyProtection="1"/>
    <xf numFmtId="3" fontId="12" fillId="0" borderId="0" xfId="3" applyNumberFormat="1" applyFont="1" applyBorder="1" applyProtection="1"/>
    <xf numFmtId="3" fontId="72" fillId="0" borderId="86" xfId="3" applyNumberFormat="1" applyFont="1" applyFill="1" applyBorder="1" applyProtection="1"/>
    <xf numFmtId="3" fontId="72" fillId="0" borderId="83" xfId="3" applyNumberFormat="1" applyFont="1" applyFill="1" applyBorder="1" applyProtection="1"/>
    <xf numFmtId="3" fontId="72" fillId="0" borderId="0" xfId="1" applyNumberFormat="1" applyFont="1" applyBorder="1" applyAlignment="1">
      <alignment horizontal="right"/>
    </xf>
    <xf numFmtId="165" fontId="39" fillId="0" borderId="0" xfId="1" applyNumberFormat="1" applyFont="1" applyFill="1" applyBorder="1" applyProtection="1"/>
    <xf numFmtId="3" fontId="1" fillId="0" borderId="0" xfId="3" quotePrefix="1" applyNumberFormat="1" applyFont="1" applyBorder="1"/>
    <xf numFmtId="3" fontId="72" fillId="0" borderId="80" xfId="3" applyNumberFormat="1" applyFont="1" applyFill="1" applyBorder="1" applyProtection="1"/>
    <xf numFmtId="3" fontId="1" fillId="0" borderId="80" xfId="3" applyNumberFormat="1" applyFont="1" applyFill="1" applyBorder="1"/>
    <xf numFmtId="3" fontId="1" fillId="0" borderId="86" xfId="3" applyNumberFormat="1" applyFont="1" applyFill="1" applyBorder="1"/>
    <xf numFmtId="3" fontId="72" fillId="0" borderId="86" xfId="1" applyNumberFormat="1" applyFont="1" applyBorder="1" applyAlignment="1">
      <alignment horizontal="right"/>
    </xf>
    <xf numFmtId="165" fontId="72" fillId="0" borderId="86" xfId="1" applyNumberFormat="1" applyFont="1" applyBorder="1" applyAlignment="1" applyProtection="1">
      <alignment horizontal="right"/>
    </xf>
    <xf numFmtId="3" fontId="1" fillId="0" borderId="0" xfId="3" applyNumberFormat="1" applyFont="1"/>
    <xf numFmtId="3" fontId="72" fillId="0" borderId="86" xfId="1" applyNumberFormat="1" applyFont="1" applyBorder="1"/>
    <xf numFmtId="3" fontId="72" fillId="0" borderId="87" xfId="1" applyNumberFormat="1" applyFont="1" applyBorder="1"/>
    <xf numFmtId="3" fontId="1" fillId="0" borderId="86" xfId="3" applyNumberFormat="1" applyFont="1" applyBorder="1" applyProtection="1"/>
    <xf numFmtId="3" fontId="1" fillId="0" borderId="0" xfId="3" applyNumberFormat="1" applyFont="1" applyFill="1" applyAlignment="1">
      <alignment horizontal="right"/>
    </xf>
    <xf numFmtId="37" fontId="71" fillId="0" borderId="0" xfId="3" applyNumberFormat="1" applyFont="1" applyBorder="1" applyProtection="1"/>
    <xf numFmtId="3" fontId="71" fillId="0" borderId="0" xfId="3" applyNumberFormat="1" applyFont="1" applyBorder="1" applyProtection="1"/>
    <xf numFmtId="165" fontId="72" fillId="0" borderId="86" xfId="1" applyNumberFormat="1" applyFont="1" applyBorder="1"/>
    <xf numFmtId="165" fontId="1" fillId="0" borderId="0" xfId="1" applyNumberFormat="1" applyFont="1" applyBorder="1" applyProtection="1"/>
    <xf numFmtId="165" fontId="72" fillId="0" borderId="86" xfId="1" applyNumberFormat="1" applyFont="1" applyBorder="1" applyProtection="1"/>
    <xf numFmtId="165" fontId="72" fillId="0" borderId="87" xfId="1" applyNumberFormat="1" applyFont="1" applyBorder="1" applyAlignment="1" applyProtection="1">
      <alignment horizontal="right"/>
    </xf>
    <xf numFmtId="3" fontId="72" fillId="3" borderId="0" xfId="1" applyNumberFormat="1" applyFont="1" applyFill="1" applyBorder="1" applyAlignment="1">
      <alignment horizontal="right"/>
    </xf>
    <xf numFmtId="165" fontId="73" fillId="3" borderId="0" xfId="1" applyNumberFormat="1" applyFont="1" applyFill="1" applyBorder="1" applyProtection="1"/>
    <xf numFmtId="165" fontId="73" fillId="3" borderId="0" xfId="1" applyNumberFormat="1" applyFont="1" applyFill="1" applyBorder="1"/>
    <xf numFmtId="165" fontId="1" fillId="0" borderId="0" xfId="1" applyNumberFormat="1" applyFont="1" applyBorder="1" applyAlignment="1">
      <alignment horizontal="right"/>
    </xf>
    <xf numFmtId="0" fontId="34" fillId="0" borderId="1" xfId="3" applyFont="1" applyBorder="1" applyAlignment="1">
      <alignment horizontal="center"/>
    </xf>
    <xf numFmtId="0" fontId="34" fillId="0" borderId="1" xfId="3" applyFont="1" applyBorder="1" applyAlignment="1">
      <alignment horizontal="center" wrapText="1"/>
    </xf>
    <xf numFmtId="0" fontId="1" fillId="0" borderId="1" xfId="3" applyFont="1" applyBorder="1" applyAlignment="1">
      <alignment horizontal="right"/>
    </xf>
    <xf numFmtId="0" fontId="1" fillId="0" borderId="1" xfId="3" applyFont="1" applyBorder="1" applyAlignment="1">
      <alignment horizontal="center" wrapText="1"/>
    </xf>
    <xf numFmtId="0" fontId="74" fillId="0" borderId="1" xfId="3" applyFont="1" applyBorder="1" applyAlignment="1">
      <alignment horizontal="center"/>
    </xf>
    <xf numFmtId="165" fontId="1" fillId="0" borderId="1" xfId="1" applyNumberFormat="1" applyFont="1" applyBorder="1" applyAlignment="1">
      <alignment horizontal="right" wrapText="1"/>
    </xf>
    <xf numFmtId="165" fontId="1" fillId="0" borderId="1" xfId="1" applyNumberFormat="1" applyFont="1" applyBorder="1" applyAlignment="1">
      <alignment horizontal="center" wrapText="1"/>
    </xf>
    <xf numFmtId="0" fontId="34" fillId="0" borderId="0" xfId="3" applyFont="1" applyBorder="1" applyAlignment="1">
      <alignment horizontal="center"/>
    </xf>
    <xf numFmtId="0" fontId="34" fillId="0" borderId="72" xfId="3" applyFont="1" applyBorder="1" applyAlignment="1">
      <alignment horizontal="center"/>
    </xf>
    <xf numFmtId="0" fontId="1" fillId="0" borderId="72" xfId="3" applyFont="1" applyBorder="1" applyAlignment="1">
      <alignment horizontal="center"/>
    </xf>
    <xf numFmtId="165" fontId="1" fillId="0" borderId="0" xfId="1" applyNumberFormat="1" applyFont="1"/>
    <xf numFmtId="0" fontId="73" fillId="0" borderId="0" xfId="3" applyFont="1"/>
    <xf numFmtId="170" fontId="12" fillId="0" borderId="0" xfId="3" applyNumberFormat="1" applyFont="1" applyProtection="1"/>
    <xf numFmtId="0" fontId="58" fillId="3" borderId="0" xfId="0" applyFont="1" applyFill="1"/>
    <xf numFmtId="0" fontId="61" fillId="3" borderId="0" xfId="0" applyFont="1" applyFill="1"/>
    <xf numFmtId="0" fontId="9" fillId="0" borderId="0" xfId="3" applyFont="1"/>
    <xf numFmtId="0" fontId="2" fillId="0" borderId="0" xfId="3" applyFont="1"/>
    <xf numFmtId="0" fontId="1" fillId="0" borderId="0" xfId="3"/>
    <xf numFmtId="0" fontId="26" fillId="0" borderId="0" xfId="3" applyFont="1"/>
    <xf numFmtId="0" fontId="2" fillId="0" borderId="0" xfId="3" applyFont="1" applyBorder="1"/>
    <xf numFmtId="0" fontId="76" fillId="0" borderId="0" xfId="3" applyFont="1" applyBorder="1"/>
    <xf numFmtId="0" fontId="2" fillId="0" borderId="72" xfId="3" applyFont="1" applyBorder="1" applyAlignment="1">
      <alignment horizontal="center"/>
    </xf>
    <xf numFmtId="0" fontId="2" fillId="0" borderId="72" xfId="3" applyFont="1" applyBorder="1" applyAlignment="1">
      <alignment horizontal="right"/>
    </xf>
    <xf numFmtId="0" fontId="2" fillId="0" borderId="72" xfId="3" applyFont="1" applyBorder="1"/>
    <xf numFmtId="0" fontId="2" fillId="0" borderId="1" xfId="3" applyFont="1" applyBorder="1" applyAlignment="1">
      <alignment horizontal="center"/>
    </xf>
    <xf numFmtId="0" fontId="2" fillId="0" borderId="1" xfId="3" applyFont="1" applyBorder="1" applyAlignment="1">
      <alignment horizontal="right" wrapText="1"/>
    </xf>
    <xf numFmtId="0" fontId="2" fillId="0" borderId="1" xfId="3" applyFont="1" applyBorder="1" applyAlignment="1">
      <alignment horizontal="right"/>
    </xf>
    <xf numFmtId="0" fontId="31" fillId="0" borderId="1" xfId="3" applyFont="1" applyBorder="1" applyAlignment="1">
      <alignment horizontal="right"/>
    </xf>
    <xf numFmtId="0" fontId="77" fillId="0" borderId="1" xfId="3" applyFont="1" applyBorder="1" applyAlignment="1">
      <alignment horizontal="center" wrapText="1"/>
    </xf>
    <xf numFmtId="0" fontId="2" fillId="0" borderId="0" xfId="3" applyFont="1" applyAlignment="1">
      <alignment horizontal="right"/>
    </xf>
    <xf numFmtId="0" fontId="2" fillId="0" borderId="0" xfId="3" applyFont="1" applyBorder="1" applyAlignment="1">
      <alignment horizontal="center"/>
    </xf>
    <xf numFmtId="3" fontId="78" fillId="0" borderId="0" xfId="3" applyNumberFormat="1" applyFont="1" applyBorder="1"/>
    <xf numFmtId="3" fontId="9" fillId="0" borderId="0" xfId="3" applyNumberFormat="1" applyFont="1"/>
    <xf numFmtId="188" fontId="9" fillId="0" borderId="0" xfId="3" applyNumberFormat="1" applyFont="1" applyBorder="1"/>
    <xf numFmtId="3" fontId="9" fillId="0" borderId="0" xfId="3" applyNumberFormat="1" applyFont="1" applyBorder="1"/>
    <xf numFmtId="0" fontId="2" fillId="0" borderId="0" xfId="3" applyFont="1" applyBorder="1" applyAlignment="1">
      <alignment horizontal="right"/>
    </xf>
    <xf numFmtId="0" fontId="1" fillId="0" borderId="0" xfId="3" applyFont="1" applyAlignment="1">
      <alignment horizontal="right"/>
    </xf>
    <xf numFmtId="3" fontId="6" fillId="0" borderId="0" xfId="3" applyNumberFormat="1" applyFont="1" applyBorder="1"/>
    <xf numFmtId="3" fontId="2" fillId="0" borderId="0" xfId="3" applyNumberFormat="1" applyFont="1"/>
    <xf numFmtId="0" fontId="31" fillId="0" borderId="0" xfId="3" applyFont="1" applyBorder="1"/>
    <xf numFmtId="0" fontId="6" fillId="0" borderId="0" xfId="3" applyFont="1" applyBorder="1"/>
    <xf numFmtId="3" fontId="6" fillId="0" borderId="12" xfId="1" applyNumberFormat="1" applyFont="1" applyFill="1" applyBorder="1"/>
    <xf numFmtId="3" fontId="6" fillId="0" borderId="0" xfId="3" applyNumberFormat="1" applyFont="1" applyFill="1" applyBorder="1"/>
    <xf numFmtId="3" fontId="6" fillId="0" borderId="13" xfId="3" applyNumberFormat="1" applyFont="1" applyFill="1" applyBorder="1"/>
    <xf numFmtId="3" fontId="2" fillId="0" borderId="0" xfId="1" applyNumberFormat="1" applyFont="1" applyBorder="1" applyProtection="1"/>
    <xf numFmtId="3" fontId="2" fillId="0" borderId="13" xfId="3" applyNumberFormat="1" applyFont="1" applyFill="1" applyBorder="1"/>
    <xf numFmtId="0" fontId="2" fillId="0" borderId="0" xfId="3" applyFont="1" applyFill="1" applyBorder="1" applyAlignment="1">
      <alignment horizontal="center"/>
    </xf>
    <xf numFmtId="0" fontId="2" fillId="0" borderId="0" xfId="3" applyFont="1" applyAlignment="1">
      <alignment horizontal="center"/>
    </xf>
    <xf numFmtId="3" fontId="9" fillId="0" borderId="72" xfId="3" applyNumberFormat="1" applyFont="1" applyFill="1" applyBorder="1"/>
    <xf numFmtId="3" fontId="9" fillId="0" borderId="0" xfId="3" applyNumberFormat="1" applyFont="1" applyFill="1" applyBorder="1"/>
    <xf numFmtId="3" fontId="9" fillId="0" borderId="1" xfId="3" applyNumberFormat="1" applyFont="1" applyBorder="1"/>
    <xf numFmtId="0" fontId="1" fillId="0" borderId="0" xfId="3" applyFill="1"/>
    <xf numFmtId="167" fontId="9" fillId="0" borderId="0" xfId="3" applyNumberFormat="1" applyFont="1" applyFill="1"/>
    <xf numFmtId="0" fontId="2" fillId="0" borderId="0" xfId="3" applyFont="1" applyFill="1"/>
    <xf numFmtId="3" fontId="2" fillId="0" borderId="0" xfId="3" applyNumberFormat="1" applyFont="1" applyFill="1"/>
    <xf numFmtId="0" fontId="7" fillId="0" borderId="0" xfId="3" applyFont="1"/>
    <xf numFmtId="0" fontId="31" fillId="0" borderId="0" xfId="3" applyFont="1"/>
    <xf numFmtId="0" fontId="79" fillId="0" borderId="0" xfId="3" applyFont="1" applyBorder="1" applyAlignment="1">
      <alignment horizontal="left"/>
    </xf>
    <xf numFmtId="0" fontId="31" fillId="0" borderId="0" xfId="3" applyFont="1" applyBorder="1" applyAlignment="1">
      <alignment horizontal="center"/>
    </xf>
    <xf numFmtId="0" fontId="2" fillId="0" borderId="85" xfId="3" applyFont="1" applyBorder="1" applyAlignment="1">
      <alignment horizontal="center"/>
    </xf>
    <xf numFmtId="0" fontId="2" fillId="0" borderId="85" xfId="3" applyFont="1" applyBorder="1" applyAlignment="1">
      <alignment horizontal="right" wrapText="1"/>
    </xf>
    <xf numFmtId="0" fontId="2" fillId="0" borderId="72" xfId="3" applyFont="1" applyBorder="1" applyAlignment="1">
      <alignment horizontal="right" wrapText="1"/>
    </xf>
    <xf numFmtId="0" fontId="2" fillId="3" borderId="72" xfId="3" applyFont="1" applyFill="1" applyBorder="1" applyAlignment="1">
      <alignment horizontal="right"/>
    </xf>
    <xf numFmtId="0" fontId="2" fillId="3" borderId="85" xfId="3" applyFont="1" applyFill="1" applyBorder="1" applyAlignment="1">
      <alignment horizontal="right" wrapText="1"/>
    </xf>
    <xf numFmtId="0" fontId="2" fillId="0" borderId="85" xfId="3" applyFont="1" applyBorder="1" applyAlignment="1">
      <alignment horizontal="right"/>
    </xf>
    <xf numFmtId="3" fontId="9" fillId="0" borderId="12" xfId="3" applyNumberFormat="1" applyFont="1" applyBorder="1"/>
    <xf numFmtId="37" fontId="9" fillId="0" borderId="0" xfId="3" applyNumberFormat="1" applyFont="1"/>
    <xf numFmtId="4" fontId="9" fillId="0" borderId="0" xfId="3" applyNumberFormat="1" applyFont="1"/>
    <xf numFmtId="3" fontId="9" fillId="0" borderId="13" xfId="3" applyNumberFormat="1" applyFont="1" applyBorder="1"/>
    <xf numFmtId="3" fontId="9" fillId="0" borderId="74" xfId="3" applyNumberFormat="1" applyFont="1" applyBorder="1"/>
    <xf numFmtId="3" fontId="9" fillId="0" borderId="88" xfId="3" applyNumberFormat="1" applyFont="1" applyBorder="1"/>
    <xf numFmtId="37" fontId="2" fillId="0" borderId="0" xfId="3" applyNumberFormat="1" applyFont="1" applyAlignment="1">
      <alignment horizontal="right"/>
    </xf>
    <xf numFmtId="0" fontId="80" fillId="3" borderId="72" xfId="3" applyFont="1" applyFill="1" applyBorder="1"/>
    <xf numFmtId="0" fontId="2" fillId="3" borderId="72" xfId="3" applyFont="1" applyFill="1" applyBorder="1"/>
    <xf numFmtId="0" fontId="9" fillId="0" borderId="0" xfId="3" applyFont="1" applyBorder="1"/>
    <xf numFmtId="4" fontId="9" fillId="0" borderId="0" xfId="3" applyNumberFormat="1" applyFont="1" applyBorder="1"/>
    <xf numFmtId="0" fontId="2" fillId="0" borderId="1" xfId="3" applyFont="1" applyBorder="1"/>
    <xf numFmtId="4" fontId="9" fillId="0" borderId="1" xfId="3" applyNumberFormat="1" applyFont="1" applyBorder="1"/>
    <xf numFmtId="0" fontId="1" fillId="0" borderId="0" xfId="3" applyBorder="1"/>
    <xf numFmtId="0" fontId="80" fillId="0" borderId="72" xfId="3" applyFont="1" applyBorder="1"/>
    <xf numFmtId="0" fontId="7" fillId="0" borderId="0" xfId="0" applyFont="1"/>
    <xf numFmtId="3" fontId="70" fillId="0" borderId="0" xfId="3" applyNumberFormat="1" applyFont="1" applyFill="1" applyBorder="1"/>
    <xf numFmtId="3" fontId="70" fillId="0" borderId="0" xfId="3" applyNumberFormat="1" applyFont="1" applyBorder="1"/>
    <xf numFmtId="3" fontId="70" fillId="0" borderId="0" xfId="1" applyNumberFormat="1" applyFont="1" applyBorder="1" applyProtection="1"/>
    <xf numFmtId="37" fontId="81" fillId="0" borderId="0" xfId="0" applyNumberFormat="1" applyFont="1" applyBorder="1" applyProtection="1"/>
    <xf numFmtId="176" fontId="71" fillId="2" borderId="35" xfId="0" applyNumberFormat="1" applyFont="1" applyFill="1" applyBorder="1" applyProtection="1"/>
    <xf numFmtId="176" fontId="71" fillId="2" borderId="0" xfId="0" applyNumberFormat="1" applyFont="1" applyFill="1"/>
    <xf numFmtId="2" fontId="12" fillId="0" borderId="0" xfId="3" applyNumberFormat="1" applyFont="1"/>
    <xf numFmtId="0" fontId="34" fillId="0" borderId="0" xfId="3" applyFont="1"/>
    <xf numFmtId="3" fontId="12" fillId="3" borderId="0" xfId="1" applyNumberFormat="1" applyFont="1" applyFill="1" applyBorder="1"/>
    <xf numFmtId="3" fontId="12" fillId="0" borderId="0" xfId="1" applyNumberFormat="1" applyFont="1" applyBorder="1"/>
    <xf numFmtId="37" fontId="12" fillId="0" borderId="0" xfId="3" applyNumberFormat="1" applyFont="1" applyBorder="1" applyProtection="1"/>
    <xf numFmtId="37" fontId="12" fillId="0" borderId="0" xfId="3" applyNumberFormat="1" applyFont="1" applyBorder="1" applyAlignment="1" applyProtection="1">
      <alignment horizontal="center"/>
    </xf>
    <xf numFmtId="2" fontId="12" fillId="0" borderId="0" xfId="3" applyNumberFormat="1" applyFont="1" applyFill="1"/>
    <xf numFmtId="2" fontId="1" fillId="0" borderId="0" xfId="3" applyNumberFormat="1" applyFont="1"/>
    <xf numFmtId="0" fontId="36" fillId="2" borderId="1" xfId="0" applyFont="1" applyFill="1" applyBorder="1" applyAlignment="1">
      <alignment horizontal="right"/>
    </xf>
    <xf numFmtId="0" fontId="9" fillId="0" borderId="0" xfId="0" applyFont="1"/>
    <xf numFmtId="3" fontId="9" fillId="0" borderId="0" xfId="0" applyNumberFormat="1" applyFont="1"/>
    <xf numFmtId="3" fontId="9" fillId="0" borderId="0" xfId="0" applyNumberFormat="1" applyFont="1" applyAlignment="1">
      <alignment horizontal="right"/>
    </xf>
    <xf numFmtId="3" fontId="9" fillId="0" borderId="0" xfId="0" applyNumberFormat="1" applyFont="1" applyFill="1"/>
    <xf numFmtId="3" fontId="9" fillId="3" borderId="0" xfId="0" applyNumberFormat="1" applyFont="1" applyFill="1"/>
    <xf numFmtId="3" fontId="9" fillId="0" borderId="85" xfId="0" applyNumberFormat="1" applyFont="1" applyBorder="1"/>
    <xf numFmtId="3" fontId="9" fillId="0" borderId="0" xfId="0" applyNumberFormat="1" applyFont="1" applyBorder="1"/>
    <xf numFmtId="3" fontId="9" fillId="0" borderId="0" xfId="0" applyNumberFormat="1" applyFont="1" applyFill="1" applyBorder="1"/>
    <xf numFmtId="2" fontId="9" fillId="0" borderId="0" xfId="0" applyNumberFormat="1" applyFont="1"/>
    <xf numFmtId="1" fontId="9" fillId="0" borderId="0" xfId="0" applyNumberFormat="1" applyFont="1"/>
    <xf numFmtId="0" fontId="71" fillId="0" borderId="0" xfId="3" applyFont="1"/>
    <xf numFmtId="183" fontId="1" fillId="0" borderId="0" xfId="0" applyNumberFormat="1" applyFont="1" applyBorder="1"/>
    <xf numFmtId="0" fontId="1" fillId="0" borderId="0" xfId="0" applyFont="1" applyFill="1" applyBorder="1" applyAlignment="1">
      <alignment horizontal="center"/>
    </xf>
    <xf numFmtId="0" fontId="53" fillId="0" borderId="0" xfId="0" applyFont="1" applyFill="1"/>
    <xf numFmtId="0" fontId="0" fillId="0" borderId="0" xfId="0" applyFill="1"/>
    <xf numFmtId="0" fontId="53" fillId="0" borderId="0" xfId="0" applyFont="1" applyFill="1" applyAlignment="1">
      <alignment horizontal="right"/>
    </xf>
    <xf numFmtId="3" fontId="71" fillId="0" borderId="0" xfId="3" applyNumberFormat="1" applyFont="1" applyBorder="1"/>
    <xf numFmtId="3" fontId="71" fillId="0" borderId="0" xfId="3" applyNumberFormat="1" applyFont="1"/>
    <xf numFmtId="0" fontId="0" fillId="3" borderId="14" xfId="0" applyFill="1" applyBorder="1"/>
    <xf numFmtId="3" fontId="2" fillId="0" borderId="0" xfId="3" applyNumberFormat="1" applyFont="1" applyFill="1" applyBorder="1"/>
    <xf numFmtId="0" fontId="32" fillId="0" borderId="0" xfId="0" applyFont="1" applyAlignment="1" applyProtection="1">
      <alignment horizontal="center" vertical="center"/>
      <protection locked="0"/>
    </xf>
    <xf numFmtId="188" fontId="9" fillId="0" borderId="72" xfId="3" applyNumberFormat="1" applyFont="1" applyFill="1" applyBorder="1"/>
    <xf numFmtId="188" fontId="9" fillId="0" borderId="0" xfId="3" applyNumberFormat="1" applyFont="1" applyFill="1" applyBorder="1"/>
    <xf numFmtId="188" fontId="9" fillId="0" borderId="1" xfId="3" applyNumberFormat="1" applyFont="1" applyBorder="1"/>
    <xf numFmtId="0" fontId="83" fillId="0" borderId="6" xfId="0" applyFont="1" applyBorder="1"/>
    <xf numFmtId="0" fontId="83" fillId="0" borderId="6" xfId="0" applyFont="1" applyBorder="1" applyAlignment="1">
      <alignment horizontal="centerContinuous"/>
    </xf>
    <xf numFmtId="172" fontId="2" fillId="0" borderId="0" xfId="0" applyNumberFormat="1" applyFont="1" applyProtection="1"/>
    <xf numFmtId="37" fontId="85" fillId="0" borderId="6" xfId="0" applyNumberFormat="1" applyFont="1" applyBorder="1" applyProtection="1"/>
    <xf numFmtId="166" fontId="12" fillId="0" borderId="0" xfId="0" quotePrefix="1" applyNumberFormat="1" applyFont="1" applyFill="1" applyBorder="1"/>
    <xf numFmtId="2" fontId="6" fillId="0" borderId="0" xfId="0" applyNumberFormat="1" applyFont="1" applyFill="1" applyBorder="1" applyAlignment="1" applyProtection="1">
      <alignment horizontal="right"/>
    </xf>
    <xf numFmtId="2" fontId="6" fillId="3" borderId="0" xfId="0" applyNumberFormat="1" applyFont="1" applyFill="1" applyBorder="1" applyAlignment="1" applyProtection="1">
      <alignment horizontal="right"/>
    </xf>
    <xf numFmtId="2" fontId="6" fillId="0" borderId="0" xfId="0" applyNumberFormat="1" applyFont="1" applyBorder="1" applyAlignment="1" applyProtection="1">
      <alignment horizontal="right"/>
    </xf>
    <xf numFmtId="2" fontId="2" fillId="3" borderId="0" xfId="0" applyNumberFormat="1" applyFont="1" applyFill="1" applyBorder="1"/>
    <xf numFmtId="2" fontId="2" fillId="0" borderId="0" xfId="0" applyNumberFormat="1" applyFont="1" applyBorder="1"/>
    <xf numFmtId="3" fontId="71" fillId="0" borderId="17" xfId="0" applyNumberFormat="1" applyFont="1" applyBorder="1" applyAlignment="1">
      <alignment horizontal="center"/>
    </xf>
    <xf numFmtId="3" fontId="71" fillId="3" borderId="17" xfId="0" applyNumberFormat="1" applyFont="1" applyFill="1" applyBorder="1" applyAlignment="1">
      <alignment horizontal="center"/>
    </xf>
    <xf numFmtId="3" fontId="71" fillId="0" borderId="18" xfId="0" applyNumberFormat="1" applyFont="1" applyBorder="1" applyAlignment="1">
      <alignment horizontal="center"/>
    </xf>
    <xf numFmtId="3" fontId="71" fillId="0" borderId="0" xfId="0" applyNumberFormat="1" applyFont="1" applyBorder="1"/>
    <xf numFmtId="165" fontId="12" fillId="0" borderId="0" xfId="1" applyNumberFormat="1" applyFont="1" applyBorder="1" applyAlignment="1"/>
    <xf numFmtId="10" fontId="9" fillId="2" borderId="0" xfId="2" applyNumberFormat="1" applyFont="1" applyFill="1" applyBorder="1" applyAlignment="1"/>
    <xf numFmtId="10" fontId="9" fillId="0" borderId="10" xfId="2" applyNumberFormat="1" applyFont="1" applyBorder="1" applyAlignment="1"/>
    <xf numFmtId="9" fontId="9" fillId="0" borderId="15" xfId="0" applyNumberFormat="1" applyFont="1" applyBorder="1"/>
    <xf numFmtId="3" fontId="9" fillId="3" borderId="0" xfId="1" applyNumberFormat="1" applyFont="1" applyFill="1" applyBorder="1" applyAlignment="1" applyProtection="1">
      <alignment horizontal="right"/>
    </xf>
    <xf numFmtId="37" fontId="9" fillId="3" borderId="0" xfId="0" applyNumberFormat="1" applyFont="1" applyFill="1" applyBorder="1" applyProtection="1"/>
    <xf numFmtId="37" fontId="9" fillId="0" borderId="0" xfId="3" applyNumberFormat="1" applyFont="1" applyAlignment="1">
      <alignment horizontal="right"/>
    </xf>
    <xf numFmtId="183" fontId="9" fillId="0" borderId="0" xfId="3" applyNumberFormat="1" applyFont="1"/>
    <xf numFmtId="0" fontId="62" fillId="0" borderId="0" xfId="0" applyFont="1" applyAlignment="1"/>
    <xf numFmtId="0" fontId="33" fillId="0" borderId="0" xfId="0" applyFont="1" applyAlignment="1"/>
    <xf numFmtId="165" fontId="1" fillId="0" borderId="0" xfId="3" applyNumberFormat="1" applyFont="1"/>
    <xf numFmtId="0" fontId="2" fillId="0" borderId="46" xfId="3" applyFont="1" applyBorder="1"/>
    <xf numFmtId="0" fontId="2" fillId="0" borderId="16" xfId="3" applyFont="1" applyBorder="1"/>
    <xf numFmtId="0" fontId="2" fillId="0" borderId="19" xfId="3" applyFont="1" applyBorder="1"/>
    <xf numFmtId="0" fontId="1" fillId="4" borderId="0" xfId="3" applyFont="1" applyFill="1"/>
    <xf numFmtId="0" fontId="1" fillId="0" borderId="15" xfId="3" applyFont="1" applyFill="1" applyBorder="1"/>
    <xf numFmtId="165" fontId="8" fillId="0" borderId="0" xfId="1" applyNumberFormat="1" applyFont="1" applyFill="1" applyBorder="1"/>
    <xf numFmtId="172" fontId="9" fillId="0" borderId="6" xfId="0" applyNumberFormat="1" applyFont="1" applyBorder="1" applyAlignment="1" applyProtection="1">
      <alignment horizontal="right"/>
    </xf>
    <xf numFmtId="0" fontId="70" fillId="0" borderId="37" xfId="0" applyFont="1" applyBorder="1" applyAlignment="1">
      <alignment horizontal="center"/>
    </xf>
    <xf numFmtId="0" fontId="70" fillId="0" borderId="0" xfId="0" applyFont="1" applyBorder="1" applyAlignment="1">
      <alignment horizontal="center"/>
    </xf>
    <xf numFmtId="0" fontId="12" fillId="0" borderId="0" xfId="0" applyFont="1" applyBorder="1"/>
    <xf numFmtId="0" fontId="87" fillId="0" borderId="6" xfId="0" applyFont="1" applyBorder="1"/>
    <xf numFmtId="0" fontId="88" fillId="0" borderId="6" xfId="0" applyFont="1" applyBorder="1" applyAlignment="1">
      <alignment wrapText="1"/>
    </xf>
    <xf numFmtId="0" fontId="2" fillId="0" borderId="1" xfId="0" applyFont="1" applyBorder="1" applyAlignment="1">
      <alignment horizontal="center" wrapText="1"/>
    </xf>
    <xf numFmtId="37" fontId="9" fillId="0" borderId="0" xfId="0" applyNumberFormat="1" applyFont="1" applyBorder="1" applyAlignment="1" applyProtection="1">
      <alignment horizontal="right"/>
    </xf>
    <xf numFmtId="37" fontId="12" fillId="0" borderId="0" xfId="0" applyNumberFormat="1" applyFont="1"/>
    <xf numFmtId="165" fontId="1" fillId="0" borderId="72" xfId="1" applyNumberFormat="1" applyFont="1" applyBorder="1" applyAlignment="1">
      <alignment horizontal="center"/>
    </xf>
    <xf numFmtId="0" fontId="1" fillId="4" borderId="1" xfId="3" applyFont="1" applyFill="1" applyBorder="1" applyAlignment="1">
      <alignment horizontal="center" wrapText="1"/>
    </xf>
    <xf numFmtId="165" fontId="84" fillId="4" borderId="0" xfId="1" applyNumberFormat="1" applyFont="1" applyFill="1" applyBorder="1"/>
    <xf numFmtId="0" fontId="2" fillId="0" borderId="89" xfId="0" applyFont="1" applyBorder="1"/>
    <xf numFmtId="0" fontId="2" fillId="0" borderId="90" xfId="0" applyFont="1" applyBorder="1" applyAlignment="1">
      <alignment horizontal="center"/>
    </xf>
    <xf numFmtId="0" fontId="2" fillId="0" borderId="91" xfId="0" applyFont="1" applyBorder="1" applyAlignment="1">
      <alignment horizontal="center"/>
    </xf>
    <xf numFmtId="0" fontId="2" fillId="0" borderId="92" xfId="0" applyFont="1" applyBorder="1" applyAlignment="1">
      <alignment horizontal="centerContinuous"/>
    </xf>
    <xf numFmtId="0" fontId="2" fillId="0" borderId="93" xfId="0" applyFont="1" applyBorder="1" applyAlignment="1">
      <alignment horizontal="centerContinuous"/>
    </xf>
    <xf numFmtId="0" fontId="2" fillId="0" borderId="94" xfId="0" applyFont="1" applyBorder="1" applyAlignment="1">
      <alignment horizontal="center"/>
    </xf>
    <xf numFmtId="0" fontId="2" fillId="0" borderId="95" xfId="0" applyFont="1" applyBorder="1" applyAlignment="1">
      <alignment horizontal="center"/>
    </xf>
    <xf numFmtId="0" fontId="2" fillId="0" borderId="96" xfId="0" applyFont="1" applyBorder="1" applyAlignment="1">
      <alignment horizontal="center"/>
    </xf>
    <xf numFmtId="0" fontId="2" fillId="0" borderId="97" xfId="0" applyFont="1" applyBorder="1" applyAlignment="1">
      <alignment horizontal="centerContinuous"/>
    </xf>
    <xf numFmtId="0" fontId="2" fillId="0" borderId="97" xfId="0" applyFont="1" applyBorder="1" applyAlignment="1">
      <alignment horizontal="center"/>
    </xf>
    <xf numFmtId="0" fontId="2" fillId="0" borderId="97" xfId="0" quotePrefix="1" applyFont="1" applyBorder="1" applyAlignment="1">
      <alignment horizontal="centerContinuous"/>
    </xf>
    <xf numFmtId="0" fontId="2" fillId="0" borderId="98" xfId="0" applyFont="1" applyBorder="1" applyAlignment="1">
      <alignment horizontal="centerContinuous"/>
    </xf>
    <xf numFmtId="0" fontId="2" fillId="4" borderId="1" xfId="0" applyFont="1" applyFill="1" applyBorder="1" applyAlignment="1">
      <alignment horizontal="center" wrapText="1"/>
    </xf>
    <xf numFmtId="3" fontId="12" fillId="4" borderId="87" xfId="0" applyNumberFormat="1" applyFont="1" applyFill="1" applyBorder="1"/>
    <xf numFmtId="3" fontId="12" fillId="4" borderId="86" xfId="0" applyNumberFormat="1" applyFont="1" applyFill="1" applyBorder="1"/>
    <xf numFmtId="3" fontId="12" fillId="4" borderId="80" xfId="0" applyNumberFormat="1" applyFont="1" applyFill="1" applyBorder="1"/>
    <xf numFmtId="0" fontId="11" fillId="0" borderId="38" xfId="0" applyFont="1" applyBorder="1"/>
    <xf numFmtId="0" fontId="38" fillId="0" borderId="72" xfId="0" applyFont="1" applyBorder="1" applyAlignment="1">
      <alignment horizontal="center"/>
    </xf>
    <xf numFmtId="43" fontId="5" fillId="0" borderId="0" xfId="1" applyFont="1"/>
    <xf numFmtId="0" fontId="0" fillId="4" borderId="0" xfId="0" applyFill="1" applyBorder="1"/>
    <xf numFmtId="165" fontId="8" fillId="0" borderId="0" xfId="1" applyNumberFormat="1" applyFont="1" applyBorder="1" applyAlignment="1">
      <alignment horizontal="right"/>
    </xf>
    <xf numFmtId="0" fontId="7" fillId="4" borderId="0" xfId="0" applyFont="1" applyFill="1" applyBorder="1"/>
    <xf numFmtId="165" fontId="8" fillId="4" borderId="0" xfId="1" applyNumberFormat="1" applyFont="1" applyFill="1" applyBorder="1"/>
    <xf numFmtId="0" fontId="7" fillId="4" borderId="0" xfId="0" applyFont="1" applyFill="1" applyBorder="1" applyAlignment="1">
      <alignment horizontal="right"/>
    </xf>
    <xf numFmtId="3" fontId="8" fillId="4" borderId="0" xfId="1" applyNumberFormat="1" applyFont="1" applyFill="1" applyBorder="1"/>
    <xf numFmtId="0" fontId="7" fillId="4" borderId="1" xfId="0" applyFont="1" applyFill="1" applyBorder="1"/>
    <xf numFmtId="165" fontId="8" fillId="4" borderId="1" xfId="1" applyNumberFormat="1" applyFont="1" applyFill="1" applyBorder="1"/>
    <xf numFmtId="165" fontId="8" fillId="0" borderId="10" xfId="1" applyNumberFormat="1" applyFont="1" applyFill="1" applyBorder="1"/>
    <xf numFmtId="9" fontId="0" fillId="0" borderId="0" xfId="2" applyNumberFormat="1" applyFont="1"/>
    <xf numFmtId="0" fontId="1" fillId="0" borderId="0" xfId="0" applyFont="1" applyBorder="1"/>
    <xf numFmtId="0" fontId="13" fillId="0" borderId="0" xfId="0" applyFont="1" applyFill="1" applyBorder="1" applyAlignment="1">
      <alignment horizontal="centerContinuous"/>
    </xf>
    <xf numFmtId="0" fontId="5" fillId="0" borderId="0" xfId="0" applyFont="1" applyFill="1"/>
    <xf numFmtId="0" fontId="1" fillId="0" borderId="0" xfId="0" applyFont="1" applyFill="1" applyBorder="1"/>
    <xf numFmtId="176" fontId="71" fillId="0" borderId="0" xfId="0" applyNumberFormat="1" applyFont="1" applyFill="1" applyBorder="1"/>
    <xf numFmtId="0" fontId="1" fillId="0" borderId="85" xfId="0" applyFont="1" applyBorder="1" applyAlignment="1">
      <alignment horizontal="center"/>
    </xf>
    <xf numFmtId="0" fontId="1" fillId="0" borderId="85" xfId="0" applyFont="1" applyBorder="1" applyAlignment="1">
      <alignment horizontal="right" wrapText="1"/>
    </xf>
    <xf numFmtId="0" fontId="1" fillId="0" borderId="85" xfId="0" applyFont="1" applyBorder="1" applyAlignment="1">
      <alignment horizontal="right"/>
    </xf>
    <xf numFmtId="0" fontId="72" fillId="4" borderId="85" xfId="0" applyFont="1" applyFill="1" applyBorder="1" applyAlignment="1">
      <alignment horizontal="right" wrapText="1"/>
    </xf>
    <xf numFmtId="3" fontId="9" fillId="0" borderId="0" xfId="1" applyNumberFormat="1" applyFont="1" applyFill="1" applyBorder="1" applyAlignment="1" applyProtection="1">
      <alignment horizontal="right"/>
    </xf>
    <xf numFmtId="0" fontId="0" fillId="0" borderId="85" xfId="0" applyBorder="1"/>
    <xf numFmtId="0" fontId="0" fillId="4" borderId="85" xfId="0" applyFill="1" applyBorder="1"/>
    <xf numFmtId="3" fontId="12" fillId="4" borderId="0" xfId="0" applyNumberFormat="1" applyFont="1" applyFill="1"/>
    <xf numFmtId="0" fontId="1" fillId="3" borderId="85" xfId="0" applyFont="1" applyFill="1" applyBorder="1" applyAlignment="1">
      <alignment horizontal="right"/>
    </xf>
    <xf numFmtId="167" fontId="12" fillId="0" borderId="0" xfId="0" applyNumberFormat="1" applyFont="1"/>
    <xf numFmtId="189" fontId="12" fillId="0" borderId="0" xfId="0" applyNumberFormat="1" applyFont="1"/>
    <xf numFmtId="0" fontId="15" fillId="0" borderId="0" xfId="0" applyFont="1"/>
    <xf numFmtId="3" fontId="1" fillId="0" borderId="46" xfId="0" applyNumberFormat="1" applyFont="1" applyBorder="1" applyAlignment="1">
      <alignment horizontal="right"/>
    </xf>
    <xf numFmtId="38" fontId="12" fillId="0" borderId="14" xfId="0" applyNumberFormat="1" applyFont="1" applyBorder="1"/>
    <xf numFmtId="0" fontId="1" fillId="0" borderId="16" xfId="0" applyFont="1" applyBorder="1" applyAlignment="1">
      <alignment horizontal="right"/>
    </xf>
    <xf numFmtId="0" fontId="1" fillId="0" borderId="17" xfId="0" applyFont="1" applyBorder="1"/>
    <xf numFmtId="0" fontId="1" fillId="0" borderId="19" xfId="0" applyFont="1" applyBorder="1" applyAlignment="1">
      <alignment horizontal="right"/>
    </xf>
    <xf numFmtId="3" fontId="12" fillId="0" borderId="10" xfId="0" applyNumberFormat="1" applyFont="1" applyBorder="1"/>
    <xf numFmtId="181" fontId="89" fillId="0" borderId="0" xfId="0" applyNumberFormat="1" applyFont="1" applyBorder="1" applyProtection="1"/>
    <xf numFmtId="0" fontId="90" fillId="0" borderId="0" xfId="0" applyFont="1" applyBorder="1" applyProtection="1"/>
    <xf numFmtId="0" fontId="1" fillId="0" borderId="0" xfId="0" applyFont="1" applyBorder="1" applyAlignment="1">
      <alignment horizontal="right" wrapText="1"/>
    </xf>
    <xf numFmtId="0" fontId="0" fillId="0" borderId="82" xfId="0" applyBorder="1"/>
    <xf numFmtId="0" fontId="1" fillId="0" borderId="72" xfId="0" applyFont="1" applyBorder="1" applyAlignment="1">
      <alignment horizontal="right"/>
    </xf>
    <xf numFmtId="3" fontId="12" fillId="0" borderId="99" xfId="0" applyNumberFormat="1" applyFont="1" applyBorder="1"/>
    <xf numFmtId="0" fontId="0" fillId="0" borderId="83" xfId="0" applyBorder="1"/>
    <xf numFmtId="0" fontId="0" fillId="0" borderId="29" xfId="0" applyBorder="1"/>
    <xf numFmtId="0" fontId="1" fillId="0" borderId="1" xfId="0" applyFont="1" applyBorder="1" applyAlignment="1">
      <alignment horizontal="right"/>
    </xf>
    <xf numFmtId="3" fontId="12" fillId="0" borderId="28" xfId="0" applyNumberFormat="1" applyFont="1" applyBorder="1"/>
    <xf numFmtId="38" fontId="12" fillId="0" borderId="0" xfId="0" applyNumberFormat="1" applyFont="1" applyBorder="1"/>
    <xf numFmtId="0" fontId="1" fillId="0" borderId="72" xfId="0" applyFont="1" applyBorder="1"/>
    <xf numFmtId="3" fontId="12" fillId="0" borderId="1" xfId="0" applyNumberFormat="1" applyFont="1" applyBorder="1"/>
    <xf numFmtId="0" fontId="1" fillId="5" borderId="0" xfId="0" applyFont="1" applyFill="1"/>
    <xf numFmtId="0" fontId="1" fillId="5" borderId="85" xfId="0" applyFont="1" applyFill="1" applyBorder="1"/>
    <xf numFmtId="0" fontId="1" fillId="5" borderId="85" xfId="0" applyFont="1" applyFill="1" applyBorder="1" applyAlignment="1">
      <alignment horizontal="right"/>
    </xf>
    <xf numFmtId="0" fontId="1" fillId="5" borderId="0" xfId="0" applyFont="1" applyFill="1" applyAlignment="1">
      <alignment horizontal="center"/>
    </xf>
    <xf numFmtId="3" fontId="1" fillId="5" borderId="0" xfId="0" applyNumberFormat="1" applyFont="1" applyFill="1"/>
    <xf numFmtId="3" fontId="1" fillId="5" borderId="0" xfId="0" applyNumberFormat="1" applyFont="1" applyFill="1" applyAlignment="1">
      <alignment horizontal="center"/>
    </xf>
    <xf numFmtId="3" fontId="1" fillId="5" borderId="0" xfId="0" applyNumberFormat="1" applyFont="1" applyFill="1" applyAlignment="1">
      <alignment horizontal="right"/>
    </xf>
    <xf numFmtId="3" fontId="12" fillId="5" borderId="0" xfId="0" applyNumberFormat="1" applyFont="1" applyFill="1"/>
    <xf numFmtId="0" fontId="1" fillId="5" borderId="1" xfId="0" applyFont="1" applyFill="1" applyBorder="1" applyAlignment="1">
      <alignment horizontal="center"/>
    </xf>
    <xf numFmtId="3" fontId="1" fillId="5" borderId="1" xfId="0" applyNumberFormat="1" applyFont="1" applyFill="1" applyBorder="1"/>
    <xf numFmtId="3" fontId="1" fillId="5" borderId="1" xfId="0" applyNumberFormat="1" applyFont="1" applyFill="1" applyBorder="1" applyAlignment="1">
      <alignment horizontal="center"/>
    </xf>
    <xf numFmtId="3" fontId="1" fillId="5" borderId="1" xfId="0" applyNumberFormat="1" applyFont="1" applyFill="1" applyBorder="1" applyAlignment="1">
      <alignment horizontal="right"/>
    </xf>
    <xf numFmtId="0" fontId="1" fillId="5" borderId="1" xfId="0" applyFont="1" applyFill="1" applyBorder="1"/>
    <xf numFmtId="0" fontId="1" fillId="5" borderId="0" xfId="0" applyFont="1" applyFill="1" applyBorder="1"/>
    <xf numFmtId="3" fontId="12" fillId="5" borderId="1" xfId="0" applyNumberFormat="1" applyFont="1" applyFill="1" applyBorder="1"/>
    <xf numFmtId="0" fontId="12" fillId="5" borderId="0" xfId="0" applyFont="1" applyFill="1" applyAlignment="1">
      <alignment horizontal="center"/>
    </xf>
    <xf numFmtId="3" fontId="12" fillId="5" borderId="0" xfId="0" applyNumberFormat="1" applyFont="1" applyFill="1" applyAlignment="1">
      <alignment horizontal="right"/>
    </xf>
    <xf numFmtId="0" fontId="1" fillId="4" borderId="46" xfId="0" applyFont="1" applyFill="1" applyBorder="1"/>
    <xf numFmtId="0" fontId="1" fillId="4" borderId="16" xfId="0" applyFont="1" applyFill="1" applyBorder="1"/>
    <xf numFmtId="3" fontId="12" fillId="4" borderId="15" xfId="0" applyNumberFormat="1" applyFont="1" applyFill="1" applyBorder="1"/>
    <xf numFmtId="3" fontId="12" fillId="4" borderId="17" xfId="0" applyNumberFormat="1" applyFont="1" applyFill="1" applyBorder="1"/>
    <xf numFmtId="0" fontId="1" fillId="4" borderId="0" xfId="0" applyFont="1" applyFill="1" applyBorder="1"/>
    <xf numFmtId="3" fontId="12" fillId="4" borderId="12" xfId="0" applyNumberFormat="1" applyFont="1" applyFill="1" applyBorder="1"/>
    <xf numFmtId="3" fontId="12" fillId="4" borderId="13" xfId="0" applyNumberFormat="1" applyFont="1" applyFill="1" applyBorder="1"/>
    <xf numFmtId="3" fontId="12" fillId="4" borderId="74" xfId="0" applyNumberFormat="1" applyFont="1" applyFill="1" applyBorder="1"/>
    <xf numFmtId="0" fontId="1" fillId="4" borderId="82" xfId="0" applyFont="1" applyFill="1" applyBorder="1"/>
    <xf numFmtId="0" fontId="1" fillId="4" borderId="83" xfId="0" applyFont="1" applyFill="1" applyBorder="1"/>
    <xf numFmtId="0" fontId="1" fillId="4" borderId="29" xfId="0" applyFont="1" applyFill="1" applyBorder="1"/>
    <xf numFmtId="0" fontId="0" fillId="4" borderId="72" xfId="0" applyFill="1" applyBorder="1"/>
    <xf numFmtId="0" fontId="0" fillId="4" borderId="1" xfId="0" applyFill="1" applyBorder="1"/>
    <xf numFmtId="0" fontId="91" fillId="3" borderId="46" xfId="0" applyFont="1" applyFill="1" applyBorder="1"/>
    <xf numFmtId="0" fontId="91" fillId="3" borderId="14" xfId="0" applyFont="1" applyFill="1" applyBorder="1"/>
    <xf numFmtId="3" fontId="0" fillId="4" borderId="0" xfId="0" applyNumberFormat="1" applyFill="1" applyBorder="1"/>
    <xf numFmtId="0" fontId="73" fillId="3" borderId="85" xfId="0" applyFont="1" applyFill="1" applyBorder="1" applyAlignment="1">
      <alignment horizontal="right" wrapText="1"/>
    </xf>
    <xf numFmtId="176" fontId="0" fillId="0" borderId="0" xfId="2" applyNumberFormat="1" applyFont="1"/>
    <xf numFmtId="3" fontId="12" fillId="4" borderId="46" xfId="0" applyNumberFormat="1" applyFont="1" applyFill="1" applyBorder="1"/>
    <xf numFmtId="3" fontId="12" fillId="4" borderId="16" xfId="0" applyNumberFormat="1" applyFont="1" applyFill="1" applyBorder="1"/>
    <xf numFmtId="3" fontId="12" fillId="4" borderId="19" xfId="0" applyNumberFormat="1" applyFont="1" applyFill="1" applyBorder="1"/>
    <xf numFmtId="0" fontId="2" fillId="0" borderId="0" xfId="0" applyFont="1" applyFill="1" applyBorder="1" applyAlignment="1">
      <alignment horizontal="center"/>
    </xf>
    <xf numFmtId="0" fontId="0" fillId="0" borderId="0" xfId="0" applyFill="1" applyAlignment="1">
      <alignment horizontal="center"/>
    </xf>
    <xf numFmtId="3" fontId="70" fillId="0" borderId="0" xfId="3" applyNumberFormat="1" applyFont="1" applyFill="1"/>
    <xf numFmtId="2" fontId="2" fillId="6" borderId="0" xfId="0" applyNumberFormat="1" applyFont="1" applyFill="1" applyBorder="1" applyAlignment="1" applyProtection="1">
      <alignment horizontal="right"/>
    </xf>
    <xf numFmtId="0" fontId="1" fillId="0" borderId="36" xfId="0" applyFont="1" applyBorder="1" applyAlignment="1">
      <alignment horizontal="center"/>
    </xf>
    <xf numFmtId="0" fontId="1" fillId="0" borderId="0" xfId="3" applyAlignment="1">
      <alignment horizontal="right" wrapText="1"/>
    </xf>
    <xf numFmtId="0" fontId="1" fillId="0" borderId="0" xfId="3" applyAlignment="1">
      <alignment wrapText="1"/>
    </xf>
    <xf numFmtId="0" fontId="1" fillId="0" borderId="15" xfId="3" applyBorder="1"/>
    <xf numFmtId="183" fontId="9" fillId="0" borderId="0" xfId="3" applyNumberFormat="1" applyFont="1" applyBorder="1"/>
    <xf numFmtId="183" fontId="9" fillId="0" borderId="14" xfId="3" applyNumberFormat="1" applyFont="1" applyBorder="1"/>
    <xf numFmtId="183" fontId="9" fillId="0" borderId="10" xfId="3" applyNumberFormat="1" applyFont="1" applyBorder="1"/>
    <xf numFmtId="2" fontId="71" fillId="0" borderId="17" xfId="3" applyNumberFormat="1" applyFont="1" applyBorder="1"/>
    <xf numFmtId="2" fontId="71" fillId="0" borderId="18" xfId="3" applyNumberFormat="1" applyFont="1" applyBorder="1"/>
    <xf numFmtId="167" fontId="71" fillId="0" borderId="0" xfId="0" applyNumberFormat="1" applyFont="1" applyAlignment="1">
      <alignment horizontal="center"/>
    </xf>
    <xf numFmtId="0" fontId="92" fillId="0" borderId="0" xfId="0" applyFont="1" applyBorder="1" applyAlignment="1">
      <alignment horizontal="right" vertical="center" wrapText="1"/>
    </xf>
    <xf numFmtId="3" fontId="92" fillId="0" borderId="0" xfId="0" applyNumberFormat="1" applyFont="1" applyBorder="1" applyAlignment="1">
      <alignment horizontal="right" vertical="center" wrapText="1"/>
    </xf>
    <xf numFmtId="3" fontId="12" fillId="2" borderId="0" xfId="1" applyNumberFormat="1" applyFont="1" applyFill="1" applyBorder="1" applyAlignment="1" applyProtection="1">
      <alignment horizontal="right"/>
    </xf>
    <xf numFmtId="3" fontId="12" fillId="0" borderId="1" xfId="1" applyNumberFormat="1" applyFont="1" applyFill="1" applyBorder="1" applyAlignment="1" applyProtection="1">
      <alignment horizontal="right"/>
    </xf>
    <xf numFmtId="165" fontId="72" fillId="0" borderId="86" xfId="1" applyNumberFormat="1" applyFont="1" applyFill="1" applyBorder="1" applyProtection="1"/>
    <xf numFmtId="3" fontId="72" fillId="0" borderId="87" xfId="1" applyNumberFormat="1" applyFont="1" applyBorder="1" applyAlignment="1">
      <alignment horizontal="right"/>
    </xf>
    <xf numFmtId="0" fontId="1" fillId="0" borderId="86" xfId="3" applyFont="1" applyBorder="1"/>
    <xf numFmtId="3" fontId="72" fillId="0" borderId="86" xfId="1" applyNumberFormat="1" applyFont="1" applyFill="1" applyBorder="1" applyAlignment="1">
      <alignment horizontal="right"/>
    </xf>
    <xf numFmtId="3" fontId="72" fillId="0" borderId="86" xfId="1" applyNumberFormat="1" applyFont="1" applyFill="1" applyBorder="1"/>
    <xf numFmtId="0" fontId="74" fillId="0" borderId="1" xfId="3" applyFont="1" applyBorder="1" applyAlignment="1">
      <alignment horizontal="center" wrapText="1"/>
    </xf>
    <xf numFmtId="3" fontId="72" fillId="4" borderId="87" xfId="1" applyNumberFormat="1" applyFont="1" applyFill="1" applyBorder="1" applyAlignment="1">
      <alignment horizontal="right"/>
    </xf>
    <xf numFmtId="165" fontId="72" fillId="4" borderId="87" xfId="1" applyNumberFormat="1" applyFont="1" applyFill="1" applyBorder="1" applyProtection="1"/>
    <xf numFmtId="3" fontId="1" fillId="0" borderId="86" xfId="1" applyNumberFormat="1" applyFont="1" applyBorder="1" applyAlignment="1">
      <alignment horizontal="right"/>
    </xf>
    <xf numFmtId="3" fontId="1" fillId="0" borderId="86" xfId="1" applyNumberFormat="1" applyFont="1" applyFill="1" applyBorder="1" applyAlignment="1">
      <alignment horizontal="right"/>
    </xf>
    <xf numFmtId="3" fontId="1" fillId="0" borderId="86" xfId="1" applyNumberFormat="1" applyFont="1" applyFill="1" applyBorder="1"/>
    <xf numFmtId="3" fontId="72" fillId="0" borderId="0" xfId="3" applyNumberFormat="1" applyFont="1" applyFill="1" applyBorder="1" applyProtection="1"/>
    <xf numFmtId="3" fontId="1" fillId="4" borderId="87" xfId="3" applyNumberFormat="1" applyFont="1" applyFill="1" applyBorder="1" applyProtection="1"/>
    <xf numFmtId="3" fontId="72" fillId="4" borderId="83" xfId="3" applyNumberFormat="1" applyFont="1" applyFill="1" applyBorder="1" applyProtection="1"/>
    <xf numFmtId="3" fontId="1" fillId="4" borderId="87" xfId="3" applyNumberFormat="1" applyFont="1" applyFill="1" applyBorder="1"/>
    <xf numFmtId="3" fontId="72" fillId="0" borderId="0" xfId="3" applyNumberFormat="1" applyFont="1" applyBorder="1"/>
    <xf numFmtId="3" fontId="1" fillId="4" borderId="0" xfId="3" applyNumberFormat="1" applyFont="1" applyFill="1" applyBorder="1"/>
    <xf numFmtId="3" fontId="72" fillId="4" borderId="87" xfId="3" applyNumberFormat="1" applyFont="1" applyFill="1" applyBorder="1" applyProtection="1"/>
    <xf numFmtId="165" fontId="12" fillId="0" borderId="1" xfId="1" applyNumberFormat="1" applyFont="1" applyFill="1" applyBorder="1" applyProtection="1"/>
    <xf numFmtId="165" fontId="1" fillId="0" borderId="85" xfId="1" applyNumberFormat="1" applyFont="1" applyBorder="1" applyProtection="1"/>
    <xf numFmtId="165" fontId="1" fillId="0" borderId="85" xfId="1" applyNumberFormat="1" applyFont="1" applyBorder="1"/>
    <xf numFmtId="1" fontId="72" fillId="0" borderId="86" xfId="1" applyNumberFormat="1" applyFont="1" applyFill="1" applyBorder="1" applyProtection="1"/>
    <xf numFmtId="0" fontId="6" fillId="3" borderId="0" xfId="0" applyFont="1" applyFill="1" applyBorder="1" applyAlignment="1">
      <alignment horizontal="center"/>
    </xf>
    <xf numFmtId="0" fontId="9" fillId="0" borderId="0" xfId="0" applyFont="1" applyAlignment="1">
      <alignment horizontal="center"/>
    </xf>
    <xf numFmtId="38" fontId="9" fillId="0" borderId="0" xfId="0" applyNumberFormat="1" applyFont="1"/>
    <xf numFmtId="182" fontId="9" fillId="0" borderId="0" xfId="0" applyNumberFormat="1" applyFont="1"/>
    <xf numFmtId="0" fontId="6" fillId="0" borderId="85" xfId="0" quotePrefix="1" applyFont="1" applyBorder="1" applyAlignment="1">
      <alignment horizontal="left"/>
    </xf>
    <xf numFmtId="0" fontId="2" fillId="0" borderId="1" xfId="0" quotePrefix="1" applyFont="1" applyBorder="1" applyAlignment="1">
      <alignment horizontal="left"/>
    </xf>
    <xf numFmtId="0" fontId="34" fillId="4" borderId="85" xfId="0" applyFont="1" applyFill="1" applyBorder="1" applyAlignment="1">
      <alignment horizontal="centerContinuous"/>
    </xf>
    <xf numFmtId="0" fontId="0" fillId="4" borderId="85" xfId="0" applyFill="1" applyBorder="1" applyAlignment="1">
      <alignment horizontal="centerContinuous"/>
    </xf>
    <xf numFmtId="0" fontId="2" fillId="0" borderId="85" xfId="0" applyFont="1" applyBorder="1" applyAlignment="1">
      <alignment horizontal="centerContinuous"/>
    </xf>
    <xf numFmtId="0" fontId="2" fillId="0" borderId="1" xfId="0" applyFont="1" applyBorder="1" applyAlignment="1">
      <alignment horizontal="right"/>
    </xf>
    <xf numFmtId="0" fontId="2" fillId="0" borderId="0" xfId="0" applyFont="1" applyAlignment="1">
      <alignment horizontal="right"/>
    </xf>
    <xf numFmtId="0" fontId="1" fillId="4" borderId="0" xfId="0" applyFont="1" applyFill="1" applyBorder="1" applyAlignment="1">
      <alignment horizontal="right"/>
    </xf>
    <xf numFmtId="3" fontId="0" fillId="0" borderId="0" xfId="0" applyNumberFormat="1" applyFill="1" applyBorder="1"/>
    <xf numFmtId="0" fontId="0" fillId="4" borderId="0" xfId="0" applyFill="1"/>
    <xf numFmtId="9" fontId="9" fillId="2" borderId="85" xfId="2" applyFont="1" applyFill="1" applyBorder="1"/>
    <xf numFmtId="9" fontId="9" fillId="2" borderId="1" xfId="2" applyFont="1" applyFill="1" applyBorder="1"/>
    <xf numFmtId="9" fontId="94" fillId="4" borderId="85" xfId="2" applyFont="1" applyFill="1" applyBorder="1"/>
    <xf numFmtId="0" fontId="59" fillId="0" borderId="0" xfId="0" applyFont="1" applyFill="1" applyBorder="1"/>
    <xf numFmtId="0" fontId="26" fillId="0" borderId="0" xfId="0" applyFont="1" applyFill="1" applyBorder="1" applyAlignment="1">
      <alignment horizontal="right"/>
    </xf>
    <xf numFmtId="0" fontId="78" fillId="0" borderId="0" xfId="0" applyFont="1" applyFill="1" applyBorder="1"/>
    <xf numFmtId="180" fontId="9" fillId="0" borderId="0" xfId="0" applyNumberFormat="1" applyFont="1" applyFill="1" applyBorder="1" applyAlignment="1" applyProtection="1">
      <alignment horizontal="right"/>
    </xf>
    <xf numFmtId="180" fontId="55" fillId="0" borderId="0" xfId="0" applyNumberFormat="1" applyFont="1" applyFill="1" applyBorder="1" applyAlignment="1" applyProtection="1">
      <alignment horizontal="right"/>
    </xf>
    <xf numFmtId="3" fontId="9" fillId="0" borderId="0" xfId="0" applyNumberFormat="1" applyFont="1" applyFill="1" applyBorder="1" applyAlignment="1">
      <alignment horizontal="right"/>
    </xf>
    <xf numFmtId="3" fontId="48" fillId="0" borderId="0" xfId="0" applyNumberFormat="1" applyFont="1" applyFill="1" applyBorder="1"/>
    <xf numFmtId="4" fontId="9" fillId="0" borderId="0" xfId="0" applyNumberFormat="1" applyFont="1"/>
    <xf numFmtId="168" fontId="6" fillId="0" borderId="0" xfId="0" applyNumberFormat="1" applyFont="1" applyFill="1" applyBorder="1" applyAlignment="1" applyProtection="1">
      <alignment horizontal="right"/>
    </xf>
    <xf numFmtId="0" fontId="2" fillId="0" borderId="0" xfId="0" applyFont="1" applyFill="1" applyBorder="1"/>
    <xf numFmtId="168" fontId="6" fillId="0" borderId="0" xfId="0" applyNumberFormat="1" applyFont="1" applyFill="1" applyBorder="1" applyAlignment="1" applyProtection="1">
      <alignment horizontal="left"/>
    </xf>
    <xf numFmtId="3" fontId="6" fillId="0" borderId="0" xfId="0" applyNumberFormat="1" applyFont="1" applyFill="1" applyBorder="1" applyAlignment="1">
      <alignment horizontal="center"/>
    </xf>
    <xf numFmtId="0" fontId="2" fillId="0" borderId="101" xfId="0" applyFont="1" applyBorder="1" applyAlignment="1">
      <alignment horizontal="right"/>
    </xf>
    <xf numFmtId="0" fontId="2" fillId="0" borderId="85" xfId="0" applyFont="1" applyBorder="1" applyAlignment="1">
      <alignment horizontal="right"/>
    </xf>
    <xf numFmtId="0" fontId="0" fillId="0" borderId="0" xfId="0" applyFill="1" applyAlignment="1">
      <alignment horizontal="right"/>
    </xf>
    <xf numFmtId="190" fontId="6" fillId="0" borderId="0" xfId="0" applyNumberFormat="1" applyFont="1" applyFill="1" applyBorder="1" applyAlignment="1" applyProtection="1">
      <alignment horizontal="right"/>
    </xf>
    <xf numFmtId="0" fontId="1" fillId="0" borderId="0" xfId="0" applyFont="1" applyFill="1"/>
    <xf numFmtId="0" fontId="70" fillId="0" borderId="0" xfId="0" applyFont="1"/>
    <xf numFmtId="191" fontId="12" fillId="0" borderId="0" xfId="0" applyNumberFormat="1" applyFont="1" applyBorder="1"/>
    <xf numFmtId="0" fontId="0" fillId="3" borderId="0" xfId="0" applyFill="1" applyAlignment="1">
      <alignment horizontal="center"/>
    </xf>
    <xf numFmtId="180" fontId="1" fillId="0" borderId="0" xfId="0" applyNumberFormat="1" applyFont="1" applyProtection="1"/>
    <xf numFmtId="177" fontId="1" fillId="0" borderId="0" xfId="0" applyNumberFormat="1" applyFont="1" applyProtection="1"/>
    <xf numFmtId="14" fontId="1" fillId="0" borderId="0" xfId="0" applyNumberFormat="1" applyFont="1"/>
    <xf numFmtId="0" fontId="1" fillId="0" borderId="0" xfId="0" applyFont="1" applyAlignment="1">
      <alignment vertical="center"/>
    </xf>
    <xf numFmtId="0" fontId="1" fillId="0" borderId="0" xfId="0" applyFont="1" applyAlignment="1">
      <alignment horizontal="left"/>
    </xf>
    <xf numFmtId="0" fontId="1" fillId="0" borderId="14" xfId="0" applyFont="1" applyBorder="1"/>
    <xf numFmtId="0" fontId="1" fillId="0" borderId="14" xfId="0" applyFont="1" applyBorder="1" applyAlignment="1">
      <alignment horizontal="left"/>
    </xf>
    <xf numFmtId="177" fontId="1" fillId="0" borderId="47" xfId="0" applyNumberFormat="1" applyFont="1" applyBorder="1" applyProtection="1"/>
    <xf numFmtId="177" fontId="1" fillId="0" borderId="14" xfId="0" applyNumberFormat="1" applyFont="1" applyBorder="1" applyProtection="1"/>
    <xf numFmtId="0" fontId="1" fillId="0" borderId="15" xfId="0" applyFont="1" applyBorder="1"/>
    <xf numFmtId="0" fontId="1" fillId="0" borderId="0" xfId="0" applyFont="1" applyBorder="1" applyAlignment="1">
      <alignment horizontal="left"/>
    </xf>
    <xf numFmtId="177" fontId="1" fillId="0" borderId="35" xfId="0" applyNumberFormat="1" applyFont="1" applyBorder="1" applyProtection="1"/>
    <xf numFmtId="177" fontId="1" fillId="0" borderId="0" xfId="0" applyNumberFormat="1" applyFont="1" applyBorder="1" applyProtection="1"/>
    <xf numFmtId="0" fontId="31" fillId="0" borderId="62" xfId="0" applyFont="1" applyBorder="1" applyAlignment="1">
      <alignment horizontal="center"/>
    </xf>
    <xf numFmtId="0" fontId="31" fillId="0" borderId="63" xfId="0" applyFont="1" applyBorder="1" applyAlignment="1">
      <alignment horizontal="center"/>
    </xf>
    <xf numFmtId="0" fontId="31" fillId="0" borderId="63" xfId="0" applyFont="1" applyBorder="1" applyAlignment="1">
      <alignment horizontal="left"/>
    </xf>
    <xf numFmtId="0" fontId="31" fillId="0" borderId="64" xfId="0" applyFont="1" applyBorder="1" applyAlignment="1">
      <alignment horizontal="centerContinuous"/>
    </xf>
    <xf numFmtId="0" fontId="31" fillId="0" borderId="65" xfId="0" applyFont="1" applyBorder="1" applyAlignment="1">
      <alignment horizontal="centerContinuous"/>
    </xf>
    <xf numFmtId="0" fontId="31" fillId="0" borderId="46" xfId="0" applyFont="1" applyBorder="1" applyAlignment="1">
      <alignment horizontal="left"/>
    </xf>
    <xf numFmtId="0" fontId="31" fillId="0" borderId="59" xfId="0" applyFont="1" applyBorder="1" applyAlignment="1">
      <alignment horizontal="center"/>
    </xf>
    <xf numFmtId="0" fontId="31" fillId="0" borderId="11" xfId="0" applyFont="1" applyBorder="1" applyAlignment="1">
      <alignment horizontal="centerContinuous"/>
    </xf>
    <xf numFmtId="0" fontId="31" fillId="0" borderId="60" xfId="0" applyFont="1" applyBorder="1" applyAlignment="1">
      <alignment horizontal="centerContinuous"/>
    </xf>
    <xf numFmtId="0" fontId="31" fillId="0" borderId="14" xfId="0" applyFont="1" applyBorder="1" applyAlignment="1">
      <alignment horizontal="center"/>
    </xf>
    <xf numFmtId="180" fontId="31" fillId="0" borderId="14" xfId="0" applyNumberFormat="1" applyFont="1" applyBorder="1" applyAlignment="1" applyProtection="1">
      <alignment horizontal="center"/>
    </xf>
    <xf numFmtId="177" fontId="31" fillId="0" borderId="15" xfId="0" applyNumberFormat="1" applyFont="1" applyBorder="1" applyProtection="1"/>
    <xf numFmtId="177" fontId="31" fillId="0" borderId="17" xfId="0" applyNumberFormat="1" applyFont="1" applyBorder="1" applyProtection="1"/>
    <xf numFmtId="0" fontId="31" fillId="0" borderId="48" xfId="0" applyFont="1" applyBorder="1" applyAlignment="1">
      <alignment horizontal="center"/>
    </xf>
    <xf numFmtId="0" fontId="31" fillId="0" borderId="56" xfId="0" applyFont="1" applyBorder="1" applyAlignment="1">
      <alignment horizontal="center"/>
    </xf>
    <xf numFmtId="0" fontId="31" fillId="0" borderId="57" xfId="0" applyFont="1" applyBorder="1" applyAlignment="1">
      <alignment horizontal="center"/>
    </xf>
    <xf numFmtId="0" fontId="31" fillId="0" borderId="42" xfId="0" applyFont="1" applyBorder="1" applyAlignment="1">
      <alignment horizontal="center"/>
    </xf>
    <xf numFmtId="0" fontId="31" fillId="0" borderId="42" xfId="0" applyFont="1" applyBorder="1" applyAlignment="1">
      <alignment horizontal="left"/>
    </xf>
    <xf numFmtId="0" fontId="31" fillId="0" borderId="58" xfId="0" applyFont="1" applyBorder="1" applyAlignment="1">
      <alignment horizontal="centerContinuous"/>
    </xf>
    <xf numFmtId="0" fontId="31" fillId="0" borderId="49" xfId="0" applyFont="1" applyBorder="1" applyAlignment="1">
      <alignment horizontal="centerContinuous"/>
    </xf>
    <xf numFmtId="0" fontId="31" fillId="0" borderId="61" xfId="0" applyFont="1" applyBorder="1" applyAlignment="1">
      <alignment horizontal="center"/>
    </xf>
    <xf numFmtId="0" fontId="31" fillId="0" borderId="43" xfId="0" applyFont="1" applyBorder="1" applyAlignment="1">
      <alignment horizontal="center"/>
    </xf>
    <xf numFmtId="0" fontId="31" fillId="0" borderId="42" xfId="0" applyFont="1" applyBorder="1" applyAlignment="1">
      <alignment horizontal="centerContinuous"/>
    </xf>
    <xf numFmtId="0" fontId="31" fillId="0" borderId="44" xfId="0" applyFont="1" applyBorder="1" applyAlignment="1">
      <alignment horizontal="centerContinuous"/>
    </xf>
    <xf numFmtId="180" fontId="31" fillId="0" borderId="42" xfId="0" applyNumberFormat="1" applyFont="1" applyBorder="1" applyAlignment="1" applyProtection="1">
      <alignment horizontal="center"/>
    </xf>
    <xf numFmtId="177" fontId="31" fillId="0" borderId="49" xfId="0" applyNumberFormat="1" applyFont="1" applyBorder="1" applyAlignment="1" applyProtection="1">
      <alignment horizontal="center"/>
    </xf>
    <xf numFmtId="0" fontId="1" fillId="0" borderId="16" xfId="0" applyFont="1" applyBorder="1"/>
    <xf numFmtId="0" fontId="1" fillId="0" borderId="16" xfId="0" applyFont="1" applyBorder="1" applyAlignment="1">
      <alignment horizontal="center"/>
    </xf>
    <xf numFmtId="0" fontId="12" fillId="0" borderId="16" xfId="0" applyFont="1" applyBorder="1"/>
    <xf numFmtId="0" fontId="1" fillId="0" borderId="0" xfId="0" applyFont="1" applyBorder="1" applyAlignment="1">
      <alignment horizontal="center"/>
    </xf>
    <xf numFmtId="10" fontId="12" fillId="0" borderId="0" xfId="0" applyNumberFormat="1" applyFont="1" applyBorder="1"/>
    <xf numFmtId="3" fontId="12" fillId="2" borderId="0" xfId="0" applyNumberFormat="1" applyFont="1" applyFill="1" applyBorder="1"/>
    <xf numFmtId="3" fontId="12" fillId="0" borderId="17" xfId="0" applyNumberFormat="1" applyFont="1" applyBorder="1"/>
    <xf numFmtId="37" fontId="12" fillId="0" borderId="0" xfId="0" applyNumberFormat="1" applyFont="1" applyBorder="1"/>
    <xf numFmtId="10" fontId="12" fillId="0" borderId="0" xfId="2" applyNumberFormat="1" applyFont="1" applyBorder="1"/>
    <xf numFmtId="167" fontId="12" fillId="0" borderId="17" xfId="0" applyNumberFormat="1" applyFont="1" applyBorder="1"/>
    <xf numFmtId="3" fontId="1" fillId="0" borderId="0" xfId="0" applyNumberFormat="1" applyFont="1" applyBorder="1"/>
    <xf numFmtId="167" fontId="1" fillId="0" borderId="17" xfId="0" applyNumberFormat="1" applyFont="1" applyBorder="1"/>
    <xf numFmtId="165" fontId="12" fillId="0" borderId="0" xfId="1" applyNumberFormat="1" applyFont="1" applyFill="1" applyBorder="1"/>
    <xf numFmtId="0" fontId="1" fillId="0" borderId="19" xfId="0" applyFont="1" applyBorder="1"/>
    <xf numFmtId="0" fontId="1" fillId="0" borderId="10" xfId="0" applyFont="1" applyBorder="1"/>
    <xf numFmtId="0" fontId="1" fillId="0" borderId="18" xfId="0" applyFont="1" applyBorder="1"/>
    <xf numFmtId="165" fontId="12" fillId="0" borderId="0" xfId="1" applyNumberFormat="1" applyFont="1" applyBorder="1"/>
    <xf numFmtId="0" fontId="98" fillId="0" borderId="14" xfId="0" applyFont="1" applyBorder="1" applyAlignment="1">
      <alignment horizontal="center"/>
    </xf>
    <xf numFmtId="0" fontId="98" fillId="0" borderId="42" xfId="0" applyFont="1" applyBorder="1" applyAlignment="1">
      <alignment horizontal="center"/>
    </xf>
    <xf numFmtId="3" fontId="12" fillId="4" borderId="0" xfId="0" applyNumberFormat="1" applyFont="1" applyFill="1" applyBorder="1"/>
    <xf numFmtId="165" fontId="12" fillId="4" borderId="0" xfId="1" applyNumberFormat="1" applyFont="1" applyFill="1" applyBorder="1"/>
    <xf numFmtId="0" fontId="1" fillId="5" borderId="0" xfId="0" applyFont="1" applyFill="1" applyAlignment="1">
      <alignment wrapText="1"/>
    </xf>
    <xf numFmtId="37" fontId="9" fillId="0" borderId="0" xfId="0" applyNumberFormat="1" applyFont="1" applyFill="1" applyBorder="1" applyProtection="1"/>
    <xf numFmtId="0" fontId="76" fillId="0" borderId="0" xfId="0" applyFont="1"/>
    <xf numFmtId="0" fontId="5" fillId="4" borderId="1" xfId="0" applyFont="1" applyFill="1" applyBorder="1" applyAlignment="1">
      <alignment horizontal="center"/>
    </xf>
    <xf numFmtId="0" fontId="73" fillId="0" borderId="1" xfId="0" applyFont="1" applyBorder="1"/>
    <xf numFmtId="3" fontId="0" fillId="4" borderId="0" xfId="0" applyNumberFormat="1" applyFill="1" applyAlignment="1">
      <alignment horizontal="right"/>
    </xf>
    <xf numFmtId="0" fontId="71" fillId="0" borderId="0" xfId="0" applyFont="1"/>
    <xf numFmtId="3" fontId="71" fillId="0" borderId="0" xfId="0" applyNumberFormat="1" applyFont="1"/>
    <xf numFmtId="3" fontId="2" fillId="0" borderId="74" xfId="3" applyNumberFormat="1" applyFont="1" applyFill="1" applyBorder="1"/>
    <xf numFmtId="0" fontId="99" fillId="0" borderId="0" xfId="4" applyAlignment="1" applyProtection="1">
      <alignment horizontal="right"/>
    </xf>
    <xf numFmtId="0" fontId="99" fillId="0" borderId="0" xfId="4" applyProtection="1"/>
    <xf numFmtId="0" fontId="99" fillId="0" borderId="0" xfId="4" applyFill="1" applyProtection="1"/>
    <xf numFmtId="0" fontId="99" fillId="0" borderId="0" xfId="4"/>
    <xf numFmtId="0" fontId="99" fillId="0" borderId="0" xfId="4" applyFill="1" applyBorder="1" applyAlignment="1" applyProtection="1">
      <alignment horizontal="right"/>
    </xf>
    <xf numFmtId="0" fontId="99" fillId="0" borderId="0" xfId="4" applyFill="1" applyAlignment="1" applyProtection="1">
      <alignment horizontal="right"/>
    </xf>
    <xf numFmtId="0" fontId="99" fillId="0" borderId="0" xfId="4" applyFill="1" applyBorder="1" applyProtection="1"/>
    <xf numFmtId="0" fontId="99" fillId="0" borderId="0" xfId="4" applyFill="1" applyBorder="1" applyAlignment="1" applyProtection="1">
      <alignment horizontal="center"/>
    </xf>
    <xf numFmtId="3" fontId="99" fillId="0" borderId="0" xfId="4" applyNumberFormat="1" applyAlignment="1" applyProtection="1">
      <alignment horizontal="right"/>
    </xf>
    <xf numFmtId="176" fontId="89" fillId="0" borderId="0" xfId="4" applyNumberFormat="1" applyFont="1" applyFill="1" applyBorder="1" applyAlignment="1" applyProtection="1">
      <alignment horizontal="center"/>
    </xf>
    <xf numFmtId="3" fontId="99" fillId="0" borderId="0" xfId="4" applyNumberFormat="1"/>
    <xf numFmtId="10" fontId="99" fillId="0" borderId="0" xfId="4" applyNumberFormat="1" applyFill="1" applyBorder="1" applyProtection="1"/>
    <xf numFmtId="10" fontId="89" fillId="0" borderId="0" xfId="4" applyNumberFormat="1" applyFont="1" applyFill="1" applyBorder="1" applyProtection="1"/>
    <xf numFmtId="176" fontId="89" fillId="0" borderId="0" xfId="4" applyNumberFormat="1" applyFont="1" applyFill="1" applyBorder="1" applyProtection="1"/>
    <xf numFmtId="166" fontId="100" fillId="0" borderId="0" xfId="2" applyNumberFormat="1" applyFont="1" applyFill="1" applyBorder="1" applyProtection="1"/>
    <xf numFmtId="0" fontId="99" fillId="0" borderId="0" xfId="4" applyBorder="1" applyProtection="1"/>
    <xf numFmtId="0" fontId="2" fillId="0" borderId="0" xfId="4" applyFont="1" applyProtection="1"/>
    <xf numFmtId="0" fontId="2" fillId="0" borderId="0" xfId="4" applyFont="1" applyAlignment="1" applyProtection="1">
      <alignment horizontal="right"/>
    </xf>
    <xf numFmtId="0" fontId="99" fillId="0" borderId="0" xfId="4" applyFill="1"/>
    <xf numFmtId="0" fontId="15" fillId="0" borderId="0" xfId="4" applyFont="1" applyProtection="1"/>
    <xf numFmtId="0" fontId="2" fillId="0" borderId="0" xfId="4" applyFont="1" applyBorder="1" applyProtection="1"/>
    <xf numFmtId="0" fontId="2" fillId="0" borderId="0" xfId="4" applyFont="1" applyBorder="1" applyAlignment="1" applyProtection="1">
      <alignment horizontal="right"/>
    </xf>
    <xf numFmtId="0" fontId="2" fillId="0" borderId="0" xfId="4" applyFont="1" applyFill="1" applyBorder="1" applyProtection="1"/>
    <xf numFmtId="190" fontId="9" fillId="0" borderId="0" xfId="4" applyNumberFormat="1" applyFont="1" applyFill="1" applyBorder="1" applyProtection="1"/>
    <xf numFmtId="0" fontId="2" fillId="0" borderId="0" xfId="4" applyFont="1" applyFill="1" applyBorder="1" applyAlignment="1" applyProtection="1">
      <alignment horizontal="right"/>
    </xf>
    <xf numFmtId="0" fontId="2" fillId="0" borderId="0" xfId="4" applyFont="1" applyFill="1" applyProtection="1"/>
    <xf numFmtId="0" fontId="2" fillId="0" borderId="0" xfId="4" quotePrefix="1" applyFont="1" applyFill="1" applyBorder="1" applyAlignment="1" applyProtection="1">
      <alignment horizontal="center"/>
    </xf>
    <xf numFmtId="165" fontId="2" fillId="0" borderId="0" xfId="4" quotePrefix="1" applyNumberFormat="1" applyFont="1" applyFill="1" applyBorder="1" applyAlignment="1" applyProtection="1">
      <alignment horizontal="center"/>
    </xf>
    <xf numFmtId="0" fontId="99" fillId="0" borderId="0" xfId="4" applyFill="1" applyBorder="1"/>
    <xf numFmtId="0" fontId="26" fillId="0" borderId="0" xfId="4" applyFont="1" applyFill="1" applyBorder="1" applyAlignment="1" applyProtection="1">
      <alignment horizontal="centerContinuous"/>
    </xf>
    <xf numFmtId="0" fontId="7" fillId="0" borderId="0" xfId="4" applyFont="1" applyFill="1" applyBorder="1" applyAlignment="1" applyProtection="1">
      <alignment horizontal="centerContinuous"/>
    </xf>
    <xf numFmtId="0" fontId="7" fillId="0" borderId="0" xfId="4" applyFont="1" applyFill="1" applyBorder="1" applyAlignment="1" applyProtection="1">
      <alignment horizontal="right"/>
    </xf>
    <xf numFmtId="3" fontId="85" fillId="0" borderId="0" xfId="4" applyNumberFormat="1" applyFont="1" applyFill="1" applyBorder="1" applyAlignment="1" applyProtection="1">
      <alignment horizontal="right"/>
    </xf>
    <xf numFmtId="38" fontId="8" fillId="0" borderId="0" xfId="4" applyNumberFormat="1" applyFont="1" applyFill="1" applyBorder="1" applyAlignment="1" applyProtection="1">
      <alignment horizontal="right"/>
    </xf>
    <xf numFmtId="0" fontId="81" fillId="0" borderId="0" xfId="4" applyFont="1" applyFill="1" applyBorder="1" applyProtection="1"/>
    <xf numFmtId="0" fontId="2" fillId="0" borderId="0" xfId="4" applyFont="1" applyFill="1" applyBorder="1" applyAlignment="1" applyProtection="1">
      <alignment horizontal="center"/>
    </xf>
    <xf numFmtId="0" fontId="2" fillId="0" borderId="0" xfId="4" applyFont="1" applyFill="1" applyBorder="1" applyAlignment="1" applyProtection="1">
      <alignment horizontal="centerContinuous"/>
    </xf>
    <xf numFmtId="190" fontId="99" fillId="0" borderId="0" xfId="4" applyNumberFormat="1" applyFill="1" applyBorder="1" applyProtection="1"/>
    <xf numFmtId="0" fontId="76" fillId="0" borderId="0" xfId="4" applyFont="1" applyProtection="1"/>
    <xf numFmtId="0" fontId="7" fillId="0" borderId="38" xfId="4" applyFont="1" applyBorder="1" applyAlignment="1" applyProtection="1">
      <alignment horizontal="left"/>
    </xf>
    <xf numFmtId="0" fontId="25" fillId="0" borderId="0" xfId="4" applyFont="1" applyProtection="1"/>
    <xf numFmtId="0" fontId="2" fillId="0" borderId="2" xfId="4" applyFont="1" applyBorder="1" applyProtection="1"/>
    <xf numFmtId="0" fontId="2" fillId="0" borderId="36" xfId="4" applyFont="1" applyBorder="1" applyAlignment="1" applyProtection="1">
      <alignment horizontal="center"/>
    </xf>
    <xf numFmtId="0" fontId="2" fillId="0" borderId="2" xfId="4" applyFont="1" applyBorder="1" applyAlignment="1" applyProtection="1">
      <alignment horizontal="right"/>
    </xf>
    <xf numFmtId="0" fontId="2" fillId="0" borderId="31" xfId="4" applyFont="1" applyBorder="1" applyAlignment="1" applyProtection="1">
      <alignment horizontal="center"/>
    </xf>
    <xf numFmtId="0" fontId="2" fillId="0" borderId="2" xfId="4" applyFont="1" applyBorder="1" applyAlignment="1" applyProtection="1">
      <alignment horizontal="center"/>
    </xf>
    <xf numFmtId="0" fontId="2" fillId="0" borderId="23" xfId="4" applyFont="1" applyBorder="1" applyAlignment="1" applyProtection="1">
      <alignment horizontal="center"/>
    </xf>
    <xf numFmtId="0" fontId="2" fillId="0" borderId="0" xfId="4" applyFont="1" applyBorder="1" applyAlignment="1" applyProtection="1">
      <alignment horizontal="center"/>
    </xf>
    <xf numFmtId="0" fontId="2" fillId="0" borderId="39" xfId="4" applyFont="1" applyBorder="1" applyAlignment="1" applyProtection="1">
      <alignment horizontal="center"/>
    </xf>
    <xf numFmtId="3" fontId="2" fillId="0" borderId="23" xfId="4" applyNumberFormat="1" applyFont="1" applyBorder="1" applyAlignment="1" applyProtection="1">
      <alignment horizontal="right"/>
    </xf>
    <xf numFmtId="3" fontId="2" fillId="0" borderId="0" xfId="4" applyNumberFormat="1" applyFont="1" applyAlignment="1" applyProtection="1">
      <alignment horizontal="right"/>
    </xf>
    <xf numFmtId="176" fontId="2" fillId="0" borderId="7" xfId="4" applyNumberFormat="1" applyFont="1" applyBorder="1" applyAlignment="1" applyProtection="1">
      <alignment horizontal="center"/>
    </xf>
    <xf numFmtId="0" fontId="2" fillId="0" borderId="36" xfId="4" applyFont="1" applyBorder="1" applyAlignment="1">
      <alignment horizontal="center"/>
    </xf>
    <xf numFmtId="3" fontId="78" fillId="0" borderId="0" xfId="4" applyNumberFormat="1" applyFont="1" applyFill="1" applyAlignment="1" applyProtection="1">
      <alignment horizontal="right"/>
    </xf>
    <xf numFmtId="3" fontId="9" fillId="0" borderId="0" xfId="4" applyNumberFormat="1" applyFont="1" applyAlignment="1" applyProtection="1">
      <alignment horizontal="right"/>
    </xf>
    <xf numFmtId="11" fontId="9" fillId="0" borderId="0" xfId="4" applyNumberFormat="1" applyFont="1" applyAlignment="1" applyProtection="1">
      <alignment horizontal="right"/>
    </xf>
    <xf numFmtId="176" fontId="9" fillId="0" borderId="0" xfId="4" applyNumberFormat="1" applyFont="1" applyBorder="1" applyAlignment="1" applyProtection="1">
      <alignment horizontal="center"/>
    </xf>
    <xf numFmtId="176" fontId="9" fillId="0" borderId="0" xfId="4" applyNumberFormat="1" applyFont="1" applyFill="1" applyBorder="1" applyAlignment="1" applyProtection="1">
      <alignment horizontal="center"/>
    </xf>
    <xf numFmtId="176" fontId="9" fillId="0" borderId="0" xfId="4" applyNumberFormat="1" applyFont="1" applyFill="1" applyBorder="1" applyAlignment="1" applyProtection="1">
      <alignment horizontal="right"/>
    </xf>
    <xf numFmtId="3" fontId="81" fillId="0" borderId="0" xfId="4" applyNumberFormat="1" applyFont="1" applyFill="1" applyAlignment="1" applyProtection="1">
      <alignment horizontal="right"/>
    </xf>
    <xf numFmtId="37" fontId="9" fillId="7" borderId="38" xfId="4" applyNumberFormat="1" applyFont="1" applyFill="1" applyBorder="1" applyAlignment="1" applyProtection="1">
      <alignment horizontal="right"/>
    </xf>
    <xf numFmtId="181" fontId="2" fillId="0" borderId="0" xfId="4" applyNumberFormat="1" applyFont="1" applyFill="1" applyAlignment="1" applyProtection="1">
      <alignment horizontal="right"/>
    </xf>
    <xf numFmtId="176" fontId="2" fillId="0" borderId="0" xfId="4" applyNumberFormat="1" applyFont="1" applyFill="1" applyBorder="1" applyProtection="1"/>
    <xf numFmtId="10" fontId="2" fillId="0" borderId="0" xfId="4" applyNumberFormat="1" applyFont="1" applyFill="1" applyBorder="1" applyProtection="1"/>
    <xf numFmtId="10" fontId="9" fillId="0" borderId="0" xfId="4" applyNumberFormat="1" applyFont="1" applyFill="1" applyBorder="1" applyProtection="1"/>
    <xf numFmtId="176" fontId="9" fillId="0" borderId="0" xfId="4" applyNumberFormat="1" applyFont="1" applyFill="1" applyBorder="1" applyProtection="1"/>
    <xf numFmtId="176" fontId="9" fillId="0" borderId="0" xfId="4" applyNumberFormat="1" applyFont="1" applyBorder="1" applyProtection="1"/>
    <xf numFmtId="166" fontId="36" fillId="0" borderId="0" xfId="2" applyNumberFormat="1" applyFont="1" applyFill="1" applyBorder="1" applyProtection="1"/>
    <xf numFmtId="0" fontId="2" fillId="0" borderId="0" xfId="4" quotePrefix="1" applyFont="1" applyBorder="1" applyAlignment="1" applyProtection="1">
      <alignment horizontal="right"/>
    </xf>
    <xf numFmtId="0" fontId="2" fillId="0" borderId="0" xfId="4" quotePrefix="1" applyFont="1" applyFill="1" applyBorder="1" applyAlignment="1" applyProtection="1">
      <alignment horizontal="right"/>
    </xf>
    <xf numFmtId="3" fontId="9" fillId="0" borderId="0" xfId="4" applyNumberFormat="1" applyFont="1" applyFill="1" applyBorder="1" applyAlignment="1" applyProtection="1">
      <alignment horizontal="right"/>
    </xf>
    <xf numFmtId="0" fontId="2" fillId="0" borderId="0" xfId="4" applyFont="1"/>
    <xf numFmtId="176" fontId="78" fillId="0" borderId="0" xfId="4" applyNumberFormat="1" applyFont="1" applyBorder="1" applyAlignment="1" applyProtection="1">
      <alignment horizontal="right"/>
    </xf>
    <xf numFmtId="1" fontId="78" fillId="0" borderId="0" xfId="4" applyNumberFormat="1" applyFont="1" applyBorder="1" applyAlignment="1" applyProtection="1">
      <alignment horizontal="right"/>
    </xf>
    <xf numFmtId="9" fontId="81" fillId="0" borderId="0" xfId="4" applyNumberFormat="1" applyFont="1" applyFill="1" applyBorder="1" applyAlignment="1" applyProtection="1">
      <alignment horizontal="right"/>
    </xf>
    <xf numFmtId="0" fontId="2" fillId="0" borderId="0" xfId="4" applyFont="1" applyFill="1" applyBorder="1"/>
    <xf numFmtId="1" fontId="2" fillId="0" borderId="0" xfId="4" applyNumberFormat="1" applyFont="1" applyFill="1" applyBorder="1" applyAlignment="1" applyProtection="1">
      <alignment horizontal="right"/>
    </xf>
    <xf numFmtId="10" fontId="78" fillId="0" borderId="0" xfId="4" applyNumberFormat="1" applyFont="1" applyFill="1" applyBorder="1" applyAlignment="1" applyProtection="1">
      <alignment horizontal="right"/>
    </xf>
    <xf numFmtId="1" fontId="78" fillId="0" borderId="0" xfId="4" applyNumberFormat="1" applyFont="1" applyFill="1" applyBorder="1" applyAlignment="1" applyProtection="1">
      <alignment horizontal="right"/>
    </xf>
    <xf numFmtId="0" fontId="78" fillId="0" borderId="0" xfId="4" applyFont="1" applyFill="1" applyBorder="1" applyProtection="1"/>
    <xf numFmtId="3" fontId="0" fillId="0" borderId="0" xfId="0" applyNumberFormat="1" applyFill="1"/>
    <xf numFmtId="0" fontId="57" fillId="0" borderId="0" xfId="0" applyFont="1" applyBorder="1" applyAlignment="1">
      <alignment horizontal="centerContinuous"/>
    </xf>
    <xf numFmtId="0" fontId="53" fillId="0" borderId="0" xfId="0" applyFont="1" applyBorder="1" applyAlignment="1">
      <alignment horizontal="center"/>
    </xf>
    <xf numFmtId="167" fontId="9" fillId="0" borderId="0" xfId="0" applyNumberFormat="1" applyFont="1" applyBorder="1"/>
    <xf numFmtId="2" fontId="9" fillId="0" borderId="0" xfId="0" applyNumberFormat="1" applyFont="1" applyBorder="1"/>
    <xf numFmtId="0" fontId="10" fillId="0" borderId="0" xfId="0" applyFont="1" applyBorder="1"/>
    <xf numFmtId="0" fontId="16" fillId="0" borderId="0" xfId="0" applyFont="1" applyFill="1" applyBorder="1" applyAlignment="1">
      <alignment horizontal="right"/>
    </xf>
    <xf numFmtId="3" fontId="78" fillId="0" borderId="0" xfId="0" applyNumberFormat="1" applyFont="1" applyFill="1" applyBorder="1"/>
    <xf numFmtId="0" fontId="1" fillId="0" borderId="0" xfId="0" applyFont="1" applyFill="1" applyBorder="1" applyAlignment="1">
      <alignment horizontal="right"/>
    </xf>
    <xf numFmtId="0" fontId="82" fillId="0" borderId="0" xfId="0" applyFont="1" applyFill="1" applyBorder="1" applyAlignment="1">
      <alignment horizontal="right"/>
    </xf>
    <xf numFmtId="0" fontId="82" fillId="0" borderId="0" xfId="0" applyFont="1" applyFill="1" applyBorder="1"/>
    <xf numFmtId="3" fontId="8" fillId="0" borderId="0" xfId="0" applyNumberFormat="1" applyFont="1" applyFill="1" applyBorder="1"/>
    <xf numFmtId="3" fontId="9" fillId="4" borderId="0" xfId="0" applyNumberFormat="1" applyFont="1" applyFill="1"/>
    <xf numFmtId="37" fontId="2" fillId="0" borderId="0" xfId="4" applyNumberFormat="1" applyFont="1" applyBorder="1" applyProtection="1"/>
    <xf numFmtId="177" fontId="2" fillId="0" borderId="0" xfId="4" applyNumberFormat="1" applyFont="1" applyBorder="1" applyProtection="1"/>
    <xf numFmtId="0" fontId="9" fillId="0" borderId="0" xfId="0" applyFont="1" applyFill="1" applyBorder="1"/>
    <xf numFmtId="0" fontId="2" fillId="0" borderId="0" xfId="0" applyFont="1" applyFill="1"/>
    <xf numFmtId="4" fontId="6" fillId="0" borderId="0" xfId="1" applyNumberFormat="1" applyFont="1" applyFill="1" applyBorder="1" applyAlignment="1" applyProtection="1">
      <alignment horizontal="right"/>
    </xf>
    <xf numFmtId="10" fontId="9" fillId="0" borderId="0" xfId="4" applyNumberFormat="1" applyFont="1" applyBorder="1" applyProtection="1"/>
    <xf numFmtId="176" fontId="9" fillId="2" borderId="0" xfId="4" applyNumberFormat="1" applyFont="1" applyFill="1" applyBorder="1" applyProtection="1"/>
    <xf numFmtId="0" fontId="31" fillId="2" borderId="4" xfId="4" applyFont="1" applyFill="1" applyBorder="1" applyAlignment="1" applyProtection="1">
      <alignment horizontal="left"/>
    </xf>
    <xf numFmtId="0" fontId="2" fillId="2" borderId="6" xfId="4" applyFont="1" applyFill="1" applyBorder="1" applyAlignment="1" applyProtection="1">
      <alignment horizontal="left"/>
    </xf>
    <xf numFmtId="0" fontId="2" fillId="0" borderId="0" xfId="4" applyFont="1" applyBorder="1" applyAlignment="1" applyProtection="1">
      <alignment wrapText="1"/>
    </xf>
    <xf numFmtId="11" fontId="9" fillId="0" borderId="0" xfId="4" applyNumberFormat="1" applyFont="1" applyBorder="1" applyAlignment="1" applyProtection="1">
      <alignment horizontal="right"/>
    </xf>
    <xf numFmtId="3" fontId="36" fillId="0" borderId="0" xfId="4" applyNumberFormat="1" applyFont="1" applyBorder="1" applyProtection="1"/>
    <xf numFmtId="0" fontId="2" fillId="0" borderId="0" xfId="4" applyFont="1" applyBorder="1" applyAlignment="1" applyProtection="1">
      <alignment horizontal="left"/>
    </xf>
    <xf numFmtId="3" fontId="52" fillId="4" borderId="0" xfId="4" applyNumberFormat="1" applyFont="1" applyFill="1" applyBorder="1" applyProtection="1"/>
    <xf numFmtId="183" fontId="104" fillId="0" borderId="0" xfId="4" applyNumberFormat="1" applyFont="1" applyBorder="1" applyProtection="1"/>
    <xf numFmtId="3" fontId="104" fillId="0" borderId="0" xfId="4" applyNumberFormat="1" applyFont="1" applyBorder="1" applyProtection="1"/>
    <xf numFmtId="0" fontId="15" fillId="0" borderId="0" xfId="4" applyFont="1" applyAlignment="1" applyProtection="1">
      <alignment horizontal="right"/>
    </xf>
    <xf numFmtId="0" fontId="2" fillId="0" borderId="0" xfId="4" applyFont="1" applyBorder="1" applyAlignment="1">
      <alignment horizontal="center"/>
    </xf>
    <xf numFmtId="3" fontId="78" fillId="0" borderId="0" xfId="4" applyNumberFormat="1" applyFont="1" applyFill="1" applyBorder="1" applyAlignment="1" applyProtection="1">
      <alignment horizontal="right"/>
    </xf>
    <xf numFmtId="181" fontId="2" fillId="0" borderId="0" xfId="4" applyNumberFormat="1" applyFont="1" applyFill="1" applyBorder="1" applyAlignment="1" applyProtection="1">
      <alignment horizontal="right"/>
    </xf>
    <xf numFmtId="0" fontId="99" fillId="0" borderId="0" xfId="4" applyBorder="1"/>
    <xf numFmtId="3" fontId="9" fillId="4" borderId="0" xfId="4" applyNumberFormat="1" applyFont="1" applyFill="1" applyBorder="1" applyAlignment="1" applyProtection="1">
      <alignment horizontal="right"/>
    </xf>
    <xf numFmtId="0" fontId="2" fillId="0" borderId="46" xfId="4" applyFont="1" applyBorder="1" applyAlignment="1" applyProtection="1">
      <alignment horizontal="right"/>
    </xf>
    <xf numFmtId="37" fontId="2" fillId="0" borderId="14" xfId="4" quotePrefix="1" applyNumberFormat="1" applyFont="1" applyBorder="1" applyAlignment="1" applyProtection="1">
      <alignment horizontal="center"/>
    </xf>
    <xf numFmtId="0" fontId="2" fillId="0" borderId="15" xfId="4" applyFont="1" applyBorder="1" applyProtection="1"/>
    <xf numFmtId="0" fontId="78" fillId="0" borderId="16" xfId="4" applyFont="1" applyBorder="1" applyAlignment="1" applyProtection="1">
      <alignment horizontal="right"/>
    </xf>
    <xf numFmtId="9" fontId="1" fillId="0" borderId="17" xfId="2" applyFont="1" applyBorder="1" applyProtection="1"/>
    <xf numFmtId="3" fontId="78" fillId="0" borderId="16" xfId="4" quotePrefix="1" applyNumberFormat="1" applyFont="1" applyBorder="1" applyAlignment="1" applyProtection="1">
      <alignment horizontal="right"/>
    </xf>
    <xf numFmtId="0" fontId="2" fillId="0" borderId="17" xfId="4" applyFont="1" applyBorder="1" applyProtection="1"/>
    <xf numFmtId="0" fontId="2" fillId="0" borderId="18" xfId="4" applyFont="1" applyBorder="1" applyProtection="1"/>
    <xf numFmtId="0" fontId="2" fillId="0" borderId="85" xfId="0" applyFont="1" applyBorder="1" applyAlignment="1">
      <alignment horizontal="center" wrapText="1"/>
    </xf>
    <xf numFmtId="9" fontId="104" fillId="0" borderId="0" xfId="0" applyNumberFormat="1" applyFont="1" applyBorder="1" applyAlignment="1">
      <alignment horizontal="center"/>
    </xf>
    <xf numFmtId="182" fontId="9" fillId="0" borderId="0" xfId="0" applyNumberFormat="1" applyFont="1" applyFill="1"/>
    <xf numFmtId="9" fontId="94" fillId="0" borderId="0" xfId="2" applyFont="1" applyFill="1" applyBorder="1"/>
    <xf numFmtId="9" fontId="9" fillId="0" borderId="0" xfId="2" applyFont="1" applyFill="1" applyBorder="1"/>
    <xf numFmtId="0" fontId="2" fillId="0" borderId="0" xfId="0" quotePrefix="1" applyFont="1" applyFill="1" applyBorder="1" applyAlignment="1">
      <alignment horizontal="left"/>
    </xf>
    <xf numFmtId="0" fontId="2" fillId="0" borderId="85" xfId="0" applyFont="1" applyBorder="1"/>
    <xf numFmtId="0" fontId="2" fillId="0" borderId="0" xfId="0" applyFont="1" applyBorder="1" applyAlignment="1">
      <alignment horizontal="center" wrapText="1"/>
    </xf>
    <xf numFmtId="0" fontId="2" fillId="0" borderId="17" xfId="0" applyFont="1" applyBorder="1" applyAlignment="1">
      <alignment horizontal="center"/>
    </xf>
    <xf numFmtId="9" fontId="104" fillId="0" borderId="17" xfId="0" applyNumberFormat="1" applyFont="1" applyBorder="1" applyAlignment="1">
      <alignment horizontal="center"/>
    </xf>
    <xf numFmtId="3" fontId="104" fillId="0" borderId="0" xfId="0" applyNumberFormat="1" applyFont="1" applyBorder="1"/>
    <xf numFmtId="2" fontId="70" fillId="3" borderId="0" xfId="0" applyNumberFormat="1" applyFont="1" applyFill="1" applyBorder="1"/>
    <xf numFmtId="0" fontId="77" fillId="0" borderId="1" xfId="0" applyFont="1" applyBorder="1"/>
    <xf numFmtId="0" fontId="77" fillId="0" borderId="1" xfId="0" applyFont="1" applyBorder="1" applyAlignment="1">
      <alignment horizontal="center"/>
    </xf>
    <xf numFmtId="0" fontId="77" fillId="0" borderId="1" xfId="0" applyFont="1" applyBorder="1" applyAlignment="1">
      <alignment horizontal="right"/>
    </xf>
    <xf numFmtId="0" fontId="7" fillId="0" borderId="0" xfId="0" applyFont="1" applyAlignment="1">
      <alignment horizontal="right"/>
    </xf>
    <xf numFmtId="38" fontId="81" fillId="0" borderId="0" xfId="0" applyNumberFormat="1" applyFont="1"/>
    <xf numFmtId="38" fontId="81" fillId="3" borderId="0" xfId="0" applyNumberFormat="1" applyFont="1" applyFill="1"/>
    <xf numFmtId="0" fontId="71" fillId="3" borderId="0" xfId="3" applyFont="1" applyFill="1"/>
    <xf numFmtId="3" fontId="9" fillId="0" borderId="0" xfId="3" applyNumberFormat="1" applyFont="1" applyFill="1"/>
    <xf numFmtId="3" fontId="1" fillId="0" borderId="0" xfId="3" applyNumberFormat="1"/>
    <xf numFmtId="3" fontId="78" fillId="0" borderId="0" xfId="3" applyNumberFormat="1" applyFont="1" applyFill="1" applyBorder="1"/>
    <xf numFmtId="3" fontId="72" fillId="0" borderId="0" xfId="1" applyNumberFormat="1" applyFont="1" applyFill="1" applyBorder="1"/>
    <xf numFmtId="3" fontId="72" fillId="0" borderId="87" xfId="3" applyNumberFormat="1" applyFont="1" applyFill="1" applyBorder="1" applyProtection="1"/>
    <xf numFmtId="3" fontId="6" fillId="3" borderId="0" xfId="3" applyNumberFormat="1" applyFont="1" applyFill="1" applyBorder="1"/>
    <xf numFmtId="3" fontId="9" fillId="3" borderId="0" xfId="3" applyNumberFormat="1" applyFont="1" applyFill="1"/>
    <xf numFmtId="2" fontId="12" fillId="3" borderId="0" xfId="3" applyNumberFormat="1" applyFont="1" applyFill="1"/>
    <xf numFmtId="167" fontId="107" fillId="4" borderId="0" xfId="0" applyNumberFormat="1" applyFont="1" applyFill="1" applyAlignment="1">
      <alignment horizontal="center" vertical="center"/>
    </xf>
    <xf numFmtId="0" fontId="9" fillId="0" borderId="0" xfId="0" applyFont="1" applyFill="1"/>
    <xf numFmtId="0" fontId="32" fillId="3" borderId="0" xfId="0" applyFont="1" applyFill="1" applyAlignment="1">
      <alignment horizontal="center" vertical="center"/>
    </xf>
    <xf numFmtId="0" fontId="71" fillId="0" borderId="0" xfId="0" applyFont="1" applyBorder="1"/>
    <xf numFmtId="0" fontId="5" fillId="4" borderId="0" xfId="0" applyFont="1" applyFill="1" applyAlignment="1">
      <alignment horizontal="center"/>
    </xf>
    <xf numFmtId="0" fontId="71" fillId="0" borderId="0" xfId="0" applyFont="1" applyFill="1" applyBorder="1"/>
    <xf numFmtId="1" fontId="72" fillId="0" borderId="0" xfId="0" applyNumberFormat="1" applyFont="1" applyFill="1"/>
    <xf numFmtId="180" fontId="5" fillId="0" borderId="0" xfId="0" applyNumberFormat="1" applyFont="1" applyFill="1"/>
    <xf numFmtId="2" fontId="71" fillId="0" borderId="0" xfId="0" applyNumberFormat="1" applyFont="1" applyFill="1"/>
    <xf numFmtId="177" fontId="12" fillId="0" borderId="0" xfId="0" applyNumberFormat="1" applyFont="1" applyFill="1" applyProtection="1"/>
    <xf numFmtId="180" fontId="12" fillId="0" borderId="0" xfId="0" applyNumberFormat="1" applyFont="1" applyFill="1"/>
    <xf numFmtId="0" fontId="12" fillId="0" borderId="0" xfId="0" applyFont="1" applyFill="1"/>
    <xf numFmtId="181" fontId="12" fillId="0" borderId="0" xfId="0" applyNumberFormat="1" applyFont="1" applyFill="1" applyProtection="1"/>
    <xf numFmtId="37" fontId="12" fillId="0" borderId="0" xfId="0" applyNumberFormat="1" applyFont="1" applyFill="1" applyProtection="1"/>
    <xf numFmtId="0" fontId="12" fillId="0" borderId="35" xfId="0" applyFont="1" applyFill="1" applyBorder="1"/>
    <xf numFmtId="177" fontId="12" fillId="0" borderId="36" xfId="0" applyNumberFormat="1" applyFont="1" applyFill="1" applyBorder="1" applyProtection="1"/>
    <xf numFmtId="181" fontId="12" fillId="0" borderId="0" xfId="0" applyNumberFormat="1" applyFont="1" applyFill="1" applyAlignment="1" applyProtection="1">
      <alignment horizontal="right"/>
    </xf>
    <xf numFmtId="166" fontId="12" fillId="0" borderId="38" xfId="0" applyNumberFormat="1" applyFont="1" applyFill="1" applyBorder="1"/>
    <xf numFmtId="166" fontId="12" fillId="0" borderId="35" xfId="0" applyNumberFormat="1" applyFont="1" applyFill="1" applyBorder="1"/>
    <xf numFmtId="166" fontId="73" fillId="0" borderId="35" xfId="0" applyNumberFormat="1" applyFont="1" applyFill="1" applyBorder="1"/>
    <xf numFmtId="167" fontId="108" fillId="0" borderId="0" xfId="0" applyNumberFormat="1" applyFont="1" applyBorder="1" applyProtection="1"/>
    <xf numFmtId="0" fontId="109" fillId="0" borderId="11" xfId="0" applyFont="1" applyFill="1" applyBorder="1" applyAlignment="1">
      <alignment horizontal="center"/>
    </xf>
    <xf numFmtId="0" fontId="109" fillId="0" borderId="11" xfId="0" applyFont="1" applyFill="1" applyBorder="1" applyAlignment="1">
      <alignment horizontal="centerContinuous"/>
    </xf>
    <xf numFmtId="0" fontId="0" fillId="0" borderId="0" xfId="0" applyFont="1"/>
    <xf numFmtId="0" fontId="110" fillId="0" borderId="100" xfId="3" applyFont="1" applyBorder="1" applyAlignment="1">
      <alignment horizontal="left"/>
    </xf>
    <xf numFmtId="0" fontId="0" fillId="0" borderId="1" xfId="3" applyFont="1" applyBorder="1" applyAlignment="1">
      <alignment horizontal="right"/>
    </xf>
    <xf numFmtId="165" fontId="12" fillId="3" borderId="0" xfId="1" applyNumberFormat="1" applyFont="1" applyFill="1" applyProtection="1"/>
    <xf numFmtId="3" fontId="39" fillId="0" borderId="0" xfId="1" applyNumberFormat="1" applyFont="1" applyBorder="1" applyAlignment="1" applyProtection="1">
      <alignment horizontal="right"/>
    </xf>
    <xf numFmtId="0" fontId="81" fillId="3" borderId="0" xfId="3" applyFont="1" applyFill="1" applyBorder="1" applyAlignment="1">
      <alignment horizontal="center"/>
    </xf>
    <xf numFmtId="0" fontId="2" fillId="3" borderId="0" xfId="3" applyFont="1" applyFill="1" applyBorder="1" applyAlignment="1">
      <alignment horizontal="center"/>
    </xf>
    <xf numFmtId="165" fontId="9" fillId="0" borderId="0" xfId="1" applyNumberFormat="1" applyFont="1"/>
    <xf numFmtId="0" fontId="105" fillId="0" borderId="0" xfId="0" applyFont="1"/>
    <xf numFmtId="0" fontId="104" fillId="4" borderId="0" xfId="0" applyFont="1" applyFill="1" applyBorder="1"/>
    <xf numFmtId="3" fontId="9" fillId="0" borderId="14" xfId="0" applyNumberFormat="1" applyFont="1" applyFill="1" applyBorder="1"/>
    <xf numFmtId="180" fontId="9" fillId="0" borderId="0" xfId="0" applyNumberFormat="1" applyFont="1" applyFill="1" applyBorder="1" applyProtection="1"/>
    <xf numFmtId="180" fontId="9" fillId="0" borderId="0" xfId="0" applyNumberFormat="1" applyFont="1" applyFill="1" applyBorder="1" applyAlignment="1" applyProtection="1"/>
    <xf numFmtId="0" fontId="0" fillId="0" borderId="0" xfId="0" applyAlignment="1">
      <alignment horizontal="left"/>
    </xf>
    <xf numFmtId="3" fontId="104" fillId="0" borderId="0" xfId="0" applyNumberFormat="1" applyFont="1"/>
    <xf numFmtId="0" fontId="104" fillId="0" borderId="0" xfId="0" applyFont="1"/>
    <xf numFmtId="3" fontId="104" fillId="3" borderId="0" xfId="0" applyNumberFormat="1" applyFont="1" applyFill="1"/>
    <xf numFmtId="0" fontId="0" fillId="0" borderId="85" xfId="0" applyBorder="1" applyAlignment="1">
      <alignment horizontal="right"/>
    </xf>
    <xf numFmtId="182" fontId="81" fillId="0" borderId="0" xfId="0" applyNumberFormat="1" applyFont="1"/>
    <xf numFmtId="165" fontId="81" fillId="0" borderId="0" xfId="1" applyNumberFormat="1" applyFont="1"/>
    <xf numFmtId="38" fontId="81" fillId="0" borderId="0" xfId="1" applyNumberFormat="1" applyFont="1"/>
    <xf numFmtId="38" fontId="0" fillId="0" borderId="0" xfId="1" applyNumberFormat="1" applyFont="1"/>
    <xf numFmtId="40" fontId="81" fillId="0" borderId="0" xfId="1" applyNumberFormat="1" applyFont="1"/>
    <xf numFmtId="0" fontId="81" fillId="0" borderId="0" xfId="0" applyFont="1"/>
    <xf numFmtId="2" fontId="81" fillId="0" borderId="0" xfId="0" applyNumberFormat="1" applyFont="1"/>
    <xf numFmtId="0" fontId="82" fillId="4" borderId="0" xfId="0" applyFont="1" applyFill="1"/>
    <xf numFmtId="0" fontId="2" fillId="0" borderId="0" xfId="0" applyFont="1" applyBorder="1" applyAlignment="1">
      <alignment horizontal="right"/>
    </xf>
    <xf numFmtId="0" fontId="2" fillId="0" borderId="0" xfId="0" quotePrefix="1" applyFont="1" applyBorder="1" applyAlignment="1">
      <alignment horizontal="right"/>
    </xf>
    <xf numFmtId="0" fontId="5" fillId="0" borderId="75" xfId="0" applyFont="1" applyBorder="1" applyAlignment="1">
      <alignment horizontal="centerContinuous"/>
    </xf>
    <xf numFmtId="0" fontId="12" fillId="0" borderId="105" xfId="0" applyFont="1" applyBorder="1" applyAlignment="1">
      <alignment horizontal="center"/>
    </xf>
    <xf numFmtId="0" fontId="74" fillId="0" borderId="85" xfId="0" applyFont="1" applyBorder="1" applyAlignment="1">
      <alignment horizontal="right"/>
    </xf>
    <xf numFmtId="0" fontId="112" fillId="0" borderId="0" xfId="0" applyFont="1"/>
    <xf numFmtId="0" fontId="112" fillId="0" borderId="72" xfId="0" applyFont="1" applyBorder="1"/>
    <xf numFmtId="40" fontId="81" fillId="0" borderId="0" xfId="0" applyNumberFormat="1" applyFont="1" applyBorder="1"/>
    <xf numFmtId="40" fontId="81" fillId="0" borderId="1" xfId="0" applyNumberFormat="1" applyFont="1" applyBorder="1"/>
    <xf numFmtId="167" fontId="6" fillId="0" borderId="0" xfId="0" applyNumberFormat="1" applyFont="1" applyFill="1" applyBorder="1" applyAlignment="1" applyProtection="1">
      <alignment horizontal="right"/>
    </xf>
    <xf numFmtId="166" fontId="6" fillId="0" borderId="0" xfId="0" applyNumberFormat="1" applyFont="1" applyFill="1" applyBorder="1" applyAlignment="1" applyProtection="1">
      <alignment horizontal="right"/>
    </xf>
    <xf numFmtId="40" fontId="81" fillId="4" borderId="0" xfId="1" applyNumberFormat="1" applyFont="1" applyFill="1"/>
    <xf numFmtId="40" fontId="81" fillId="0" borderId="0" xfId="1" applyNumberFormat="1" applyFont="1" applyFill="1"/>
    <xf numFmtId="165" fontId="12" fillId="0" borderId="0" xfId="1" applyNumberFormat="1" applyFont="1" applyProtection="1"/>
    <xf numFmtId="3" fontId="81" fillId="0" borderId="0" xfId="0" applyNumberFormat="1" applyFont="1"/>
    <xf numFmtId="43" fontId="81" fillId="0" borderId="0" xfId="1" applyNumberFormat="1" applyFont="1"/>
    <xf numFmtId="0" fontId="109" fillId="0" borderId="0" xfId="0" applyFont="1" applyFill="1"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0" fillId="0" borderId="1" xfId="0" quotePrefix="1" applyBorder="1" applyAlignment="1">
      <alignment horizontal="center" wrapText="1"/>
    </xf>
    <xf numFmtId="0" fontId="0" fillId="0" borderId="72" xfId="0" applyBorder="1" applyAlignment="1">
      <alignment horizontal="center"/>
    </xf>
    <xf numFmtId="169" fontId="0" fillId="0" borderId="0" xfId="0" applyNumberFormat="1" applyFill="1" applyBorder="1" applyAlignment="1"/>
    <xf numFmtId="0" fontId="81" fillId="0" borderId="0" xfId="0" applyFont="1" applyAlignment="1">
      <alignment horizontal="center"/>
    </xf>
    <xf numFmtId="0" fontId="0" fillId="0" borderId="0" xfId="0" applyBorder="1" applyAlignment="1">
      <alignment horizontal="center" wrapText="1"/>
    </xf>
    <xf numFmtId="2" fontId="81" fillId="0" borderId="0" xfId="0" applyNumberFormat="1" applyFont="1" applyBorder="1"/>
    <xf numFmtId="0" fontId="113" fillId="0" borderId="0" xfId="0" applyFont="1" applyBorder="1" applyAlignment="1">
      <alignment vertical="top" wrapText="1"/>
    </xf>
    <xf numFmtId="165" fontId="81" fillId="0" borderId="0" xfId="1" applyNumberFormat="1" applyFont="1" applyBorder="1"/>
    <xf numFmtId="0" fontId="31" fillId="0" borderId="0" xfId="0" applyFont="1" applyBorder="1"/>
    <xf numFmtId="165" fontId="81" fillId="0" borderId="1" xfId="1" applyNumberFormat="1" applyFont="1" applyBorder="1"/>
    <xf numFmtId="3" fontId="70" fillId="3" borderId="0" xfId="0" applyNumberFormat="1" applyFont="1" applyFill="1"/>
    <xf numFmtId="2" fontId="70" fillId="3" borderId="0" xfId="0" applyNumberFormat="1" applyFont="1" applyFill="1"/>
    <xf numFmtId="193" fontId="81" fillId="0" borderId="0" xfId="1" applyNumberFormat="1" applyFont="1"/>
    <xf numFmtId="0" fontId="0" fillId="0" borderId="1" xfId="0" quotePrefix="1" applyBorder="1" applyAlignment="1">
      <alignment horizontal="center" vertical="center" wrapText="1"/>
    </xf>
    <xf numFmtId="0" fontId="2" fillId="0" borderId="85" xfId="0" applyFont="1" applyBorder="1" applyAlignment="1">
      <alignment horizontal="center"/>
    </xf>
    <xf numFmtId="0" fontId="0" fillId="3" borderId="0" xfId="0" applyFill="1" applyBorder="1" applyAlignment="1"/>
    <xf numFmtId="167" fontId="90" fillId="0" borderId="0" xfId="0" applyNumberFormat="1" applyFont="1" applyBorder="1" applyProtection="1"/>
    <xf numFmtId="0" fontId="0" fillId="0" borderId="82" xfId="0" applyBorder="1" applyAlignment="1" applyProtection="1">
      <alignment horizontal="right"/>
    </xf>
    <xf numFmtId="181" fontId="89" fillId="0" borderId="99" xfId="0" applyNumberFormat="1" applyFont="1" applyBorder="1" applyProtection="1"/>
    <xf numFmtId="0" fontId="0" fillId="0" borderId="29" xfId="0" applyBorder="1" applyAlignment="1" applyProtection="1">
      <alignment horizontal="right"/>
    </xf>
    <xf numFmtId="167" fontId="90" fillId="0" borderId="28" xfId="0" applyNumberFormat="1" applyFont="1" applyBorder="1" applyProtection="1"/>
    <xf numFmtId="2" fontId="0" fillId="0" borderId="0" xfId="0" applyNumberFormat="1" applyAlignment="1">
      <alignment horizontal="center"/>
    </xf>
    <xf numFmtId="0" fontId="0" fillId="4" borderId="1" xfId="0" applyFill="1" applyBorder="1" applyAlignment="1">
      <alignment horizontal="right"/>
    </xf>
    <xf numFmtId="0" fontId="0" fillId="4" borderId="1" xfId="0" quotePrefix="1" applyFill="1" applyBorder="1" applyAlignment="1">
      <alignment horizontal="center" wrapText="1"/>
    </xf>
    <xf numFmtId="167" fontId="1" fillId="4" borderId="17" xfId="3" applyNumberFormat="1" applyFont="1" applyFill="1" applyBorder="1"/>
    <xf numFmtId="167" fontId="1" fillId="4" borderId="18" xfId="3" applyNumberFormat="1" applyFont="1" applyFill="1" applyBorder="1"/>
    <xf numFmtId="167" fontId="1" fillId="0" borderId="0" xfId="3" applyNumberFormat="1" applyFont="1"/>
    <xf numFmtId="169" fontId="12" fillId="4" borderId="0" xfId="3" applyNumberFormat="1" applyFont="1" applyFill="1"/>
    <xf numFmtId="166" fontId="12" fillId="4" borderId="0" xfId="3" applyNumberFormat="1" applyFont="1" applyFill="1"/>
    <xf numFmtId="167" fontId="81" fillId="4" borderId="0" xfId="0" applyNumberFormat="1" applyFont="1" applyFill="1"/>
    <xf numFmtId="0" fontId="0" fillId="0" borderId="107" xfId="0" applyBorder="1"/>
    <xf numFmtId="0" fontId="0" fillId="0" borderId="0" xfId="0" applyFont="1" applyFill="1" applyBorder="1"/>
    <xf numFmtId="3" fontId="81" fillId="0" borderId="10" xfId="0" applyNumberFormat="1" applyFont="1" applyBorder="1"/>
    <xf numFmtId="0" fontId="0" fillId="0" borderId="19" xfId="4" quotePrefix="1" applyFont="1" applyBorder="1" applyAlignment="1" applyProtection="1">
      <alignment horizontal="right"/>
    </xf>
    <xf numFmtId="3" fontId="9" fillId="4" borderId="10" xfId="4" applyNumberFormat="1" applyFont="1" applyFill="1" applyBorder="1" applyAlignment="1" applyProtection="1">
      <alignment horizontal="right"/>
    </xf>
    <xf numFmtId="192" fontId="12" fillId="0" borderId="0" xfId="0" applyNumberFormat="1" applyFont="1" applyBorder="1"/>
    <xf numFmtId="0" fontId="47" fillId="0" borderId="1" xfId="0" applyFont="1" applyBorder="1" applyAlignment="1">
      <alignment horizontal="center" wrapText="1"/>
    </xf>
    <xf numFmtId="0" fontId="77" fillId="0" borderId="72" xfId="0" applyFont="1" applyBorder="1"/>
    <xf numFmtId="0" fontId="77" fillId="0" borderId="85" xfId="0" applyFont="1" applyBorder="1" applyAlignment="1">
      <alignment horizontal="centerContinuous"/>
    </xf>
    <xf numFmtId="0" fontId="77" fillId="0" borderId="0" xfId="0" applyFont="1" applyBorder="1"/>
    <xf numFmtId="0" fontId="77" fillId="0" borderId="1" xfId="0" applyFont="1" applyBorder="1" applyAlignment="1">
      <alignment horizontal="centerContinuous"/>
    </xf>
    <xf numFmtId="0" fontId="77" fillId="0" borderId="1" xfId="0" applyFont="1" applyFill="1" applyBorder="1" applyAlignment="1">
      <alignment horizontal="right"/>
    </xf>
    <xf numFmtId="0" fontId="77" fillId="0" borderId="0" xfId="0" applyFont="1"/>
    <xf numFmtId="9" fontId="77" fillId="0" borderId="0" xfId="2" applyFont="1"/>
    <xf numFmtId="9" fontId="116" fillId="0" borderId="72" xfId="2" applyFont="1" applyFill="1" applyBorder="1"/>
    <xf numFmtId="9" fontId="116" fillId="0" borderId="1" xfId="2" applyFont="1" applyFill="1" applyBorder="1"/>
    <xf numFmtId="0" fontId="77" fillId="0" borderId="109" xfId="0" applyFont="1" applyBorder="1" applyAlignment="1">
      <alignment horizontal="center"/>
    </xf>
    <xf numFmtId="9" fontId="116" fillId="0" borderId="109" xfId="2" applyFont="1" applyBorder="1"/>
    <xf numFmtId="0" fontId="77" fillId="0" borderId="110" xfId="0" applyFont="1" applyBorder="1" applyAlignment="1">
      <alignment horizontal="center"/>
    </xf>
    <xf numFmtId="9" fontId="116" fillId="0" borderId="110" xfId="2" applyFont="1" applyBorder="1"/>
    <xf numFmtId="0" fontId="77" fillId="0" borderId="111" xfId="0" applyFont="1" applyBorder="1" applyAlignment="1">
      <alignment horizontal="center"/>
    </xf>
    <xf numFmtId="9" fontId="116" fillId="0" borderId="111" xfId="2" applyFont="1" applyBorder="1"/>
    <xf numFmtId="0" fontId="77" fillId="0" borderId="1" xfId="0" applyFont="1" applyFill="1" applyBorder="1" applyAlignment="1">
      <alignment horizontal="centerContinuous"/>
    </xf>
    <xf numFmtId="0" fontId="77" fillId="0" borderId="0" xfId="0" applyFont="1" applyBorder="1" applyAlignment="1">
      <alignment horizontal="centerContinuous"/>
    </xf>
    <xf numFmtId="0" fontId="77" fillId="0" borderId="85" xfId="0" applyFont="1" applyBorder="1"/>
    <xf numFmtId="0" fontId="82" fillId="0" borderId="85" xfId="0" applyFont="1" applyBorder="1"/>
    <xf numFmtId="0" fontId="82" fillId="0" borderId="85" xfId="0" applyFont="1" applyBorder="1" applyAlignment="1">
      <alignment horizontal="right"/>
    </xf>
    <xf numFmtId="0" fontId="82" fillId="4" borderId="85" xfId="0" applyFont="1" applyFill="1" applyBorder="1" applyAlignment="1">
      <alignment horizontal="right" wrapText="1"/>
    </xf>
    <xf numFmtId="0" fontId="82" fillId="0" borderId="85" xfId="0" applyFont="1" applyBorder="1" applyAlignment="1">
      <alignment horizontal="right" wrapText="1"/>
    </xf>
    <xf numFmtId="0" fontId="82" fillId="0" borderId="106" xfId="0" applyFont="1" applyBorder="1"/>
    <xf numFmtId="3" fontId="82" fillId="0" borderId="106" xfId="0" applyNumberFormat="1" applyFont="1" applyBorder="1"/>
    <xf numFmtId="3" fontId="82" fillId="4" borderId="106" xfId="0" applyNumberFormat="1" applyFont="1" applyFill="1" applyBorder="1"/>
    <xf numFmtId="2" fontId="82" fillId="0" borderId="106" xfId="0" applyNumberFormat="1" applyFont="1" applyBorder="1"/>
    <xf numFmtId="0" fontId="82" fillId="0" borderId="102" xfId="0" applyFont="1" applyBorder="1"/>
    <xf numFmtId="3" fontId="82" fillId="0" borderId="102" xfId="0" applyNumberFormat="1" applyFont="1" applyBorder="1"/>
    <xf numFmtId="3" fontId="82" fillId="4" borderId="102" xfId="0" applyNumberFormat="1" applyFont="1" applyFill="1" applyBorder="1"/>
    <xf numFmtId="0" fontId="82" fillId="0" borderId="104" xfId="0" applyFont="1" applyBorder="1"/>
    <xf numFmtId="3" fontId="82" fillId="0" borderId="104" xfId="0" applyNumberFormat="1" applyFont="1" applyBorder="1"/>
    <xf numFmtId="3" fontId="82" fillId="4" borderId="104" xfId="0" applyNumberFormat="1" applyFont="1" applyFill="1" applyBorder="1"/>
    <xf numFmtId="0" fontId="34" fillId="0" borderId="1" xfId="3" applyFont="1" applyBorder="1" applyAlignment="1">
      <alignment horizontal="center"/>
    </xf>
    <xf numFmtId="43" fontId="1" fillId="0" borderId="0" xfId="3" applyNumberFormat="1" applyFont="1" applyBorder="1"/>
    <xf numFmtId="170" fontId="12" fillId="0" borderId="0" xfId="3" applyNumberFormat="1" applyFont="1" applyAlignment="1" applyProtection="1">
      <alignment horizontal="center"/>
    </xf>
    <xf numFmtId="0" fontId="1" fillId="0" borderId="0" xfId="3" applyFont="1" applyAlignment="1">
      <alignment horizontal="center"/>
    </xf>
    <xf numFmtId="3" fontId="12" fillId="0" borderId="0" xfId="3" applyNumberFormat="1" applyFont="1" applyFill="1" applyBorder="1" applyAlignment="1" applyProtection="1">
      <alignment horizontal="center"/>
    </xf>
    <xf numFmtId="0" fontId="1" fillId="0" borderId="0" xfId="3" applyFont="1" applyFill="1" applyAlignment="1">
      <alignment horizontal="center"/>
    </xf>
    <xf numFmtId="37" fontId="1" fillId="0" borderId="0" xfId="3" applyNumberFormat="1" applyFont="1" applyFill="1" applyBorder="1" applyAlignment="1" applyProtection="1">
      <alignment horizontal="center"/>
    </xf>
    <xf numFmtId="0" fontId="1" fillId="0" borderId="46" xfId="3" applyFont="1" applyFill="1" applyBorder="1" applyAlignment="1">
      <alignment horizontal="center"/>
    </xf>
    <xf numFmtId="3" fontId="12" fillId="0" borderId="0" xfId="1" applyNumberFormat="1" applyFont="1" applyFill="1" applyBorder="1" applyAlignment="1" applyProtection="1">
      <alignment horizontal="center"/>
    </xf>
    <xf numFmtId="0" fontId="1" fillId="0" borderId="16" xfId="3" applyFont="1" applyFill="1" applyBorder="1" applyAlignment="1">
      <alignment horizontal="center"/>
    </xf>
    <xf numFmtId="0" fontId="1" fillId="0" borderId="19" xfId="3" applyFont="1" applyFill="1" applyBorder="1" applyAlignment="1">
      <alignment horizontal="center"/>
    </xf>
    <xf numFmtId="3" fontId="12" fillId="0" borderId="0" xfId="1" applyNumberFormat="1" applyFont="1" applyBorder="1" applyAlignment="1" applyProtection="1">
      <alignment horizontal="center"/>
    </xf>
    <xf numFmtId="165" fontId="1" fillId="0" borderId="0" xfId="1" applyNumberFormat="1" applyFont="1" applyBorder="1" applyAlignment="1">
      <alignment horizontal="center"/>
    </xf>
    <xf numFmtId="0" fontId="117" fillId="0" borderId="1" xfId="3" applyFont="1" applyBorder="1" applyAlignment="1">
      <alignment horizontal="center"/>
    </xf>
    <xf numFmtId="0" fontId="117" fillId="0" borderId="0" xfId="3" applyFont="1" applyAlignment="1">
      <alignment horizontal="center"/>
    </xf>
    <xf numFmtId="1" fontId="1" fillId="0" borderId="0" xfId="3" applyNumberFormat="1"/>
    <xf numFmtId="1" fontId="0" fillId="0" borderId="0" xfId="0" applyNumberFormat="1" applyAlignment="1">
      <alignment horizontal="right"/>
    </xf>
    <xf numFmtId="182" fontId="9" fillId="8" borderId="0" xfId="0" applyNumberFormat="1" applyFont="1" applyFill="1"/>
    <xf numFmtId="0" fontId="0" fillId="8" borderId="85" xfId="0" applyFill="1" applyBorder="1"/>
    <xf numFmtId="182" fontId="81" fillId="8" borderId="0" xfId="0" applyNumberFormat="1" applyFont="1" applyFill="1" applyBorder="1"/>
    <xf numFmtId="0" fontId="77" fillId="0" borderId="0" xfId="0" applyFont="1" applyFill="1" applyBorder="1" applyAlignment="1">
      <alignment horizontal="left" vertical="top"/>
    </xf>
    <xf numFmtId="0" fontId="0" fillId="0" borderId="0" xfId="0" applyAlignment="1">
      <alignment horizontal="left" vertical="top"/>
    </xf>
    <xf numFmtId="0" fontId="31" fillId="9" borderId="112" xfId="0" applyFont="1" applyFill="1" applyBorder="1"/>
    <xf numFmtId="0" fontId="118" fillId="9" borderId="12" xfId="0" applyFont="1" applyFill="1" applyBorder="1" applyAlignment="1">
      <alignment horizontal="center"/>
    </xf>
    <xf numFmtId="0" fontId="118" fillId="9" borderId="74" xfId="0" applyFont="1" applyFill="1" applyBorder="1" applyAlignment="1">
      <alignment horizontal="center"/>
    </xf>
    <xf numFmtId="0" fontId="0" fillId="0" borderId="74" xfId="0" applyBorder="1" applyAlignment="1">
      <alignment horizontal="center" vertical="center"/>
    </xf>
    <xf numFmtId="3" fontId="9" fillId="8" borderId="0" xfId="4" applyNumberFormat="1" applyFont="1" applyFill="1" applyBorder="1" applyAlignment="1" applyProtection="1">
      <alignment horizontal="right"/>
    </xf>
    <xf numFmtId="0" fontId="0" fillId="0" borderId="0" xfId="0" applyAlignment="1">
      <alignment horizontal="right" wrapText="1"/>
    </xf>
    <xf numFmtId="1" fontId="0" fillId="0" borderId="0" xfId="0" applyNumberFormat="1"/>
    <xf numFmtId="0" fontId="50" fillId="8" borderId="0" xfId="0" applyFont="1" applyFill="1" applyAlignment="1">
      <alignment horizontal="right"/>
    </xf>
    <xf numFmtId="168" fontId="6" fillId="8" borderId="0" xfId="0" applyNumberFormat="1" applyFont="1" applyFill="1" applyProtection="1"/>
    <xf numFmtId="168" fontId="9" fillId="8" borderId="0" xfId="0" applyNumberFormat="1" applyFont="1" applyFill="1" applyAlignment="1" applyProtection="1">
      <alignment horizontal="center"/>
    </xf>
    <xf numFmtId="168" fontId="9" fillId="8" borderId="0" xfId="0" applyNumberFormat="1" applyFont="1" applyFill="1" applyProtection="1"/>
    <xf numFmtId="0" fontId="2" fillId="8" borderId="0" xfId="0" applyFont="1" applyFill="1"/>
    <xf numFmtId="171" fontId="2" fillId="8" borderId="0" xfId="0" applyNumberFormat="1" applyFont="1" applyFill="1" applyProtection="1"/>
    <xf numFmtId="0" fontId="2" fillId="0" borderId="82" xfId="0" applyFont="1" applyBorder="1" applyAlignment="1">
      <alignment horizontal="centerContinuous"/>
    </xf>
    <xf numFmtId="0" fontId="2" fillId="0" borderId="99" xfId="0" applyFont="1" applyBorder="1" applyAlignment="1">
      <alignment horizontal="centerContinuous"/>
    </xf>
    <xf numFmtId="0" fontId="2" fillId="0" borderId="69" xfId="0" applyFont="1" applyFill="1" applyBorder="1" applyAlignment="1">
      <alignment horizontal="right"/>
    </xf>
    <xf numFmtId="0" fontId="2" fillId="0" borderId="76" xfId="0" applyFont="1" applyBorder="1" applyAlignment="1">
      <alignment horizontal="centerContinuous"/>
    </xf>
    <xf numFmtId="0" fontId="2" fillId="0" borderId="76" xfId="0" applyFont="1" applyBorder="1" applyAlignment="1">
      <alignment horizontal="left"/>
    </xf>
    <xf numFmtId="0" fontId="2" fillId="0" borderId="76" xfId="0" applyFont="1" applyBorder="1" applyAlignment="1">
      <alignment horizontal="center"/>
    </xf>
    <xf numFmtId="0" fontId="2" fillId="0" borderId="29" xfId="0" applyFont="1" applyBorder="1" applyAlignment="1">
      <alignment horizontal="right"/>
    </xf>
    <xf numFmtId="0" fontId="2" fillId="0" borderId="28" xfId="0" applyFont="1" applyBorder="1" applyAlignment="1">
      <alignment horizontal="right"/>
    </xf>
    <xf numFmtId="0" fontId="2" fillId="0" borderId="70" xfId="0" applyFont="1" applyBorder="1" applyAlignment="1">
      <alignment horizontal="right"/>
    </xf>
    <xf numFmtId="0" fontId="2" fillId="0" borderId="71" xfId="0" applyFont="1" applyBorder="1" applyAlignment="1">
      <alignment horizontal="right"/>
    </xf>
    <xf numFmtId="0" fontId="2" fillId="0" borderId="23" xfId="0" applyFont="1" applyBorder="1" applyAlignment="1">
      <alignment horizontal="right"/>
    </xf>
    <xf numFmtId="0" fontId="2" fillId="0" borderId="2" xfId="0" applyFont="1" applyBorder="1" applyAlignment="1">
      <alignment horizontal="right"/>
    </xf>
    <xf numFmtId="0" fontId="2" fillId="0" borderId="7" xfId="0" applyFont="1" applyBorder="1" applyAlignment="1">
      <alignment horizontal="right"/>
    </xf>
    <xf numFmtId="167" fontId="9" fillId="0" borderId="0" xfId="2" applyNumberFormat="1" applyFont="1"/>
    <xf numFmtId="0" fontId="0" fillId="0" borderId="16" xfId="0" applyFont="1" applyBorder="1"/>
    <xf numFmtId="38" fontId="12" fillId="0" borderId="15" xfId="0" applyNumberFormat="1" applyFont="1" applyBorder="1"/>
    <xf numFmtId="0" fontId="1" fillId="8" borderId="0" xfId="0" applyFont="1" applyFill="1" applyBorder="1" applyAlignment="1">
      <alignment horizontal="right"/>
    </xf>
    <xf numFmtId="3" fontId="12" fillId="8" borderId="41" xfId="0" applyNumberFormat="1" applyFont="1" applyFill="1" applyBorder="1"/>
    <xf numFmtId="3" fontId="12" fillId="5" borderId="114" xfId="0" applyNumberFormat="1" applyFont="1" applyFill="1" applyBorder="1"/>
    <xf numFmtId="3" fontId="12" fillId="5" borderId="115" xfId="0" applyNumberFormat="1" applyFont="1" applyFill="1" applyBorder="1"/>
    <xf numFmtId="0" fontId="31" fillId="10" borderId="0" xfId="0" applyFont="1" applyFill="1"/>
    <xf numFmtId="0" fontId="0" fillId="10" borderId="0" xfId="0" applyFill="1"/>
    <xf numFmtId="0" fontId="31" fillId="10" borderId="0" xfId="0" applyFont="1" applyFill="1" applyAlignment="1">
      <alignment horizontal="center"/>
    </xf>
    <xf numFmtId="166" fontId="0" fillId="0" borderId="0" xfId="0" applyNumberFormat="1"/>
    <xf numFmtId="3" fontId="0" fillId="0" borderId="0" xfId="0" applyNumberFormat="1" applyAlignment="1">
      <alignment horizontal="center"/>
    </xf>
    <xf numFmtId="0" fontId="31" fillId="4" borderId="0" xfId="0" applyFont="1" applyFill="1" applyAlignment="1">
      <alignment horizontal="center"/>
    </xf>
    <xf numFmtId="0" fontId="31" fillId="10" borderId="0" xfId="0" applyFont="1" applyFill="1" applyAlignment="1">
      <alignment horizontal="right"/>
    </xf>
    <xf numFmtId="0" fontId="2" fillId="0" borderId="7" xfId="0" applyFont="1" applyBorder="1" applyAlignment="1">
      <alignment horizontal="centerContinuous"/>
    </xf>
    <xf numFmtId="0" fontId="2" fillId="0" borderId="37" xfId="0" applyFont="1" applyBorder="1" applyAlignment="1">
      <alignment horizontal="centerContinuous"/>
    </xf>
    <xf numFmtId="3" fontId="9" fillId="0" borderId="87" xfId="1" applyNumberFormat="1" applyFont="1" applyBorder="1" applyAlignment="1" applyProtection="1">
      <alignment horizontal="right"/>
    </xf>
    <xf numFmtId="3" fontId="9" fillId="0" borderId="86" xfId="1" applyNumberFormat="1" applyFont="1" applyBorder="1" applyAlignment="1" applyProtection="1">
      <alignment horizontal="right"/>
    </xf>
    <xf numFmtId="3" fontId="9" fillId="0" borderId="86" xfId="1" applyNumberFormat="1" applyFont="1" applyFill="1" applyBorder="1" applyAlignment="1" applyProtection="1">
      <alignment horizontal="right"/>
    </xf>
    <xf numFmtId="3" fontId="9" fillId="0" borderId="99" xfId="1" applyNumberFormat="1" applyFont="1" applyBorder="1" applyAlignment="1" applyProtection="1">
      <alignment horizontal="right"/>
    </xf>
    <xf numFmtId="3" fontId="9" fillId="0" borderId="41" xfId="1" applyNumberFormat="1" applyFont="1" applyBorder="1" applyAlignment="1" applyProtection="1">
      <alignment horizontal="right"/>
    </xf>
    <xf numFmtId="3" fontId="9" fillId="0" borderId="41" xfId="1" applyNumberFormat="1" applyFont="1" applyFill="1" applyBorder="1" applyAlignment="1" applyProtection="1">
      <alignment horizontal="right"/>
    </xf>
    <xf numFmtId="0" fontId="2" fillId="0" borderId="117" xfId="0" applyFont="1" applyBorder="1" applyAlignment="1">
      <alignment horizontal="centerContinuous"/>
    </xf>
    <xf numFmtId="165" fontId="12" fillId="0" borderId="41" xfId="1" applyNumberFormat="1" applyFont="1" applyBorder="1" applyAlignment="1">
      <alignment horizontal="right"/>
    </xf>
    <xf numFmtId="0" fontId="2" fillId="0" borderId="101" xfId="0" applyFont="1" applyBorder="1" applyAlignment="1">
      <alignment horizontal="centerContinuous"/>
    </xf>
    <xf numFmtId="0" fontId="2" fillId="0" borderId="99" xfId="0" applyFont="1" applyBorder="1"/>
    <xf numFmtId="0" fontId="2" fillId="0" borderId="41" xfId="0" applyFont="1" applyBorder="1"/>
    <xf numFmtId="3" fontId="81" fillId="0" borderId="0" xfId="0" applyNumberFormat="1" applyFont="1" applyBorder="1" applyAlignment="1">
      <alignment horizontal="center"/>
    </xf>
    <xf numFmtId="165" fontId="81" fillId="0" borderId="87" xfId="1" applyNumberFormat="1" applyFont="1" applyBorder="1"/>
    <xf numFmtId="165" fontId="81" fillId="0" borderId="86" xfId="1" applyNumberFormat="1" applyFont="1" applyBorder="1"/>
    <xf numFmtId="165" fontId="81" fillId="0" borderId="80" xfId="1" applyNumberFormat="1" applyFont="1" applyBorder="1"/>
    <xf numFmtId="169" fontId="81" fillId="0" borderId="0" xfId="0" applyNumberFormat="1" applyFont="1"/>
    <xf numFmtId="185" fontId="0" fillId="3" borderId="0" xfId="0" applyNumberFormat="1" applyFill="1" applyBorder="1" applyAlignment="1"/>
    <xf numFmtId="165" fontId="78" fillId="3" borderId="0" xfId="1" applyNumberFormat="1" applyFont="1" applyFill="1" applyBorder="1"/>
    <xf numFmtId="167" fontId="0" fillId="3" borderId="0" xfId="0" applyNumberFormat="1" applyFill="1" applyBorder="1"/>
    <xf numFmtId="165" fontId="2" fillId="3" borderId="0" xfId="1" applyNumberFormat="1" applyFont="1" applyFill="1" applyBorder="1"/>
    <xf numFmtId="167" fontId="2" fillId="3" borderId="0" xfId="1" applyNumberFormat="1" applyFont="1" applyFill="1" applyBorder="1"/>
    <xf numFmtId="165" fontId="78" fillId="3" borderId="1" xfId="1" applyNumberFormat="1" applyFont="1" applyFill="1" applyBorder="1"/>
    <xf numFmtId="167" fontId="0" fillId="3" borderId="1" xfId="0" applyNumberFormat="1" applyFill="1" applyBorder="1"/>
    <xf numFmtId="3" fontId="12" fillId="8" borderId="72" xfId="0" applyNumberFormat="1" applyFont="1" applyFill="1" applyBorder="1"/>
    <xf numFmtId="3" fontId="12" fillId="8" borderId="1" xfId="0" applyNumberFormat="1" applyFont="1" applyFill="1" applyBorder="1"/>
    <xf numFmtId="0" fontId="1" fillId="8" borderId="0" xfId="0" applyFont="1" applyFill="1"/>
    <xf numFmtId="164" fontId="52" fillId="4" borderId="73" xfId="1" applyNumberFormat="1" applyFont="1" applyFill="1" applyBorder="1"/>
    <xf numFmtId="176" fontId="8" fillId="4" borderId="0" xfId="2" applyNumberFormat="1" applyFont="1" applyFill="1" applyBorder="1"/>
    <xf numFmtId="40" fontId="81" fillId="8" borderId="0" xfId="1" applyNumberFormat="1" applyFont="1" applyFill="1"/>
    <xf numFmtId="0" fontId="0" fillId="0" borderId="1" xfId="0" applyFont="1" applyBorder="1"/>
    <xf numFmtId="0" fontId="0" fillId="0" borderId="72" xfId="0" applyFont="1" applyBorder="1"/>
    <xf numFmtId="0" fontId="119" fillId="11" borderId="0" xfId="0" applyFont="1" applyFill="1"/>
    <xf numFmtId="3" fontId="12" fillId="0" borderId="87" xfId="0" applyNumberFormat="1" applyFont="1" applyBorder="1" applyAlignment="1">
      <alignment horizontal="center"/>
    </xf>
    <xf numFmtId="3" fontId="12" fillId="0" borderId="86" xfId="0" applyNumberFormat="1" applyFont="1" applyBorder="1" applyAlignment="1">
      <alignment horizontal="center"/>
    </xf>
    <xf numFmtId="3" fontId="12" fillId="0" borderId="80" xfId="0" applyNumberFormat="1" applyFont="1" applyBorder="1" applyAlignment="1">
      <alignment horizontal="center"/>
    </xf>
    <xf numFmtId="37" fontId="12" fillId="8" borderId="0" xfId="0" applyNumberFormat="1" applyFont="1" applyFill="1" applyBorder="1" applyAlignment="1">
      <alignment horizontal="center"/>
    </xf>
    <xf numFmtId="0" fontId="0" fillId="3" borderId="0" xfId="0" applyFill="1"/>
    <xf numFmtId="0" fontId="13" fillId="3" borderId="11" xfId="0" applyFont="1" applyFill="1" applyBorder="1" applyAlignment="1">
      <alignment horizontal="centerContinuous"/>
    </xf>
    <xf numFmtId="0" fontId="0" fillId="3" borderId="10" xfId="0" applyFill="1" applyBorder="1" applyAlignment="1"/>
    <xf numFmtId="0" fontId="13" fillId="3" borderId="11" xfId="0" applyFont="1" applyFill="1" applyBorder="1" applyAlignment="1">
      <alignment horizontal="center"/>
    </xf>
    <xf numFmtId="0" fontId="13" fillId="3" borderId="11" xfId="0" applyFont="1" applyFill="1" applyBorder="1" applyAlignment="1">
      <alignment horizontal="center" wrapText="1"/>
    </xf>
    <xf numFmtId="169" fontId="43" fillId="8" borderId="17" xfId="0" applyNumberFormat="1" applyFont="1" applyFill="1" applyBorder="1"/>
    <xf numFmtId="1" fontId="43" fillId="8" borderId="17" xfId="0" applyNumberFormat="1" applyFont="1" applyFill="1" applyBorder="1"/>
    <xf numFmtId="0" fontId="0" fillId="12" borderId="72" xfId="0" applyFill="1" applyBorder="1"/>
    <xf numFmtId="0" fontId="0" fillId="12" borderId="85" xfId="0" applyFill="1" applyBorder="1"/>
    <xf numFmtId="0" fontId="77" fillId="12" borderId="1" xfId="0" applyFont="1" applyFill="1" applyBorder="1"/>
    <xf numFmtId="0" fontId="77" fillId="12" borderId="1" xfId="0" applyFont="1" applyFill="1" applyBorder="1" applyAlignment="1">
      <alignment horizontal="center"/>
    </xf>
    <xf numFmtId="0" fontId="77" fillId="12" borderId="1" xfId="0" applyFont="1" applyFill="1" applyBorder="1" applyAlignment="1">
      <alignment horizontal="right"/>
    </xf>
    <xf numFmtId="0" fontId="77" fillId="12" borderId="1" xfId="0" applyFont="1" applyFill="1" applyBorder="1" applyAlignment="1">
      <alignment horizontal="right" wrapText="1"/>
    </xf>
    <xf numFmtId="0" fontId="77" fillId="12" borderId="72" xfId="0" applyFont="1" applyFill="1" applyBorder="1" applyAlignment="1">
      <alignment horizontal="center" wrapText="1"/>
    </xf>
    <xf numFmtId="0" fontId="77" fillId="12" borderId="106" xfId="0" applyFont="1" applyFill="1" applyBorder="1"/>
    <xf numFmtId="0" fontId="105" fillId="12" borderId="106" xfId="0" applyFont="1" applyFill="1" applyBorder="1" applyAlignment="1">
      <alignment horizontal="center"/>
    </xf>
    <xf numFmtId="3" fontId="105" fillId="12" borderId="106" xfId="0" applyNumberFormat="1" applyFont="1" applyFill="1" applyBorder="1"/>
    <xf numFmtId="9" fontId="105" fillId="12" borderId="106" xfId="0" applyNumberFormat="1" applyFont="1" applyFill="1" applyBorder="1"/>
    <xf numFmtId="3" fontId="103" fillId="12" borderId="106" xfId="0" applyNumberFormat="1" applyFont="1" applyFill="1" applyBorder="1"/>
    <xf numFmtId="0" fontId="77" fillId="12" borderId="102" xfId="0" applyFont="1" applyFill="1" applyBorder="1"/>
    <xf numFmtId="0" fontId="105" fillId="12" borderId="102" xfId="0" applyFont="1" applyFill="1" applyBorder="1" applyAlignment="1">
      <alignment horizontal="center"/>
    </xf>
    <xf numFmtId="3" fontId="105" fillId="12" borderId="102" xfId="0" applyNumberFormat="1" applyFont="1" applyFill="1" applyBorder="1"/>
    <xf numFmtId="9" fontId="105" fillId="12" borderId="102" xfId="0" applyNumberFormat="1" applyFont="1" applyFill="1" applyBorder="1"/>
    <xf numFmtId="3" fontId="103" fillId="12" borderId="102" xfId="0" applyNumberFormat="1" applyFont="1" applyFill="1" applyBorder="1"/>
    <xf numFmtId="3" fontId="105" fillId="12" borderId="103" xfId="0" applyNumberFormat="1" applyFont="1" applyFill="1" applyBorder="1"/>
    <xf numFmtId="0" fontId="77" fillId="12" borderId="108" xfId="0" applyFont="1" applyFill="1" applyBorder="1"/>
    <xf numFmtId="0" fontId="105" fillId="12" borderId="108" xfId="0" applyFont="1" applyFill="1" applyBorder="1" applyAlignment="1">
      <alignment horizontal="center"/>
    </xf>
    <xf numFmtId="9" fontId="105" fillId="12" borderId="108" xfId="0" applyNumberFormat="1" applyFont="1" applyFill="1" applyBorder="1"/>
    <xf numFmtId="0" fontId="105" fillId="12" borderId="104" xfId="0" applyFont="1" applyFill="1" applyBorder="1" applyAlignment="1">
      <alignment horizontal="center" vertical="center"/>
    </xf>
    <xf numFmtId="3" fontId="105" fillId="12" borderId="104" xfId="0" applyNumberFormat="1" applyFont="1" applyFill="1" applyBorder="1" applyAlignment="1">
      <alignment vertical="center"/>
    </xf>
    <xf numFmtId="9" fontId="105" fillId="12" borderId="104" xfId="0" applyNumberFormat="1" applyFont="1" applyFill="1" applyBorder="1" applyAlignment="1">
      <alignment vertical="center"/>
    </xf>
    <xf numFmtId="3" fontId="103" fillId="12" borderId="104" xfId="0" applyNumberFormat="1" applyFont="1" applyFill="1" applyBorder="1" applyAlignment="1">
      <alignment vertical="center"/>
    </xf>
    <xf numFmtId="9" fontId="105" fillId="12" borderId="104" xfId="0" applyNumberFormat="1" applyFont="1" applyFill="1" applyBorder="1"/>
    <xf numFmtId="0" fontId="74" fillId="12" borderId="0" xfId="0" applyFont="1" applyFill="1" applyBorder="1"/>
    <xf numFmtId="0" fontId="0" fillId="12" borderId="0" xfId="0" applyFill="1"/>
    <xf numFmtId="0" fontId="0" fillId="12" borderId="0" xfId="0" applyFill="1" applyBorder="1"/>
    <xf numFmtId="0" fontId="106" fillId="12" borderId="0" xfId="0" applyFont="1" applyFill="1" applyBorder="1" applyAlignment="1">
      <alignment horizontal="left" vertical="top"/>
    </xf>
    <xf numFmtId="3" fontId="10" fillId="12" borderId="0" xfId="0" applyNumberFormat="1" applyFont="1" applyFill="1" applyAlignment="1">
      <alignment horizontal="left" vertical="top"/>
    </xf>
    <xf numFmtId="37" fontId="2" fillId="0" borderId="0" xfId="4" quotePrefix="1" applyNumberFormat="1" applyFont="1" applyFill="1" applyBorder="1" applyAlignment="1" applyProtection="1">
      <alignment horizontal="right"/>
    </xf>
    <xf numFmtId="0" fontId="109" fillId="0" borderId="0" xfId="0" applyFont="1"/>
    <xf numFmtId="2" fontId="2" fillId="0" borderId="0" xfId="0" applyNumberFormat="1" applyFont="1"/>
    <xf numFmtId="2" fontId="0" fillId="0" borderId="0" xfId="0" applyNumberFormat="1"/>
    <xf numFmtId="9" fontId="9" fillId="0" borderId="0" xfId="2" applyFont="1"/>
    <xf numFmtId="9" fontId="12" fillId="0" borderId="0" xfId="2" applyFont="1"/>
    <xf numFmtId="9" fontId="12" fillId="4" borderId="0" xfId="2" applyFont="1" applyFill="1" applyBorder="1"/>
    <xf numFmtId="9" fontId="12" fillId="4" borderId="10" xfId="2" applyFont="1" applyFill="1" applyBorder="1"/>
    <xf numFmtId="0" fontId="0" fillId="0" borderId="85" xfId="0" applyFont="1" applyBorder="1" applyAlignment="1">
      <alignment horizontal="centerContinuous"/>
    </xf>
    <xf numFmtId="3" fontId="0" fillId="0" borderId="72" xfId="0" applyNumberFormat="1" applyBorder="1"/>
    <xf numFmtId="0" fontId="0" fillId="0" borderId="99" xfId="0" applyFont="1" applyBorder="1"/>
    <xf numFmtId="0" fontId="0" fillId="0" borderId="41" xfId="0" applyBorder="1"/>
    <xf numFmtId="0" fontId="0" fillId="0" borderId="28" xfId="0" applyBorder="1"/>
    <xf numFmtId="167" fontId="9" fillId="3" borderId="85" xfId="2" applyNumberFormat="1" applyFont="1" applyFill="1" applyBorder="1"/>
    <xf numFmtId="167" fontId="9" fillId="4" borderId="85" xfId="2" applyNumberFormat="1" applyFont="1" applyFill="1" applyBorder="1"/>
    <xf numFmtId="167" fontId="94" fillId="4" borderId="85" xfId="2" applyNumberFormat="1" applyFont="1" applyFill="1" applyBorder="1"/>
    <xf numFmtId="190" fontId="0" fillId="0" borderId="1" xfId="0" applyNumberFormat="1" applyBorder="1"/>
    <xf numFmtId="176" fontId="0" fillId="4" borderId="0" xfId="2" applyNumberFormat="1" applyFont="1" applyFill="1"/>
    <xf numFmtId="2" fontId="0" fillId="0" borderId="0" xfId="0" applyNumberFormat="1" applyFill="1"/>
    <xf numFmtId="9" fontId="9" fillId="3" borderId="85" xfId="2" applyFont="1" applyFill="1" applyBorder="1"/>
    <xf numFmtId="0" fontId="120" fillId="0" borderId="0" xfId="3" applyFont="1"/>
    <xf numFmtId="0" fontId="6" fillId="0" borderId="0" xfId="0" applyFont="1" applyFill="1" applyBorder="1" applyAlignment="1">
      <alignment horizontal="center"/>
    </xf>
    <xf numFmtId="0" fontId="0" fillId="0" borderId="83" xfId="0" applyFont="1" applyFill="1" applyBorder="1"/>
    <xf numFmtId="0" fontId="0" fillId="0" borderId="0" xfId="0" applyFont="1" applyFill="1" applyBorder="1" applyAlignment="1">
      <alignment horizontal="center"/>
    </xf>
    <xf numFmtId="3" fontId="120" fillId="0" borderId="0" xfId="3" applyNumberFormat="1" applyFont="1"/>
    <xf numFmtId="3" fontId="1" fillId="0" borderId="0" xfId="1" applyNumberFormat="1" applyFont="1" applyFill="1" applyBorder="1"/>
    <xf numFmtId="3" fontId="1" fillId="0" borderId="0" xfId="3" applyNumberFormat="1" applyFont="1" applyFill="1" applyBorder="1" applyProtection="1"/>
    <xf numFmtId="3" fontId="73" fillId="3" borderId="0" xfId="3" applyNumberFormat="1" applyFont="1" applyFill="1"/>
    <xf numFmtId="0" fontId="2" fillId="3" borderId="0" xfId="0" applyFont="1" applyFill="1" applyBorder="1" applyAlignment="1">
      <alignment horizontal="center"/>
    </xf>
    <xf numFmtId="3" fontId="81" fillId="3" borderId="0" xfId="0" applyNumberFormat="1" applyFont="1" applyFill="1" applyBorder="1" applyAlignment="1">
      <alignment horizontal="center"/>
    </xf>
    <xf numFmtId="3" fontId="9" fillId="3" borderId="86" xfId="1" applyNumberFormat="1" applyFont="1" applyFill="1" applyBorder="1" applyAlignment="1" applyProtection="1">
      <alignment horizontal="right"/>
    </xf>
    <xf numFmtId="3" fontId="9" fillId="3" borderId="41" xfId="1" applyNumberFormat="1" applyFont="1" applyFill="1" applyBorder="1" applyAlignment="1" applyProtection="1">
      <alignment horizontal="right"/>
    </xf>
    <xf numFmtId="0" fontId="2" fillId="3" borderId="41" xfId="0" applyFont="1" applyFill="1" applyBorder="1"/>
    <xf numFmtId="0" fontId="5" fillId="3" borderId="0" xfId="0" applyFont="1" applyFill="1" applyBorder="1"/>
    <xf numFmtId="37" fontId="54" fillId="3" borderId="0" xfId="0" applyNumberFormat="1" applyFont="1" applyFill="1" applyBorder="1"/>
    <xf numFmtId="2" fontId="54" fillId="3" borderId="0" xfId="0" applyNumberFormat="1" applyFont="1" applyFill="1"/>
    <xf numFmtId="165" fontId="12" fillId="3" borderId="0" xfId="1" applyNumberFormat="1" applyFont="1" applyFill="1" applyBorder="1" applyAlignment="1">
      <alignment horizontal="right"/>
    </xf>
    <xf numFmtId="165" fontId="12" fillId="3" borderId="41" xfId="1" applyNumberFormat="1" applyFont="1" applyFill="1" applyBorder="1" applyAlignment="1">
      <alignment horizontal="right"/>
    </xf>
    <xf numFmtId="0" fontId="0" fillId="3" borderId="0" xfId="0" applyFill="1" applyBorder="1"/>
    <xf numFmtId="0" fontId="5" fillId="0" borderId="4" xfId="0" applyFont="1" applyBorder="1" applyAlignment="1">
      <alignment horizontal="center"/>
    </xf>
    <xf numFmtId="0" fontId="5" fillId="0" borderId="6" xfId="0" applyFont="1" applyBorder="1" applyAlignment="1">
      <alignment horizontal="center"/>
    </xf>
    <xf numFmtId="0" fontId="5" fillId="0" borderId="37" xfId="0" applyFont="1" applyBorder="1" applyAlignment="1">
      <alignment horizontal="center"/>
    </xf>
    <xf numFmtId="0" fontId="2" fillId="0" borderId="23" xfId="0" applyFont="1" applyBorder="1" applyAlignment="1">
      <alignment horizontal="center"/>
    </xf>
    <xf numFmtId="0" fontId="2" fillId="0" borderId="6" xfId="0" applyFont="1" applyBorder="1" applyAlignment="1">
      <alignment horizontal="center"/>
    </xf>
    <xf numFmtId="0" fontId="2" fillId="0" borderId="116" xfId="0" applyFont="1" applyBorder="1" applyAlignment="1">
      <alignment horizontal="center"/>
    </xf>
    <xf numFmtId="0" fontId="34" fillId="0" borderId="1" xfId="3" applyFont="1" applyBorder="1" applyAlignment="1">
      <alignment horizontal="center"/>
    </xf>
    <xf numFmtId="0" fontId="1" fillId="0" borderId="1" xfId="3" applyFont="1" applyBorder="1" applyAlignment="1">
      <alignment horizontal="center"/>
    </xf>
    <xf numFmtId="0" fontId="1" fillId="0" borderId="85" xfId="3" applyFont="1" applyBorder="1" applyAlignment="1">
      <alignment horizontal="center"/>
    </xf>
    <xf numFmtId="165" fontId="1" fillId="0" borderId="1" xfId="1" applyNumberFormat="1" applyFont="1" applyBorder="1" applyAlignment="1">
      <alignment horizontal="center"/>
    </xf>
    <xf numFmtId="165" fontId="1" fillId="0" borderId="73" xfId="1" applyNumberFormat="1" applyFont="1" applyBorder="1" applyAlignment="1">
      <alignment horizontal="center"/>
    </xf>
    <xf numFmtId="0" fontId="31" fillId="0" borderId="85" xfId="3" applyFont="1" applyFill="1" applyBorder="1" applyAlignment="1">
      <alignment horizontal="center" wrapText="1"/>
    </xf>
    <xf numFmtId="0" fontId="7" fillId="3" borderId="73" xfId="3" applyFont="1" applyFill="1" applyBorder="1" applyAlignment="1">
      <alignment horizontal="center"/>
    </xf>
    <xf numFmtId="0" fontId="77" fillId="12" borderId="0" xfId="0" applyFont="1" applyFill="1" applyBorder="1" applyAlignment="1">
      <alignment horizontal="left" vertical="top"/>
    </xf>
    <xf numFmtId="0" fontId="77" fillId="12" borderId="0" xfId="0" applyFont="1" applyFill="1" applyBorder="1" applyAlignment="1">
      <alignment horizontal="left" vertical="top" wrapText="1"/>
    </xf>
    <xf numFmtId="3" fontId="0" fillId="12" borderId="0" xfId="0" applyNumberFormat="1" applyFill="1" applyAlignment="1">
      <alignment horizontal="left" vertical="top" wrapText="1"/>
    </xf>
    <xf numFmtId="0" fontId="0" fillId="12" borderId="85" xfId="0" applyFont="1" applyFill="1" applyBorder="1" applyAlignment="1">
      <alignment horizontal="center"/>
    </xf>
    <xf numFmtId="0" fontId="2" fillId="12" borderId="85" xfId="0" applyFont="1" applyFill="1" applyBorder="1" applyAlignment="1">
      <alignment horizontal="center"/>
    </xf>
    <xf numFmtId="0" fontId="77" fillId="12" borderId="72" xfId="0" applyFont="1" applyFill="1" applyBorder="1" applyAlignment="1">
      <alignment horizontal="center" wrapText="1"/>
    </xf>
    <xf numFmtId="0" fontId="77" fillId="12" borderId="1" xfId="0" applyFont="1" applyFill="1" applyBorder="1" applyAlignment="1">
      <alignment horizontal="center" wrapText="1"/>
    </xf>
    <xf numFmtId="0" fontId="77" fillId="12" borderId="104" xfId="0" applyFont="1" applyFill="1" applyBorder="1" applyAlignment="1">
      <alignment horizontal="left" vertical="center" wrapText="1"/>
    </xf>
    <xf numFmtId="0" fontId="0" fillId="0" borderId="0" xfId="0" applyAlignment="1">
      <alignment horizontal="center" wrapText="1"/>
    </xf>
    <xf numFmtId="0" fontId="0" fillId="0" borderId="82" xfId="0" applyBorder="1" applyAlignment="1">
      <alignment horizontal="center" vertical="center" wrapText="1"/>
    </xf>
    <xf numFmtId="0" fontId="0" fillId="0" borderId="83" xfId="0" applyBorder="1" applyAlignment="1">
      <alignment horizontal="center" vertical="center" wrapText="1"/>
    </xf>
    <xf numFmtId="0" fontId="0" fillId="0" borderId="29" xfId="0" applyBorder="1" applyAlignment="1">
      <alignment horizontal="center" vertical="center" wrapText="1"/>
    </xf>
    <xf numFmtId="0" fontId="5" fillId="0" borderId="92" xfId="0" applyFont="1" applyBorder="1" applyAlignment="1">
      <alignment horizontal="center"/>
    </xf>
    <xf numFmtId="0" fontId="5" fillId="0" borderId="75" xfId="0" applyFont="1" applyBorder="1" applyAlignment="1">
      <alignment horizontal="center"/>
    </xf>
    <xf numFmtId="0" fontId="5" fillId="0" borderId="93" xfId="0" applyFont="1" applyBorder="1" applyAlignment="1">
      <alignment horizontal="center"/>
    </xf>
    <xf numFmtId="0" fontId="2" fillId="0" borderId="92" xfId="0" applyFont="1" applyBorder="1" applyAlignment="1">
      <alignment horizontal="center"/>
    </xf>
    <xf numFmtId="0" fontId="2" fillId="0" borderId="75" xfId="0" applyFont="1" applyBorder="1" applyAlignment="1">
      <alignment horizontal="center"/>
    </xf>
    <xf numFmtId="0" fontId="2" fillId="0" borderId="113" xfId="0" applyFont="1" applyBorder="1" applyAlignment="1">
      <alignment horizontal="center"/>
    </xf>
    <xf numFmtId="0" fontId="2" fillId="0" borderId="76" xfId="0" applyFont="1" applyBorder="1" applyAlignment="1">
      <alignment horizontal="center"/>
    </xf>
    <xf numFmtId="0" fontId="5" fillId="0" borderId="76" xfId="0" applyFont="1" applyBorder="1" applyAlignment="1">
      <alignment horizontal="center"/>
    </xf>
    <xf numFmtId="0" fontId="31" fillId="0" borderId="85" xfId="0" applyFont="1" applyBorder="1" applyAlignment="1">
      <alignment horizontal="center"/>
    </xf>
    <xf numFmtId="0" fontId="0" fillId="0" borderId="85" xfId="0" applyBorder="1" applyAlignment="1">
      <alignment horizontal="center"/>
    </xf>
    <xf numFmtId="10" fontId="0" fillId="0" borderId="0" xfId="0" applyNumberFormat="1"/>
    <xf numFmtId="0" fontId="0" fillId="0" borderId="0" xfId="0" applyNumberFormat="1"/>
  </cellXfs>
  <cellStyles count="6">
    <cellStyle name="Comma" xfId="1" builtinId="3"/>
    <cellStyle name="Hyperlink 2" xfId="5" xr:uid="{00000000-0005-0000-0000-000001000000}"/>
    <cellStyle name="Normal" xfId="0" builtinId="0" customBuiltin="1"/>
    <cellStyle name="Normal 2" xfId="3" xr:uid="{00000000-0005-0000-0000-000003000000}"/>
    <cellStyle name="Normal 3" xfId="4" xr:uid="{00000000-0005-0000-0000-000004000000}"/>
    <cellStyle name="Percent" xfId="2" builtinId="5"/>
  </cellStyles>
  <dxfs count="15">
    <dxf>
      <font>
        <color theme="0" tint="-0.24994659260841701"/>
      </font>
    </dxf>
    <dxf>
      <font>
        <color theme="0" tint="-0.24994659260841701"/>
      </font>
    </dxf>
    <dxf>
      <font>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3333FF"/>
      <color rgb="FFFF99FF"/>
      <color rgb="FF0000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sz="1800"/>
              <a:t>Copper and Bering River districts Chinook salmon CPF total harvest, 1966–2016</a:t>
            </a:r>
          </a:p>
          <a:p>
            <a:pPr>
              <a:defRPr sz="1800" b="1" i="0" u="none" strike="noStrike" baseline="0">
                <a:solidFill>
                  <a:srgbClr val="000000"/>
                </a:solidFill>
                <a:latin typeface="Arial"/>
                <a:ea typeface="Arial"/>
                <a:cs typeface="Arial"/>
              </a:defRPr>
            </a:pPr>
            <a:endParaRPr lang="en-US" sz="1800"/>
          </a:p>
        </c:rich>
      </c:tx>
      <c:layout>
        <c:manualLayout>
          <c:xMode val="edge"/>
          <c:yMode val="edge"/>
          <c:x val="0.16775616974333826"/>
          <c:y val="2.7137042062415559E-2"/>
        </c:manualLayout>
      </c:layout>
      <c:overlay val="0"/>
      <c:spPr>
        <a:noFill/>
        <a:ln w="25400">
          <a:noFill/>
        </a:ln>
      </c:spPr>
    </c:title>
    <c:autoTitleDeleted val="0"/>
    <c:plotArea>
      <c:layout>
        <c:manualLayout>
          <c:layoutTarget val="inner"/>
          <c:xMode val="edge"/>
          <c:yMode val="edge"/>
          <c:x val="0.12527246441872661"/>
          <c:y val="0.15875169606513023"/>
          <c:w val="0.84204882604935871"/>
          <c:h val="0.74858036684808338"/>
        </c:manualLayout>
      </c:layout>
      <c:barChart>
        <c:barDir val="col"/>
        <c:grouping val="clustered"/>
        <c:varyColors val="0"/>
        <c:ser>
          <c:idx val="0"/>
          <c:order val="0"/>
          <c:spPr>
            <a:ln w="25400">
              <a:solidFill>
                <a:srgbClr val="000080"/>
              </a:solidFill>
              <a:prstDash val="solid"/>
            </a:ln>
          </c:spPr>
          <c:invertIfNegative val="0"/>
          <c:dPt>
            <c:idx val="49"/>
            <c:invertIfNegative val="0"/>
            <c:bubble3D val="0"/>
            <c:spPr>
              <a:solidFill>
                <a:srgbClr val="0070C0"/>
              </a:solidFill>
              <a:ln w="25400">
                <a:solidFill>
                  <a:srgbClr val="000080"/>
                </a:solidFill>
                <a:prstDash val="solid"/>
              </a:ln>
            </c:spPr>
            <c:extLst>
              <c:ext xmlns:c16="http://schemas.microsoft.com/office/drawing/2014/chart" uri="{C3380CC4-5D6E-409C-BE32-E72D297353CC}">
                <c16:uniqueId val="{00000001-FE86-484F-BAEE-137D50CC2847}"/>
              </c:ext>
            </c:extLst>
          </c:dPt>
          <c:dLbls>
            <c:dLbl>
              <c:idx val="0"/>
              <c:tx>
                <c:strRef>
                  <c:f>Harvests!$T$84</c:f>
                  <c:strCache>
                    <c:ptCount val="1"/>
                    <c:pt idx="0">
                      <c:v>44</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{3492AC48-D2C8-4917-90BA-55FEB0A5178F}</c15:txfldGUID>
                      <c15:f>Harvests!$T$84</c15:f>
                      <c15:dlblFieldTableCache>
                        <c:ptCount val="1"/>
                        <c:pt idx="0">
                          <c:v>44</c:v>
                        </c:pt>
                      </c15:dlblFieldTableCache>
                    </c15:dlblFTEntry>
                  </c15:dlblFieldTable>
                  <c15:showDataLabelsRange val="0"/>
                </c:ext>
                <c:ext xmlns:c16="http://schemas.microsoft.com/office/drawing/2014/chart" uri="{C3380CC4-5D6E-409C-BE32-E72D297353CC}">
                  <c16:uniqueId val="{00000002-FE86-484F-BAEE-137D50CC2847}"/>
                </c:ext>
              </c:extLst>
            </c:dLbl>
            <c:dLbl>
              <c:idx val="1"/>
              <c:tx>
                <c:strRef>
                  <c:f>Harvests!$T$85</c:f>
                  <c:strCache>
                    <c:ptCount val="1"/>
                    <c:pt idx="0">
                      <c:v>45</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{89EA725C-ECA9-4B30-80ED-62411A0FA056}</c15:txfldGUID>
                      <c15:f>Harvests!$T$85</c15:f>
                      <c15:dlblFieldTableCache>
                        <c:ptCount val="1"/>
                        <c:pt idx="0">
                          <c:v>45</c:v>
                        </c:pt>
                      </c15:dlblFieldTableCache>
                    </c15:dlblFTEntry>
                  </c15:dlblFieldTable>
                  <c15:showDataLabelsRange val="0"/>
                </c:ext>
                <c:ext xmlns:c16="http://schemas.microsoft.com/office/drawing/2014/chart" uri="{C3380CC4-5D6E-409C-BE32-E72D297353CC}">
                  <c16:uniqueId val="{00000003-FE86-484F-BAEE-137D50CC2847}"/>
                </c:ext>
              </c:extLst>
            </c:dLbl>
            <c:dLbl>
              <c:idx val="2"/>
              <c:tx>
                <c:strRef>
                  <c:f>Harvests!$T$86</c:f>
                  <c:strCache>
                    <c:ptCount val="1"/>
                    <c:pt idx="0">
                      <c:v>49</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{AD451ADB-C045-4FEE-A65B-1FA388E29D53}</c15:txfldGUID>
                      <c15:f>Harvests!$T$86</c15:f>
                      <c15:dlblFieldTableCache>
                        <c:ptCount val="1"/>
                        <c:pt idx="0">
                          <c:v>49</c:v>
                        </c:pt>
                      </c15:dlblFieldTableCache>
                    </c15:dlblFTEntry>
                  </c15:dlblFieldTable>
                  <c15:showDataLabelsRange val="0"/>
                </c:ext>
                <c:ext xmlns:c16="http://schemas.microsoft.com/office/drawing/2014/chart" uri="{C3380CC4-5D6E-409C-BE32-E72D297353CC}">
                  <c16:uniqueId val="{00000004-FE86-484F-BAEE-137D50CC2847}"/>
                </c:ext>
              </c:extLst>
            </c:dLbl>
            <c:dLbl>
              <c:idx val="3"/>
              <c:tx>
                <c:strRef>
                  <c:f>Harvests!$T$87</c:f>
                  <c:strCache>
                    <c:ptCount val="1"/>
                    <c:pt idx="0">
                      <c:v>40</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{0DC7F264-6B1F-4B14-8DB6-C8789D15DD07}</c15:txfldGUID>
                      <c15:f>Harvests!$T$87</c15:f>
                      <c15:dlblFieldTableCache>
                        <c:ptCount val="1"/>
                        <c:pt idx="0">
                          <c:v>40</c:v>
                        </c:pt>
                      </c15:dlblFieldTableCache>
                    </c15:dlblFTEntry>
                  </c15:dlblFieldTable>
                  <c15:showDataLabelsRange val="0"/>
                </c:ext>
                <c:ext xmlns:c16="http://schemas.microsoft.com/office/drawing/2014/chart" uri="{C3380CC4-5D6E-409C-BE32-E72D297353CC}">
                  <c16:uniqueId val="{00000005-FE86-484F-BAEE-137D50CC2847}"/>
                </c:ext>
              </c:extLst>
            </c:dLbl>
            <c:dLbl>
              <c:idx val="4"/>
              <c:tx>
                <c:strRef>
                  <c:f>Harvests!$T$88</c:f>
                  <c:strCache>
                    <c:ptCount val="1"/>
                    <c:pt idx="0">
                      <c:v>35</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{48512FB6-373A-4B10-8A7F-CBAB357BFF4C}</c15:txfldGUID>
                      <c15:f>Harvests!$T$88</c15:f>
                      <c15:dlblFieldTableCache>
                        <c:ptCount val="1"/>
                        <c:pt idx="0">
                          <c:v>35</c:v>
                        </c:pt>
                      </c15:dlblFieldTableCache>
                    </c15:dlblFTEntry>
                  </c15:dlblFieldTable>
                  <c15:showDataLabelsRange val="0"/>
                </c:ext>
                <c:ext xmlns:c16="http://schemas.microsoft.com/office/drawing/2014/chart" uri="{C3380CC4-5D6E-409C-BE32-E72D297353CC}">
                  <c16:uniqueId val="{00000006-FE86-484F-BAEE-137D50CC2847}"/>
                </c:ext>
              </c:extLst>
            </c:dLbl>
            <c:dLbl>
              <c:idx val="5"/>
              <c:tx>
                <c:strRef>
                  <c:f>Harvests!$T$89</c:f>
                  <c:strCache>
                    <c:ptCount val="1"/>
                    <c:pt idx="0">
                      <c:v>39</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{5226EF9F-70FA-4BAA-82F7-9CA8243E6138}</c15:txfldGUID>
                      <c15:f>Harvests!$T$89</c15:f>
                      <c15:dlblFieldTableCache>
                        <c:ptCount val="1"/>
                        <c:pt idx="0">
                          <c:v>39</c:v>
                        </c:pt>
                      </c15:dlblFieldTableCache>
                    </c15:dlblFTEntry>
                  </c15:dlblFieldTable>
                  <c15:showDataLabelsRange val="0"/>
                </c:ext>
                <c:ext xmlns:c16="http://schemas.microsoft.com/office/drawing/2014/chart" uri="{C3380CC4-5D6E-409C-BE32-E72D297353CC}">
                  <c16:uniqueId val="{00000007-FE86-484F-BAEE-137D50CC2847}"/>
                </c:ext>
              </c:extLst>
            </c:dLbl>
            <c:dLbl>
              <c:idx val="6"/>
              <c:tx>
                <c:strRef>
                  <c:f>Harvests!$T$90</c:f>
                  <c:strCache>
                    <c:ptCount val="1"/>
                    <c:pt idx="0">
                      <c:v>29</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{A08CAFFA-C0E7-4230-8DFA-36F2DCCA9E90}</c15:txfldGUID>
                      <c15:f>Harvests!$T$90</c15:f>
                      <c15:dlblFieldTableCache>
                        <c:ptCount val="1"/>
                        <c:pt idx="0">
                          <c:v>29</c:v>
                        </c:pt>
                      </c15:dlblFieldTableCache>
                    </c15:dlblFTEntry>
                  </c15:dlblFieldTable>
                  <c15:showDataLabelsRange val="0"/>
                </c:ext>
                <c:ext xmlns:c16="http://schemas.microsoft.com/office/drawing/2014/chart" uri="{C3380CC4-5D6E-409C-BE32-E72D297353CC}">
                  <c16:uniqueId val="{00000008-FE86-484F-BAEE-137D50CC2847}"/>
                </c:ext>
              </c:extLst>
            </c:dLbl>
            <c:dLbl>
              <c:idx val="7"/>
              <c:tx>
                <c:strRef>
                  <c:f>Harvests!$T$91</c:f>
                  <c:strCache>
                    <c:ptCount val="1"/>
                    <c:pt idx="0">
                      <c:v>33</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{27AAF2B5-B0EA-4BA1-AD02-332C6E47A0AE}</c15:txfldGUID>
                      <c15:f>Harvests!$T$91</c15:f>
                      <c15:dlblFieldTableCache>
                        <c:ptCount val="1"/>
                        <c:pt idx="0">
                          <c:v>33</c:v>
                        </c:pt>
                      </c15:dlblFieldTableCache>
                    </c15:dlblFTEntry>
                  </c15:dlblFieldTable>
                  <c15:showDataLabelsRange val="0"/>
                </c:ext>
                <c:ext xmlns:c16="http://schemas.microsoft.com/office/drawing/2014/chart" uri="{C3380CC4-5D6E-409C-BE32-E72D297353CC}">
                  <c16:uniqueId val="{00000009-FE86-484F-BAEE-137D50CC2847}"/>
                </c:ext>
              </c:extLst>
            </c:dLbl>
            <c:dLbl>
              <c:idx val="8"/>
              <c:tx>
                <c:strRef>
                  <c:f>Harvests!$T$92</c:f>
                  <c:strCache>
                    <c:ptCount val="1"/>
                    <c:pt idx="0">
                      <c:v>36</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{47B3B7FB-9E59-48F9-B04B-C6C643322C0E}</c15:txfldGUID>
                      <c15:f>Harvests!$T$92</c15:f>
                      <c15:dlblFieldTableCache>
                        <c:ptCount val="1"/>
                        <c:pt idx="0">
                          <c:v>36</c:v>
                        </c:pt>
                      </c15:dlblFieldTableCache>
                    </c15:dlblFTEntry>
                  </c15:dlblFieldTable>
                  <c15:showDataLabelsRange val="0"/>
                </c:ext>
                <c:ext xmlns:c16="http://schemas.microsoft.com/office/drawing/2014/chart" uri="{C3380CC4-5D6E-409C-BE32-E72D297353CC}">
                  <c16:uniqueId val="{0000000A-FE86-484F-BAEE-137D50CC2847}"/>
                </c:ext>
              </c:extLst>
            </c:dLbl>
            <c:dLbl>
              <c:idx val="9"/>
              <c:tx>
                <c:strRef>
                  <c:f>Harvests!$T$93</c:f>
                  <c:strCache>
                    <c:ptCount val="1"/>
                    <c:pt idx="0">
                      <c:v>34</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{0E834DA4-CBF3-4AD7-B42A-2A3B6699642A}</c15:txfldGUID>
                      <c15:f>Harvests!$T$93</c15:f>
                      <c15:dlblFieldTableCache>
                        <c:ptCount val="1"/>
                        <c:pt idx="0">
                          <c:v>34</c:v>
                        </c:pt>
                      </c15:dlblFieldTableCache>
                    </c15:dlblFTEntry>
                  </c15:dlblFieldTable>
                  <c15:showDataLabelsRange val="0"/>
                </c:ext>
                <c:ext xmlns:c16="http://schemas.microsoft.com/office/drawing/2014/chart" uri="{C3380CC4-5D6E-409C-BE32-E72D297353CC}">
                  <c16:uniqueId val="{0000000B-FE86-484F-BAEE-137D50CC2847}"/>
                </c:ext>
              </c:extLst>
            </c:dLbl>
            <c:dLbl>
              <c:idx val="10"/>
              <c:tx>
                <c:strRef>
                  <c:f>Harvests!$T$94</c:f>
                  <c:strCache>
                    <c:ptCount val="1"/>
                    <c:pt idx="0">
                      <c:v>21</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{72FF65EE-CB2E-4D1E-BDCB-85F6A4DC176B}</c15:txfldGUID>
                      <c15:f>Harvests!$T$94</c15:f>
                      <c15:dlblFieldTableCache>
                        <c:ptCount val="1"/>
                        <c:pt idx="0">
                          <c:v>21</c:v>
                        </c:pt>
                      </c15:dlblFieldTableCache>
                    </c15:dlblFTEntry>
                  </c15:dlblFieldTable>
                  <c15:showDataLabelsRange val="0"/>
                </c:ext>
                <c:ext xmlns:c16="http://schemas.microsoft.com/office/drawing/2014/chart" uri="{C3380CC4-5D6E-409C-BE32-E72D297353CC}">
                  <c16:uniqueId val="{0000000C-FE86-484F-BAEE-137D50CC2847}"/>
                </c:ext>
              </c:extLst>
            </c:dLbl>
            <c:dLbl>
              <c:idx val="11"/>
              <c:tx>
                <c:strRef>
                  <c:f>Harvests!$T$95</c:f>
                  <c:strCache>
                    <c:ptCount val="1"/>
                    <c:pt idx="0">
                      <c:v>30</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{150B77A3-2228-4032-952D-6B2C3AEBEA39}</c15:txfldGUID>
                      <c15:f>Harvests!$T$95</c15:f>
                      <c15:dlblFieldTableCache>
                        <c:ptCount val="1"/>
                        <c:pt idx="0">
                          <c:v>30</c:v>
                        </c:pt>
                      </c15:dlblFieldTableCache>
                    </c15:dlblFTEntry>
                  </c15:dlblFieldTable>
                  <c15:showDataLabelsRange val="0"/>
                </c:ext>
                <c:ext xmlns:c16="http://schemas.microsoft.com/office/drawing/2014/chart" uri="{C3380CC4-5D6E-409C-BE32-E72D297353CC}">
                  <c16:uniqueId val="{0000000D-FE86-484F-BAEE-137D50CC2847}"/>
                </c:ext>
              </c:extLst>
            </c:dLbl>
            <c:dLbl>
              <c:idx val="12"/>
              <c:tx>
                <c:strRef>
                  <c:f>Harvests!$T$96</c:f>
                  <c:strCache>
                    <c:ptCount val="1"/>
                    <c:pt idx="0">
                      <c:v>27</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{864C56CE-9F47-48B4-B1AA-5B928EC425DC}</c15:txfldGUID>
                      <c15:f>Harvests!$T$96</c15:f>
                      <c15:dlblFieldTableCache>
                        <c:ptCount val="1"/>
                        <c:pt idx="0">
                          <c:v>27</c:v>
                        </c:pt>
                      </c15:dlblFieldTableCache>
                    </c15:dlblFTEntry>
                  </c15:dlblFieldTable>
                  <c15:showDataLabelsRange val="0"/>
                </c:ext>
                <c:ext xmlns:c16="http://schemas.microsoft.com/office/drawing/2014/chart" uri="{C3380CC4-5D6E-409C-BE32-E72D297353CC}">
                  <c16:uniqueId val="{0000000E-FE86-484F-BAEE-137D50CC2847}"/>
                </c:ext>
              </c:extLst>
            </c:dLbl>
            <c:dLbl>
              <c:idx val="13"/>
              <c:tx>
                <c:strRef>
                  <c:f>Harvests!$T$97</c:f>
                  <c:strCache>
                    <c:ptCount val="1"/>
                    <c:pt idx="0">
                      <c:v>38</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{E5DB9AD0-9009-4FDB-A366-B01C1193B201}</c15:txfldGUID>
                      <c15:f>Harvests!$T$97</c15:f>
                      <c15:dlblFieldTableCache>
                        <c:ptCount val="1"/>
                        <c:pt idx="0">
                          <c:v>38</c:v>
                        </c:pt>
                      </c15:dlblFieldTableCache>
                    </c15:dlblFTEntry>
                  </c15:dlblFieldTable>
                  <c15:showDataLabelsRange val="0"/>
                </c:ext>
                <c:ext xmlns:c16="http://schemas.microsoft.com/office/drawing/2014/chart" uri="{C3380CC4-5D6E-409C-BE32-E72D297353CC}">
                  <c16:uniqueId val="{0000000F-FE86-484F-BAEE-137D50CC2847}"/>
                </c:ext>
              </c:extLst>
            </c:dLbl>
            <c:dLbl>
              <c:idx val="14"/>
              <c:tx>
                <c:strRef>
                  <c:f>Harvests!$T$98</c:f>
                  <c:strCache>
                    <c:ptCount val="1"/>
                    <c:pt idx="0">
                      <c:v>51</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{D4794387-0A59-4C57-AC1E-4E4E1F6949A4}</c15:txfldGUID>
                      <c15:f>Harvests!$T$98</c15:f>
                      <c15:dlblFieldTableCache>
                        <c:ptCount val="1"/>
                        <c:pt idx="0">
                          <c:v>51</c:v>
                        </c:pt>
                      </c15:dlblFieldTableCache>
                    </c15:dlblFTEntry>
                  </c15:dlblFieldTable>
                  <c15:showDataLabelsRange val="0"/>
                </c:ext>
                <c:ext xmlns:c16="http://schemas.microsoft.com/office/drawing/2014/chart" uri="{C3380CC4-5D6E-409C-BE32-E72D297353CC}">
                  <c16:uniqueId val="{00000010-FE86-484F-BAEE-137D50CC2847}"/>
                </c:ext>
              </c:extLst>
            </c:dLbl>
            <c:dLbl>
              <c:idx val="15"/>
              <c:tx>
                <c:strRef>
                  <c:f>Harvests!$T$99</c:f>
                  <c:strCache>
                    <c:ptCount val="1"/>
                    <c:pt idx="0">
                      <c:v>32</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{15E76E77-BA6A-4FD5-994C-A7048E376078}</c15:txfldGUID>
                      <c15:f>Harvests!$T$99</c15:f>
                      <c15:dlblFieldTableCache>
                        <c:ptCount val="1"/>
                        <c:pt idx="0">
                          <c:v>32</c:v>
                        </c:pt>
                      </c15:dlblFieldTableCache>
                    </c15:dlblFTEntry>
                  </c15:dlblFieldTable>
                  <c15:showDataLabelsRange val="0"/>
                </c:ext>
                <c:ext xmlns:c16="http://schemas.microsoft.com/office/drawing/2014/chart" uri="{C3380CC4-5D6E-409C-BE32-E72D297353CC}">
                  <c16:uniqueId val="{00000011-FE86-484F-BAEE-137D50CC2847}"/>
                </c:ext>
              </c:extLst>
            </c:dLbl>
            <c:dLbl>
              <c:idx val="16"/>
              <c:tx>
                <c:strRef>
                  <c:f>Harvests!$T$100</c:f>
                  <c:strCache>
                    <c:ptCount val="1"/>
                    <c:pt idx="0">
                      <c:v>8</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{20BCC11A-079F-42EA-8E64-E2D085EE1EDE}</c15:txfldGUID>
                      <c15:f>Harvests!$T$100</c15:f>
                      <c15:dlblFieldTableCache>
                        <c:ptCount val="1"/>
                        <c:pt idx="0">
                          <c:v>8</c:v>
                        </c:pt>
                      </c15:dlblFieldTableCache>
                    </c15:dlblFTEntry>
                  </c15:dlblFieldTable>
                  <c15:showDataLabelsRange val="0"/>
                </c:ext>
                <c:ext xmlns:c16="http://schemas.microsoft.com/office/drawing/2014/chart" uri="{C3380CC4-5D6E-409C-BE32-E72D297353CC}">
                  <c16:uniqueId val="{00000012-FE86-484F-BAEE-137D50CC2847}"/>
                </c:ext>
              </c:extLst>
            </c:dLbl>
            <c:dLbl>
              <c:idx val="17"/>
              <c:tx>
                <c:strRef>
                  <c:f>Harvests!$T$101</c:f>
                  <c:strCache>
                    <c:ptCount val="1"/>
                    <c:pt idx="0">
                      <c:v>5</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{8A785199-B013-4D7D-AA55-87305D691DD2}</c15:txfldGUID>
                      <c15:f>Harvests!$T$101</c15:f>
                      <c15:dlblFieldTableCache>
                        <c:ptCount val="1"/>
                        <c:pt idx="0">
                          <c:v>5</c:v>
                        </c:pt>
                      </c15:dlblFieldTableCache>
                    </c15:dlblFTEntry>
                  </c15:dlblFieldTable>
                  <c15:showDataLabelsRange val="0"/>
                </c:ext>
                <c:ext xmlns:c16="http://schemas.microsoft.com/office/drawing/2014/chart" uri="{C3380CC4-5D6E-409C-BE32-E72D297353CC}">
                  <c16:uniqueId val="{00000013-FE86-484F-BAEE-137D50CC2847}"/>
                </c:ext>
              </c:extLst>
            </c:dLbl>
            <c:dLbl>
              <c:idx val="18"/>
              <c:tx>
                <c:strRef>
                  <c:f>Harvests!$T$102</c:f>
                  <c:strCache>
                    <c:ptCount val="1"/>
                    <c:pt idx="0">
                      <c:v>15</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{ACF1AE2F-853A-42B2-B547-628101C75A97}</c15:txfldGUID>
                      <c15:f>Harvests!$T$102</c15:f>
                      <c15:dlblFieldTableCache>
                        <c:ptCount val="1"/>
                        <c:pt idx="0">
                          <c:v>15</c:v>
                        </c:pt>
                      </c15:dlblFieldTableCache>
                    </c15:dlblFTEntry>
                  </c15:dlblFieldTable>
                  <c15:showDataLabelsRange val="0"/>
                </c:ext>
                <c:ext xmlns:c16="http://schemas.microsoft.com/office/drawing/2014/chart" uri="{C3380CC4-5D6E-409C-BE32-E72D297353CC}">
                  <c16:uniqueId val="{00000014-FE86-484F-BAEE-137D50CC2847}"/>
                </c:ext>
              </c:extLst>
            </c:dLbl>
            <c:dLbl>
              <c:idx val="19"/>
              <c:tx>
                <c:strRef>
                  <c:f>Harvests!$T$103</c:f>
                  <c:strCache>
                    <c:ptCount val="1"/>
                    <c:pt idx="0">
                      <c:v>10</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{5B67C6F0-14E3-4B4A-A749-176DC9DA0FA3}</c15:txfldGUID>
                      <c15:f>Harvests!$T$103</c15:f>
                      <c15:dlblFieldTableCache>
                        <c:ptCount val="1"/>
                        <c:pt idx="0">
                          <c:v>10</c:v>
                        </c:pt>
                      </c15:dlblFieldTableCache>
                    </c15:dlblFTEntry>
                  </c15:dlblFieldTable>
                  <c15:showDataLabelsRange val="0"/>
                </c:ext>
                <c:ext xmlns:c16="http://schemas.microsoft.com/office/drawing/2014/chart" uri="{C3380CC4-5D6E-409C-BE32-E72D297353CC}">
                  <c16:uniqueId val="{00000015-FE86-484F-BAEE-137D50CC2847}"/>
                </c:ext>
              </c:extLst>
            </c:dLbl>
            <c:dLbl>
              <c:idx val="20"/>
              <c:tx>
                <c:strRef>
                  <c:f>Harvests!$T$104</c:f>
                  <c:strCache>
                    <c:ptCount val="1"/>
                    <c:pt idx="0">
                      <c:v>12</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{C260100B-F00F-4FF8-B62E-BD5DA8CD7FD7}</c15:txfldGUID>
                      <c15:f>Harvests!$T$104</c15:f>
                      <c15:dlblFieldTableCache>
                        <c:ptCount val="1"/>
                        <c:pt idx="0">
                          <c:v>12</c:v>
                        </c:pt>
                      </c15:dlblFieldTableCache>
                    </c15:dlblFTEntry>
                  </c15:dlblFieldTable>
                  <c15:showDataLabelsRange val="0"/>
                </c:ext>
                <c:ext xmlns:c16="http://schemas.microsoft.com/office/drawing/2014/chart" uri="{C3380CC4-5D6E-409C-BE32-E72D297353CC}">
                  <c16:uniqueId val="{00000016-FE86-484F-BAEE-137D50CC2847}"/>
                </c:ext>
              </c:extLst>
            </c:dLbl>
            <c:dLbl>
              <c:idx val="21"/>
              <c:tx>
                <c:strRef>
                  <c:f>Harvests!$T$105</c:f>
                  <c:strCache>
                    <c:ptCount val="1"/>
                    <c:pt idx="0">
                      <c:v>11</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{E56DC967-1D0E-4300-9C32-3E819EBB74F4}</c15:txfldGUID>
                      <c15:f>Harvests!$T$105</c15:f>
                      <c15:dlblFieldTableCache>
                        <c:ptCount val="1"/>
                        <c:pt idx="0">
                          <c:v>11</c:v>
                        </c:pt>
                      </c15:dlblFieldTableCache>
                    </c15:dlblFTEntry>
                  </c15:dlblFieldTable>
                  <c15:showDataLabelsRange val="0"/>
                </c:ext>
                <c:ext xmlns:c16="http://schemas.microsoft.com/office/drawing/2014/chart" uri="{C3380CC4-5D6E-409C-BE32-E72D297353CC}">
                  <c16:uniqueId val="{00000017-FE86-484F-BAEE-137D50CC2847}"/>
                </c:ext>
              </c:extLst>
            </c:dLbl>
            <c:dLbl>
              <c:idx val="22"/>
              <c:tx>
                <c:strRef>
                  <c:f>Harvests!$T$106</c:f>
                  <c:strCache>
                    <c:ptCount val="1"/>
                    <c:pt idx="0">
                      <c:v>24</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{1FE74735-52E1-4AC8-B03B-4A09A192E9B4}</c15:txfldGUID>
                      <c15:f>Harvests!$T$106</c15:f>
                      <c15:dlblFieldTableCache>
                        <c:ptCount val="1"/>
                        <c:pt idx="0">
                          <c:v>24</c:v>
                        </c:pt>
                      </c15:dlblFieldTableCache>
                    </c15:dlblFTEntry>
                  </c15:dlblFieldTable>
                  <c15:showDataLabelsRange val="0"/>
                </c:ext>
                <c:ext xmlns:c16="http://schemas.microsoft.com/office/drawing/2014/chart" uri="{C3380CC4-5D6E-409C-BE32-E72D297353CC}">
                  <c16:uniqueId val="{00000018-FE86-484F-BAEE-137D50CC2847}"/>
                </c:ext>
              </c:extLst>
            </c:dLbl>
            <c:dLbl>
              <c:idx val="23"/>
              <c:tx>
                <c:strRef>
                  <c:f>Harvests!$T$107</c:f>
                  <c:strCache>
                    <c:ptCount val="1"/>
                    <c:pt idx="0">
                      <c:v>23</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{EC0806A6-B90D-44F0-AA91-CE4EB2077909}</c15:txfldGUID>
                      <c15:f>Harvests!$T$107</c15:f>
                      <c15:dlblFieldTableCache>
                        <c:ptCount val="1"/>
                        <c:pt idx="0">
                          <c:v>23</c:v>
                        </c:pt>
                      </c15:dlblFieldTableCache>
                    </c15:dlblFTEntry>
                  </c15:dlblFieldTable>
                  <c15:showDataLabelsRange val="0"/>
                </c:ext>
                <c:ext xmlns:c16="http://schemas.microsoft.com/office/drawing/2014/chart" uri="{C3380CC4-5D6E-409C-BE32-E72D297353CC}">
                  <c16:uniqueId val="{00000019-FE86-484F-BAEE-137D50CC2847}"/>
                </c:ext>
              </c:extLst>
            </c:dLbl>
            <c:dLbl>
              <c:idx val="24"/>
              <c:tx>
                <c:strRef>
                  <c:f>Harvests!$T$108</c:f>
                  <c:strCache>
                    <c:ptCount val="1"/>
                    <c:pt idx="0">
                      <c:v>31</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{EA47FB41-AA6C-43FC-9E11-4F29AEADEE6C}</c15:txfldGUID>
                      <c15:f>Harvests!$T$108</c15:f>
                      <c15:dlblFieldTableCache>
                        <c:ptCount val="1"/>
                        <c:pt idx="0">
                          <c:v>31</c:v>
                        </c:pt>
                      </c15:dlblFieldTableCache>
                    </c15:dlblFTEntry>
                  </c15:dlblFieldTable>
                  <c15:showDataLabelsRange val="0"/>
                </c:ext>
                <c:ext xmlns:c16="http://schemas.microsoft.com/office/drawing/2014/chart" uri="{C3380CC4-5D6E-409C-BE32-E72D297353CC}">
                  <c16:uniqueId val="{0000001A-FE86-484F-BAEE-137D50CC2847}"/>
                </c:ext>
              </c:extLst>
            </c:dLbl>
            <c:dLbl>
              <c:idx val="25"/>
              <c:tx>
                <c:strRef>
                  <c:f>Harvests!$T$109</c:f>
                  <c:strCache>
                    <c:ptCount val="1"/>
                    <c:pt idx="0">
                      <c:v>20</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{F41E97F7-2F23-4AF0-9A7A-3F7B1850604B}</c15:txfldGUID>
                      <c15:f>Harvests!$T$109</c15:f>
                      <c15:dlblFieldTableCache>
                        <c:ptCount val="1"/>
                        <c:pt idx="0">
                          <c:v>20</c:v>
                        </c:pt>
                      </c15:dlblFieldTableCache>
                    </c15:dlblFTEntry>
                  </c15:dlblFieldTable>
                  <c15:showDataLabelsRange val="0"/>
                </c:ext>
                <c:ext xmlns:c16="http://schemas.microsoft.com/office/drawing/2014/chart" uri="{C3380CC4-5D6E-409C-BE32-E72D297353CC}">
                  <c16:uniqueId val="{0000001B-FE86-484F-BAEE-137D50CC2847}"/>
                </c:ext>
              </c:extLst>
            </c:dLbl>
            <c:dLbl>
              <c:idx val="26"/>
              <c:tx>
                <c:strRef>
                  <c:f>Harvests!$T$110</c:f>
                  <c:strCache>
                    <c:ptCount val="1"/>
                    <c:pt idx="0">
                      <c:v>13</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{A152F2D0-3106-4304-9651-E598453B1BCC}</c15:txfldGUID>
                      <c15:f>Harvests!$T$110</c15:f>
                      <c15:dlblFieldTableCache>
                        <c:ptCount val="1"/>
                        <c:pt idx="0">
                          <c:v>13</c:v>
                        </c:pt>
                      </c15:dlblFieldTableCache>
                    </c15:dlblFTEntry>
                  </c15:dlblFieldTable>
                  <c15:showDataLabelsRange val="0"/>
                </c:ext>
                <c:ext xmlns:c16="http://schemas.microsoft.com/office/drawing/2014/chart" uri="{C3380CC4-5D6E-409C-BE32-E72D297353CC}">
                  <c16:uniqueId val="{0000001C-FE86-484F-BAEE-137D50CC2847}"/>
                </c:ext>
              </c:extLst>
            </c:dLbl>
            <c:dLbl>
              <c:idx val="27"/>
              <c:tx>
                <c:strRef>
                  <c:f>Harvests!$T$111</c:f>
                  <c:strCache>
                    <c:ptCount val="1"/>
                    <c:pt idx="0">
                      <c:v>26</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{25C4C4FF-C1CE-4080-B3C2-C5EC6EA5AD99}</c15:txfldGUID>
                      <c15:f>Harvests!$T$111</c15:f>
                      <c15:dlblFieldTableCache>
                        <c:ptCount val="1"/>
                        <c:pt idx="0">
                          <c:v>26</c:v>
                        </c:pt>
                      </c15:dlblFieldTableCache>
                    </c15:dlblFTEntry>
                  </c15:dlblFieldTable>
                  <c15:showDataLabelsRange val="0"/>
                </c:ext>
                <c:ext xmlns:c16="http://schemas.microsoft.com/office/drawing/2014/chart" uri="{C3380CC4-5D6E-409C-BE32-E72D297353CC}">
                  <c16:uniqueId val="{0000001D-FE86-484F-BAEE-137D50CC2847}"/>
                </c:ext>
              </c:extLst>
            </c:dLbl>
            <c:dLbl>
              <c:idx val="28"/>
              <c:tx>
                <c:strRef>
                  <c:f>Harvests!$T$112</c:f>
                  <c:strCache>
                    <c:ptCount val="1"/>
                    <c:pt idx="0">
                      <c:v>9</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{B3585F41-CAA3-4CD5-A8A2-951856D07162}</c15:txfldGUID>
                      <c15:f>Harvests!$T$112</c15:f>
                      <c15:dlblFieldTableCache>
                        <c:ptCount val="1"/>
                        <c:pt idx="0">
                          <c:v>9</c:v>
                        </c:pt>
                      </c15:dlblFieldTableCache>
                    </c15:dlblFTEntry>
                  </c15:dlblFieldTable>
                  <c15:showDataLabelsRange val="0"/>
                </c:ext>
                <c:ext xmlns:c16="http://schemas.microsoft.com/office/drawing/2014/chart" uri="{C3380CC4-5D6E-409C-BE32-E72D297353CC}">
                  <c16:uniqueId val="{0000001E-FE86-484F-BAEE-137D50CC2847}"/>
                </c:ext>
              </c:extLst>
            </c:dLbl>
            <c:dLbl>
              <c:idx val="29"/>
              <c:tx>
                <c:strRef>
                  <c:f>Harvests!$T$113</c:f>
                  <c:strCache>
                    <c:ptCount val="1"/>
                    <c:pt idx="0">
                      <c:v>2</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{152F8E88-CAF7-4B4D-9FA5-60A4663148AA}</c15:txfldGUID>
                      <c15:f>Harvests!$T$113</c15:f>
                      <c15:dlblFieldTableCache>
                        <c:ptCount val="1"/>
                        <c:pt idx="0">
                          <c:v>2</c:v>
                        </c:pt>
                      </c15:dlblFieldTableCache>
                    </c15:dlblFTEntry>
                  </c15:dlblFieldTable>
                  <c15:showDataLabelsRange val="0"/>
                </c:ext>
                <c:ext xmlns:c16="http://schemas.microsoft.com/office/drawing/2014/chart" uri="{C3380CC4-5D6E-409C-BE32-E72D297353CC}">
                  <c16:uniqueId val="{0000001F-FE86-484F-BAEE-137D50CC2847}"/>
                </c:ext>
              </c:extLst>
            </c:dLbl>
            <c:dLbl>
              <c:idx val="30"/>
              <c:tx>
                <c:strRef>
                  <c:f>Harvests!$T$114</c:f>
                  <c:strCache>
                    <c:ptCount val="1"/>
                    <c:pt idx="0">
                      <c:v>4</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{E97EEF9B-AE38-4575-B75F-36EA77A59A62}</c15:txfldGUID>
                      <c15:f>Harvests!$T$114</c15:f>
                      <c15:dlblFieldTableCache>
                        <c:ptCount val="1"/>
                        <c:pt idx="0">
                          <c:v>4</c:v>
                        </c:pt>
                      </c15:dlblFieldTableCache>
                    </c15:dlblFTEntry>
                  </c15:dlblFieldTable>
                  <c15:showDataLabelsRange val="0"/>
                </c:ext>
                <c:ext xmlns:c16="http://schemas.microsoft.com/office/drawing/2014/chart" uri="{C3380CC4-5D6E-409C-BE32-E72D297353CC}">
                  <c16:uniqueId val="{00000020-FE86-484F-BAEE-137D50CC2847}"/>
                </c:ext>
              </c:extLst>
            </c:dLbl>
            <c:dLbl>
              <c:idx val="31"/>
              <c:tx>
                <c:strRef>
                  <c:f>Harvests!$T$115</c:f>
                  <c:strCache>
                    <c:ptCount val="1"/>
                    <c:pt idx="0">
                      <c:v>6</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{27433BFA-479C-4CDF-9BE0-437670D0DE22}</c15:txfldGUID>
                      <c15:f>Harvests!$T$115</c15:f>
                      <c15:dlblFieldTableCache>
                        <c:ptCount val="1"/>
                        <c:pt idx="0">
                          <c:v>6</c:v>
                        </c:pt>
                      </c15:dlblFieldTableCache>
                    </c15:dlblFTEntry>
                  </c15:dlblFieldTable>
                  <c15:showDataLabelsRange val="0"/>
                </c:ext>
                <c:ext xmlns:c16="http://schemas.microsoft.com/office/drawing/2014/chart" uri="{C3380CC4-5D6E-409C-BE32-E72D297353CC}">
                  <c16:uniqueId val="{00000021-FE86-484F-BAEE-137D50CC2847}"/>
                </c:ext>
              </c:extLst>
            </c:dLbl>
            <c:dLbl>
              <c:idx val="32"/>
              <c:tx>
                <c:strRef>
                  <c:f>Harvests!$T$116</c:f>
                  <c:strCache>
                    <c:ptCount val="1"/>
                    <c:pt idx="0">
                      <c:v>1</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{1CC884F1-FD7A-4BE9-A559-C66A54B6EFA5}</c15:txfldGUID>
                      <c15:f>Harvests!$T$116</c15:f>
                      <c15:dlblFieldTableCache>
                        <c:ptCount val="1"/>
                        <c:pt idx="0">
                          <c:v>1</c:v>
                        </c:pt>
                      </c15:dlblFieldTableCache>
                    </c15:dlblFTEntry>
                  </c15:dlblFieldTable>
                  <c15:showDataLabelsRange val="0"/>
                </c:ext>
                <c:ext xmlns:c16="http://schemas.microsoft.com/office/drawing/2014/chart" uri="{C3380CC4-5D6E-409C-BE32-E72D297353CC}">
                  <c16:uniqueId val="{00000022-FE86-484F-BAEE-137D50CC2847}"/>
                </c:ext>
              </c:extLst>
            </c:dLbl>
            <c:dLbl>
              <c:idx val="33"/>
              <c:tx>
                <c:strRef>
                  <c:f>Harvests!$T$117</c:f>
                  <c:strCache>
                    <c:ptCount val="1"/>
                    <c:pt idx="0">
                      <c:v>3</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{7FCD79A7-1A4D-418D-95E8-7B7AFAE0BB98}</c15:txfldGUID>
                      <c15:f>Harvests!$T$117</c15:f>
                      <c15:dlblFieldTableCache>
                        <c:ptCount val="1"/>
                        <c:pt idx="0">
                          <c:v>3</c:v>
                        </c:pt>
                      </c15:dlblFieldTableCache>
                    </c15:dlblFTEntry>
                  </c15:dlblFieldTable>
                  <c15:showDataLabelsRange val="0"/>
                </c:ext>
                <c:ext xmlns:c16="http://schemas.microsoft.com/office/drawing/2014/chart" uri="{C3380CC4-5D6E-409C-BE32-E72D297353CC}">
                  <c16:uniqueId val="{00000023-FE86-484F-BAEE-137D50CC2847}"/>
                </c:ext>
              </c:extLst>
            </c:dLbl>
            <c:dLbl>
              <c:idx val="34"/>
              <c:tx>
                <c:strRef>
                  <c:f>Harvests!$T$118</c:f>
                  <c:strCache>
                    <c:ptCount val="1"/>
                    <c:pt idx="0">
                      <c:v>22</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{C366993F-CC48-4305-97A5-C6051A190C1E}</c15:txfldGUID>
                      <c15:f>Harvests!$T$118</c15:f>
                      <c15:dlblFieldTableCache>
                        <c:ptCount val="1"/>
                        <c:pt idx="0">
                          <c:v>22</c:v>
                        </c:pt>
                      </c15:dlblFieldTableCache>
                    </c15:dlblFTEntry>
                  </c15:dlblFieldTable>
                  <c15:showDataLabelsRange val="0"/>
                </c:ext>
                <c:ext xmlns:c16="http://schemas.microsoft.com/office/drawing/2014/chart" uri="{C3380CC4-5D6E-409C-BE32-E72D297353CC}">
                  <c16:uniqueId val="{00000024-FE86-484F-BAEE-137D50CC2847}"/>
                </c:ext>
              </c:extLst>
            </c:dLbl>
            <c:dLbl>
              <c:idx val="35"/>
              <c:tx>
                <c:strRef>
                  <c:f>Harvests!$T$119</c:f>
                  <c:strCache>
                    <c:ptCount val="1"/>
                    <c:pt idx="0">
                      <c:v>14</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{DE7ACEC8-4970-40EB-8A66-ED715A818EC1}</c15:txfldGUID>
                      <c15:f>Harvests!$T$119</c15:f>
                      <c15:dlblFieldTableCache>
                        <c:ptCount val="1"/>
                        <c:pt idx="0">
                          <c:v>14</c:v>
                        </c:pt>
                      </c15:dlblFieldTableCache>
                    </c15:dlblFTEntry>
                  </c15:dlblFieldTable>
                  <c15:showDataLabelsRange val="0"/>
                </c:ext>
                <c:ext xmlns:c16="http://schemas.microsoft.com/office/drawing/2014/chart" uri="{C3380CC4-5D6E-409C-BE32-E72D297353CC}">
                  <c16:uniqueId val="{00000025-FE86-484F-BAEE-137D50CC2847}"/>
                </c:ext>
              </c:extLst>
            </c:dLbl>
            <c:dLbl>
              <c:idx val="36"/>
              <c:tx>
                <c:strRef>
                  <c:f>Harvests!$T$120</c:f>
                  <c:strCache>
                    <c:ptCount val="1"/>
                    <c:pt idx="0">
                      <c:v>17</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{DA66566A-E004-42C9-B7A0-3ADA7A923D77}</c15:txfldGUID>
                      <c15:f>Harvests!$T$120</c15:f>
                      <c15:dlblFieldTableCache>
                        <c:ptCount val="1"/>
                        <c:pt idx="0">
                          <c:v>17</c:v>
                        </c:pt>
                      </c15:dlblFieldTableCache>
                    </c15:dlblFTEntry>
                  </c15:dlblFieldTable>
                  <c15:showDataLabelsRange val="0"/>
                </c:ext>
                <c:ext xmlns:c16="http://schemas.microsoft.com/office/drawing/2014/chart" uri="{C3380CC4-5D6E-409C-BE32-E72D297353CC}">
                  <c16:uniqueId val="{00000026-FE86-484F-BAEE-137D50CC2847}"/>
                </c:ext>
              </c:extLst>
            </c:dLbl>
            <c:dLbl>
              <c:idx val="37"/>
              <c:tx>
                <c:strRef>
                  <c:f>Harvests!$T$121</c:f>
                  <c:strCache>
                    <c:ptCount val="1"/>
                    <c:pt idx="0">
                      <c:v>7</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{B61189F3-4903-4DA3-A138-ABAA04541C68}</c15:txfldGUID>
                      <c15:f>Harvests!$T$121</c15:f>
                      <c15:dlblFieldTableCache>
                        <c:ptCount val="1"/>
                        <c:pt idx="0">
                          <c:v>7</c:v>
                        </c:pt>
                      </c15:dlblFieldTableCache>
                    </c15:dlblFTEntry>
                  </c15:dlblFieldTable>
                  <c15:showDataLabelsRange val="0"/>
                </c:ext>
                <c:ext xmlns:c16="http://schemas.microsoft.com/office/drawing/2014/chart" uri="{C3380CC4-5D6E-409C-BE32-E72D297353CC}">
                  <c16:uniqueId val="{00000027-FE86-484F-BAEE-137D50CC2847}"/>
                </c:ext>
              </c:extLst>
            </c:dLbl>
            <c:dLbl>
              <c:idx val="38"/>
              <c:tx>
                <c:strRef>
                  <c:f>Harvests!$T$122</c:f>
                  <c:strCache>
                    <c:ptCount val="1"/>
                    <c:pt idx="0">
                      <c:v>18</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{CF3EBCF7-E10A-48AA-AB2C-75551AAC3568}</c15:txfldGUID>
                      <c15:f>Harvests!$T$122</c15:f>
                      <c15:dlblFieldTableCache>
                        <c:ptCount val="1"/>
                        <c:pt idx="0">
                          <c:v>18</c:v>
                        </c:pt>
                      </c15:dlblFieldTableCache>
                    </c15:dlblFTEntry>
                  </c15:dlblFieldTable>
                  <c15:showDataLabelsRange val="0"/>
                </c:ext>
                <c:ext xmlns:c16="http://schemas.microsoft.com/office/drawing/2014/chart" uri="{C3380CC4-5D6E-409C-BE32-E72D297353CC}">
                  <c16:uniqueId val="{00000028-FE86-484F-BAEE-137D50CC2847}"/>
                </c:ext>
              </c:extLst>
            </c:dLbl>
            <c:dLbl>
              <c:idx val="39"/>
              <c:tx>
                <c:strRef>
                  <c:f>Harvests!$T$123</c:f>
                  <c:strCache>
                    <c:ptCount val="1"/>
                    <c:pt idx="0">
                      <c:v>19</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{FD4736AA-026D-4189-A81B-8C0AA6AAFFCB}</c15:txfldGUID>
                      <c15:f>Harvests!$T$123</c15:f>
                      <c15:dlblFieldTableCache>
                        <c:ptCount val="1"/>
                        <c:pt idx="0">
                          <c:v>19</c:v>
                        </c:pt>
                      </c15:dlblFieldTableCache>
                    </c15:dlblFTEntry>
                  </c15:dlblFieldTable>
                  <c15:showDataLabelsRange val="0"/>
                </c:ext>
                <c:ext xmlns:c16="http://schemas.microsoft.com/office/drawing/2014/chart" uri="{C3380CC4-5D6E-409C-BE32-E72D297353CC}">
                  <c16:uniqueId val="{00000029-FE86-484F-BAEE-137D50CC2847}"/>
                </c:ext>
              </c:extLst>
            </c:dLbl>
            <c:dLbl>
              <c:idx val="40"/>
              <c:tx>
                <c:strRef>
                  <c:f>Harvests!$T$124</c:f>
                  <c:strCache>
                    <c:ptCount val="1"/>
                    <c:pt idx="0">
                      <c:v>25</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{2A0BB62E-BD08-435C-951D-7989570D816F}</c15:txfldGUID>
                      <c15:f>Harvests!$T$124</c15:f>
                      <c15:dlblFieldTableCache>
                        <c:ptCount val="1"/>
                        <c:pt idx="0">
                          <c:v>25</c:v>
                        </c:pt>
                      </c15:dlblFieldTableCache>
                    </c15:dlblFTEntry>
                  </c15:dlblFieldTable>
                  <c15:showDataLabelsRange val="0"/>
                </c:ext>
                <c:ext xmlns:c16="http://schemas.microsoft.com/office/drawing/2014/chart" uri="{C3380CC4-5D6E-409C-BE32-E72D297353CC}">
                  <c16:uniqueId val="{0000002A-FE86-484F-BAEE-137D50CC2847}"/>
                </c:ext>
              </c:extLst>
            </c:dLbl>
            <c:dLbl>
              <c:idx val="41"/>
              <c:tx>
                <c:strRef>
                  <c:f>Harvests!$T$125</c:f>
                  <c:strCache>
                    <c:ptCount val="1"/>
                    <c:pt idx="0">
                      <c:v>16</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{73565D94-5B7B-4887-84B0-B809270A55E4}</c15:txfldGUID>
                      <c15:f>Harvests!$T$125</c15:f>
                      <c15:dlblFieldTableCache>
                        <c:ptCount val="1"/>
                        <c:pt idx="0">
                          <c:v>16</c:v>
                        </c:pt>
                      </c15:dlblFieldTableCache>
                    </c15:dlblFTEntry>
                  </c15:dlblFieldTable>
                  <c15:showDataLabelsRange val="0"/>
                </c:ext>
                <c:ext xmlns:c16="http://schemas.microsoft.com/office/drawing/2014/chart" uri="{C3380CC4-5D6E-409C-BE32-E72D297353CC}">
                  <c16:uniqueId val="{0000002B-FE86-484F-BAEE-137D50CC2847}"/>
                </c:ext>
              </c:extLst>
            </c:dLbl>
            <c:dLbl>
              <c:idx val="42"/>
              <c:tx>
                <c:strRef>
                  <c:f>Harvests!$T$126</c:f>
                  <c:strCache>
                    <c:ptCount val="1"/>
                    <c:pt idx="0">
                      <c:v>43</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{09A76B6F-8799-4665-B07D-2E241690782C}</c15:txfldGUID>
                      <c15:f>Harvests!$T$126</c15:f>
                      <c15:dlblFieldTableCache>
                        <c:ptCount val="1"/>
                        <c:pt idx="0">
                          <c:v>43</c:v>
                        </c:pt>
                      </c15:dlblFieldTableCache>
                    </c15:dlblFTEntry>
                  </c15:dlblFieldTable>
                  <c15:showDataLabelsRange val="0"/>
                </c:ext>
                <c:ext xmlns:c16="http://schemas.microsoft.com/office/drawing/2014/chart" uri="{C3380CC4-5D6E-409C-BE32-E72D297353CC}">
                  <c16:uniqueId val="{0000002C-FE86-484F-BAEE-137D50CC2847}"/>
                </c:ext>
              </c:extLst>
            </c:dLbl>
            <c:dLbl>
              <c:idx val="43"/>
              <c:tx>
                <c:strRef>
                  <c:f>Harvests!$T$127</c:f>
                  <c:strCache>
                    <c:ptCount val="1"/>
                    <c:pt idx="0">
                      <c:v>48</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{816D1AE5-03E9-415D-8ED4-3EA1FA2DF5F2}</c15:txfldGUID>
                      <c15:f>Harvests!$T$127</c15:f>
                      <c15:dlblFieldTableCache>
                        <c:ptCount val="1"/>
                        <c:pt idx="0">
                          <c:v>48</c:v>
                        </c:pt>
                      </c15:dlblFieldTableCache>
                    </c15:dlblFTEntry>
                  </c15:dlblFieldTable>
                  <c15:showDataLabelsRange val="0"/>
                </c:ext>
                <c:ext xmlns:c16="http://schemas.microsoft.com/office/drawing/2014/chart" uri="{C3380CC4-5D6E-409C-BE32-E72D297353CC}">
                  <c16:uniqueId val="{0000002D-FE86-484F-BAEE-137D50CC2847}"/>
                </c:ext>
              </c:extLst>
            </c:dLbl>
            <c:dLbl>
              <c:idx val="44"/>
              <c:tx>
                <c:strRef>
                  <c:f>Harvests!$T$128</c:f>
                  <c:strCache>
                    <c:ptCount val="1"/>
                    <c:pt idx="0">
                      <c:v>47</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{27969F11-A101-4D0E-8A96-AB560B34F9B7}</c15:txfldGUID>
                      <c15:f>Harvests!$T$128</c15:f>
                      <c15:dlblFieldTableCache>
                        <c:ptCount val="1"/>
                        <c:pt idx="0">
                          <c:v>47</c:v>
                        </c:pt>
                      </c15:dlblFieldTableCache>
                    </c15:dlblFTEntry>
                  </c15:dlblFieldTable>
                  <c15:showDataLabelsRange val="0"/>
                </c:ext>
                <c:ext xmlns:c16="http://schemas.microsoft.com/office/drawing/2014/chart" uri="{C3380CC4-5D6E-409C-BE32-E72D297353CC}">
                  <c16:uniqueId val="{0000002E-FE86-484F-BAEE-137D50CC2847}"/>
                </c:ext>
              </c:extLst>
            </c:dLbl>
            <c:dLbl>
              <c:idx val="45"/>
              <c:tx>
                <c:strRef>
                  <c:f>Harvests!$T$129</c:f>
                  <c:strCache>
                    <c:ptCount val="1"/>
                    <c:pt idx="0">
                      <c:v>37</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{CDA0CAB9-2CE3-4EA9-81E6-5CD3196337E2}</c15:txfldGUID>
                      <c15:f>Harvests!$T$129</c15:f>
                      <c15:dlblFieldTableCache>
                        <c:ptCount val="1"/>
                        <c:pt idx="0">
                          <c:v>37</c:v>
                        </c:pt>
                      </c15:dlblFieldTableCache>
                    </c15:dlblFTEntry>
                  </c15:dlblFieldTable>
                  <c15:showDataLabelsRange val="0"/>
                </c:ext>
                <c:ext xmlns:c16="http://schemas.microsoft.com/office/drawing/2014/chart" uri="{C3380CC4-5D6E-409C-BE32-E72D297353CC}">
                  <c16:uniqueId val="{0000002F-FE86-484F-BAEE-137D50CC2847}"/>
                </c:ext>
              </c:extLst>
            </c:dLbl>
            <c:dLbl>
              <c:idx val="46"/>
              <c:tx>
                <c:strRef>
                  <c:f>Harvests!$T$130</c:f>
                  <c:strCache>
                    <c:ptCount val="1"/>
                    <c:pt idx="0">
                      <c:v>42</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{B082070E-D422-4F6C-917B-F18F5E66A10A}</c15:txfldGUID>
                      <c15:f>Harvests!$T$130</c15:f>
                      <c15:dlblFieldTableCache>
                        <c:ptCount val="1"/>
                        <c:pt idx="0">
                          <c:v>42</c:v>
                        </c:pt>
                      </c15:dlblFieldTableCache>
                    </c15:dlblFTEntry>
                  </c15:dlblFieldTable>
                  <c15:showDataLabelsRange val="0"/>
                </c:ext>
                <c:ext xmlns:c16="http://schemas.microsoft.com/office/drawing/2014/chart" uri="{C3380CC4-5D6E-409C-BE32-E72D297353CC}">
                  <c16:uniqueId val="{00000030-FE86-484F-BAEE-137D50CC2847}"/>
                </c:ext>
              </c:extLst>
            </c:dLbl>
            <c:dLbl>
              <c:idx val="47"/>
              <c:tx>
                <c:strRef>
                  <c:f>Harvests!$T$131</c:f>
                  <c:strCache>
                    <c:ptCount val="1"/>
                    <c:pt idx="0">
                      <c:v>50</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{9960D2E7-2DE9-46B4-AF1A-0FD2AB39F0E2}</c15:txfldGUID>
                      <c15:f>Harvests!$T$131</c15:f>
                      <c15:dlblFieldTableCache>
                        <c:ptCount val="1"/>
                        <c:pt idx="0">
                          <c:v>50</c:v>
                        </c:pt>
                      </c15:dlblFieldTableCache>
                    </c15:dlblFTEntry>
                  </c15:dlblFieldTable>
                  <c15:showDataLabelsRange val="0"/>
                </c:ext>
                <c:ext xmlns:c16="http://schemas.microsoft.com/office/drawing/2014/chart" uri="{C3380CC4-5D6E-409C-BE32-E72D297353CC}">
                  <c16:uniqueId val="{00000031-FE86-484F-BAEE-137D50CC2847}"/>
                </c:ext>
              </c:extLst>
            </c:dLbl>
            <c:dLbl>
              <c:idx val="48"/>
              <c:tx>
                <c:strRef>
                  <c:f>Harvests!$T$132</c:f>
                  <c:strCache>
                    <c:ptCount val="1"/>
                    <c:pt idx="0">
                      <c:v>46</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{DB414B2D-9585-4D8B-AAF9-2BBA48453669}</c15:txfldGUID>
                      <c15:f>Harvests!$T$132</c15:f>
                      <c15:dlblFieldTableCache>
                        <c:ptCount val="1"/>
                        <c:pt idx="0">
                          <c:v>46</c:v>
                        </c:pt>
                      </c15:dlblFieldTableCache>
                    </c15:dlblFTEntry>
                  </c15:dlblFieldTable>
                  <c15:showDataLabelsRange val="0"/>
                </c:ext>
                <c:ext xmlns:c16="http://schemas.microsoft.com/office/drawing/2014/chart" uri="{C3380CC4-5D6E-409C-BE32-E72D297353CC}">
                  <c16:uniqueId val="{00000032-FE86-484F-BAEE-137D50CC2847}"/>
                </c:ext>
              </c:extLst>
            </c:dLbl>
            <c:dLbl>
              <c:idx val="49"/>
              <c:tx>
                <c:strRef>
                  <c:f>Harvests!$T$133</c:f>
                  <c:strCache>
                    <c:ptCount val="1"/>
                    <c:pt idx="0">
                      <c:v>28</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{90BC3DC1-6A12-4D14-B848-B3689FF5D2EA}</c15:txfldGUID>
                      <c15:f>Harvests!$T$133</c15:f>
                      <c15:dlblFieldTableCache>
                        <c:ptCount val="1"/>
                        <c:pt idx="0">
                          <c:v>28</c:v>
                        </c:pt>
                      </c15:dlblFieldTableCache>
                    </c15:dlblFTEntry>
                  </c15:dlblFieldTable>
                  <c15:showDataLabelsRange val="0"/>
                </c:ext>
                <c:ext xmlns:c16="http://schemas.microsoft.com/office/drawing/2014/chart" uri="{C3380CC4-5D6E-409C-BE32-E72D297353CC}">
                  <c16:uniqueId val="{00000001-FE86-484F-BAEE-137D50CC2847}"/>
                </c:ext>
              </c:extLst>
            </c:dLbl>
            <c:dLbl>
              <c:idx val="50"/>
              <c:tx>
                <c:strRef>
                  <c:f>Harvests!$T$134</c:f>
                  <c:strCache>
                    <c:ptCount val="1"/>
                    <c:pt idx="0">
                      <c:v>41</c:v>
                    </c:pt>
                  </c:strCache>
                </c:strRef>
              </c:tx>
              <c:spPr/>
              <c:txPr>
                <a:bodyPr/>
                <a:lstStyle/>
                <a:p>
                  <a:pPr>
                    <a:defRPr sz="1000" b="0" i="0" u="none" strike="noStrike">
                      <a:latin typeface="Times New Roman"/>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dlblFTEntry>
                      <c15:txfldGUID>{2752094A-B8A4-45A5-9539-9A81AD2B1EA5}</c15:txfldGUID>
                      <c15:f>Harvests!$T$134</c15:f>
                      <c15:dlblFieldTableCache>
                        <c:ptCount val="1"/>
                        <c:pt idx="0">
                          <c:v>41</c:v>
                        </c:pt>
                      </c15:dlblFieldTableCache>
                    </c15:dlblFTEntry>
                  </c15:dlblFieldTable>
                  <c15:showDataLabelsRange val="0"/>
                </c:ext>
                <c:ext xmlns:c16="http://schemas.microsoft.com/office/drawing/2014/chart" uri="{C3380CC4-5D6E-409C-BE32-E72D297353CC}">
                  <c16:uniqueId val="{00000033-FE86-484F-BAEE-137D50CC284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Harvests!$A$84:$A$134</c:f>
              <c:numCache>
                <c:formatCode>General</c:formatCode>
                <c:ptCount val="5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numCache>
            </c:numRef>
          </c:cat>
          <c:val>
            <c:numRef>
              <c:f>Harvests!$D$84:$D$134</c:f>
              <c:numCache>
                <c:formatCode>#,##0</c:formatCode>
                <c:ptCount val="51"/>
                <c:pt idx="0">
                  <c:v>11062</c:v>
                </c:pt>
                <c:pt idx="1">
                  <c:v>10320</c:v>
                </c:pt>
                <c:pt idx="2">
                  <c:v>8970</c:v>
                </c:pt>
                <c:pt idx="3">
                  <c:v>14343</c:v>
                </c:pt>
                <c:pt idx="4">
                  <c:v>19372</c:v>
                </c:pt>
                <c:pt idx="5">
                  <c:v>16591</c:v>
                </c:pt>
                <c:pt idx="6">
                  <c:v>22357</c:v>
                </c:pt>
                <c:pt idx="7">
                  <c:v>20200</c:v>
                </c:pt>
                <c:pt idx="8">
                  <c:v>19012</c:v>
                </c:pt>
                <c:pt idx="9">
                  <c:v>19806</c:v>
                </c:pt>
                <c:pt idx="10">
                  <c:v>31707</c:v>
                </c:pt>
                <c:pt idx="11">
                  <c:v>21849</c:v>
                </c:pt>
                <c:pt idx="12">
                  <c:v>29393</c:v>
                </c:pt>
                <c:pt idx="13">
                  <c:v>18063</c:v>
                </c:pt>
                <c:pt idx="14">
                  <c:v>8454</c:v>
                </c:pt>
                <c:pt idx="15">
                  <c:v>20378</c:v>
                </c:pt>
                <c:pt idx="16">
                  <c:v>47616</c:v>
                </c:pt>
                <c:pt idx="17">
                  <c:v>53110</c:v>
                </c:pt>
                <c:pt idx="18">
                  <c:v>39287</c:v>
                </c:pt>
                <c:pt idx="19">
                  <c:v>42429</c:v>
                </c:pt>
                <c:pt idx="20">
                  <c:v>40798</c:v>
                </c:pt>
                <c:pt idx="21">
                  <c:v>41164</c:v>
                </c:pt>
                <c:pt idx="22">
                  <c:v>30760</c:v>
                </c:pt>
                <c:pt idx="23">
                  <c:v>30893</c:v>
                </c:pt>
                <c:pt idx="24">
                  <c:v>21718</c:v>
                </c:pt>
                <c:pt idx="25">
                  <c:v>34815</c:v>
                </c:pt>
                <c:pt idx="26">
                  <c:v>39831</c:v>
                </c:pt>
                <c:pt idx="27">
                  <c:v>29858</c:v>
                </c:pt>
                <c:pt idx="28">
                  <c:v>47182</c:v>
                </c:pt>
                <c:pt idx="29">
                  <c:v>65719</c:v>
                </c:pt>
                <c:pt idx="30">
                  <c:v>55764</c:v>
                </c:pt>
                <c:pt idx="31">
                  <c:v>51296</c:v>
                </c:pt>
                <c:pt idx="32">
                  <c:v>69085</c:v>
                </c:pt>
                <c:pt idx="33">
                  <c:v>62393</c:v>
                </c:pt>
                <c:pt idx="34">
                  <c:v>31278</c:v>
                </c:pt>
                <c:pt idx="35">
                  <c:v>39600</c:v>
                </c:pt>
                <c:pt idx="36">
                  <c:v>38754</c:v>
                </c:pt>
                <c:pt idx="37">
                  <c:v>47925</c:v>
                </c:pt>
                <c:pt idx="38">
                  <c:v>38285</c:v>
                </c:pt>
                <c:pt idx="39">
                  <c:v>34912</c:v>
                </c:pt>
                <c:pt idx="40">
                  <c:v>30519</c:v>
                </c:pt>
                <c:pt idx="41">
                  <c:v>39185</c:v>
                </c:pt>
                <c:pt idx="42">
                  <c:v>11496</c:v>
                </c:pt>
                <c:pt idx="43">
                  <c:v>9472</c:v>
                </c:pt>
                <c:pt idx="44">
                  <c:v>9645</c:v>
                </c:pt>
                <c:pt idx="45">
                  <c:v>18501</c:v>
                </c:pt>
                <c:pt idx="46">
                  <c:v>11765</c:v>
                </c:pt>
                <c:pt idx="47">
                  <c:v>8842</c:v>
                </c:pt>
                <c:pt idx="48">
                  <c:v>10207</c:v>
                </c:pt>
                <c:pt idx="49">
                  <c:v>22519</c:v>
                </c:pt>
                <c:pt idx="50">
                  <c:v>12400</c:v>
                </c:pt>
              </c:numCache>
            </c:numRef>
          </c:val>
          <c:extLst>
            <c:ext xmlns:c16="http://schemas.microsoft.com/office/drawing/2014/chart" uri="{C3380CC4-5D6E-409C-BE32-E72D297353CC}">
              <c16:uniqueId val="{00000034-FE86-484F-BAEE-137D50CC2847}"/>
            </c:ext>
          </c:extLst>
        </c:ser>
        <c:dLbls>
          <c:showLegendKey val="0"/>
          <c:showVal val="0"/>
          <c:showCatName val="0"/>
          <c:showSerName val="0"/>
          <c:showPercent val="0"/>
          <c:showBubbleSize val="0"/>
        </c:dLbls>
        <c:gapWidth val="150"/>
        <c:axId val="198598016"/>
        <c:axId val="198612096"/>
      </c:barChart>
      <c:catAx>
        <c:axId val="198598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nchor="ctr" anchorCtr="1"/>
          <a:lstStyle/>
          <a:p>
            <a:pPr>
              <a:defRPr sz="11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98612096"/>
        <c:crosses val="autoZero"/>
        <c:auto val="0"/>
        <c:lblAlgn val="ctr"/>
        <c:lblOffset val="0"/>
        <c:tickLblSkip val="2"/>
        <c:tickMarkSkip val="1"/>
        <c:noMultiLvlLbl val="0"/>
      </c:catAx>
      <c:valAx>
        <c:axId val="198612096"/>
        <c:scaling>
          <c:orientation val="minMax"/>
          <c:min val="0"/>
        </c:scaling>
        <c:delete val="0"/>
        <c:axPos val="l"/>
        <c:majorGridlines>
          <c:spPr>
            <a:ln w="3175">
              <a:solidFill>
                <a:srgbClr val="C0C0C0"/>
              </a:solidFill>
              <a:prstDash val="sysDash"/>
            </a:ln>
          </c:spPr>
        </c:majorGridlines>
        <c:title>
          <c:tx>
            <c:rich>
              <a:bodyPr/>
              <a:lstStyle/>
              <a:p>
                <a:pPr>
                  <a:defRPr sz="1400" b="1" i="0" u="none" strike="noStrike" baseline="0">
                    <a:solidFill>
                      <a:srgbClr val="000000"/>
                    </a:solidFill>
                    <a:latin typeface="Times New Roman" panose="02020603050405020304" pitchFamily="18" charset="0"/>
                    <a:ea typeface="Arial"/>
                    <a:cs typeface="Times New Roman" panose="02020603050405020304" pitchFamily="18" charset="0"/>
                  </a:defRPr>
                </a:pPr>
                <a:r>
                  <a:rPr lang="en-US">
                    <a:latin typeface="Times New Roman" panose="02020603050405020304" pitchFamily="18" charset="0"/>
                    <a:cs typeface="Times New Roman" panose="02020603050405020304" pitchFamily="18" charset="0"/>
                  </a:rPr>
                  <a:t>Harvest</a:t>
                </a:r>
              </a:p>
            </c:rich>
          </c:tx>
          <c:layout>
            <c:manualLayout>
              <c:xMode val="edge"/>
              <c:yMode val="edge"/>
              <c:x val="9.8039319979874237E-3"/>
              <c:y val="0.4545454545454545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98598016"/>
        <c:crosses val="autoZero"/>
        <c:crossBetween val="between"/>
        <c:majorUnit val="10000"/>
      </c:valAx>
      <c:spPr>
        <a:solidFill>
          <a:srgbClr val="FFFFFF"/>
        </a:solidFill>
        <a:ln w="25400">
          <a:noFill/>
        </a:ln>
      </c:spPr>
    </c:plotArea>
    <c:plotVisOnly val="1"/>
    <c:dispBlanksAs val="gap"/>
    <c:showDLblsOverMax val="0"/>
  </c:chart>
  <c:spPr>
    <a:solidFill>
      <a:srgbClr val="FFFFFF"/>
    </a:solidFill>
    <a:ln w="9525">
      <a:solidFill>
        <a:srgbClr val="000000"/>
      </a:solid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4" r="0.750000000000004"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600"/>
            </a:pPr>
            <a:r>
              <a:rPr lang="en-US" sz="1600"/>
              <a:t>Previous 4 -years average as forecast</a:t>
            </a:r>
          </a:p>
        </c:rich>
      </c:tx>
      <c:layout>
        <c:manualLayout>
          <c:xMode val="edge"/>
          <c:yMode val="edge"/>
          <c:x val="6.9623104947702436E-2"/>
          <c:y val="4.3795633023631535E-2"/>
        </c:manualLayout>
      </c:layout>
      <c:overlay val="1"/>
    </c:title>
    <c:autoTitleDeleted val="0"/>
    <c:plotArea>
      <c:layout/>
      <c:barChart>
        <c:barDir val="col"/>
        <c:grouping val="clustered"/>
        <c:varyColors val="0"/>
        <c:ser>
          <c:idx val="0"/>
          <c:order val="0"/>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Mean_run_forecasts!$R$8:$R$24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Mean_run_forecasts!$AJ$8:$AJ$24</c:f>
              <c:numCache>
                <c:formatCode>0.00_);[Red]\(0.00\)</c:formatCode>
                <c:ptCount val="17"/>
                <c:pt idx="3">
                  <c:v>-0.15077486123469344</c:v>
                </c:pt>
                <c:pt idx="4">
                  <c:v>-8.5115371711875151E-3</c:v>
                </c:pt>
                <c:pt idx="5">
                  <c:v>0.24434776029055691</c:v>
                </c:pt>
                <c:pt idx="6">
                  <c:v>-0.21234908017944781</c:v>
                </c:pt>
                <c:pt idx="7">
                  <c:v>-2.888245155845489E-2</c:v>
                </c:pt>
                <c:pt idx="8">
                  <c:v>0.55013742641187069</c:v>
                </c:pt>
                <c:pt idx="9">
                  <c:v>0.78666379791589136</c:v>
                </c:pt>
                <c:pt idx="10">
                  <c:v>1.1407982762777242</c:v>
                </c:pt>
                <c:pt idx="11">
                  <c:v>9.9742062387500226E-3</c:v>
                </c:pt>
                <c:pt idx="12">
                  <c:v>-9.9909564618233491E-3</c:v>
                </c:pt>
                <c:pt idx="13">
                  <c:v>2.8931352889054702E-2</c:v>
                </c:pt>
                <c:pt idx="14">
                  <c:v>0.24852075193930129</c:v>
                </c:pt>
                <c:pt idx="15">
                  <c:v>-0.20541976715206323</c:v>
                </c:pt>
                <c:pt idx="16">
                  <c:v>0.54313022700119473</c:v>
                </c:pt>
              </c:numCache>
            </c:numRef>
          </c:val>
          <c:extLst>
            <c:ext xmlns:c16="http://schemas.microsoft.com/office/drawing/2014/chart" uri="{C3380CC4-5D6E-409C-BE32-E72D297353CC}">
              <c16:uniqueId val="{00000000-9AAA-4279-B8D1-0421807A2728}"/>
            </c:ext>
          </c:extLst>
        </c:ser>
        <c:dLbls>
          <c:showLegendKey val="0"/>
          <c:showVal val="0"/>
          <c:showCatName val="0"/>
          <c:showSerName val="0"/>
          <c:showPercent val="0"/>
          <c:showBubbleSize val="0"/>
        </c:dLbls>
        <c:gapWidth val="150"/>
        <c:axId val="203653120"/>
        <c:axId val="203654656"/>
      </c:barChart>
      <c:catAx>
        <c:axId val="203653120"/>
        <c:scaling>
          <c:orientation val="minMax"/>
        </c:scaling>
        <c:delete val="0"/>
        <c:axPos val="b"/>
        <c:numFmt formatCode="General" sourceLinked="1"/>
        <c:majorTickMark val="out"/>
        <c:minorTickMark val="none"/>
        <c:tickLblPos val="low"/>
        <c:txPr>
          <a:bodyPr/>
          <a:lstStyle/>
          <a:p>
            <a:pPr>
              <a:defRPr sz="1100"/>
            </a:pPr>
            <a:endParaRPr lang="en-US"/>
          </a:p>
        </c:txPr>
        <c:crossAx val="203654656"/>
        <c:crosses val="autoZero"/>
        <c:auto val="1"/>
        <c:lblAlgn val="ctr"/>
        <c:lblOffset val="100"/>
        <c:noMultiLvlLbl val="0"/>
      </c:catAx>
      <c:valAx>
        <c:axId val="203654656"/>
        <c:scaling>
          <c:orientation val="minMax"/>
          <c:max val="1.75"/>
          <c:min val="-0.75000000000000011"/>
        </c:scaling>
        <c:delete val="0"/>
        <c:axPos val="l"/>
        <c:numFmt formatCode="0.00_);[Red]\(0.00\)" sourceLinked="1"/>
        <c:majorTickMark val="out"/>
        <c:minorTickMark val="none"/>
        <c:tickLblPos val="nextTo"/>
        <c:txPr>
          <a:bodyPr/>
          <a:lstStyle/>
          <a:p>
            <a:pPr>
              <a:defRPr sz="1100"/>
            </a:pPr>
            <a:endParaRPr lang="en-US"/>
          </a:p>
        </c:txPr>
        <c:crossAx val="203653120"/>
        <c:crosses val="autoZero"/>
        <c:crossBetween val="between"/>
        <c:majorUnit val="0.5"/>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600"/>
            </a:pPr>
            <a:r>
              <a:rPr lang="en-US" sz="1600"/>
              <a:t>Hybrid sibling model</a:t>
            </a:r>
            <a:r>
              <a:rPr lang="en-US" sz="1600" baseline="0"/>
              <a:t> </a:t>
            </a:r>
            <a:r>
              <a:rPr lang="en-US" sz="1600"/>
              <a:t>as forecast</a:t>
            </a:r>
          </a:p>
        </c:rich>
      </c:tx>
      <c:layout>
        <c:manualLayout>
          <c:xMode val="edge"/>
          <c:yMode val="edge"/>
          <c:x val="8.3055940768597958E-2"/>
          <c:y val="4.8205644636206579E-2"/>
        </c:manualLayout>
      </c:layout>
      <c:overlay val="1"/>
    </c:title>
    <c:autoTitleDeleted val="0"/>
    <c:plotArea>
      <c:layout/>
      <c:barChart>
        <c:barDir val="col"/>
        <c:grouping val="clustered"/>
        <c:varyColors val="0"/>
        <c:ser>
          <c:idx val="0"/>
          <c:order val="0"/>
          <c:tx>
            <c:v>Hybrid Sibling Model</c:v>
          </c:tx>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Brood_Forecasts!$A$6:$A$23</c:f>
              <c:numCache>
                <c:formatCode>General</c:formatCode>
                <c:ptCount val="18"/>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numCache>
            </c:numRef>
          </c:cat>
          <c:val>
            <c:numRef>
              <c:f>Brood_Forecasts!$Y$6:$Y$23</c:f>
              <c:numCache>
                <c:formatCode>0%</c:formatCode>
                <c:ptCount val="18"/>
                <c:pt idx="0">
                  <c:v>-5.5322637321592288E-2</c:v>
                </c:pt>
                <c:pt idx="1">
                  <c:v>0.79101455464752024</c:v>
                </c:pt>
                <c:pt idx="2">
                  <c:v>-0.22525410963990714</c:v>
                </c:pt>
                <c:pt idx="3">
                  <c:v>0.28899240367054441</c:v>
                </c:pt>
                <c:pt idx="4">
                  <c:v>-0.1839787600280543</c:v>
                </c:pt>
                <c:pt idx="5">
                  <c:v>2.5317695075465212E-2</c:v>
                </c:pt>
                <c:pt idx="6">
                  <c:v>0.1471414169216563</c:v>
                </c:pt>
                <c:pt idx="7">
                  <c:v>-0.22299548354917742</c:v>
                </c:pt>
                <c:pt idx="8">
                  <c:v>0.22343448873264368</c:v>
                </c:pt>
                <c:pt idx="9">
                  <c:v>0.37180962104732607</c:v>
                </c:pt>
                <c:pt idx="10">
                  <c:v>0.31958515223178346</c:v>
                </c:pt>
                <c:pt idx="11">
                  <c:v>0.66098919950681623</c:v>
                </c:pt>
                <c:pt idx="12">
                  <c:v>6.3198207938980761E-2</c:v>
                </c:pt>
                <c:pt idx="13">
                  <c:v>0.22813838509665049</c:v>
                </c:pt>
                <c:pt idx="14">
                  <c:v>2.0907554927016563E-2</c:v>
                </c:pt>
                <c:pt idx="15">
                  <c:v>0.76342256988810342</c:v>
                </c:pt>
                <c:pt idx="16">
                  <c:v>0.44452620295966749</c:v>
                </c:pt>
                <c:pt idx="17">
                  <c:v>1.2570275630272731</c:v>
                </c:pt>
              </c:numCache>
            </c:numRef>
          </c:val>
          <c:extLst>
            <c:ext xmlns:c16="http://schemas.microsoft.com/office/drawing/2014/chart" uri="{C3380CC4-5D6E-409C-BE32-E72D297353CC}">
              <c16:uniqueId val="{00000000-2270-4526-9999-7295BE228D3D}"/>
            </c:ext>
          </c:extLst>
        </c:ser>
        <c:dLbls>
          <c:showLegendKey val="0"/>
          <c:showVal val="0"/>
          <c:showCatName val="0"/>
          <c:showSerName val="0"/>
          <c:showPercent val="0"/>
          <c:showBubbleSize val="0"/>
        </c:dLbls>
        <c:gapWidth val="150"/>
        <c:axId val="203671040"/>
        <c:axId val="203672576"/>
      </c:barChart>
      <c:catAx>
        <c:axId val="203671040"/>
        <c:scaling>
          <c:orientation val="minMax"/>
        </c:scaling>
        <c:delete val="0"/>
        <c:axPos val="b"/>
        <c:numFmt formatCode="General" sourceLinked="1"/>
        <c:majorTickMark val="out"/>
        <c:minorTickMark val="none"/>
        <c:tickLblPos val="low"/>
        <c:txPr>
          <a:bodyPr/>
          <a:lstStyle/>
          <a:p>
            <a:pPr>
              <a:defRPr sz="1100"/>
            </a:pPr>
            <a:endParaRPr lang="en-US"/>
          </a:p>
        </c:txPr>
        <c:crossAx val="203672576"/>
        <c:crosses val="autoZero"/>
        <c:auto val="1"/>
        <c:lblAlgn val="ctr"/>
        <c:lblOffset val="100"/>
        <c:noMultiLvlLbl val="0"/>
      </c:catAx>
      <c:valAx>
        <c:axId val="203672576"/>
        <c:scaling>
          <c:orientation val="minMax"/>
          <c:max val="1.75"/>
          <c:min val="-0.75000000000000011"/>
        </c:scaling>
        <c:delete val="0"/>
        <c:axPos val="l"/>
        <c:numFmt formatCode="0%" sourceLinked="1"/>
        <c:majorTickMark val="out"/>
        <c:minorTickMark val="none"/>
        <c:tickLblPos val="nextTo"/>
        <c:txPr>
          <a:bodyPr/>
          <a:lstStyle/>
          <a:p>
            <a:pPr>
              <a:defRPr sz="1100"/>
            </a:pPr>
            <a:endParaRPr lang="en-US"/>
          </a:p>
        </c:txPr>
        <c:crossAx val="20367104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trendline>
            <c:trendlineType val="linear"/>
            <c:dispRSqr val="1"/>
            <c:dispEq val="1"/>
            <c:trendlineLbl>
              <c:layout>
                <c:manualLayout>
                  <c:x val="-7.3586982044739443E-2"/>
                  <c:y val="-0.38750131233595803"/>
                </c:manualLayout>
              </c:layout>
              <c:numFmt formatCode="General" sourceLinked="0"/>
            </c:trendlineLbl>
          </c:trendline>
          <c:cat>
            <c:numRef>
              <c:f>Mean_run_forecasts!$A$7:$A$24</c:f>
              <c:numCache>
                <c:formatCode>General</c:formatCode>
                <c:ptCount val="18"/>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numCache>
            </c:numRef>
          </c:cat>
          <c:val>
            <c:numRef>
              <c:f>Mean_run_forecasts!$P$7:$P$24</c:f>
              <c:numCache>
                <c:formatCode>#,##0</c:formatCode>
                <c:ptCount val="18"/>
                <c:pt idx="0">
                  <c:v>95909</c:v>
                </c:pt>
                <c:pt idx="1">
                  <c:v>70749</c:v>
                </c:pt>
                <c:pt idx="2">
                  <c:v>81063</c:v>
                </c:pt>
                <c:pt idx="3">
                  <c:v>72960</c:v>
                </c:pt>
                <c:pt idx="4">
                  <c:v>94404</c:v>
                </c:pt>
                <c:pt idx="5">
                  <c:v>80479</c:v>
                </c:pt>
                <c:pt idx="6">
                  <c:v>66080</c:v>
                </c:pt>
                <c:pt idx="7">
                  <c:v>99639</c:v>
                </c:pt>
                <c:pt idx="8">
                  <c:v>87683</c:v>
                </c:pt>
                <c:pt idx="9">
                  <c:v>53847</c:v>
                </c:pt>
                <c:pt idx="10">
                  <c:v>42992</c:v>
                </c:pt>
                <c:pt idx="11">
                  <c:v>33184</c:v>
                </c:pt>
                <c:pt idx="12">
                  <c:v>53889</c:v>
                </c:pt>
                <c:pt idx="13">
                  <c:v>46442</c:v>
                </c:pt>
                <c:pt idx="14">
                  <c:v>42886</c:v>
                </c:pt>
                <c:pt idx="15">
                  <c:v>35322</c:v>
                </c:pt>
                <c:pt idx="16">
                  <c:v>56174</c:v>
                </c:pt>
                <c:pt idx="17">
                  <c:v>29295</c:v>
                </c:pt>
              </c:numCache>
            </c:numRef>
          </c:val>
          <c:extLst>
            <c:ext xmlns:c16="http://schemas.microsoft.com/office/drawing/2014/chart" uri="{C3380CC4-5D6E-409C-BE32-E72D297353CC}">
              <c16:uniqueId val="{00000001-EFB7-4FF7-A49D-D3F4E155C166}"/>
            </c:ext>
          </c:extLst>
        </c:ser>
        <c:dLbls>
          <c:showLegendKey val="0"/>
          <c:showVal val="0"/>
          <c:showCatName val="0"/>
          <c:showSerName val="0"/>
          <c:showPercent val="0"/>
          <c:showBubbleSize val="0"/>
        </c:dLbls>
        <c:gapWidth val="34"/>
        <c:axId val="203723136"/>
        <c:axId val="203724672"/>
      </c:barChart>
      <c:catAx>
        <c:axId val="203723136"/>
        <c:scaling>
          <c:orientation val="minMax"/>
        </c:scaling>
        <c:delete val="0"/>
        <c:axPos val="b"/>
        <c:numFmt formatCode="General" sourceLinked="1"/>
        <c:majorTickMark val="out"/>
        <c:minorTickMark val="none"/>
        <c:tickLblPos val="nextTo"/>
        <c:crossAx val="203724672"/>
        <c:crosses val="autoZero"/>
        <c:auto val="1"/>
        <c:lblAlgn val="ctr"/>
        <c:lblOffset val="100"/>
        <c:noMultiLvlLbl val="0"/>
      </c:catAx>
      <c:valAx>
        <c:axId val="203724672"/>
        <c:scaling>
          <c:orientation val="minMax"/>
        </c:scaling>
        <c:delete val="0"/>
        <c:axPos val="l"/>
        <c:numFmt formatCode="#,##0" sourceLinked="1"/>
        <c:majorTickMark val="out"/>
        <c:minorTickMark val="none"/>
        <c:tickLblPos val="nextTo"/>
        <c:txPr>
          <a:bodyPr/>
          <a:lstStyle/>
          <a:p>
            <a:pPr>
              <a:defRPr sz="1400"/>
            </a:pPr>
            <a:endParaRPr lang="en-US"/>
          </a:p>
        </c:txPr>
        <c:crossAx val="203723136"/>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n-US" sz="2400"/>
              <a:t>CR</a:t>
            </a:r>
            <a:r>
              <a:rPr lang="en-US" sz="2400" baseline="0"/>
              <a:t> Chinook salmon</a:t>
            </a:r>
            <a:endParaRPr lang="en-US" sz="2400"/>
          </a:p>
          <a:p>
            <a:pPr algn="l">
              <a:defRPr sz="2400"/>
            </a:pPr>
            <a:r>
              <a:rPr lang="en-US" sz="2400"/>
              <a:t>Previous year as forecast </a:t>
            </a:r>
          </a:p>
        </c:rich>
      </c:tx>
      <c:layout>
        <c:manualLayout>
          <c:xMode val="edge"/>
          <c:yMode val="edge"/>
          <c:x val="0.16169067733276624"/>
          <c:y val="3.3269664171837181E-2"/>
        </c:manualLayout>
      </c:layout>
      <c:overlay val="1"/>
    </c:title>
    <c:autoTitleDeleted val="0"/>
    <c:plotArea>
      <c:layout>
        <c:manualLayout>
          <c:layoutTarget val="inner"/>
          <c:xMode val="edge"/>
          <c:yMode val="edge"/>
          <c:x val="0.13038007380189429"/>
          <c:y val="2.2199288006593831E-2"/>
          <c:w val="0.85960029910145264"/>
          <c:h val="0.85284341003310982"/>
        </c:manualLayout>
      </c:layout>
      <c:barChart>
        <c:barDir val="col"/>
        <c:grouping val="clustered"/>
        <c:varyColors val="0"/>
        <c:ser>
          <c:idx val="0"/>
          <c:order val="0"/>
          <c:invertIfNegative val="0"/>
          <c:dLbls>
            <c:spPr>
              <a:noFill/>
              <a:ln>
                <a:noFill/>
              </a:ln>
              <a:effectLst/>
            </c:spPr>
            <c:txPr>
              <a:bodyPr/>
              <a:lstStyle/>
              <a:p>
                <a:pPr>
                  <a:defRPr sz="1800">
                    <a:latin typeface="Times New Roman" panose="02020603050405020304" pitchFamily="18" charset="0"/>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Mean_run_forecasts!$R$8:$R$24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Mean_run_forecasts!$AG$8:$AG$24</c:f>
              <c:numCache>
                <c:formatCode>0%</c:formatCode>
                <c:ptCount val="17"/>
                <c:pt idx="0">
                  <c:v>0.35562340103747048</c:v>
                </c:pt>
                <c:pt idx="1">
                  <c:v>-0.12723437326523815</c:v>
                </c:pt>
                <c:pt idx="2">
                  <c:v>0.1110608552631579</c:v>
                </c:pt>
                <c:pt idx="3">
                  <c:v>-0.22715139189017414</c:v>
                </c:pt>
                <c:pt idx="4">
                  <c:v>0.17302650380844692</c:v>
                </c:pt>
                <c:pt idx="5">
                  <c:v>0.21790254237288137</c:v>
                </c:pt>
                <c:pt idx="6">
                  <c:v>-0.33680586918776784</c:v>
                </c:pt>
                <c:pt idx="7">
                  <c:v>0.13635482362601645</c:v>
                </c:pt>
                <c:pt idx="8">
                  <c:v>0.62837298271027164</c:v>
                </c:pt>
                <c:pt idx="9">
                  <c:v>0.25248883513211762</c:v>
                </c:pt>
                <c:pt idx="10">
                  <c:v>0.29556412729026038</c:v>
                </c:pt>
                <c:pt idx="11">
                  <c:v>-0.38421570264803578</c:v>
                </c:pt>
                <c:pt idx="12">
                  <c:v>0.16035054476551397</c:v>
                </c:pt>
                <c:pt idx="13">
                  <c:v>8.2917502215175118E-2</c:v>
                </c:pt>
                <c:pt idx="14">
                  <c:v>0.21414415944736992</c:v>
                </c:pt>
                <c:pt idx="15">
                  <c:v>-0.37120375974650194</c:v>
                </c:pt>
                <c:pt idx="16">
                  <c:v>0.91752858849633046</c:v>
                </c:pt>
              </c:numCache>
            </c:numRef>
          </c:val>
          <c:extLst>
            <c:ext xmlns:c16="http://schemas.microsoft.com/office/drawing/2014/chart" uri="{C3380CC4-5D6E-409C-BE32-E72D297353CC}">
              <c16:uniqueId val="{00000000-D4D3-4129-8556-72288528FE2D}"/>
            </c:ext>
          </c:extLst>
        </c:ser>
        <c:dLbls>
          <c:showLegendKey val="0"/>
          <c:showVal val="0"/>
          <c:showCatName val="0"/>
          <c:showSerName val="0"/>
          <c:showPercent val="0"/>
          <c:showBubbleSize val="0"/>
        </c:dLbls>
        <c:gapWidth val="150"/>
        <c:axId val="204543488"/>
        <c:axId val="204545024"/>
      </c:barChart>
      <c:catAx>
        <c:axId val="204543488"/>
        <c:scaling>
          <c:orientation val="minMax"/>
        </c:scaling>
        <c:delete val="0"/>
        <c:axPos val="b"/>
        <c:numFmt formatCode="General" sourceLinked="1"/>
        <c:majorTickMark val="out"/>
        <c:minorTickMark val="none"/>
        <c:tickLblPos val="low"/>
        <c:txPr>
          <a:bodyPr/>
          <a:lstStyle/>
          <a:p>
            <a:pPr>
              <a:defRPr sz="2000">
                <a:latin typeface="Times New Roman" panose="02020603050405020304" pitchFamily="18" charset="0"/>
                <a:cs typeface="Times New Roman" panose="02020603050405020304" pitchFamily="18" charset="0"/>
              </a:defRPr>
            </a:pPr>
            <a:endParaRPr lang="en-US"/>
          </a:p>
        </c:txPr>
        <c:crossAx val="204545024"/>
        <c:crosses val="autoZero"/>
        <c:auto val="1"/>
        <c:lblAlgn val="ctr"/>
        <c:lblOffset val="100"/>
        <c:noMultiLvlLbl val="0"/>
      </c:catAx>
      <c:valAx>
        <c:axId val="204545024"/>
        <c:scaling>
          <c:orientation val="minMax"/>
          <c:max val="1.25"/>
          <c:min val="-0.75000000000000011"/>
        </c:scaling>
        <c:delete val="0"/>
        <c:axPos val="l"/>
        <c:title>
          <c:tx>
            <c:rich>
              <a:bodyPr rot="-5400000" vert="horz"/>
              <a:lstStyle/>
              <a:p>
                <a:pPr>
                  <a:defRPr/>
                </a:pPr>
                <a:r>
                  <a:rPr lang="en-US" sz="2800"/>
                  <a:t>Forecast</a:t>
                </a:r>
                <a:r>
                  <a:rPr lang="en-US" sz="2800" baseline="0"/>
                  <a:t> Error</a:t>
                </a:r>
              </a:p>
            </c:rich>
          </c:tx>
          <c:overlay val="0"/>
        </c:title>
        <c:numFmt formatCode="0%" sourceLinked="1"/>
        <c:majorTickMark val="out"/>
        <c:minorTickMark val="none"/>
        <c:tickLblPos val="nextTo"/>
        <c:txPr>
          <a:bodyPr/>
          <a:lstStyle/>
          <a:p>
            <a:pPr>
              <a:defRPr sz="1800">
                <a:latin typeface="Times New Roman" panose="02020603050405020304" pitchFamily="18" charset="0"/>
                <a:cs typeface="Times New Roman" panose="02020603050405020304" pitchFamily="18" charset="0"/>
              </a:defRPr>
            </a:pPr>
            <a:endParaRPr lang="en-US"/>
          </a:p>
        </c:txPr>
        <c:crossAx val="2045434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Retrospective Forecast % Error</a:t>
            </a:r>
          </a:p>
        </c:rich>
      </c:tx>
      <c:overlay val="0"/>
    </c:title>
    <c:autoTitleDeleted val="0"/>
    <c:plotArea>
      <c:layout/>
      <c:barChart>
        <c:barDir val="col"/>
        <c:grouping val="clustered"/>
        <c:varyColors val="0"/>
        <c:ser>
          <c:idx val="0"/>
          <c:order val="0"/>
          <c:tx>
            <c:v>Retropsective Forecast % Error</c:v>
          </c:tx>
          <c:invertIfNegative val="0"/>
          <c:cat>
            <c:numRef>
              <c:f>Brood_Forecasts!$A$6:$A$23</c:f>
              <c:numCache>
                <c:formatCode>General</c:formatCode>
                <c:ptCount val="18"/>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numCache>
            </c:numRef>
          </c:cat>
          <c:val>
            <c:numRef>
              <c:f>Brood_Forecasts!$Y$6:$Y$23</c:f>
              <c:numCache>
                <c:formatCode>0%</c:formatCode>
                <c:ptCount val="18"/>
                <c:pt idx="0">
                  <c:v>-5.5322637321592288E-2</c:v>
                </c:pt>
                <c:pt idx="1">
                  <c:v>0.79101455464752024</c:v>
                </c:pt>
                <c:pt idx="2">
                  <c:v>-0.22525410963990714</c:v>
                </c:pt>
                <c:pt idx="3">
                  <c:v>0.28899240367054441</c:v>
                </c:pt>
                <c:pt idx="4">
                  <c:v>-0.1839787600280543</c:v>
                </c:pt>
                <c:pt idx="5">
                  <c:v>2.5317695075465212E-2</c:v>
                </c:pt>
                <c:pt idx="6">
                  <c:v>0.1471414169216563</c:v>
                </c:pt>
                <c:pt idx="7">
                  <c:v>-0.22299548354917742</c:v>
                </c:pt>
                <c:pt idx="8">
                  <c:v>0.22343448873264368</c:v>
                </c:pt>
                <c:pt idx="9">
                  <c:v>0.37180962104732607</c:v>
                </c:pt>
                <c:pt idx="10">
                  <c:v>0.31958515223178346</c:v>
                </c:pt>
                <c:pt idx="11">
                  <c:v>0.66098919950681623</c:v>
                </c:pt>
                <c:pt idx="12">
                  <c:v>6.3198207938980761E-2</c:v>
                </c:pt>
                <c:pt idx="13">
                  <c:v>0.22813838509665049</c:v>
                </c:pt>
                <c:pt idx="14">
                  <c:v>2.0907554927016563E-2</c:v>
                </c:pt>
                <c:pt idx="15">
                  <c:v>0.76342256988810342</c:v>
                </c:pt>
                <c:pt idx="16">
                  <c:v>0.44452620295966749</c:v>
                </c:pt>
                <c:pt idx="17">
                  <c:v>1.2570275630272731</c:v>
                </c:pt>
              </c:numCache>
            </c:numRef>
          </c:val>
          <c:extLst>
            <c:ext xmlns:c16="http://schemas.microsoft.com/office/drawing/2014/chart" uri="{C3380CC4-5D6E-409C-BE32-E72D297353CC}">
              <c16:uniqueId val="{00000000-963E-4B30-A5BD-1E07E3AA78B6}"/>
            </c:ext>
          </c:extLst>
        </c:ser>
        <c:dLbls>
          <c:showLegendKey val="0"/>
          <c:showVal val="0"/>
          <c:showCatName val="0"/>
          <c:showSerName val="0"/>
          <c:showPercent val="0"/>
          <c:showBubbleSize val="0"/>
        </c:dLbls>
        <c:gapWidth val="150"/>
        <c:axId val="204577408"/>
        <c:axId val="201245056"/>
      </c:barChart>
      <c:catAx>
        <c:axId val="204577408"/>
        <c:scaling>
          <c:orientation val="minMax"/>
        </c:scaling>
        <c:delete val="0"/>
        <c:axPos val="b"/>
        <c:numFmt formatCode="General" sourceLinked="1"/>
        <c:majorTickMark val="out"/>
        <c:minorTickMark val="none"/>
        <c:tickLblPos val="low"/>
        <c:crossAx val="201245056"/>
        <c:crosses val="autoZero"/>
        <c:auto val="1"/>
        <c:lblAlgn val="ctr"/>
        <c:lblOffset val="100"/>
        <c:noMultiLvlLbl val="0"/>
      </c:catAx>
      <c:valAx>
        <c:axId val="201245056"/>
        <c:scaling>
          <c:orientation val="minMax"/>
        </c:scaling>
        <c:delete val="0"/>
        <c:axPos val="l"/>
        <c:numFmt formatCode="0%" sourceLinked="1"/>
        <c:majorTickMark val="out"/>
        <c:minorTickMark val="none"/>
        <c:tickLblPos val="nextTo"/>
        <c:crossAx val="20457740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Copper River Chinook Salmon
Brood Years 1980-2010</a:t>
            </a:r>
          </a:p>
        </c:rich>
      </c:tx>
      <c:layout>
        <c:manualLayout>
          <c:xMode val="edge"/>
          <c:yMode val="edge"/>
          <c:x val="0.32287042646211039"/>
          <c:y val="3.1111178626689932E-2"/>
        </c:manualLayout>
      </c:layout>
      <c:overlay val="0"/>
      <c:spPr>
        <a:noFill/>
        <a:ln w="25400">
          <a:noFill/>
        </a:ln>
      </c:spPr>
    </c:title>
    <c:autoTitleDeleted val="0"/>
    <c:plotArea>
      <c:layout>
        <c:manualLayout>
          <c:layoutTarget val="inner"/>
          <c:xMode val="edge"/>
          <c:yMode val="edge"/>
          <c:x val="0.13303457386633191"/>
          <c:y val="0.15555589313344936"/>
          <c:w val="0.81913423009831365"/>
          <c:h val="0.69555706501099157"/>
        </c:manualLayout>
      </c:layout>
      <c:scatterChart>
        <c:scatterStyle val="lineMarker"/>
        <c:varyColors val="0"/>
        <c:ser>
          <c:idx val="2"/>
          <c:order val="0"/>
          <c:spPr>
            <a:ln w="25400">
              <a:solidFill>
                <a:srgbClr val="000000"/>
              </a:solidFill>
              <a:prstDash val="solid"/>
            </a:ln>
          </c:spPr>
          <c:marker>
            <c:symbol val="none"/>
          </c:marker>
          <c:xVal>
            <c:numRef>
              <c:f>Ricker!$C$7:$C$41</c:f>
              <c:numCache>
                <c:formatCode>#,##0</c:formatCode>
                <c:ptCount val="35"/>
                <c:pt idx="0">
                  <c:v>0</c:v>
                </c:pt>
                <c:pt idx="1">
                  <c:v>1000</c:v>
                </c:pt>
                <c:pt idx="2">
                  <c:v>1500</c:v>
                </c:pt>
                <c:pt idx="3">
                  <c:v>2500</c:v>
                </c:pt>
                <c:pt idx="4">
                  <c:v>29548.748314976161</c:v>
                </c:pt>
                <c:pt idx="5">
                  <c:v>15655.078590640129</c:v>
                </c:pt>
                <c:pt idx="6">
                  <c:v>8471.6211261023891</c:v>
                </c:pt>
                <c:pt idx="7">
                  <c:v>21185.206639779477</c:v>
                </c:pt>
                <c:pt idx="8">
                  <c:v>13239.593658838436</c:v>
                </c:pt>
                <c:pt idx="9">
                  <c:v>10901.138127312399</c:v>
                </c:pt>
                <c:pt idx="10">
                  <c:v>13821.065847773632</c:v>
                </c:pt>
                <c:pt idx="11">
                  <c:v>20038.042632236058</c:v>
                </c:pt>
                <c:pt idx="12">
                  <c:v>23122.039815358257</c:v>
                </c:pt>
                <c:pt idx="13">
                  <c:v>16821.837731152205</c:v>
                </c:pt>
                <c:pt idx="14">
                  <c:v>14723.229653929488</c:v>
                </c:pt>
                <c:pt idx="15">
                  <c:v>15167.794866684937</c:v>
                </c:pt>
                <c:pt idx="16">
                  <c:v>11942.753800524621</c:v>
                </c:pt>
                <c:pt idx="17">
                  <c:v>10534.883543528496</c:v>
                </c:pt>
                <c:pt idx="18">
                  <c:v>12783.91549585489</c:v>
                </c:pt>
                <c:pt idx="19">
                  <c:v>16068.301711637534</c:v>
                </c:pt>
                <c:pt idx="20">
                  <c:v>15333.581211050758</c:v>
                </c:pt>
                <c:pt idx="21">
                  <c:v>22650.051129357271</c:v>
                </c:pt>
                <c:pt idx="22">
                  <c:v>18134.783078621651</c:v>
                </c:pt>
                <c:pt idx="23">
                  <c:v>16157</c:v>
                </c:pt>
                <c:pt idx="24">
                  <c:v>24492</c:v>
                </c:pt>
                <c:pt idx="25">
                  <c:v>28208</c:v>
                </c:pt>
                <c:pt idx="26">
                  <c:v>21502</c:v>
                </c:pt>
                <c:pt idx="27">
                  <c:v>34034</c:v>
                </c:pt>
                <c:pt idx="28">
                  <c:v>30645</c:v>
                </c:pt>
                <c:pt idx="29">
                  <c:v>21528</c:v>
                </c:pt>
                <c:pt idx="30">
                  <c:v>58454</c:v>
                </c:pt>
                <c:pt idx="31">
                  <c:v>34575</c:v>
                </c:pt>
                <c:pt idx="32">
                  <c:v>32485</c:v>
                </c:pt>
                <c:pt idx="33">
                  <c:v>27787</c:v>
                </c:pt>
                <c:pt idx="34">
                  <c:v>16771</c:v>
                </c:pt>
              </c:numCache>
            </c:numRef>
          </c:xVal>
          <c:yVal>
            <c:numRef>
              <c:f>Ricker!$C$7:$C$41</c:f>
              <c:numCache>
                <c:formatCode>#,##0</c:formatCode>
                <c:ptCount val="35"/>
                <c:pt idx="0">
                  <c:v>0</c:v>
                </c:pt>
                <c:pt idx="1">
                  <c:v>1000</c:v>
                </c:pt>
                <c:pt idx="2">
                  <c:v>1500</c:v>
                </c:pt>
                <c:pt idx="3">
                  <c:v>2500</c:v>
                </c:pt>
                <c:pt idx="4">
                  <c:v>29548.748314976161</c:v>
                </c:pt>
                <c:pt idx="5">
                  <c:v>15655.078590640129</c:v>
                </c:pt>
                <c:pt idx="6">
                  <c:v>8471.6211261023891</c:v>
                </c:pt>
                <c:pt idx="7">
                  <c:v>21185.206639779477</c:v>
                </c:pt>
                <c:pt idx="8">
                  <c:v>13239.593658838436</c:v>
                </c:pt>
                <c:pt idx="9">
                  <c:v>10901.138127312399</c:v>
                </c:pt>
                <c:pt idx="10">
                  <c:v>13821.065847773632</c:v>
                </c:pt>
                <c:pt idx="11">
                  <c:v>20038.042632236058</c:v>
                </c:pt>
                <c:pt idx="12">
                  <c:v>23122.039815358257</c:v>
                </c:pt>
                <c:pt idx="13">
                  <c:v>16821.837731152205</c:v>
                </c:pt>
                <c:pt idx="14">
                  <c:v>14723.229653929488</c:v>
                </c:pt>
                <c:pt idx="15">
                  <c:v>15167.794866684937</c:v>
                </c:pt>
                <c:pt idx="16">
                  <c:v>11942.753800524621</c:v>
                </c:pt>
                <c:pt idx="17">
                  <c:v>10534.883543528496</c:v>
                </c:pt>
                <c:pt idx="18">
                  <c:v>12783.91549585489</c:v>
                </c:pt>
                <c:pt idx="19">
                  <c:v>16068.301711637534</c:v>
                </c:pt>
                <c:pt idx="20">
                  <c:v>15333.581211050758</c:v>
                </c:pt>
                <c:pt idx="21">
                  <c:v>22650.051129357271</c:v>
                </c:pt>
                <c:pt idx="22">
                  <c:v>18134.783078621651</c:v>
                </c:pt>
                <c:pt idx="23">
                  <c:v>16157</c:v>
                </c:pt>
                <c:pt idx="24">
                  <c:v>24492</c:v>
                </c:pt>
                <c:pt idx="25">
                  <c:v>28208</c:v>
                </c:pt>
                <c:pt idx="26">
                  <c:v>21502</c:v>
                </c:pt>
                <c:pt idx="27">
                  <c:v>34034</c:v>
                </c:pt>
                <c:pt idx="28">
                  <c:v>30645</c:v>
                </c:pt>
                <c:pt idx="29">
                  <c:v>21528</c:v>
                </c:pt>
                <c:pt idx="30">
                  <c:v>58454</c:v>
                </c:pt>
                <c:pt idx="31">
                  <c:v>34575</c:v>
                </c:pt>
                <c:pt idx="32">
                  <c:v>32485</c:v>
                </c:pt>
                <c:pt idx="33">
                  <c:v>27787</c:v>
                </c:pt>
                <c:pt idx="34">
                  <c:v>16771</c:v>
                </c:pt>
              </c:numCache>
            </c:numRef>
          </c:yVal>
          <c:smooth val="0"/>
          <c:extLst>
            <c:ext xmlns:c16="http://schemas.microsoft.com/office/drawing/2014/chart" uri="{C3380CC4-5D6E-409C-BE32-E72D297353CC}">
              <c16:uniqueId val="{00000000-372B-4D59-885F-BC2D9BCB63B1}"/>
            </c:ext>
          </c:extLst>
        </c:ser>
        <c:ser>
          <c:idx val="1"/>
          <c:order val="1"/>
          <c:spPr>
            <a:ln w="28575">
              <a:noFill/>
            </a:ln>
          </c:spPr>
          <c:marker>
            <c:symbol val="square"/>
            <c:size val="5"/>
            <c:spPr>
              <a:solidFill>
                <a:srgbClr val="FF00FF"/>
              </a:solidFill>
              <a:ln>
                <a:solidFill>
                  <a:srgbClr val="FF00FF"/>
                </a:solidFill>
                <a:prstDash val="solid"/>
              </a:ln>
            </c:spPr>
          </c:marker>
          <c:dLbls>
            <c:dLbl>
              <c:idx val="0"/>
              <c:tx>
                <c:strRef>
                  <c:f>Ricker!$B$11</c:f>
                  <c:strCache>
                    <c:ptCount val="1"/>
                    <c:pt idx="0">
                      <c:v>80</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{2E3D618D-EDE2-4DB6-9137-988826138D4F}</c15:txfldGUID>
                      <c15:f>Ricker!$B$11</c15:f>
                      <c15:dlblFieldTableCache>
                        <c:ptCount val="1"/>
                        <c:pt idx="0">
                          <c:v>80</c:v>
                        </c:pt>
                      </c15:dlblFieldTableCache>
                    </c15:dlblFTEntry>
                  </c15:dlblFieldTable>
                  <c15:showDataLabelsRange val="0"/>
                </c:ext>
                <c:ext xmlns:c16="http://schemas.microsoft.com/office/drawing/2014/chart" uri="{C3380CC4-5D6E-409C-BE32-E72D297353CC}">
                  <c16:uniqueId val="{00000001-372B-4D59-885F-BC2D9BCB63B1}"/>
                </c:ext>
              </c:extLst>
            </c:dLbl>
            <c:dLbl>
              <c:idx val="1"/>
              <c:layout>
                <c:manualLayout>
                  <c:x val="8.6068478212600363E-4"/>
                  <c:y val="-3.3572602782723601E-2"/>
                </c:manualLayout>
              </c:layout>
              <c:tx>
                <c:strRef>
                  <c:f>Ricker!$B$12</c:f>
                  <c:strCache>
                    <c:ptCount val="1"/>
                    <c:pt idx="0">
                      <c:v>81</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dlblFTEntry>
                      <c15:txfldGUID>{0F9C7A26-D18F-4F1B-9748-F614F85CBBED}</c15:txfldGUID>
                      <c15:f>Ricker!$B$12</c15:f>
                      <c15:dlblFieldTableCache>
                        <c:ptCount val="1"/>
                        <c:pt idx="0">
                          <c:v>81</c:v>
                        </c:pt>
                      </c15:dlblFieldTableCache>
                    </c15:dlblFTEntry>
                  </c15:dlblFieldTable>
                  <c15:showDataLabelsRange val="0"/>
                </c:ext>
                <c:ext xmlns:c16="http://schemas.microsoft.com/office/drawing/2014/chart" uri="{C3380CC4-5D6E-409C-BE32-E72D297353CC}">
                  <c16:uniqueId val="{00000002-372B-4D59-885F-BC2D9BCB63B1}"/>
                </c:ext>
              </c:extLst>
            </c:dLbl>
            <c:dLbl>
              <c:idx val="2"/>
              <c:tx>
                <c:strRef>
                  <c:f>Ricker!$B$13</c:f>
                  <c:strCache>
                    <c:ptCount val="1"/>
                    <c:pt idx="0">
                      <c:v>82</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{B0829B67-059B-407C-B174-070AEE0D2934}</c15:txfldGUID>
                      <c15:f>Ricker!$B$13</c15:f>
                      <c15:dlblFieldTableCache>
                        <c:ptCount val="1"/>
                        <c:pt idx="0">
                          <c:v>82</c:v>
                        </c:pt>
                      </c15:dlblFieldTableCache>
                    </c15:dlblFTEntry>
                  </c15:dlblFieldTable>
                  <c15:showDataLabelsRange val="0"/>
                </c:ext>
                <c:ext xmlns:c16="http://schemas.microsoft.com/office/drawing/2014/chart" uri="{C3380CC4-5D6E-409C-BE32-E72D297353CC}">
                  <c16:uniqueId val="{00000003-372B-4D59-885F-BC2D9BCB63B1}"/>
                </c:ext>
              </c:extLst>
            </c:dLbl>
            <c:dLbl>
              <c:idx val="3"/>
              <c:tx>
                <c:strRef>
                  <c:f>Ricker!$B$14</c:f>
                  <c:strCache>
                    <c:ptCount val="1"/>
                    <c:pt idx="0">
                      <c:v>83</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{10D0B7D6-87E1-4252-8BA4-4B3A0EB49B67}</c15:txfldGUID>
                      <c15:f>Ricker!$B$14</c15:f>
                      <c15:dlblFieldTableCache>
                        <c:ptCount val="1"/>
                        <c:pt idx="0">
                          <c:v>83</c:v>
                        </c:pt>
                      </c15:dlblFieldTableCache>
                    </c15:dlblFTEntry>
                  </c15:dlblFieldTable>
                  <c15:showDataLabelsRange val="0"/>
                </c:ext>
                <c:ext xmlns:c16="http://schemas.microsoft.com/office/drawing/2014/chart" uri="{C3380CC4-5D6E-409C-BE32-E72D297353CC}">
                  <c16:uniqueId val="{00000004-372B-4D59-885F-BC2D9BCB63B1}"/>
                </c:ext>
              </c:extLst>
            </c:dLbl>
            <c:dLbl>
              <c:idx val="4"/>
              <c:tx>
                <c:strRef>
                  <c:f>Ricker!$B$15</c:f>
                  <c:strCache>
                    <c:ptCount val="1"/>
                    <c:pt idx="0">
                      <c:v>84</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{34884046-20D5-4CEA-AEDD-21E4236E79CB}</c15:txfldGUID>
                      <c15:f>Ricker!$B$15</c15:f>
                      <c15:dlblFieldTableCache>
                        <c:ptCount val="1"/>
                        <c:pt idx="0">
                          <c:v>84</c:v>
                        </c:pt>
                      </c15:dlblFieldTableCache>
                    </c15:dlblFTEntry>
                  </c15:dlblFieldTable>
                  <c15:showDataLabelsRange val="0"/>
                </c:ext>
                <c:ext xmlns:c16="http://schemas.microsoft.com/office/drawing/2014/chart" uri="{C3380CC4-5D6E-409C-BE32-E72D297353CC}">
                  <c16:uniqueId val="{00000005-372B-4D59-885F-BC2D9BCB63B1}"/>
                </c:ext>
              </c:extLst>
            </c:dLbl>
            <c:dLbl>
              <c:idx val="5"/>
              <c:tx>
                <c:strRef>
                  <c:f>Ricker!$B$16</c:f>
                  <c:strCache>
                    <c:ptCount val="1"/>
                    <c:pt idx="0">
                      <c:v>85</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{9197DD60-7491-4E9A-B572-1FD4D5BB9EEC}</c15:txfldGUID>
                      <c15:f>Ricker!$B$16</c15:f>
                      <c15:dlblFieldTableCache>
                        <c:ptCount val="1"/>
                        <c:pt idx="0">
                          <c:v>85</c:v>
                        </c:pt>
                      </c15:dlblFieldTableCache>
                    </c15:dlblFTEntry>
                  </c15:dlblFieldTable>
                  <c15:showDataLabelsRange val="0"/>
                </c:ext>
                <c:ext xmlns:c16="http://schemas.microsoft.com/office/drawing/2014/chart" uri="{C3380CC4-5D6E-409C-BE32-E72D297353CC}">
                  <c16:uniqueId val="{00000006-372B-4D59-885F-BC2D9BCB63B1}"/>
                </c:ext>
              </c:extLst>
            </c:dLbl>
            <c:dLbl>
              <c:idx val="6"/>
              <c:tx>
                <c:strRef>
                  <c:f>Ricker!$B$17</c:f>
                  <c:strCache>
                    <c:ptCount val="1"/>
                    <c:pt idx="0">
                      <c:v>86</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{BB16F945-070F-44BF-94B6-C26EB8F16823}</c15:txfldGUID>
                      <c15:f>Ricker!$B$17</c15:f>
                      <c15:dlblFieldTableCache>
                        <c:ptCount val="1"/>
                        <c:pt idx="0">
                          <c:v>86</c:v>
                        </c:pt>
                      </c15:dlblFieldTableCache>
                    </c15:dlblFTEntry>
                  </c15:dlblFieldTable>
                  <c15:showDataLabelsRange val="0"/>
                </c:ext>
                <c:ext xmlns:c16="http://schemas.microsoft.com/office/drawing/2014/chart" uri="{C3380CC4-5D6E-409C-BE32-E72D297353CC}">
                  <c16:uniqueId val="{00000007-372B-4D59-885F-BC2D9BCB63B1}"/>
                </c:ext>
              </c:extLst>
            </c:dLbl>
            <c:dLbl>
              <c:idx val="7"/>
              <c:tx>
                <c:strRef>
                  <c:f>Ricker!$B$18</c:f>
                  <c:strCache>
                    <c:ptCount val="1"/>
                    <c:pt idx="0">
                      <c:v>87</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{3D2D40FA-4D30-4F84-92C9-792C0FA11756}</c15:txfldGUID>
                      <c15:f>Ricker!$B$18</c15:f>
                      <c15:dlblFieldTableCache>
                        <c:ptCount val="1"/>
                        <c:pt idx="0">
                          <c:v>87</c:v>
                        </c:pt>
                      </c15:dlblFieldTableCache>
                    </c15:dlblFTEntry>
                  </c15:dlblFieldTable>
                  <c15:showDataLabelsRange val="0"/>
                </c:ext>
                <c:ext xmlns:c16="http://schemas.microsoft.com/office/drawing/2014/chart" uri="{C3380CC4-5D6E-409C-BE32-E72D297353CC}">
                  <c16:uniqueId val="{00000008-372B-4D59-885F-BC2D9BCB63B1}"/>
                </c:ext>
              </c:extLst>
            </c:dLbl>
            <c:dLbl>
              <c:idx val="8"/>
              <c:tx>
                <c:strRef>
                  <c:f>Ricker!$B$19</c:f>
                  <c:strCache>
                    <c:ptCount val="1"/>
                    <c:pt idx="0">
                      <c:v>88</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{66195284-D238-42B0-91EA-2C045500600A}</c15:txfldGUID>
                      <c15:f>Ricker!$B$19</c15:f>
                      <c15:dlblFieldTableCache>
                        <c:ptCount val="1"/>
                        <c:pt idx="0">
                          <c:v>88</c:v>
                        </c:pt>
                      </c15:dlblFieldTableCache>
                    </c15:dlblFTEntry>
                  </c15:dlblFieldTable>
                  <c15:showDataLabelsRange val="0"/>
                </c:ext>
                <c:ext xmlns:c16="http://schemas.microsoft.com/office/drawing/2014/chart" uri="{C3380CC4-5D6E-409C-BE32-E72D297353CC}">
                  <c16:uniqueId val="{00000009-372B-4D59-885F-BC2D9BCB63B1}"/>
                </c:ext>
              </c:extLst>
            </c:dLbl>
            <c:dLbl>
              <c:idx val="9"/>
              <c:tx>
                <c:strRef>
                  <c:f>Ricker!$B$20</c:f>
                  <c:strCache>
                    <c:ptCount val="1"/>
                    <c:pt idx="0">
                      <c:v>89</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{B1C2CEBA-45C4-485F-A122-E154C06A55C1}</c15:txfldGUID>
                      <c15:f>Ricker!$B$20</c15:f>
                      <c15:dlblFieldTableCache>
                        <c:ptCount val="1"/>
                        <c:pt idx="0">
                          <c:v>89</c:v>
                        </c:pt>
                      </c15:dlblFieldTableCache>
                    </c15:dlblFTEntry>
                  </c15:dlblFieldTable>
                  <c15:showDataLabelsRange val="0"/>
                </c:ext>
                <c:ext xmlns:c16="http://schemas.microsoft.com/office/drawing/2014/chart" uri="{C3380CC4-5D6E-409C-BE32-E72D297353CC}">
                  <c16:uniqueId val="{0000000A-372B-4D59-885F-BC2D9BCB63B1}"/>
                </c:ext>
              </c:extLst>
            </c:dLbl>
            <c:dLbl>
              <c:idx val="10"/>
              <c:tx>
                <c:strRef>
                  <c:f>Ricker!$B$21</c:f>
                  <c:strCache>
                    <c:ptCount val="1"/>
                    <c:pt idx="0">
                      <c:v>90</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{DC5DB548-68EF-4C5A-8449-9C4B3472D8BA}</c15:txfldGUID>
                      <c15:f>Ricker!$B$21</c15:f>
                      <c15:dlblFieldTableCache>
                        <c:ptCount val="1"/>
                        <c:pt idx="0">
                          <c:v>90</c:v>
                        </c:pt>
                      </c15:dlblFieldTableCache>
                    </c15:dlblFTEntry>
                  </c15:dlblFieldTable>
                  <c15:showDataLabelsRange val="0"/>
                </c:ext>
                <c:ext xmlns:c16="http://schemas.microsoft.com/office/drawing/2014/chart" uri="{C3380CC4-5D6E-409C-BE32-E72D297353CC}">
                  <c16:uniqueId val="{0000000B-372B-4D59-885F-BC2D9BCB63B1}"/>
                </c:ext>
              </c:extLst>
            </c:dLbl>
            <c:dLbl>
              <c:idx val="11"/>
              <c:tx>
                <c:strRef>
                  <c:f>Ricker!$B$22</c:f>
                  <c:strCache>
                    <c:ptCount val="1"/>
                    <c:pt idx="0">
                      <c:v>91</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{E0E69E18-60E3-4C53-9F6D-1686084A09F4}</c15:txfldGUID>
                      <c15:f>Ricker!$B$22</c15:f>
                      <c15:dlblFieldTableCache>
                        <c:ptCount val="1"/>
                        <c:pt idx="0">
                          <c:v>91</c:v>
                        </c:pt>
                      </c15:dlblFieldTableCache>
                    </c15:dlblFTEntry>
                  </c15:dlblFieldTable>
                  <c15:showDataLabelsRange val="0"/>
                </c:ext>
                <c:ext xmlns:c16="http://schemas.microsoft.com/office/drawing/2014/chart" uri="{C3380CC4-5D6E-409C-BE32-E72D297353CC}">
                  <c16:uniqueId val="{0000000C-372B-4D59-885F-BC2D9BCB63B1}"/>
                </c:ext>
              </c:extLst>
            </c:dLbl>
            <c:dLbl>
              <c:idx val="12"/>
              <c:tx>
                <c:strRef>
                  <c:f>Ricker!$B$23</c:f>
                  <c:strCache>
                    <c:ptCount val="1"/>
                    <c:pt idx="0">
                      <c:v>92</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{A7EA50CD-27C0-496F-B43A-80EC955C89AE}</c15:txfldGUID>
                      <c15:f>Ricker!$B$23</c15:f>
                      <c15:dlblFieldTableCache>
                        <c:ptCount val="1"/>
                        <c:pt idx="0">
                          <c:v>92</c:v>
                        </c:pt>
                      </c15:dlblFieldTableCache>
                    </c15:dlblFTEntry>
                  </c15:dlblFieldTable>
                  <c15:showDataLabelsRange val="0"/>
                </c:ext>
                <c:ext xmlns:c16="http://schemas.microsoft.com/office/drawing/2014/chart" uri="{C3380CC4-5D6E-409C-BE32-E72D297353CC}">
                  <c16:uniqueId val="{0000000D-372B-4D59-885F-BC2D9BCB63B1}"/>
                </c:ext>
              </c:extLst>
            </c:dLbl>
            <c:dLbl>
              <c:idx val="13"/>
              <c:tx>
                <c:strRef>
                  <c:f>Ricker!$B$24</c:f>
                  <c:strCache>
                    <c:ptCount val="1"/>
                    <c:pt idx="0">
                      <c:v>93</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{17CEA8B9-864C-4523-A221-F4CBC9DD677B}</c15:txfldGUID>
                      <c15:f>Ricker!$B$24</c15:f>
                      <c15:dlblFieldTableCache>
                        <c:ptCount val="1"/>
                        <c:pt idx="0">
                          <c:v>93</c:v>
                        </c:pt>
                      </c15:dlblFieldTableCache>
                    </c15:dlblFTEntry>
                  </c15:dlblFieldTable>
                  <c15:showDataLabelsRange val="0"/>
                </c:ext>
                <c:ext xmlns:c16="http://schemas.microsoft.com/office/drawing/2014/chart" uri="{C3380CC4-5D6E-409C-BE32-E72D297353CC}">
                  <c16:uniqueId val="{0000000E-372B-4D59-885F-BC2D9BCB63B1}"/>
                </c:ext>
              </c:extLst>
            </c:dLbl>
            <c:dLbl>
              <c:idx val="14"/>
              <c:tx>
                <c:strRef>
                  <c:f>Ricker!$B$25</c:f>
                  <c:strCache>
                    <c:ptCount val="1"/>
                    <c:pt idx="0">
                      <c:v>94</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{D6E7E9C4-1177-44AB-8F6F-C7226C32408C}</c15:txfldGUID>
                      <c15:f>Ricker!$B$25</c15:f>
                      <c15:dlblFieldTableCache>
                        <c:ptCount val="1"/>
                        <c:pt idx="0">
                          <c:v>94</c:v>
                        </c:pt>
                      </c15:dlblFieldTableCache>
                    </c15:dlblFTEntry>
                  </c15:dlblFieldTable>
                  <c15:showDataLabelsRange val="0"/>
                </c:ext>
                <c:ext xmlns:c16="http://schemas.microsoft.com/office/drawing/2014/chart" uri="{C3380CC4-5D6E-409C-BE32-E72D297353CC}">
                  <c16:uniqueId val="{0000000F-372B-4D59-885F-BC2D9BCB63B1}"/>
                </c:ext>
              </c:extLst>
            </c:dLbl>
            <c:dLbl>
              <c:idx val="15"/>
              <c:tx>
                <c:strRef>
                  <c:f>Ricker!$B$26</c:f>
                  <c:strCache>
                    <c:ptCount val="1"/>
                    <c:pt idx="0">
                      <c:v>95</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{40A549EB-FE14-487F-BD45-D8FCEDCCDB19}</c15:txfldGUID>
                      <c15:f>Ricker!$B$26</c15:f>
                      <c15:dlblFieldTableCache>
                        <c:ptCount val="1"/>
                        <c:pt idx="0">
                          <c:v>95</c:v>
                        </c:pt>
                      </c15:dlblFieldTableCache>
                    </c15:dlblFTEntry>
                  </c15:dlblFieldTable>
                  <c15:showDataLabelsRange val="0"/>
                </c:ext>
                <c:ext xmlns:c16="http://schemas.microsoft.com/office/drawing/2014/chart" uri="{C3380CC4-5D6E-409C-BE32-E72D297353CC}">
                  <c16:uniqueId val="{00000010-372B-4D59-885F-BC2D9BCB63B1}"/>
                </c:ext>
              </c:extLst>
            </c:dLbl>
            <c:dLbl>
              <c:idx val="16"/>
              <c:tx>
                <c:strRef>
                  <c:f>Ricker!$B$27</c:f>
                  <c:strCache>
                    <c:ptCount val="1"/>
                    <c:pt idx="0">
                      <c:v>96</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0"/>
              <c:showCatName val="0"/>
              <c:showSerName val="0"/>
              <c:showPercent val="0"/>
              <c:showBubbleSize val="0"/>
              <c:extLst>
                <c:ext xmlns:c15="http://schemas.microsoft.com/office/drawing/2012/chart" uri="{CE6537A1-D6FC-4f65-9D91-7224C49458BB}">
                  <c15:dlblFieldTable>
                    <c15:dlblFTEntry>
                      <c15:txfldGUID>{89D331B4-79FB-4FC2-B8B1-3576523C07E2}</c15:txfldGUID>
                      <c15:f>Ricker!$B$27</c15:f>
                      <c15:dlblFieldTableCache>
                        <c:ptCount val="1"/>
                        <c:pt idx="0">
                          <c:v>96</c:v>
                        </c:pt>
                      </c15:dlblFieldTableCache>
                    </c15:dlblFTEntry>
                  </c15:dlblFieldTable>
                  <c15:showDataLabelsRange val="0"/>
                </c:ext>
                <c:ext xmlns:c16="http://schemas.microsoft.com/office/drawing/2014/chart" uri="{C3380CC4-5D6E-409C-BE32-E72D297353CC}">
                  <c16:uniqueId val="{00000011-372B-4D59-885F-BC2D9BCB63B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Ricker!$C$11:$C$41</c:f>
              <c:numCache>
                <c:formatCode>#,##0</c:formatCode>
                <c:ptCount val="31"/>
                <c:pt idx="0">
                  <c:v>29548.748314976161</c:v>
                </c:pt>
                <c:pt idx="1">
                  <c:v>15655.078590640129</c:v>
                </c:pt>
                <c:pt idx="2">
                  <c:v>8471.6211261023891</c:v>
                </c:pt>
                <c:pt idx="3">
                  <c:v>21185.206639779477</c:v>
                </c:pt>
                <c:pt idx="4">
                  <c:v>13239.593658838436</c:v>
                </c:pt>
                <c:pt idx="5">
                  <c:v>10901.138127312399</c:v>
                </c:pt>
                <c:pt idx="6">
                  <c:v>13821.065847773632</c:v>
                </c:pt>
                <c:pt idx="7">
                  <c:v>20038.042632236058</c:v>
                </c:pt>
                <c:pt idx="8">
                  <c:v>23122.039815358257</c:v>
                </c:pt>
                <c:pt idx="9">
                  <c:v>16821.837731152205</c:v>
                </c:pt>
                <c:pt idx="10">
                  <c:v>14723.229653929488</c:v>
                </c:pt>
                <c:pt idx="11">
                  <c:v>15167.794866684937</c:v>
                </c:pt>
                <c:pt idx="12">
                  <c:v>11942.753800524621</c:v>
                </c:pt>
                <c:pt idx="13">
                  <c:v>10534.883543528496</c:v>
                </c:pt>
                <c:pt idx="14">
                  <c:v>12783.91549585489</c:v>
                </c:pt>
                <c:pt idx="15">
                  <c:v>16068.301711637534</c:v>
                </c:pt>
                <c:pt idx="16">
                  <c:v>15333.581211050758</c:v>
                </c:pt>
                <c:pt idx="17">
                  <c:v>22650.051129357271</c:v>
                </c:pt>
                <c:pt idx="18">
                  <c:v>18134.783078621651</c:v>
                </c:pt>
                <c:pt idx="19">
                  <c:v>16157</c:v>
                </c:pt>
                <c:pt idx="20">
                  <c:v>24492</c:v>
                </c:pt>
                <c:pt idx="21">
                  <c:v>28208</c:v>
                </c:pt>
                <c:pt idx="22">
                  <c:v>21502</c:v>
                </c:pt>
                <c:pt idx="23">
                  <c:v>34034</c:v>
                </c:pt>
                <c:pt idx="24">
                  <c:v>30645</c:v>
                </c:pt>
                <c:pt idx="25">
                  <c:v>21528</c:v>
                </c:pt>
                <c:pt idx="26">
                  <c:v>58454</c:v>
                </c:pt>
                <c:pt idx="27">
                  <c:v>34575</c:v>
                </c:pt>
                <c:pt idx="28">
                  <c:v>32485</c:v>
                </c:pt>
                <c:pt idx="29">
                  <c:v>27787</c:v>
                </c:pt>
                <c:pt idx="30">
                  <c:v>16771</c:v>
                </c:pt>
              </c:numCache>
            </c:numRef>
          </c:xVal>
          <c:yVal>
            <c:numRef>
              <c:f>Ricker!$E$11:$E$41</c:f>
              <c:numCache>
                <c:formatCode>#,##0_);\(#,##0\)</c:formatCode>
                <c:ptCount val="31"/>
                <c:pt idx="0">
                  <c:v>31569.090722734436</c:v>
                </c:pt>
                <c:pt idx="1">
                  <c:v>54703.554232678274</c:v>
                </c:pt>
                <c:pt idx="2">
                  <c:v>34799.143939023423</c:v>
                </c:pt>
                <c:pt idx="3">
                  <c:v>30861.744712144631</c:v>
                </c:pt>
                <c:pt idx="4">
                  <c:v>21850.475802032008</c:v>
                </c:pt>
                <c:pt idx="5">
                  <c:v>21687.643160790587</c:v>
                </c:pt>
                <c:pt idx="6">
                  <c:v>67617.186023071525</c:v>
                </c:pt>
                <c:pt idx="7">
                  <c:v>27552.606274832029</c:v>
                </c:pt>
                <c:pt idx="8">
                  <c:v>72770.786095734482</c:v>
                </c:pt>
                <c:pt idx="9">
                  <c:v>69641.215009319392</c:v>
                </c:pt>
                <c:pt idx="10">
                  <c:v>97683.094564226747</c:v>
                </c:pt>
                <c:pt idx="11">
                  <c:v>78766.170557210105</c:v>
                </c:pt>
                <c:pt idx="12">
                  <c:v>92840.022641191565</c:v>
                </c:pt>
                <c:pt idx="13">
                  <c:v>106550.38387986002</c:v>
                </c:pt>
                <c:pt idx="14">
                  <c:v>79065.859967906421</c:v>
                </c:pt>
                <c:pt idx="15">
                  <c:v>76295.764779792546</c:v>
                </c:pt>
                <c:pt idx="16">
                  <c:v>76981.436272685023</c:v>
                </c:pt>
                <c:pt idx="17">
                  <c:v>84475.667195828166</c:v>
                </c:pt>
                <c:pt idx="18">
                  <c:v>96516.897046991828</c:v>
                </c:pt>
                <c:pt idx="19">
                  <c:v>76611.972532084939</c:v>
                </c:pt>
                <c:pt idx="20">
                  <c:v>63827.439787779818</c:v>
                </c:pt>
                <c:pt idx="21">
                  <c:v>98779.587729427003</c:v>
                </c:pt>
                <c:pt idx="22">
                  <c:v>86656.05226517719</c:v>
                </c:pt>
                <c:pt idx="23">
                  <c:v>48149.609636566769</c:v>
                </c:pt>
                <c:pt idx="24">
                  <c:v>38721.333157232359</c:v>
                </c:pt>
                <c:pt idx="25">
                  <c:v>32647.431888888754</c:v>
                </c:pt>
                <c:pt idx="26">
                  <c:v>53244.534331394883</c:v>
                </c:pt>
                <c:pt idx="27">
                  <c:v>47436.244390504151</c:v>
                </c:pt>
                <c:pt idx="28">
                  <c:v>40148.550618680703</c:v>
                </c:pt>
                <c:pt idx="29">
                  <c:v>34295.951914890451</c:v>
                </c:pt>
                <c:pt idx="30">
                  <c:v>56489.116198613876</c:v>
                </c:pt>
              </c:numCache>
            </c:numRef>
          </c:yVal>
          <c:smooth val="0"/>
          <c:extLst>
            <c:ext xmlns:c16="http://schemas.microsoft.com/office/drawing/2014/chart" uri="{C3380CC4-5D6E-409C-BE32-E72D297353CC}">
              <c16:uniqueId val="{00000012-372B-4D59-885F-BC2D9BCB63B1}"/>
            </c:ext>
          </c:extLst>
        </c:ser>
        <c:dLbls>
          <c:showLegendKey val="0"/>
          <c:showVal val="0"/>
          <c:showCatName val="0"/>
          <c:showSerName val="0"/>
          <c:showPercent val="0"/>
          <c:showBubbleSize val="0"/>
        </c:dLbls>
        <c:axId val="205329920"/>
        <c:axId val="205331840"/>
      </c:scatterChart>
      <c:valAx>
        <c:axId val="205329920"/>
        <c:scaling>
          <c:orientation val="minMax"/>
          <c:max val="20000"/>
        </c:scaling>
        <c:delete val="0"/>
        <c:axPos val="b"/>
        <c:title>
          <c:tx>
            <c:rich>
              <a:bodyPr/>
              <a:lstStyle/>
              <a:p>
                <a:pPr>
                  <a:defRPr sz="1200" b="1" i="0" u="none" strike="noStrike" baseline="0">
                    <a:solidFill>
                      <a:srgbClr val="000000"/>
                    </a:solidFill>
                    <a:latin typeface="Arial"/>
                    <a:ea typeface="Arial"/>
                    <a:cs typeface="Arial"/>
                  </a:defRPr>
                </a:pPr>
                <a:r>
                  <a:rPr lang="en-US"/>
                  <a:t>Escapement index</a:t>
                </a:r>
              </a:p>
            </c:rich>
          </c:tx>
          <c:layout>
            <c:manualLayout>
              <c:xMode val="edge"/>
              <c:yMode val="edge"/>
              <c:x val="0.43348344293523888"/>
              <c:y val="0.91111308835305627"/>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31840"/>
        <c:crosses val="autoZero"/>
        <c:crossBetween val="midCat"/>
        <c:majorUnit val="5000"/>
        <c:minorUnit val="1000"/>
      </c:valAx>
      <c:valAx>
        <c:axId val="205331840"/>
        <c:scaling>
          <c:orientation val="minMax"/>
        </c:scaling>
        <c:delete val="0"/>
        <c:axPos val="l"/>
        <c:majorGridlines>
          <c:spPr>
            <a:ln w="3175">
              <a:solidFill>
                <a:srgbClr val="969696"/>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Estimated total return</a:t>
                </a:r>
              </a:p>
            </c:rich>
          </c:tx>
          <c:layout>
            <c:manualLayout>
              <c:xMode val="edge"/>
              <c:yMode val="edge"/>
              <c:x val="1.644247542168157E-2"/>
              <c:y val="0.3155562403564243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29920"/>
        <c:crosses val="autoZero"/>
        <c:crossBetween val="midCat"/>
      </c:valAx>
    </c:plotArea>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Copper River Chinook Salmon </a:t>
            </a:r>
          </a:p>
        </c:rich>
      </c:tx>
      <c:layout>
        <c:manualLayout>
          <c:xMode val="edge"/>
          <c:yMode val="edge"/>
          <c:x val="0.26008090119481669"/>
          <c:y val="3.0303094356851908E-2"/>
        </c:manualLayout>
      </c:layout>
      <c:overlay val="0"/>
      <c:spPr>
        <a:noFill/>
        <a:ln w="25400">
          <a:noFill/>
        </a:ln>
      </c:spPr>
    </c:title>
    <c:autoTitleDeleted val="0"/>
    <c:plotArea>
      <c:layout>
        <c:manualLayout>
          <c:layoutTarget val="inner"/>
          <c:xMode val="edge"/>
          <c:yMode val="edge"/>
          <c:x val="0.1895163155993235"/>
          <c:y val="0.15800899200358495"/>
          <c:w val="0.72177490409103362"/>
          <c:h val="0.71861630932497078"/>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Ricker!$Z$7:$Z$97</c:f>
              <c:numCache>
                <c:formatCode>General</c:formatCode>
                <c:ptCount val="91"/>
                <c:pt idx="0">
                  <c:v>0</c:v>
                </c:pt>
                <c:pt idx="1">
                  <c:v>100</c:v>
                </c:pt>
                <c:pt idx="2">
                  <c:v>250</c:v>
                </c:pt>
                <c:pt idx="3" formatCode="#,##0">
                  <c:v>500</c:v>
                </c:pt>
                <c:pt idx="4" formatCode="#,##0">
                  <c:v>1000</c:v>
                </c:pt>
                <c:pt idx="5" formatCode="#,##0">
                  <c:v>1500</c:v>
                </c:pt>
                <c:pt idx="6" formatCode="#,##0">
                  <c:v>2000</c:v>
                </c:pt>
                <c:pt idx="7" formatCode="#,##0">
                  <c:v>2500</c:v>
                </c:pt>
                <c:pt idx="8" formatCode="#,##0">
                  <c:v>3000</c:v>
                </c:pt>
                <c:pt idx="9" formatCode="#,##0">
                  <c:v>3500</c:v>
                </c:pt>
                <c:pt idx="10" formatCode="#,##0">
                  <c:v>4000</c:v>
                </c:pt>
                <c:pt idx="11" formatCode="#,##0">
                  <c:v>4500</c:v>
                </c:pt>
                <c:pt idx="12" formatCode="#,##0">
                  <c:v>5000</c:v>
                </c:pt>
                <c:pt idx="13" formatCode="#,##0">
                  <c:v>5500</c:v>
                </c:pt>
                <c:pt idx="14" formatCode="#,##0">
                  <c:v>6000</c:v>
                </c:pt>
                <c:pt idx="15" formatCode="#,##0">
                  <c:v>6500</c:v>
                </c:pt>
                <c:pt idx="16" formatCode="#,##0">
                  <c:v>7000</c:v>
                </c:pt>
                <c:pt idx="17" formatCode="#,##0">
                  <c:v>7500</c:v>
                </c:pt>
                <c:pt idx="18" formatCode="#,##0">
                  <c:v>8000</c:v>
                </c:pt>
                <c:pt idx="19" formatCode="#,##0">
                  <c:v>8500</c:v>
                </c:pt>
                <c:pt idx="20" formatCode="#,##0">
                  <c:v>9250</c:v>
                </c:pt>
                <c:pt idx="21" formatCode="#,##0">
                  <c:v>9500</c:v>
                </c:pt>
                <c:pt idx="22" formatCode="#,##0">
                  <c:v>10000</c:v>
                </c:pt>
                <c:pt idx="23" formatCode="#,##0">
                  <c:v>10500</c:v>
                </c:pt>
                <c:pt idx="24" formatCode="#,##0">
                  <c:v>11000</c:v>
                </c:pt>
                <c:pt idx="25" formatCode="#,##0">
                  <c:v>11500</c:v>
                </c:pt>
                <c:pt idx="26" formatCode="#,##0">
                  <c:v>12000</c:v>
                </c:pt>
                <c:pt idx="27" formatCode="#,##0">
                  <c:v>12500</c:v>
                </c:pt>
                <c:pt idx="28" formatCode="#,##0">
                  <c:v>13000</c:v>
                </c:pt>
                <c:pt idx="29" formatCode="#,##0">
                  <c:v>13500</c:v>
                </c:pt>
                <c:pt idx="30" formatCode="#,##0">
                  <c:v>14000</c:v>
                </c:pt>
                <c:pt idx="31" formatCode="#,##0">
                  <c:v>14708</c:v>
                </c:pt>
                <c:pt idx="32" formatCode="#,##0">
                  <c:v>15000</c:v>
                </c:pt>
                <c:pt idx="33" formatCode="#,##0">
                  <c:v>15500</c:v>
                </c:pt>
                <c:pt idx="34" formatCode="#,##0">
                  <c:v>16000</c:v>
                </c:pt>
                <c:pt idx="35" formatCode="#,##0">
                  <c:v>16500</c:v>
                </c:pt>
                <c:pt idx="36" formatCode="#,##0">
                  <c:v>17000</c:v>
                </c:pt>
                <c:pt idx="37" formatCode="#,##0">
                  <c:v>17500</c:v>
                </c:pt>
                <c:pt idx="38" formatCode="#,##0">
                  <c:v>18000</c:v>
                </c:pt>
                <c:pt idx="39" formatCode="#,##0">
                  <c:v>18500</c:v>
                </c:pt>
                <c:pt idx="40" formatCode="#,##0">
                  <c:v>19000</c:v>
                </c:pt>
                <c:pt idx="41" formatCode="#,##0">
                  <c:v>19500</c:v>
                </c:pt>
                <c:pt idx="42" formatCode="#,##0">
                  <c:v>20000</c:v>
                </c:pt>
                <c:pt idx="43" formatCode="#,##0">
                  <c:v>20500</c:v>
                </c:pt>
                <c:pt idx="44" formatCode="#,##0">
                  <c:v>21000</c:v>
                </c:pt>
                <c:pt idx="45" formatCode="#,##0">
                  <c:v>21425</c:v>
                </c:pt>
                <c:pt idx="46" formatCode="#,##0">
                  <c:v>22000</c:v>
                </c:pt>
                <c:pt idx="47" formatCode="#,##0">
                  <c:v>22500</c:v>
                </c:pt>
                <c:pt idx="48" formatCode="#,##0">
                  <c:v>23000</c:v>
                </c:pt>
                <c:pt idx="49" formatCode="#,##0">
                  <c:v>23500</c:v>
                </c:pt>
                <c:pt idx="50" formatCode="#,##0">
                  <c:v>24000</c:v>
                </c:pt>
                <c:pt idx="51" formatCode="#,##0">
                  <c:v>24500</c:v>
                </c:pt>
                <c:pt idx="52" formatCode="#,##0">
                  <c:v>25000</c:v>
                </c:pt>
                <c:pt idx="53" formatCode="#,##0">
                  <c:v>25500</c:v>
                </c:pt>
                <c:pt idx="54" formatCode="#,##0">
                  <c:v>26000</c:v>
                </c:pt>
                <c:pt idx="55" formatCode="#,##0">
                  <c:v>26500</c:v>
                </c:pt>
                <c:pt idx="56" formatCode="#,##0">
                  <c:v>27000</c:v>
                </c:pt>
                <c:pt idx="57" formatCode="#,##0">
                  <c:v>27500</c:v>
                </c:pt>
                <c:pt idx="58" formatCode="#,##0">
                  <c:v>28000</c:v>
                </c:pt>
                <c:pt idx="59" formatCode="#,##0">
                  <c:v>28500</c:v>
                </c:pt>
                <c:pt idx="60" formatCode="#,##0">
                  <c:v>29000</c:v>
                </c:pt>
                <c:pt idx="61" formatCode="#,##0">
                  <c:v>29500</c:v>
                </c:pt>
                <c:pt idx="62" formatCode="#,##0">
                  <c:v>30000</c:v>
                </c:pt>
                <c:pt idx="63" formatCode="#,##0">
                  <c:v>30500</c:v>
                </c:pt>
                <c:pt idx="64" formatCode="#,##0">
                  <c:v>31000</c:v>
                </c:pt>
                <c:pt idx="65" formatCode="#,##0">
                  <c:v>31500</c:v>
                </c:pt>
                <c:pt idx="66" formatCode="#,##0">
                  <c:v>32000</c:v>
                </c:pt>
                <c:pt idx="67" formatCode="#,##0">
                  <c:v>32500</c:v>
                </c:pt>
                <c:pt idx="68" formatCode="#,##0">
                  <c:v>33000</c:v>
                </c:pt>
                <c:pt idx="69" formatCode="#,##0">
                  <c:v>33500</c:v>
                </c:pt>
                <c:pt idx="70" formatCode="#,##0">
                  <c:v>34000</c:v>
                </c:pt>
                <c:pt idx="71" formatCode="#,##0">
                  <c:v>34500</c:v>
                </c:pt>
                <c:pt idx="72" formatCode="#,##0">
                  <c:v>35000</c:v>
                </c:pt>
                <c:pt idx="73" formatCode="#,##0">
                  <c:v>35500</c:v>
                </c:pt>
                <c:pt idx="74" formatCode="#,##0">
                  <c:v>36000</c:v>
                </c:pt>
                <c:pt idx="75" formatCode="#,##0">
                  <c:v>36500</c:v>
                </c:pt>
                <c:pt idx="76" formatCode="#,##0">
                  <c:v>37000</c:v>
                </c:pt>
                <c:pt idx="77" formatCode="#,##0">
                  <c:v>37500</c:v>
                </c:pt>
                <c:pt idx="78" formatCode="#,##0">
                  <c:v>38000</c:v>
                </c:pt>
                <c:pt idx="79" formatCode="#,##0">
                  <c:v>38500</c:v>
                </c:pt>
                <c:pt idx="80" formatCode="#,##0">
                  <c:v>39000</c:v>
                </c:pt>
                <c:pt idx="81" formatCode="#,##0">
                  <c:v>39500</c:v>
                </c:pt>
                <c:pt idx="82" formatCode="#,##0">
                  <c:v>40000</c:v>
                </c:pt>
                <c:pt idx="83" formatCode="#,##0">
                  <c:v>40500</c:v>
                </c:pt>
                <c:pt idx="84" formatCode="#,##0">
                  <c:v>41000</c:v>
                </c:pt>
                <c:pt idx="85" formatCode="#,##0">
                  <c:v>41500</c:v>
                </c:pt>
                <c:pt idx="86" formatCode="#,##0">
                  <c:v>42000</c:v>
                </c:pt>
                <c:pt idx="87" formatCode="#,##0">
                  <c:v>42500</c:v>
                </c:pt>
                <c:pt idx="88" formatCode="#,##0">
                  <c:v>43000</c:v>
                </c:pt>
                <c:pt idx="89" formatCode="#,##0">
                  <c:v>43500</c:v>
                </c:pt>
                <c:pt idx="90" formatCode="#,##0">
                  <c:v>44000</c:v>
                </c:pt>
              </c:numCache>
            </c:numRef>
          </c:xVal>
          <c:yVal>
            <c:numRef>
              <c:f>Ricker!$AB$7:$AB$97</c:f>
              <c:numCache>
                <c:formatCode>#,##0</c:formatCode>
                <c:ptCount val="91"/>
                <c:pt idx="0">
                  <c:v>0</c:v>
                </c:pt>
                <c:pt idx="1">
                  <c:v>673.57945120906777</c:v>
                </c:pt>
                <c:pt idx="2">
                  <c:v>1670.3470458114878</c:v>
                </c:pt>
                <c:pt idx="3">
                  <c:v>3295.7799784122853</c:v>
                </c:pt>
                <c:pt idx="4">
                  <c:v>6415.042646003767</c:v>
                </c:pt>
                <c:pt idx="5">
                  <c:v>9363.9445162966895</c:v>
                </c:pt>
                <c:pt idx="6">
                  <c:v>12148.451236251452</c:v>
                </c:pt>
                <c:pt idx="7">
                  <c:v>14774.343133751659</c:v>
                </c:pt>
                <c:pt idx="8">
                  <c:v>17247.220610302429</c:v>
                </c:pt>
                <c:pt idx="9">
                  <c:v>19572.509383140965</c:v>
                </c:pt>
                <c:pt idx="10">
                  <c:v>21755.46558084658</c:v>
                </c:pt>
                <c:pt idx="11">
                  <c:v>23801.180696429019</c:v>
                </c:pt>
                <c:pt idx="12">
                  <c:v>25714.58640176776</c:v>
                </c:pt>
                <c:pt idx="13">
                  <c:v>27500.459227172258</c:v>
                </c:pt>
                <c:pt idx="14">
                  <c:v>29163.42510973246</c:v>
                </c:pt>
                <c:pt idx="15">
                  <c:v>30707.963814031347</c:v>
                </c:pt>
                <c:pt idx="16">
                  <c:v>32138.413228696234</c:v>
                </c:pt>
                <c:pt idx="17">
                  <c:v>33458.973542172462</c:v>
                </c:pt>
                <c:pt idx="18">
                  <c:v>34673.711301013376</c:v>
                </c:pt>
                <c:pt idx="19">
                  <c:v>35786.563353892372</c:v>
                </c:pt>
                <c:pt idx="20">
                  <c:v>37273.108763846496</c:v>
                </c:pt>
                <c:pt idx="21">
                  <c:v>37721.732136062703</c:v>
                </c:pt>
                <c:pt idx="22">
                  <c:v>38551.308031340603</c:v>
                </c:pt>
                <c:pt idx="23">
                  <c:v>39293.523689478243</c:v>
                </c:pt>
                <c:pt idx="24">
                  <c:v>39951.722844010925</c:v>
                </c:pt>
                <c:pt idx="25">
                  <c:v>40529.140963850245</c:v>
                </c:pt>
                <c:pt idx="26">
                  <c:v>41028.908480200909</c:v>
                </c:pt>
                <c:pt idx="27">
                  <c:v>41454.053921947321</c:v>
                </c:pt>
                <c:pt idx="28">
                  <c:v>41807.506962021631</c:v>
                </c:pt>
                <c:pt idx="29">
                  <c:v>42092.101377197825</c:v>
                </c:pt>
                <c:pt idx="30">
                  <c:v>42310.577923690937</c:v>
                </c:pt>
                <c:pt idx="31">
                  <c:v>42511.98895043831</c:v>
                </c:pt>
                <c:pt idx="32">
                  <c:v>42559.692015381894</c:v>
                </c:pt>
                <c:pt idx="33">
                  <c:v>42595.370717747333</c:v>
                </c:pt>
                <c:pt idx="34">
                  <c:v>42575.019063780695</c:v>
                </c:pt>
                <c:pt idx="35">
                  <c:v>42500.953052692348</c:v>
                </c:pt>
                <c:pt idx="36">
                  <c:v>42375.411274023922</c:v>
                </c:pt>
                <c:pt idx="37">
                  <c:v>42200.557255339816</c:v>
                </c:pt>
                <c:pt idx="38">
                  <c:v>41978.48174259354</c:v>
                </c:pt>
                <c:pt idx="39">
                  <c:v>41711.204915031056</c:v>
                </c:pt>
                <c:pt idx="40">
                  <c:v>41400.678536442101</c:v>
                </c:pt>
                <c:pt idx="41">
                  <c:v>41048.788044522218</c:v>
                </c:pt>
                <c:pt idx="42">
                  <c:v>40657.354580060615</c:v>
                </c:pt>
                <c:pt idx="43">
                  <c:v>40228.136957622395</c:v>
                </c:pt>
                <c:pt idx="44">
                  <c:v>39762.833579348771</c:v>
                </c:pt>
                <c:pt idx="45">
                  <c:v>39340.17974737956</c:v>
                </c:pt>
                <c:pt idx="46">
                  <c:v>38730.472198964715</c:v>
                </c:pt>
                <c:pt idx="47">
                  <c:v>38166.525398170874</c:v>
                </c:pt>
                <c:pt idx="48">
                  <c:v>37572.718698287004</c:v>
                </c:pt>
                <c:pt idx="49">
                  <c:v>36950.475263695858</c:v>
                </c:pt>
                <c:pt idx="50">
                  <c:v>36301.168220177664</c:v>
                </c:pt>
                <c:pt idx="51">
                  <c:v>35626.122212456365</c:v>
                </c:pt>
                <c:pt idx="52">
                  <c:v>34926.614916367449</c:v>
                </c:pt>
                <c:pt idx="53">
                  <c:v>34203.878506915695</c:v>
                </c:pt>
                <c:pt idx="54">
                  <c:v>33459.101083456502</c:v>
                </c:pt>
                <c:pt idx="55">
                  <c:v>32693.428053201038</c:v>
                </c:pt>
                <c:pt idx="56">
                  <c:v>31907.963474212716</c:v>
                </c:pt>
                <c:pt idx="57">
                  <c:v>31103.771359030914</c:v>
                </c:pt>
                <c:pt idx="58">
                  <c:v>30281.876940026727</c:v>
                </c:pt>
                <c:pt idx="59">
                  <c:v>29443.26789756558</c:v>
                </c:pt>
                <c:pt idx="60">
                  <c:v>28588.895552022295</c:v>
                </c:pt>
                <c:pt idx="61">
                  <c:v>27719.676020665451</c:v>
                </c:pt>
                <c:pt idx="62">
                  <c:v>26836.491340400367</c:v>
                </c:pt>
                <c:pt idx="63">
                  <c:v>25940.190557333</c:v>
                </c:pt>
                <c:pt idx="64">
                  <c:v>25031.590784090491</c:v>
                </c:pt>
                <c:pt idx="65">
                  <c:v>24111.478225809027</c:v>
                </c:pt>
                <c:pt idx="66">
                  <c:v>23180.609175674166</c:v>
                </c:pt>
                <c:pt idx="67">
                  <c:v>22239.710980874988</c:v>
                </c:pt>
                <c:pt idx="68">
                  <c:v>21289.482979809851</c:v>
                </c:pt>
                <c:pt idx="69">
                  <c:v>20330.597411357994</c:v>
                </c:pt>
                <c:pt idx="70">
                  <c:v>19363.700297009826</c:v>
                </c:pt>
                <c:pt idx="71">
                  <c:v>18389.41229662612</c:v>
                </c:pt>
                <c:pt idx="72">
                  <c:v>17408.329538575708</c:v>
                </c:pt>
                <c:pt idx="73">
                  <c:v>16421.024424980373</c:v>
                </c:pt>
                <c:pt idx="74">
                  <c:v>15428.046412775999</c:v>
                </c:pt>
                <c:pt idx="75">
                  <c:v>14429.922771278929</c:v>
                </c:pt>
                <c:pt idx="76">
                  <c:v>13427.15931692798</c:v>
                </c:pt>
                <c:pt idx="77">
                  <c:v>12420.241125854125</c:v>
                </c:pt>
                <c:pt idx="78">
                  <c:v>11409.633224911384</c:v>
                </c:pt>
                <c:pt idx="79">
                  <c:v>10395.781261785523</c:v>
                </c:pt>
                <c:pt idx="80">
                  <c:v>9379.1121547798903</c:v>
                </c:pt>
                <c:pt idx="81">
                  <c:v>8360.0347228611354</c:v>
                </c:pt>
                <c:pt idx="82">
                  <c:v>7338.9402965314366</c:v>
                </c:pt>
                <c:pt idx="83">
                  <c:v>6316.203310078432</c:v>
                </c:pt>
                <c:pt idx="84">
                  <c:v>5292.181875738439</c:v>
                </c:pt>
                <c:pt idx="85">
                  <c:v>4267.2183402937735</c:v>
                </c:pt>
                <c:pt idx="86">
                  <c:v>3241.6398246109602</c:v>
                </c:pt>
                <c:pt idx="87">
                  <c:v>2215.758746611893</c:v>
                </c:pt>
                <c:pt idx="88">
                  <c:v>1189.8733281567402</c:v>
                </c:pt>
                <c:pt idx="89">
                  <c:v>164.26808630419691</c:v>
                </c:pt>
                <c:pt idx="90">
                  <c:v>-860.78569059867732</c:v>
                </c:pt>
              </c:numCache>
            </c:numRef>
          </c:yVal>
          <c:smooth val="0"/>
          <c:extLst>
            <c:ext xmlns:c16="http://schemas.microsoft.com/office/drawing/2014/chart" uri="{C3380CC4-5D6E-409C-BE32-E72D297353CC}">
              <c16:uniqueId val="{00000000-2A31-4159-8CBA-9C8F7602384A}"/>
            </c:ext>
          </c:extLst>
        </c:ser>
        <c:dLbls>
          <c:showLegendKey val="0"/>
          <c:showVal val="0"/>
          <c:showCatName val="0"/>
          <c:showSerName val="0"/>
          <c:showPercent val="0"/>
          <c:showBubbleSize val="0"/>
        </c:dLbls>
        <c:axId val="205351936"/>
        <c:axId val="205363456"/>
      </c:scatterChart>
      <c:valAx>
        <c:axId val="205351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Spawning escapement</a:t>
                </a:r>
              </a:p>
            </c:rich>
          </c:tx>
          <c:layout>
            <c:manualLayout>
              <c:xMode val="edge"/>
              <c:yMode val="edge"/>
              <c:x val="0.40121007238579781"/>
              <c:y val="0.9177508576646612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363456"/>
        <c:crosses val="autoZero"/>
        <c:crossBetween val="midCat"/>
      </c:valAx>
      <c:valAx>
        <c:axId val="205363456"/>
        <c:scaling>
          <c:orientation val="minMax"/>
        </c:scaling>
        <c:delete val="0"/>
        <c:axPos val="l"/>
        <c:majorGridlines>
          <c:spPr>
            <a:ln w="3175">
              <a:solidFill>
                <a:srgbClr val="969696"/>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a:t>Yield</a:t>
                </a:r>
              </a:p>
            </c:rich>
          </c:tx>
          <c:layout>
            <c:manualLayout>
              <c:xMode val="edge"/>
              <c:yMode val="edge"/>
              <c:x val="3.2258096272225006E-2"/>
              <c:y val="0.4870140164494072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3519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ahoma"/>
                <a:ea typeface="Tahoma"/>
                <a:cs typeface="Tahoma"/>
              </a:defRPr>
            </a:pPr>
            <a:r>
              <a:rPr lang="en-US"/>
              <a:t># of CR Chinook Age 1.2 vs. 1.3</a:t>
            </a:r>
          </a:p>
        </c:rich>
      </c:tx>
      <c:layout>
        <c:manualLayout>
          <c:xMode val="edge"/>
          <c:yMode val="edge"/>
          <c:x val="0.22549055589153771"/>
          <c:y val="3.3639244192123746E-2"/>
        </c:manualLayout>
      </c:layout>
      <c:overlay val="0"/>
      <c:spPr>
        <a:noFill/>
        <a:ln w="25400">
          <a:noFill/>
        </a:ln>
      </c:spPr>
    </c:title>
    <c:autoTitleDeleted val="0"/>
    <c:plotArea>
      <c:layout>
        <c:manualLayout>
          <c:layoutTarget val="inner"/>
          <c:xMode val="edge"/>
          <c:yMode val="edge"/>
          <c:x val="0.19444475471806499"/>
          <c:y val="0.16819622096061768"/>
          <c:w val="0.76143912351780074"/>
          <c:h val="0.5963320561330997"/>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6.977406585238792E-2"/>
                  <c:y val="0.33505685051228495"/>
                </c:manualLayout>
              </c:layout>
              <c:numFmt formatCode="General" sourceLinked="0"/>
              <c:spPr>
                <a:noFill/>
                <a:ln w="25400">
                  <a:noFill/>
                </a:ln>
              </c:spPr>
              <c:txPr>
                <a:bodyPr/>
                <a:lstStyle/>
                <a:p>
                  <a:pPr>
                    <a:defRPr sz="1200" b="0" i="0" u="none" strike="noStrike" baseline="0">
                      <a:solidFill>
                        <a:srgbClr val="000000"/>
                      </a:solidFill>
                      <a:latin typeface="Tahoma"/>
                      <a:ea typeface="Tahoma"/>
                      <a:cs typeface="Tahoma"/>
                    </a:defRPr>
                  </a:pPr>
                  <a:endParaRPr lang="en-US"/>
                </a:p>
              </c:txPr>
            </c:trendlineLbl>
          </c:trendline>
          <c:xVal>
            <c:numRef>
              <c:f>FBrood!$D$28:$D$44</c:f>
              <c:numCache>
                <c:formatCode>#,##0.00</c:formatCode>
                <c:ptCount val="17"/>
                <c:pt idx="0">
                  <c:v>9.2605604038339493</c:v>
                </c:pt>
                <c:pt idx="1">
                  <c:v>8.4706338418508089</c:v>
                </c:pt>
                <c:pt idx="2">
                  <c:v>9.0612250503644347</c:v>
                </c:pt>
                <c:pt idx="3">
                  <c:v>8.7964310364144289</c:v>
                </c:pt>
                <c:pt idx="4">
                  <c:v>8.6957050661179398</c:v>
                </c:pt>
                <c:pt idx="5">
                  <c:v>8.5210999670991967</c:v>
                </c:pt>
                <c:pt idx="6">
                  <c:v>8.6812936257840825</c:v>
                </c:pt>
                <c:pt idx="7">
                  <c:v>9.1658104658028474</c:v>
                </c:pt>
                <c:pt idx="8">
                  <c:v>8.5487733927059573</c:v>
                </c:pt>
                <c:pt idx="9">
                  <c:v>8.2875868447827692</c:v>
                </c:pt>
                <c:pt idx="10">
                  <c:v>8.4317956891327839</c:v>
                </c:pt>
                <c:pt idx="11">
                  <c:v>8.5943219857568938</c:v>
                </c:pt>
                <c:pt idx="12">
                  <c:v>8.6078227782237438</c:v>
                </c:pt>
                <c:pt idx="13">
                  <c:v>8.2485379885467474</c:v>
                </c:pt>
                <c:pt idx="14">
                  <c:v>8.66922270044026</c:v>
                </c:pt>
                <c:pt idx="15">
                  <c:v>9.0876530941287168</c:v>
                </c:pt>
                <c:pt idx="16">
                  <c:v>8.7741506509157503</c:v>
                </c:pt>
              </c:numCache>
            </c:numRef>
          </c:xVal>
          <c:yVal>
            <c:numRef>
              <c:f>FBrood!$H$28:$H$44</c:f>
              <c:numCache>
                <c:formatCode>#,##0.00</c:formatCode>
                <c:ptCount val="17"/>
                <c:pt idx="0">
                  <c:v>10.789352931941133</c:v>
                </c:pt>
                <c:pt idx="1">
                  <c:v>10.932762591336017</c:v>
                </c:pt>
                <c:pt idx="2">
                  <c:v>10.803113282007757</c:v>
                </c:pt>
                <c:pt idx="3">
                  <c:v>11.032613945187711</c:v>
                </c:pt>
                <c:pt idx="4">
                  <c:v>10.768363571451721</c:v>
                </c:pt>
                <c:pt idx="5">
                  <c:v>10.535511595455096</c:v>
                </c:pt>
                <c:pt idx="6">
                  <c:v>11.130479873503816</c:v>
                </c:pt>
                <c:pt idx="7">
                  <c:v>10.967830558393432</c:v>
                </c:pt>
                <c:pt idx="8">
                  <c:v>10.379405950511826</c:v>
                </c:pt>
                <c:pt idx="9">
                  <c:v>10.204959256251302</c:v>
                </c:pt>
                <c:pt idx="10">
                  <c:v>9.8896200751423216</c:v>
                </c:pt>
                <c:pt idx="11">
                  <c:v>10.623100792171124</c:v>
                </c:pt>
                <c:pt idx="12">
                  <c:v>10.473027633372794</c:v>
                </c:pt>
                <c:pt idx="13">
                  <c:v>10.180744054918474</c:v>
                </c:pt>
                <c:pt idx="14">
                  <c:v>9.6782501880408773</c:v>
                </c:pt>
                <c:pt idx="15">
                  <c:v>10.524446289971486</c:v>
                </c:pt>
                <c:pt idx="16">
                  <c:v>9.8062026003423828</c:v>
                </c:pt>
              </c:numCache>
            </c:numRef>
          </c:yVal>
          <c:smooth val="0"/>
          <c:extLst>
            <c:ext xmlns:c16="http://schemas.microsoft.com/office/drawing/2014/chart" uri="{C3380CC4-5D6E-409C-BE32-E72D297353CC}">
              <c16:uniqueId val="{00000001-5996-48DE-9B10-B1A1CA69E776}"/>
            </c:ext>
          </c:extLst>
        </c:ser>
        <c:dLbls>
          <c:showLegendKey val="0"/>
          <c:showVal val="0"/>
          <c:showCatName val="0"/>
          <c:showSerName val="0"/>
          <c:showPercent val="0"/>
          <c:showBubbleSize val="0"/>
        </c:dLbls>
        <c:axId val="206809728"/>
        <c:axId val="206811904"/>
      </c:scatterChart>
      <c:valAx>
        <c:axId val="206809728"/>
        <c:scaling>
          <c:orientation val="minMax"/>
        </c:scaling>
        <c:delete val="0"/>
        <c:axPos val="b"/>
        <c:title>
          <c:tx>
            <c:rich>
              <a:bodyPr/>
              <a:lstStyle/>
              <a:p>
                <a:pPr>
                  <a:defRPr sz="1200" b="1" i="0" u="none" strike="noStrike" baseline="0">
                    <a:solidFill>
                      <a:srgbClr val="000000"/>
                    </a:solidFill>
                    <a:latin typeface="Tahoma"/>
                    <a:ea typeface="Tahoma"/>
                    <a:cs typeface="Tahoma"/>
                  </a:defRPr>
                </a:pPr>
                <a:r>
                  <a:rPr lang="en-US"/>
                  <a:t>Ln Total Return of Age 1.2 at Year T0</a:t>
                </a:r>
              </a:p>
            </c:rich>
          </c:tx>
          <c:layout>
            <c:manualLayout>
              <c:xMode val="edge"/>
              <c:yMode val="edge"/>
              <c:x val="0.32026194894740267"/>
              <c:y val="0.8746203489952127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206811904"/>
        <c:crosses val="autoZero"/>
        <c:crossBetween val="midCat"/>
      </c:valAx>
      <c:valAx>
        <c:axId val="206811904"/>
        <c:scaling>
          <c:orientation val="minMax"/>
        </c:scaling>
        <c:delete val="0"/>
        <c:axPos val="l"/>
        <c:title>
          <c:tx>
            <c:rich>
              <a:bodyPr/>
              <a:lstStyle/>
              <a:p>
                <a:pPr>
                  <a:defRPr sz="1200" b="1" i="0" u="none" strike="noStrike" baseline="0">
                    <a:solidFill>
                      <a:srgbClr val="000000"/>
                    </a:solidFill>
                    <a:latin typeface="Tahoma"/>
                    <a:ea typeface="Tahoma"/>
                    <a:cs typeface="Tahoma"/>
                  </a:defRPr>
                </a:pPr>
                <a:r>
                  <a:rPr lang="en-US"/>
                  <a:t>Ln Total Return of Age 1.3 at Year T1</a:t>
                </a:r>
              </a:p>
            </c:rich>
          </c:tx>
          <c:layout>
            <c:manualLayout>
              <c:xMode val="edge"/>
              <c:yMode val="edge"/>
              <c:x val="2.6143832567134977E-2"/>
              <c:y val="0.1712543340689935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206809728"/>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ahoma"/>
          <a:ea typeface="Tahoma"/>
          <a:cs typeface="Tahoma"/>
        </a:defRPr>
      </a:pPr>
      <a:endParaRPr lang="en-US"/>
    </a:p>
  </c:txPr>
  <c:printSettings>
    <c:headerFooter alignWithMargins="0"/>
    <c:pageMargins b="1" l="0.75000000000000278" r="0.75000000000000278"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Copper River Chinook Salmon Sibling</a:t>
            </a:r>
          </a:p>
        </c:rich>
      </c:tx>
      <c:layout>
        <c:manualLayout>
          <c:xMode val="edge"/>
          <c:yMode val="edge"/>
          <c:x val="0.30161054172767204"/>
          <c:y val="6.4623310975017015E-2"/>
        </c:manualLayout>
      </c:layout>
      <c:overlay val="0"/>
      <c:spPr>
        <a:noFill/>
        <a:ln w="25400">
          <a:noFill/>
        </a:ln>
      </c:spPr>
    </c:title>
    <c:autoTitleDeleted val="0"/>
    <c:plotArea>
      <c:layout>
        <c:manualLayout>
          <c:layoutTarget val="inner"/>
          <c:xMode val="edge"/>
          <c:yMode val="edge"/>
          <c:x val="0.1566617862371889"/>
          <c:y val="0.14310356874963687"/>
          <c:w val="0.80527086383601754"/>
          <c:h val="0.66896608041998962"/>
        </c:manualLayout>
      </c:layout>
      <c:scatterChart>
        <c:scatterStyle val="lineMarker"/>
        <c:varyColors val="0"/>
        <c:ser>
          <c:idx val="0"/>
          <c:order val="0"/>
          <c:spPr>
            <a:ln w="3175">
              <a:solidFill>
                <a:srgbClr val="0000FF"/>
              </a:solidFill>
              <a:prstDash val="solid"/>
            </a:ln>
          </c:spPr>
          <c:marker>
            <c:symbol val="none"/>
          </c:marker>
          <c:xVal>
            <c:numRef>
              <c:f>'Ln1.3=ln1.2'!$Z$11:$Z$39</c:f>
              <c:numCache>
                <c:formatCode>General</c:formatCode>
                <c:ptCount val="29"/>
                <c:pt idx="0" formatCode="0.00">
                  <c:v>6.9651992487549279</c:v>
                </c:pt>
                <c:pt idx="1">
                  <c:v>8.1821467439441573</c:v>
                </c:pt>
                <c:pt idx="2">
                  <c:v>7.9476460397232467</c:v>
                </c:pt>
                <c:pt idx="3">
                  <c:v>7.7631542768994439</c:v>
                </c:pt>
                <c:pt idx="4">
                  <c:v>6.7203183131237312</c:v>
                </c:pt>
                <c:pt idx="5">
                  <c:v>6.8778079534695964</c:v>
                </c:pt>
                <c:pt idx="6">
                  <c:v>6.6752034431023413</c:v>
                </c:pt>
                <c:pt idx="7">
                  <c:v>7.1463014420176147</c:v>
                </c:pt>
                <c:pt idx="8">
                  <c:v>7.0444165992449843</c:v>
                </c:pt>
                <c:pt idx="9">
                  <c:v>8.2490610282566887</c:v>
                </c:pt>
                <c:pt idx="10">
                  <c:v>8.3214576193733816</c:v>
                </c:pt>
                <c:pt idx="11">
                  <c:v>8.3212883245325262</c:v>
                </c:pt>
                <c:pt idx="12">
                  <c:v>8.8738517478878638</c:v>
                </c:pt>
                <c:pt idx="13">
                  <c:v>8.6723195204978065</c:v>
                </c:pt>
                <c:pt idx="14">
                  <c:v>8.8698552916252602</c:v>
                </c:pt>
                <c:pt idx="15">
                  <c:v>8.7260065273123786</c:v>
                </c:pt>
                <c:pt idx="16">
                  <c:v>9.2605604038339493</c:v>
                </c:pt>
                <c:pt idx="17">
                  <c:v>8.4706338418508089</c:v>
                </c:pt>
                <c:pt idx="18">
                  <c:v>9.0612250503644347</c:v>
                </c:pt>
                <c:pt idx="19">
                  <c:v>8.7964310364144289</c:v>
                </c:pt>
                <c:pt idx="20">
                  <c:v>8.6957050661179398</c:v>
                </c:pt>
                <c:pt idx="21">
                  <c:v>8.5210999670991967</c:v>
                </c:pt>
                <c:pt idx="22">
                  <c:v>8.6812936257840825</c:v>
                </c:pt>
                <c:pt idx="23">
                  <c:v>9.1658104658028474</c:v>
                </c:pt>
                <c:pt idx="24">
                  <c:v>8.5487733927059573</c:v>
                </c:pt>
                <c:pt idx="25">
                  <c:v>8.2875868447827692</c:v>
                </c:pt>
                <c:pt idx="26">
                  <c:v>8.4317956891327839</c:v>
                </c:pt>
                <c:pt idx="27">
                  <c:v>8.5943219857568938</c:v>
                </c:pt>
                <c:pt idx="28">
                  <c:v>8.6078227782237438</c:v>
                </c:pt>
              </c:numCache>
            </c:numRef>
          </c:xVal>
          <c:yVal>
            <c:numRef>
              <c:f>'Ln1.3=ln1.2'!$AD$11:$AD$45</c:f>
              <c:numCache>
                <c:formatCode>0.0000</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yVal>
          <c:smooth val="0"/>
          <c:extLst>
            <c:ext xmlns:c16="http://schemas.microsoft.com/office/drawing/2014/chart" uri="{C3380CC4-5D6E-409C-BE32-E72D297353CC}">
              <c16:uniqueId val="{00000000-03F1-4E8B-B4E9-14CD94769CA3}"/>
            </c:ext>
          </c:extLst>
        </c:ser>
        <c:ser>
          <c:idx val="3"/>
          <c:order val="1"/>
          <c:spPr>
            <a:ln w="3175">
              <a:solidFill>
                <a:srgbClr val="996666"/>
              </a:solidFill>
              <a:prstDash val="solid"/>
            </a:ln>
          </c:spPr>
          <c:marker>
            <c:symbol val="none"/>
          </c:marker>
          <c:xVal>
            <c:numRef>
              <c:f>'Ln1.3=ln1.2'!$Z$11:$Z$39</c:f>
              <c:numCache>
                <c:formatCode>General</c:formatCode>
                <c:ptCount val="29"/>
                <c:pt idx="0" formatCode="0.00">
                  <c:v>6.9651992487549279</c:v>
                </c:pt>
                <c:pt idx="1">
                  <c:v>8.1821467439441573</c:v>
                </c:pt>
                <c:pt idx="2">
                  <c:v>7.9476460397232467</c:v>
                </c:pt>
                <c:pt idx="3">
                  <c:v>7.7631542768994439</c:v>
                </c:pt>
                <c:pt idx="4">
                  <c:v>6.7203183131237312</c:v>
                </c:pt>
                <c:pt idx="5">
                  <c:v>6.8778079534695964</c:v>
                </c:pt>
                <c:pt idx="6">
                  <c:v>6.6752034431023413</c:v>
                </c:pt>
                <c:pt idx="7">
                  <c:v>7.1463014420176147</c:v>
                </c:pt>
                <c:pt idx="8">
                  <c:v>7.0444165992449843</c:v>
                </c:pt>
                <c:pt idx="9">
                  <c:v>8.2490610282566887</c:v>
                </c:pt>
                <c:pt idx="10">
                  <c:v>8.3214576193733816</c:v>
                </c:pt>
                <c:pt idx="11">
                  <c:v>8.3212883245325262</c:v>
                </c:pt>
                <c:pt idx="12">
                  <c:v>8.8738517478878638</c:v>
                </c:pt>
                <c:pt idx="13">
                  <c:v>8.6723195204978065</c:v>
                </c:pt>
                <c:pt idx="14">
                  <c:v>8.8698552916252602</c:v>
                </c:pt>
                <c:pt idx="15">
                  <c:v>8.7260065273123786</c:v>
                </c:pt>
                <c:pt idx="16">
                  <c:v>9.2605604038339493</c:v>
                </c:pt>
                <c:pt idx="17">
                  <c:v>8.4706338418508089</c:v>
                </c:pt>
                <c:pt idx="18">
                  <c:v>9.0612250503644347</c:v>
                </c:pt>
                <c:pt idx="19">
                  <c:v>8.7964310364144289</c:v>
                </c:pt>
                <c:pt idx="20">
                  <c:v>8.6957050661179398</c:v>
                </c:pt>
                <c:pt idx="21">
                  <c:v>8.5210999670991967</c:v>
                </c:pt>
                <c:pt idx="22">
                  <c:v>8.6812936257840825</c:v>
                </c:pt>
                <c:pt idx="23">
                  <c:v>9.1658104658028474</c:v>
                </c:pt>
                <c:pt idx="24">
                  <c:v>8.5487733927059573</c:v>
                </c:pt>
                <c:pt idx="25">
                  <c:v>8.2875868447827692</c:v>
                </c:pt>
                <c:pt idx="26">
                  <c:v>8.4317956891327839</c:v>
                </c:pt>
                <c:pt idx="27">
                  <c:v>8.5943219857568938</c:v>
                </c:pt>
                <c:pt idx="28">
                  <c:v>8.6078227782237438</c:v>
                </c:pt>
              </c:numCache>
            </c:numRef>
          </c:xVal>
          <c:yVal>
            <c:numRef>
              <c:f>'Ln1.3=ln1.2'!$AE$11:$AE$45</c:f>
              <c:numCache>
                <c:formatCode>0.0000</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4">
                  <c:v>0</c:v>
                </c:pt>
              </c:numCache>
            </c:numRef>
          </c:yVal>
          <c:smooth val="0"/>
          <c:extLst>
            <c:ext xmlns:c16="http://schemas.microsoft.com/office/drawing/2014/chart" uri="{C3380CC4-5D6E-409C-BE32-E72D297353CC}">
              <c16:uniqueId val="{00000001-03F1-4E8B-B4E9-14CD94769CA3}"/>
            </c:ext>
          </c:extLst>
        </c:ser>
        <c:ser>
          <c:idx val="1"/>
          <c:order val="2"/>
          <c:spPr>
            <a:ln w="28575">
              <a:noFill/>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linear"/>
            <c:dispRSqr val="1"/>
            <c:dispEq val="1"/>
            <c:trendlineLbl>
              <c:layout>
                <c:manualLayout>
                  <c:x val="-0.5164218381926271"/>
                  <c:y val="-8.7043841742004469E-2"/>
                </c:manualLayout>
              </c:layout>
              <c:numFmt formatCode="General" sourceLinked="0"/>
              <c:spPr>
                <a:noFill/>
                <a:ln w="25400">
                  <a:noFill/>
                </a:ln>
              </c:spPr>
              <c:txPr>
                <a:bodyPr/>
                <a:lstStyle/>
                <a:p>
                  <a:pPr>
                    <a:defRPr sz="950" b="0" i="0" u="none" strike="noStrike" baseline="0">
                      <a:solidFill>
                        <a:srgbClr val="000000"/>
                      </a:solidFill>
                      <a:latin typeface="Arial"/>
                      <a:ea typeface="Arial"/>
                      <a:cs typeface="Arial"/>
                    </a:defRPr>
                  </a:pPr>
                  <a:endParaRPr lang="en-US"/>
                </a:p>
              </c:txPr>
            </c:trendlineLbl>
          </c:trendline>
          <c:xVal>
            <c:numRef>
              <c:f>'Ln1.3=ln1.2'!$Z$11:$Z$45</c:f>
              <c:numCache>
                <c:formatCode>General</c:formatCode>
                <c:ptCount val="35"/>
                <c:pt idx="0" formatCode="0.00">
                  <c:v>6.9651992487549279</c:v>
                </c:pt>
                <c:pt idx="1">
                  <c:v>8.1821467439441573</c:v>
                </c:pt>
                <c:pt idx="2">
                  <c:v>7.9476460397232467</c:v>
                </c:pt>
                <c:pt idx="3">
                  <c:v>7.7631542768994439</c:v>
                </c:pt>
                <c:pt idx="4">
                  <c:v>6.7203183131237312</c:v>
                </c:pt>
                <c:pt idx="5">
                  <c:v>6.8778079534695964</c:v>
                </c:pt>
                <c:pt idx="6">
                  <c:v>6.6752034431023413</c:v>
                </c:pt>
                <c:pt idx="7">
                  <c:v>7.1463014420176147</c:v>
                </c:pt>
                <c:pt idx="8">
                  <c:v>7.0444165992449843</c:v>
                </c:pt>
                <c:pt idx="9">
                  <c:v>8.2490610282566887</c:v>
                </c:pt>
                <c:pt idx="10">
                  <c:v>8.3214576193733816</c:v>
                </c:pt>
                <c:pt idx="11">
                  <c:v>8.3212883245325262</c:v>
                </c:pt>
                <c:pt idx="12">
                  <c:v>8.8738517478878638</c:v>
                </c:pt>
                <c:pt idx="13">
                  <c:v>8.6723195204978065</c:v>
                </c:pt>
                <c:pt idx="14">
                  <c:v>8.8698552916252602</c:v>
                </c:pt>
                <c:pt idx="15">
                  <c:v>8.7260065273123786</c:v>
                </c:pt>
                <c:pt idx="16">
                  <c:v>9.2605604038339493</c:v>
                </c:pt>
                <c:pt idx="17">
                  <c:v>8.4706338418508089</c:v>
                </c:pt>
                <c:pt idx="18">
                  <c:v>9.0612250503644347</c:v>
                </c:pt>
                <c:pt idx="19">
                  <c:v>8.7964310364144289</c:v>
                </c:pt>
                <c:pt idx="20">
                  <c:v>8.6957050661179398</c:v>
                </c:pt>
                <c:pt idx="21">
                  <c:v>8.5210999670991967</c:v>
                </c:pt>
                <c:pt idx="22">
                  <c:v>8.6812936257840825</c:v>
                </c:pt>
                <c:pt idx="23">
                  <c:v>9.1658104658028474</c:v>
                </c:pt>
                <c:pt idx="24">
                  <c:v>8.5487733927059573</c:v>
                </c:pt>
                <c:pt idx="25">
                  <c:v>8.2875868447827692</c:v>
                </c:pt>
                <c:pt idx="26">
                  <c:v>8.4317956891327839</c:v>
                </c:pt>
                <c:pt idx="27">
                  <c:v>8.5943219857568938</c:v>
                </c:pt>
                <c:pt idx="28">
                  <c:v>8.6078227782237438</c:v>
                </c:pt>
                <c:pt idx="29">
                  <c:v>8.2485379885467474</c:v>
                </c:pt>
                <c:pt idx="30">
                  <c:v>8.66922270044026</c:v>
                </c:pt>
                <c:pt idx="31">
                  <c:v>9.0876530941287168</c:v>
                </c:pt>
                <c:pt idx="32">
                  <c:v>8.7741506509157503</c:v>
                </c:pt>
                <c:pt idx="33">
                  <c:v>8.3258066626308604</c:v>
                </c:pt>
                <c:pt idx="34">
                  <c:v>7.6266639812934791</c:v>
                </c:pt>
              </c:numCache>
            </c:numRef>
          </c:xVal>
          <c:yVal>
            <c:numRef>
              <c:f>'Ln1.3=ln1.2'!$AB$11:$AB$45</c:f>
              <c:numCache>
                <c:formatCode>General</c:formatCode>
                <c:ptCount val="35"/>
                <c:pt idx="0">
                  <c:v>10.13504358499859</c:v>
                </c:pt>
                <c:pt idx="1">
                  <c:v>10.431687290277248</c:v>
                </c:pt>
                <c:pt idx="2">
                  <c:v>9.9934902869486333</c:v>
                </c:pt>
                <c:pt idx="3">
                  <c:v>9.2102874380007052</c:v>
                </c:pt>
                <c:pt idx="4">
                  <c:v>8.9586545817934145</c:v>
                </c:pt>
                <c:pt idx="5">
                  <c:v>8.9356471061030138</c:v>
                </c:pt>
                <c:pt idx="6">
                  <c:v>8.6300723085055857</c:v>
                </c:pt>
                <c:pt idx="7">
                  <c:v>9.8927634816679095</c:v>
                </c:pt>
                <c:pt idx="8">
                  <c:v>9.1458366599460579</c:v>
                </c:pt>
                <c:pt idx="9">
                  <c:v>10.352901931665681</c:v>
                </c:pt>
                <c:pt idx="10">
                  <c:v>10.364719107135071</c:v>
                </c:pt>
                <c:pt idx="11">
                  <c:v>10.932271267111018</c:v>
                </c:pt>
                <c:pt idx="12">
                  <c:v>10.656121348880983</c:v>
                </c:pt>
                <c:pt idx="13">
                  <c:v>10.933721433830124</c:v>
                </c:pt>
                <c:pt idx="14">
                  <c:v>11.132704821306314</c:v>
                </c:pt>
                <c:pt idx="15">
                  <c:v>10.927145676643779</c:v>
                </c:pt>
                <c:pt idx="16">
                  <c:v>10.789352931941133</c:v>
                </c:pt>
                <c:pt idx="17">
                  <c:v>10.932762591336017</c:v>
                </c:pt>
                <c:pt idx="18">
                  <c:v>10.803113282007757</c:v>
                </c:pt>
                <c:pt idx="19">
                  <c:v>11.032613945187711</c:v>
                </c:pt>
                <c:pt idx="20">
                  <c:v>10.768363571451721</c:v>
                </c:pt>
                <c:pt idx="21">
                  <c:v>10.535511595455096</c:v>
                </c:pt>
                <c:pt idx="22">
                  <c:v>11.130479873503816</c:v>
                </c:pt>
                <c:pt idx="23">
                  <c:v>10.967830558393432</c:v>
                </c:pt>
                <c:pt idx="24">
                  <c:v>10.379405950511826</c:v>
                </c:pt>
                <c:pt idx="25">
                  <c:v>10.204959256251302</c:v>
                </c:pt>
                <c:pt idx="26">
                  <c:v>9.8896200751423216</c:v>
                </c:pt>
                <c:pt idx="27">
                  <c:v>10.623100792171124</c:v>
                </c:pt>
                <c:pt idx="28">
                  <c:v>10.473027633372794</c:v>
                </c:pt>
                <c:pt idx="29">
                  <c:v>10.180744054918474</c:v>
                </c:pt>
                <c:pt idx="30">
                  <c:v>9.6782501880408773</c:v>
                </c:pt>
                <c:pt idx="31">
                  <c:v>10.524446289971486</c:v>
                </c:pt>
                <c:pt idx="32">
                  <c:v>9.8062026003423828</c:v>
                </c:pt>
                <c:pt idx="33">
                  <c:v>0</c:v>
                </c:pt>
                <c:pt idx="34">
                  <c:v>9.4867647439893457</c:v>
                </c:pt>
              </c:numCache>
            </c:numRef>
          </c:yVal>
          <c:smooth val="0"/>
          <c:extLst>
            <c:ext xmlns:c16="http://schemas.microsoft.com/office/drawing/2014/chart" uri="{C3380CC4-5D6E-409C-BE32-E72D297353CC}">
              <c16:uniqueId val="{00000003-03F1-4E8B-B4E9-14CD94769CA3}"/>
            </c:ext>
          </c:extLst>
        </c:ser>
        <c:dLbls>
          <c:showLegendKey val="0"/>
          <c:showVal val="0"/>
          <c:showCatName val="0"/>
          <c:showSerName val="0"/>
          <c:showPercent val="0"/>
          <c:showBubbleSize val="0"/>
        </c:dLbls>
        <c:axId val="206713984"/>
        <c:axId val="206715904"/>
      </c:scatterChart>
      <c:valAx>
        <c:axId val="206713984"/>
        <c:scaling>
          <c:orientation val="minMax"/>
          <c:min val="6.5"/>
        </c:scaling>
        <c:delete val="0"/>
        <c:axPos val="b"/>
        <c:title>
          <c:tx>
            <c:rich>
              <a:bodyPr/>
              <a:lstStyle/>
              <a:p>
                <a:pPr>
                  <a:defRPr sz="1400" b="1" i="0" u="none" strike="noStrike" baseline="0">
                    <a:solidFill>
                      <a:srgbClr val="000000"/>
                    </a:solidFill>
                    <a:latin typeface="Arial"/>
                    <a:ea typeface="Arial"/>
                    <a:cs typeface="Arial"/>
                  </a:defRPr>
                </a:pPr>
                <a:r>
                  <a:rPr lang="en-US"/>
                  <a:t>Ln(1.2)</a:t>
                </a:r>
              </a:p>
            </c:rich>
          </c:tx>
          <c:layout>
            <c:manualLayout>
              <c:xMode val="edge"/>
              <c:yMode val="edge"/>
              <c:x val="0.5095168374816984"/>
              <c:y val="0.86551797002792152"/>
            </c:manualLayout>
          </c:layout>
          <c:overlay val="0"/>
          <c:spPr>
            <a:noFill/>
            <a:ln w="25400">
              <a:noFill/>
            </a:ln>
          </c:spPr>
        </c:title>
        <c:numFmt formatCode="0.00" sourceLinked="1"/>
        <c:majorTickMark val="out"/>
        <c:minorTickMark val="in"/>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6715904"/>
        <c:crosses val="autoZero"/>
        <c:crossBetween val="midCat"/>
      </c:valAx>
      <c:valAx>
        <c:axId val="206715904"/>
        <c:scaling>
          <c:orientation val="minMax"/>
          <c:min val="8"/>
        </c:scaling>
        <c:delete val="0"/>
        <c:axPos val="l"/>
        <c:majorGridlines>
          <c:spPr>
            <a:ln w="3175">
              <a:solidFill>
                <a:srgbClr val="C0C0C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US"/>
                  <a:t>Ln(1.3)</a:t>
                </a:r>
              </a:p>
            </c:rich>
          </c:tx>
          <c:layout>
            <c:manualLayout>
              <c:xMode val="edge"/>
              <c:yMode val="edge"/>
              <c:x val="2.4890190336749635E-2"/>
              <c:y val="0.41896586995375923"/>
            </c:manualLayout>
          </c:layout>
          <c:overlay val="0"/>
          <c:spPr>
            <a:noFill/>
            <a:ln w="25400">
              <a:noFill/>
            </a:ln>
          </c:spPr>
        </c:title>
        <c:numFmt formatCode="0.0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6713984"/>
        <c:crosses val="autoZero"/>
        <c:crossBetween val="midCat"/>
        <c:majorUnit val="1"/>
      </c:valAx>
      <c:spPr>
        <a:solidFill>
          <a:srgbClr val="FFFFFF"/>
        </a:solidFill>
        <a:ln w="25400">
          <a:noFill/>
        </a:ln>
      </c:spPr>
    </c:plotArea>
    <c:legend>
      <c:legendPos val="b"/>
      <c:layout>
        <c:manualLayout>
          <c:xMode val="edge"/>
          <c:yMode val="edge"/>
          <c:x val="5.1244509516837455E-2"/>
          <c:y val="0.94482838162410965"/>
          <c:w val="0.91508052708638354"/>
          <c:h val="4.1379345180617581E-2"/>
        </c:manualLayout>
      </c:layout>
      <c:overlay val="0"/>
      <c:spPr>
        <a:solidFill>
          <a:srgbClr val="FFFFFF"/>
        </a:solidFill>
        <a:ln w="25400">
          <a:noFill/>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Copper River Chinook Salmon Sibling</a:t>
            </a:r>
          </a:p>
        </c:rich>
      </c:tx>
      <c:layout>
        <c:manualLayout>
          <c:xMode val="edge"/>
          <c:yMode val="edge"/>
          <c:x val="0.30161054172767443"/>
          <c:y val="2.7586230120412052E-2"/>
        </c:manualLayout>
      </c:layout>
      <c:overlay val="0"/>
      <c:spPr>
        <a:noFill/>
        <a:ln w="25400">
          <a:noFill/>
        </a:ln>
      </c:spPr>
    </c:title>
    <c:autoTitleDeleted val="0"/>
    <c:plotArea>
      <c:layout>
        <c:manualLayout>
          <c:layoutTarget val="inner"/>
          <c:xMode val="edge"/>
          <c:yMode val="edge"/>
          <c:x val="0.1566617862371889"/>
          <c:y val="0.14310356874963687"/>
          <c:w val="0.80527086383601754"/>
          <c:h val="0.66896608041998962"/>
        </c:manualLayout>
      </c:layout>
      <c:scatterChart>
        <c:scatterStyle val="lineMarker"/>
        <c:varyColors val="0"/>
        <c:ser>
          <c:idx val="0"/>
          <c:order val="0"/>
          <c:tx>
            <c:v>Lower 80%</c:v>
          </c:tx>
          <c:spPr>
            <a:ln w="3175">
              <a:solidFill>
                <a:srgbClr val="0000FF"/>
              </a:solidFill>
              <a:prstDash val="solid"/>
            </a:ln>
          </c:spPr>
          <c:marker>
            <c:symbol val="none"/>
          </c:marker>
          <c:xVal>
            <c:numRef>
              <c:f>'Ln1.3=Ln1.2_2'!$Z$11:$Z$22</c:f>
              <c:numCache>
                <c:formatCode>General</c:formatCode>
                <c:ptCount val="12"/>
                <c:pt idx="0">
                  <c:v>8.7260065273123786</c:v>
                </c:pt>
                <c:pt idx="1">
                  <c:v>9.2605604038339493</c:v>
                </c:pt>
                <c:pt idx="2">
                  <c:v>8.4706338418508089</c:v>
                </c:pt>
                <c:pt idx="3">
                  <c:v>9.0612250503644347</c:v>
                </c:pt>
                <c:pt idx="4">
                  <c:v>8.7964310364144289</c:v>
                </c:pt>
                <c:pt idx="5">
                  <c:v>8.6957050661179398</c:v>
                </c:pt>
                <c:pt idx="6">
                  <c:v>8.5210999670991967</c:v>
                </c:pt>
                <c:pt idx="7">
                  <c:v>8.6812936257840825</c:v>
                </c:pt>
                <c:pt idx="8">
                  <c:v>9.1658104658028474</c:v>
                </c:pt>
                <c:pt idx="9">
                  <c:v>8.5487733927059573</c:v>
                </c:pt>
                <c:pt idx="10">
                  <c:v>8.2875868447827692</c:v>
                </c:pt>
                <c:pt idx="11">
                  <c:v>8.4317956891327839</c:v>
                </c:pt>
              </c:numCache>
            </c:numRef>
          </c:xVal>
          <c:yVal>
            <c:numRef>
              <c:f>'Ln1.3=Ln1.2_2'!$AD$11:$AD$22</c:f>
              <c:numCache>
                <c:formatCode>0.0000</c:formatCode>
                <c:ptCount val="12"/>
                <c:pt idx="0">
                  <c:v>10.047119394665328</c:v>
                </c:pt>
                <c:pt idx="1">
                  <c:v>10.427951055529094</c:v>
                </c:pt>
                <c:pt idx="2">
                  <c:v>9.865184498642467</c:v>
                </c:pt>
                <c:pt idx="3">
                  <c:v>10.285938777506454</c:v>
                </c:pt>
                <c:pt idx="4">
                  <c:v>10.097291854252321</c:v>
                </c:pt>
                <c:pt idx="5">
                  <c:v>10.025531756262314</c:v>
                </c:pt>
                <c:pt idx="6">
                  <c:v>9.90113802763147</c:v>
                </c:pt>
                <c:pt idx="7">
                  <c:v>10.015264628852266</c:v>
                </c:pt>
                <c:pt idx="8">
                  <c:v>10.360448455974627</c:v>
                </c:pt>
                <c:pt idx="9">
                  <c:v>9.9208533773810412</c:v>
                </c:pt>
                <c:pt idx="10">
                  <c:v>9.7347765173868428</c:v>
                </c:pt>
                <c:pt idx="11">
                  <c:v>9.8375150739986275</c:v>
                </c:pt>
              </c:numCache>
            </c:numRef>
          </c:yVal>
          <c:smooth val="0"/>
          <c:extLst>
            <c:ext xmlns:c16="http://schemas.microsoft.com/office/drawing/2014/chart" uri="{C3380CC4-5D6E-409C-BE32-E72D297353CC}">
              <c16:uniqueId val="{00000000-89B7-4A8B-8AB4-429A28EC98B3}"/>
            </c:ext>
          </c:extLst>
        </c:ser>
        <c:ser>
          <c:idx val="3"/>
          <c:order val="1"/>
          <c:tx>
            <c:v>Upper 80%</c:v>
          </c:tx>
          <c:spPr>
            <a:ln w="3175">
              <a:solidFill>
                <a:srgbClr val="996666"/>
              </a:solidFill>
              <a:prstDash val="solid"/>
            </a:ln>
          </c:spPr>
          <c:marker>
            <c:symbol val="none"/>
          </c:marker>
          <c:xVal>
            <c:numRef>
              <c:f>'Ln1.3=Ln1.2_2'!$Z$11:$Z$22</c:f>
              <c:numCache>
                <c:formatCode>General</c:formatCode>
                <c:ptCount val="12"/>
                <c:pt idx="0">
                  <c:v>8.7260065273123786</c:v>
                </c:pt>
                <c:pt idx="1">
                  <c:v>9.2605604038339493</c:v>
                </c:pt>
                <c:pt idx="2">
                  <c:v>8.4706338418508089</c:v>
                </c:pt>
                <c:pt idx="3">
                  <c:v>9.0612250503644347</c:v>
                </c:pt>
                <c:pt idx="4">
                  <c:v>8.7964310364144289</c:v>
                </c:pt>
                <c:pt idx="5">
                  <c:v>8.6957050661179398</c:v>
                </c:pt>
                <c:pt idx="6">
                  <c:v>8.5210999670991967</c:v>
                </c:pt>
                <c:pt idx="7">
                  <c:v>8.6812936257840825</c:v>
                </c:pt>
                <c:pt idx="8">
                  <c:v>9.1658104658028474</c:v>
                </c:pt>
                <c:pt idx="9">
                  <c:v>8.5487733927059573</c:v>
                </c:pt>
                <c:pt idx="10">
                  <c:v>8.2875868447827692</c:v>
                </c:pt>
                <c:pt idx="11">
                  <c:v>8.4317956891327839</c:v>
                </c:pt>
              </c:numCache>
            </c:numRef>
          </c:xVal>
          <c:yVal>
            <c:numRef>
              <c:f>'Ln1.3=Ln1.2_2'!$AE$11:$AE$22</c:f>
              <c:numCache>
                <c:formatCode>0.0000</c:formatCode>
                <c:ptCount val="12"/>
                <c:pt idx="0">
                  <c:v>11.075860807581401</c:v>
                </c:pt>
                <c:pt idx="1">
                  <c:v>11.456692468445167</c:v>
                </c:pt>
                <c:pt idx="2">
                  <c:v>10.89392591155854</c:v>
                </c:pt>
                <c:pt idx="3">
                  <c:v>11.314680190422527</c:v>
                </c:pt>
                <c:pt idx="4">
                  <c:v>11.126033267168394</c:v>
                </c:pt>
                <c:pt idx="5">
                  <c:v>11.054273169178387</c:v>
                </c:pt>
                <c:pt idx="6">
                  <c:v>10.929879440547543</c:v>
                </c:pt>
                <c:pt idx="7">
                  <c:v>11.044006041768339</c:v>
                </c:pt>
                <c:pt idx="8">
                  <c:v>11.3891898688907</c:v>
                </c:pt>
                <c:pt idx="9">
                  <c:v>10.949594790297114</c:v>
                </c:pt>
                <c:pt idx="10">
                  <c:v>10.763517930302916</c:v>
                </c:pt>
                <c:pt idx="11">
                  <c:v>10.8662564869147</c:v>
                </c:pt>
              </c:numCache>
            </c:numRef>
          </c:yVal>
          <c:smooth val="0"/>
          <c:extLst>
            <c:ext xmlns:c16="http://schemas.microsoft.com/office/drawing/2014/chart" uri="{C3380CC4-5D6E-409C-BE32-E72D297353CC}">
              <c16:uniqueId val="{00000001-89B7-4A8B-8AB4-429A28EC98B3}"/>
            </c:ext>
          </c:extLst>
        </c:ser>
        <c:ser>
          <c:idx val="1"/>
          <c:order val="2"/>
          <c:spPr>
            <a:ln w="28575">
              <a:noFill/>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linear"/>
            <c:dispRSqr val="1"/>
            <c:dispEq val="1"/>
            <c:trendlineLbl>
              <c:layout>
                <c:manualLayout>
                  <c:x val="-0.50290543111100861"/>
                  <c:y val="-9.1446383272442727E-2"/>
                </c:manualLayout>
              </c:layout>
              <c:numFmt formatCode="General" sourceLinked="0"/>
              <c:spPr>
                <a:noFill/>
                <a:ln w="25400">
                  <a:noFill/>
                </a:ln>
              </c:spPr>
              <c:txPr>
                <a:bodyPr/>
                <a:lstStyle/>
                <a:p>
                  <a:pPr>
                    <a:defRPr sz="950" b="0" i="0" u="none" strike="noStrike" baseline="0">
                      <a:solidFill>
                        <a:srgbClr val="000000"/>
                      </a:solidFill>
                      <a:latin typeface="Arial"/>
                      <a:ea typeface="Arial"/>
                      <a:cs typeface="Arial"/>
                    </a:defRPr>
                  </a:pPr>
                  <a:endParaRPr lang="en-US"/>
                </a:p>
              </c:txPr>
            </c:trendlineLbl>
          </c:trendline>
          <c:xVal>
            <c:numRef>
              <c:f>'Ln1.3=Ln1.2_2'!$Z$11:$Z$25</c:f>
              <c:numCache>
                <c:formatCode>General</c:formatCode>
                <c:ptCount val="15"/>
                <c:pt idx="0">
                  <c:v>8.7260065273123786</c:v>
                </c:pt>
                <c:pt idx="1">
                  <c:v>9.2605604038339493</c:v>
                </c:pt>
                <c:pt idx="2">
                  <c:v>8.4706338418508089</c:v>
                </c:pt>
                <c:pt idx="3">
                  <c:v>9.0612250503644347</c:v>
                </c:pt>
                <c:pt idx="4">
                  <c:v>8.7964310364144289</c:v>
                </c:pt>
                <c:pt idx="5">
                  <c:v>8.6957050661179398</c:v>
                </c:pt>
                <c:pt idx="6">
                  <c:v>8.5210999670991967</c:v>
                </c:pt>
                <c:pt idx="7">
                  <c:v>8.6812936257840825</c:v>
                </c:pt>
                <c:pt idx="8">
                  <c:v>9.1658104658028474</c:v>
                </c:pt>
                <c:pt idx="9">
                  <c:v>8.5487733927059573</c:v>
                </c:pt>
                <c:pt idx="10">
                  <c:v>8.2875868447827692</c:v>
                </c:pt>
                <c:pt idx="11">
                  <c:v>8.4317956891327839</c:v>
                </c:pt>
                <c:pt idx="12">
                  <c:v>8.5943219857568938</c:v>
                </c:pt>
                <c:pt idx="13">
                  <c:v>8.6078227782237438</c:v>
                </c:pt>
                <c:pt idx="14">
                  <c:v>8.2485379885467474</c:v>
                </c:pt>
              </c:numCache>
            </c:numRef>
          </c:xVal>
          <c:yVal>
            <c:numRef>
              <c:f>'Ln1.3=Ln1.2_2'!$AB$11:$AB$25</c:f>
              <c:numCache>
                <c:formatCode>General</c:formatCode>
                <c:ptCount val="15"/>
                <c:pt idx="0">
                  <c:v>10.927145676643779</c:v>
                </c:pt>
                <c:pt idx="1">
                  <c:v>10.789352931941133</c:v>
                </c:pt>
                <c:pt idx="2">
                  <c:v>10.932762591336017</c:v>
                </c:pt>
                <c:pt idx="3">
                  <c:v>10.803113282007757</c:v>
                </c:pt>
                <c:pt idx="4">
                  <c:v>11.032613945187711</c:v>
                </c:pt>
                <c:pt idx="5">
                  <c:v>10.768363571451721</c:v>
                </c:pt>
                <c:pt idx="6">
                  <c:v>10.535511595455096</c:v>
                </c:pt>
                <c:pt idx="7">
                  <c:v>11.130479873503816</c:v>
                </c:pt>
                <c:pt idx="8">
                  <c:v>10.967830558393432</c:v>
                </c:pt>
                <c:pt idx="9">
                  <c:v>10.379405950511826</c:v>
                </c:pt>
                <c:pt idx="10">
                  <c:v>10.204959256251302</c:v>
                </c:pt>
                <c:pt idx="11">
                  <c:v>9.8896200751423216</c:v>
                </c:pt>
                <c:pt idx="12">
                  <c:v>10.623100792171124</c:v>
                </c:pt>
                <c:pt idx="13">
                  <c:v>10.473027633372794</c:v>
                </c:pt>
                <c:pt idx="14">
                  <c:v>10.180744054918474</c:v>
                </c:pt>
              </c:numCache>
            </c:numRef>
          </c:yVal>
          <c:smooth val="0"/>
          <c:extLst>
            <c:ext xmlns:c16="http://schemas.microsoft.com/office/drawing/2014/chart" uri="{C3380CC4-5D6E-409C-BE32-E72D297353CC}">
              <c16:uniqueId val="{00000003-89B7-4A8B-8AB4-429A28EC98B3}"/>
            </c:ext>
          </c:extLst>
        </c:ser>
        <c:dLbls>
          <c:showLegendKey val="0"/>
          <c:showVal val="0"/>
          <c:showCatName val="0"/>
          <c:showSerName val="0"/>
          <c:showPercent val="0"/>
          <c:showBubbleSize val="0"/>
        </c:dLbls>
        <c:axId val="204885376"/>
        <c:axId val="204891648"/>
      </c:scatterChart>
      <c:valAx>
        <c:axId val="204885376"/>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a:t>Ln(1.2)</a:t>
                </a:r>
              </a:p>
            </c:rich>
          </c:tx>
          <c:layout>
            <c:manualLayout>
              <c:xMode val="edge"/>
              <c:yMode val="edge"/>
              <c:x val="0.5095168374816984"/>
              <c:y val="0.86551797002792152"/>
            </c:manualLayout>
          </c:layout>
          <c:overlay val="0"/>
          <c:spPr>
            <a:noFill/>
            <a:ln w="25400">
              <a:noFill/>
            </a:ln>
          </c:spPr>
        </c:title>
        <c:numFmt formatCode="General" sourceLinked="1"/>
        <c:majorTickMark val="out"/>
        <c:minorTickMark val="in"/>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4891648"/>
        <c:crosses val="autoZero"/>
        <c:crossBetween val="midCat"/>
      </c:valAx>
      <c:valAx>
        <c:axId val="204891648"/>
        <c:scaling>
          <c:orientation val="minMax"/>
        </c:scaling>
        <c:delete val="0"/>
        <c:axPos val="l"/>
        <c:majorGridlines>
          <c:spPr>
            <a:ln w="3175">
              <a:solidFill>
                <a:srgbClr val="C0C0C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US"/>
                  <a:t>Ln(1.3)</a:t>
                </a:r>
              </a:p>
            </c:rich>
          </c:tx>
          <c:layout>
            <c:manualLayout>
              <c:xMode val="edge"/>
              <c:yMode val="edge"/>
              <c:x val="2.4890190336749635E-2"/>
              <c:y val="0.41896586995375923"/>
            </c:manualLayout>
          </c:layout>
          <c:overlay val="0"/>
          <c:spPr>
            <a:noFill/>
            <a:ln w="25400">
              <a:noFill/>
            </a:ln>
          </c:spPr>
        </c:title>
        <c:numFmt formatCode="0.0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4885376"/>
        <c:crosses val="autoZero"/>
        <c:crossBetween val="midCat"/>
        <c:majorUnit val="1"/>
      </c:valAx>
      <c:spPr>
        <a:solidFill>
          <a:srgbClr val="FFFFFF"/>
        </a:solidFill>
        <a:ln w="25400">
          <a:noFill/>
        </a:ln>
      </c:spPr>
    </c:plotArea>
    <c:legend>
      <c:legendPos val="b"/>
      <c:layout>
        <c:manualLayout>
          <c:xMode val="edge"/>
          <c:yMode val="edge"/>
          <c:x val="5.1244509516837455E-2"/>
          <c:y val="0.94482838162410965"/>
          <c:w val="0.91508052708638354"/>
          <c:h val="4.1379345180617581E-2"/>
        </c:manualLayout>
      </c:layout>
      <c:overlay val="0"/>
      <c:spPr>
        <a:solidFill>
          <a:srgbClr val="FFFFFF"/>
        </a:solidFill>
        <a:ln w="25400">
          <a:noFill/>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12837690187859"/>
          <c:y val="3.1198074664617634E-2"/>
          <c:w val="0.84661744243571435"/>
          <c:h val="0.88364195136849577"/>
        </c:manualLayout>
      </c:layout>
      <c:barChart>
        <c:barDir val="col"/>
        <c:grouping val="clustered"/>
        <c:varyColors val="0"/>
        <c:ser>
          <c:idx val="1"/>
          <c:order val="0"/>
          <c:tx>
            <c:v>Commercial Harvest</c:v>
          </c:tx>
          <c:spPr>
            <a:solidFill>
              <a:srgbClr val="802060"/>
            </a:solidFill>
            <a:ln w="12700">
              <a:solidFill>
                <a:srgbClr val="000000"/>
              </a:solidFill>
              <a:prstDash val="solid"/>
            </a:ln>
          </c:spPr>
          <c:invertIfNegative val="0"/>
          <c:cat>
            <c:numRef>
              <c:f>Harvests!$A$8:$A$134</c:f>
              <c:numCache>
                <c:formatCode>General</c:formatCode>
                <c:ptCount val="127"/>
                <c:pt idx="0">
                  <c:v>1890</c:v>
                </c:pt>
                <c:pt idx="1">
                  <c:v>1891</c:v>
                </c:pt>
                <c:pt idx="2">
                  <c:v>1892</c:v>
                </c:pt>
                <c:pt idx="3">
                  <c:v>1893</c:v>
                </c:pt>
                <c:pt idx="4">
                  <c:v>1894</c:v>
                </c:pt>
                <c:pt idx="5">
                  <c:v>1895</c:v>
                </c:pt>
                <c:pt idx="6">
                  <c:v>1896</c:v>
                </c:pt>
                <c:pt idx="7">
                  <c:v>1897</c:v>
                </c:pt>
                <c:pt idx="8">
                  <c:v>1898</c:v>
                </c:pt>
                <c:pt idx="9">
                  <c:v>1899</c:v>
                </c:pt>
                <c:pt idx="10">
                  <c:v>1900</c:v>
                </c:pt>
                <c:pt idx="11">
                  <c:v>1901</c:v>
                </c:pt>
                <c:pt idx="12">
                  <c:v>1902</c:v>
                </c:pt>
                <c:pt idx="13">
                  <c:v>1903</c:v>
                </c:pt>
                <c:pt idx="14">
                  <c:v>1904</c:v>
                </c:pt>
                <c:pt idx="15">
                  <c:v>1905</c:v>
                </c:pt>
                <c:pt idx="16">
                  <c:v>1906</c:v>
                </c:pt>
                <c:pt idx="17">
                  <c:v>1907</c:v>
                </c:pt>
                <c:pt idx="18">
                  <c:v>1908</c:v>
                </c:pt>
                <c:pt idx="19">
                  <c:v>1909</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1933</c:v>
                </c:pt>
                <c:pt idx="44">
                  <c:v>1934</c:v>
                </c:pt>
                <c:pt idx="45">
                  <c:v>1935</c:v>
                </c:pt>
                <c:pt idx="46">
                  <c:v>1936</c:v>
                </c:pt>
                <c:pt idx="47">
                  <c:v>1937</c:v>
                </c:pt>
                <c:pt idx="48">
                  <c:v>1938</c:v>
                </c:pt>
                <c:pt idx="49">
                  <c:v>1939</c:v>
                </c:pt>
                <c:pt idx="50">
                  <c:v>1940</c:v>
                </c:pt>
                <c:pt idx="51">
                  <c:v>1941</c:v>
                </c:pt>
                <c:pt idx="52">
                  <c:v>1942</c:v>
                </c:pt>
                <c:pt idx="53">
                  <c:v>1943</c:v>
                </c:pt>
                <c:pt idx="54">
                  <c:v>1944</c:v>
                </c:pt>
                <c:pt idx="55">
                  <c:v>1945</c:v>
                </c:pt>
                <c:pt idx="56">
                  <c:v>1946</c:v>
                </c:pt>
                <c:pt idx="57">
                  <c:v>1947</c:v>
                </c:pt>
                <c:pt idx="58">
                  <c:v>1948</c:v>
                </c:pt>
                <c:pt idx="59">
                  <c:v>1949</c:v>
                </c:pt>
                <c:pt idx="60">
                  <c:v>1950</c:v>
                </c:pt>
                <c:pt idx="61">
                  <c:v>1951</c:v>
                </c:pt>
                <c:pt idx="62">
                  <c:v>1952</c:v>
                </c:pt>
                <c:pt idx="63">
                  <c:v>1953</c:v>
                </c:pt>
                <c:pt idx="64">
                  <c:v>1954</c:v>
                </c:pt>
                <c:pt idx="65">
                  <c:v>1955</c:v>
                </c:pt>
                <c:pt idx="66">
                  <c:v>1956</c:v>
                </c:pt>
                <c:pt idx="67">
                  <c:v>1957</c:v>
                </c:pt>
                <c:pt idx="68">
                  <c:v>1958</c:v>
                </c:pt>
                <c:pt idx="69">
                  <c:v>1959</c:v>
                </c:pt>
                <c:pt idx="70">
                  <c:v>1960</c:v>
                </c:pt>
                <c:pt idx="71">
                  <c:v>1961</c:v>
                </c:pt>
                <c:pt idx="72">
                  <c:v>1962</c:v>
                </c:pt>
                <c:pt idx="73">
                  <c:v>1963</c:v>
                </c:pt>
                <c:pt idx="74">
                  <c:v>1964</c:v>
                </c:pt>
                <c:pt idx="75">
                  <c:v>1965</c:v>
                </c:pt>
                <c:pt idx="76">
                  <c:v>1966</c:v>
                </c:pt>
                <c:pt idx="77">
                  <c:v>1967</c:v>
                </c:pt>
                <c:pt idx="78">
                  <c:v>1968</c:v>
                </c:pt>
                <c:pt idx="79">
                  <c:v>1969</c:v>
                </c:pt>
                <c:pt idx="80">
                  <c:v>1970</c:v>
                </c:pt>
                <c:pt idx="81">
                  <c:v>1971</c:v>
                </c:pt>
                <c:pt idx="82">
                  <c:v>1972</c:v>
                </c:pt>
                <c:pt idx="83">
                  <c:v>1973</c:v>
                </c:pt>
                <c:pt idx="84">
                  <c:v>1974</c:v>
                </c:pt>
                <c:pt idx="85">
                  <c:v>1975</c:v>
                </c:pt>
                <c:pt idx="86">
                  <c:v>1976</c:v>
                </c:pt>
                <c:pt idx="87">
                  <c:v>1977</c:v>
                </c:pt>
                <c:pt idx="88">
                  <c:v>1978</c:v>
                </c:pt>
                <c:pt idx="89">
                  <c:v>1979</c:v>
                </c:pt>
                <c:pt idx="90">
                  <c:v>1980</c:v>
                </c:pt>
                <c:pt idx="91">
                  <c:v>1981</c:v>
                </c:pt>
                <c:pt idx="92">
                  <c:v>1982</c:v>
                </c:pt>
                <c:pt idx="93">
                  <c:v>1983</c:v>
                </c:pt>
                <c:pt idx="94">
                  <c:v>1984</c:v>
                </c:pt>
                <c:pt idx="95">
                  <c:v>1985</c:v>
                </c:pt>
                <c:pt idx="96">
                  <c:v>1986</c:v>
                </c:pt>
                <c:pt idx="97">
                  <c:v>1987</c:v>
                </c:pt>
                <c:pt idx="98">
                  <c:v>1988</c:v>
                </c:pt>
                <c:pt idx="99">
                  <c:v>1989</c:v>
                </c:pt>
                <c:pt idx="100">
                  <c:v>1990</c:v>
                </c:pt>
                <c:pt idx="101">
                  <c:v>1991</c:v>
                </c:pt>
                <c:pt idx="102">
                  <c:v>1992</c:v>
                </c:pt>
                <c:pt idx="103">
                  <c:v>1993</c:v>
                </c:pt>
                <c:pt idx="104">
                  <c:v>1994</c:v>
                </c:pt>
                <c:pt idx="105">
                  <c:v>1995</c:v>
                </c:pt>
                <c:pt idx="106">
                  <c:v>1996</c:v>
                </c:pt>
                <c:pt idx="107">
                  <c:v>1997</c:v>
                </c:pt>
                <c:pt idx="108">
                  <c:v>1998</c:v>
                </c:pt>
                <c:pt idx="109">
                  <c:v>1999</c:v>
                </c:pt>
                <c:pt idx="110">
                  <c:v>2000</c:v>
                </c:pt>
                <c:pt idx="111">
                  <c:v>2001</c:v>
                </c:pt>
                <c:pt idx="112">
                  <c:v>2002</c:v>
                </c:pt>
                <c:pt idx="113">
                  <c:v>2003</c:v>
                </c:pt>
                <c:pt idx="114">
                  <c:v>2004</c:v>
                </c:pt>
                <c:pt idx="115">
                  <c:v>2005</c:v>
                </c:pt>
                <c:pt idx="116">
                  <c:v>2006</c:v>
                </c:pt>
                <c:pt idx="117">
                  <c:v>2007</c:v>
                </c:pt>
                <c:pt idx="118">
                  <c:v>2008</c:v>
                </c:pt>
                <c:pt idx="119">
                  <c:v>2009</c:v>
                </c:pt>
                <c:pt idx="120">
                  <c:v>2010</c:v>
                </c:pt>
                <c:pt idx="121">
                  <c:v>2011</c:v>
                </c:pt>
                <c:pt idx="122">
                  <c:v>2012</c:v>
                </c:pt>
                <c:pt idx="123">
                  <c:v>2013</c:v>
                </c:pt>
                <c:pt idx="124">
                  <c:v>2014</c:v>
                </c:pt>
                <c:pt idx="125">
                  <c:v>2015</c:v>
                </c:pt>
                <c:pt idx="126">
                  <c:v>2016</c:v>
                </c:pt>
              </c:numCache>
            </c:numRef>
          </c:cat>
          <c:val>
            <c:numRef>
              <c:f>Harvests!$D$8:$D$134</c:f>
              <c:numCache>
                <c:formatCode>#,##0</c:formatCode>
                <c:ptCount val="127"/>
                <c:pt idx="0">
                  <c:v>5491</c:v>
                </c:pt>
                <c:pt idx="1">
                  <c:v>6185</c:v>
                </c:pt>
                <c:pt idx="2">
                  <c:v>0</c:v>
                </c:pt>
                <c:pt idx="3">
                  <c:v>8674</c:v>
                </c:pt>
                <c:pt idx="4">
                  <c:v>7494</c:v>
                </c:pt>
                <c:pt idx="5">
                  <c:v>10248</c:v>
                </c:pt>
                <c:pt idx="6">
                  <c:v>1407</c:v>
                </c:pt>
                <c:pt idx="7">
                  <c:v>2044</c:v>
                </c:pt>
                <c:pt idx="8">
                  <c:v>1850</c:v>
                </c:pt>
                <c:pt idx="9">
                  <c:v>4682</c:v>
                </c:pt>
                <c:pt idx="10">
                  <c:v>3462</c:v>
                </c:pt>
                <c:pt idx="11">
                  <c:v>6558</c:v>
                </c:pt>
                <c:pt idx="12">
                  <c:v>2500</c:v>
                </c:pt>
                <c:pt idx="13">
                  <c:v>4600</c:v>
                </c:pt>
                <c:pt idx="14">
                  <c:v>5014</c:v>
                </c:pt>
                <c:pt idx="15">
                  <c:v>20000</c:v>
                </c:pt>
                <c:pt idx="16">
                  <c:v>2165</c:v>
                </c:pt>
                <c:pt idx="17">
                  <c:v>869</c:v>
                </c:pt>
                <c:pt idx="18">
                  <c:v>0</c:v>
                </c:pt>
                <c:pt idx="19">
                  <c:v>3067</c:v>
                </c:pt>
                <c:pt idx="20">
                  <c:v>974</c:v>
                </c:pt>
                <c:pt idx="21">
                  <c:v>1358</c:v>
                </c:pt>
                <c:pt idx="22">
                  <c:v>6181</c:v>
                </c:pt>
                <c:pt idx="23">
                  <c:v>2307</c:v>
                </c:pt>
                <c:pt idx="24">
                  <c:v>3043</c:v>
                </c:pt>
                <c:pt idx="25">
                  <c:v>7338</c:v>
                </c:pt>
                <c:pt idx="26">
                  <c:v>14266</c:v>
                </c:pt>
                <c:pt idx="27">
                  <c:v>14251</c:v>
                </c:pt>
                <c:pt idx="28">
                  <c:v>19766</c:v>
                </c:pt>
                <c:pt idx="29">
                  <c:v>13338</c:v>
                </c:pt>
                <c:pt idx="30">
                  <c:v>23117</c:v>
                </c:pt>
                <c:pt idx="31">
                  <c:v>11469</c:v>
                </c:pt>
                <c:pt idx="32">
                  <c:v>10147</c:v>
                </c:pt>
                <c:pt idx="33">
                  <c:v>10425</c:v>
                </c:pt>
                <c:pt idx="34">
                  <c:v>15973</c:v>
                </c:pt>
                <c:pt idx="35">
                  <c:v>19805</c:v>
                </c:pt>
                <c:pt idx="36">
                  <c:v>21414</c:v>
                </c:pt>
                <c:pt idx="37">
                  <c:v>35598</c:v>
                </c:pt>
                <c:pt idx="38">
                  <c:v>42144</c:v>
                </c:pt>
                <c:pt idx="39">
                  <c:v>43866</c:v>
                </c:pt>
                <c:pt idx="40">
                  <c:v>23181</c:v>
                </c:pt>
                <c:pt idx="41">
                  <c:v>35268</c:v>
                </c:pt>
                <c:pt idx="42">
                  <c:v>29403</c:v>
                </c:pt>
                <c:pt idx="43">
                  <c:v>14073</c:v>
                </c:pt>
                <c:pt idx="44">
                  <c:v>10407</c:v>
                </c:pt>
                <c:pt idx="45">
                  <c:v>2352</c:v>
                </c:pt>
                <c:pt idx="46">
                  <c:v>6939</c:v>
                </c:pt>
                <c:pt idx="47">
                  <c:v>11538</c:v>
                </c:pt>
                <c:pt idx="48">
                  <c:v>7614</c:v>
                </c:pt>
                <c:pt idx="49">
                  <c:v>6555</c:v>
                </c:pt>
                <c:pt idx="50">
                  <c:v>3876</c:v>
                </c:pt>
                <c:pt idx="51">
                  <c:v>9225</c:v>
                </c:pt>
                <c:pt idx="52">
                  <c:v>15762</c:v>
                </c:pt>
                <c:pt idx="53">
                  <c:v>14670</c:v>
                </c:pt>
                <c:pt idx="54">
                  <c:v>7638</c:v>
                </c:pt>
                <c:pt idx="55">
                  <c:v>18063</c:v>
                </c:pt>
                <c:pt idx="56">
                  <c:v>23329</c:v>
                </c:pt>
                <c:pt idx="57">
                  <c:v>15182</c:v>
                </c:pt>
                <c:pt idx="58">
                  <c:v>4367</c:v>
                </c:pt>
                <c:pt idx="59">
                  <c:v>9300</c:v>
                </c:pt>
                <c:pt idx="60">
                  <c:v>17777</c:v>
                </c:pt>
                <c:pt idx="61">
                  <c:v>17473</c:v>
                </c:pt>
                <c:pt idx="62">
                  <c:v>29355</c:v>
                </c:pt>
                <c:pt idx="63">
                  <c:v>12224</c:v>
                </c:pt>
                <c:pt idx="64">
                  <c:v>15764</c:v>
                </c:pt>
                <c:pt idx="65">
                  <c:v>20563</c:v>
                </c:pt>
                <c:pt idx="66">
                  <c:v>11849</c:v>
                </c:pt>
                <c:pt idx="67">
                  <c:v>8222</c:v>
                </c:pt>
                <c:pt idx="68">
                  <c:v>7037</c:v>
                </c:pt>
                <c:pt idx="69">
                  <c:v>9910</c:v>
                </c:pt>
                <c:pt idx="70">
                  <c:v>14115</c:v>
                </c:pt>
                <c:pt idx="71">
                  <c:v>7650</c:v>
                </c:pt>
                <c:pt idx="72">
                  <c:v>15038</c:v>
                </c:pt>
                <c:pt idx="73">
                  <c:v>11043</c:v>
                </c:pt>
                <c:pt idx="74">
                  <c:v>12795</c:v>
                </c:pt>
                <c:pt idx="75">
                  <c:v>15397</c:v>
                </c:pt>
                <c:pt idx="76">
                  <c:v>11062</c:v>
                </c:pt>
                <c:pt idx="77">
                  <c:v>10320</c:v>
                </c:pt>
                <c:pt idx="78">
                  <c:v>8970</c:v>
                </c:pt>
                <c:pt idx="79">
                  <c:v>14343</c:v>
                </c:pt>
                <c:pt idx="80">
                  <c:v>19372</c:v>
                </c:pt>
                <c:pt idx="81">
                  <c:v>16591</c:v>
                </c:pt>
                <c:pt idx="82">
                  <c:v>22357</c:v>
                </c:pt>
                <c:pt idx="83">
                  <c:v>20200</c:v>
                </c:pt>
                <c:pt idx="84">
                  <c:v>19012</c:v>
                </c:pt>
                <c:pt idx="85">
                  <c:v>19806</c:v>
                </c:pt>
                <c:pt idx="86">
                  <c:v>31707</c:v>
                </c:pt>
                <c:pt idx="87">
                  <c:v>21849</c:v>
                </c:pt>
                <c:pt idx="88">
                  <c:v>29393</c:v>
                </c:pt>
                <c:pt idx="89">
                  <c:v>18063</c:v>
                </c:pt>
                <c:pt idx="90">
                  <c:v>8454</c:v>
                </c:pt>
                <c:pt idx="91">
                  <c:v>20378</c:v>
                </c:pt>
                <c:pt idx="92">
                  <c:v>47616</c:v>
                </c:pt>
                <c:pt idx="93">
                  <c:v>53110</c:v>
                </c:pt>
                <c:pt idx="94">
                  <c:v>39287</c:v>
                </c:pt>
                <c:pt idx="95">
                  <c:v>42429</c:v>
                </c:pt>
                <c:pt idx="96">
                  <c:v>40798</c:v>
                </c:pt>
                <c:pt idx="97">
                  <c:v>41164</c:v>
                </c:pt>
                <c:pt idx="98">
                  <c:v>30760</c:v>
                </c:pt>
                <c:pt idx="99">
                  <c:v>30893</c:v>
                </c:pt>
                <c:pt idx="100">
                  <c:v>21718</c:v>
                </c:pt>
                <c:pt idx="101">
                  <c:v>34815</c:v>
                </c:pt>
                <c:pt idx="102">
                  <c:v>39831</c:v>
                </c:pt>
                <c:pt idx="103">
                  <c:v>29858</c:v>
                </c:pt>
                <c:pt idx="104">
                  <c:v>47182</c:v>
                </c:pt>
                <c:pt idx="105">
                  <c:v>65719</c:v>
                </c:pt>
                <c:pt idx="106">
                  <c:v>55764</c:v>
                </c:pt>
                <c:pt idx="107">
                  <c:v>51296</c:v>
                </c:pt>
                <c:pt idx="108">
                  <c:v>69085</c:v>
                </c:pt>
                <c:pt idx="109">
                  <c:v>62393</c:v>
                </c:pt>
                <c:pt idx="110">
                  <c:v>31278</c:v>
                </c:pt>
                <c:pt idx="111">
                  <c:v>39600</c:v>
                </c:pt>
                <c:pt idx="112">
                  <c:v>38754</c:v>
                </c:pt>
                <c:pt idx="113">
                  <c:v>47925</c:v>
                </c:pt>
                <c:pt idx="114">
                  <c:v>38285</c:v>
                </c:pt>
                <c:pt idx="115">
                  <c:v>34912</c:v>
                </c:pt>
                <c:pt idx="116">
                  <c:v>30519</c:v>
                </c:pt>
                <c:pt idx="117">
                  <c:v>39185</c:v>
                </c:pt>
                <c:pt idx="118">
                  <c:v>11496</c:v>
                </c:pt>
                <c:pt idx="119">
                  <c:v>9472</c:v>
                </c:pt>
                <c:pt idx="120">
                  <c:v>9645</c:v>
                </c:pt>
                <c:pt idx="121">
                  <c:v>18501</c:v>
                </c:pt>
                <c:pt idx="122">
                  <c:v>11765</c:v>
                </c:pt>
                <c:pt idx="123">
                  <c:v>8842</c:v>
                </c:pt>
                <c:pt idx="124">
                  <c:v>10207</c:v>
                </c:pt>
                <c:pt idx="125">
                  <c:v>22519</c:v>
                </c:pt>
                <c:pt idx="126">
                  <c:v>12400</c:v>
                </c:pt>
              </c:numCache>
            </c:numRef>
          </c:val>
          <c:extLst>
            <c:ext xmlns:c16="http://schemas.microsoft.com/office/drawing/2014/chart" uri="{C3380CC4-5D6E-409C-BE32-E72D297353CC}">
              <c16:uniqueId val="{00000000-0797-4747-83D5-576C0EC6133D}"/>
            </c:ext>
          </c:extLst>
        </c:ser>
        <c:dLbls>
          <c:showLegendKey val="0"/>
          <c:showVal val="0"/>
          <c:showCatName val="0"/>
          <c:showSerName val="0"/>
          <c:showPercent val="0"/>
          <c:showBubbleSize val="0"/>
        </c:dLbls>
        <c:gapWidth val="59"/>
        <c:axId val="199764992"/>
        <c:axId val="199767168"/>
      </c:barChart>
      <c:lineChart>
        <c:grouping val="standard"/>
        <c:varyColors val="0"/>
        <c:ser>
          <c:idx val="0"/>
          <c:order val="1"/>
          <c:tx>
            <c:v>Average Harvest by Decade</c:v>
          </c:tx>
          <c:spPr>
            <a:ln w="25400">
              <a:solidFill>
                <a:srgbClr val="000080"/>
              </a:solidFill>
              <a:prstDash val="solid"/>
            </a:ln>
          </c:spPr>
          <c:marker>
            <c:symbol val="none"/>
          </c:marker>
          <c:val>
            <c:numRef>
              <c:f>Harvests!$Q$8:$Q$134</c:f>
              <c:numCache>
                <c:formatCode>#,##0_);\(#,##0\)</c:formatCode>
                <c:ptCount val="127"/>
                <c:pt idx="0">
                  <c:v>5341.666666666667</c:v>
                </c:pt>
                <c:pt idx="1">
                  <c:v>5341.666666666667</c:v>
                </c:pt>
                <c:pt idx="2">
                  <c:v>5341.666666666667</c:v>
                </c:pt>
                <c:pt idx="3">
                  <c:v>5341.666666666667</c:v>
                </c:pt>
                <c:pt idx="4">
                  <c:v>5341.666666666667</c:v>
                </c:pt>
                <c:pt idx="5">
                  <c:v>5341.666666666667</c:v>
                </c:pt>
                <c:pt idx="6">
                  <c:v>5341.666666666667</c:v>
                </c:pt>
                <c:pt idx="7">
                  <c:v>5341.666666666667</c:v>
                </c:pt>
                <c:pt idx="8">
                  <c:v>5341.666666666667</c:v>
                </c:pt>
                <c:pt idx="9">
                  <c:v>5341.666666666667</c:v>
                </c:pt>
                <c:pt idx="10">
                  <c:v>5359.4444444444443</c:v>
                </c:pt>
                <c:pt idx="11">
                  <c:v>5359.4444444444443</c:v>
                </c:pt>
                <c:pt idx="12">
                  <c:v>5359.4444444444443</c:v>
                </c:pt>
                <c:pt idx="13">
                  <c:v>5359.4444444444443</c:v>
                </c:pt>
                <c:pt idx="14">
                  <c:v>5359.4444444444443</c:v>
                </c:pt>
                <c:pt idx="15">
                  <c:v>5359.4444444444443</c:v>
                </c:pt>
                <c:pt idx="16">
                  <c:v>5359.4444444444443</c:v>
                </c:pt>
                <c:pt idx="17">
                  <c:v>5359.4444444444443</c:v>
                </c:pt>
                <c:pt idx="18">
                  <c:v>5359.4444444444443</c:v>
                </c:pt>
                <c:pt idx="19">
                  <c:v>5359.4444444444443</c:v>
                </c:pt>
                <c:pt idx="20">
                  <c:v>8227.9</c:v>
                </c:pt>
                <c:pt idx="21">
                  <c:v>8227.9</c:v>
                </c:pt>
                <c:pt idx="22">
                  <c:v>8227.9</c:v>
                </c:pt>
                <c:pt idx="23">
                  <c:v>8227.9</c:v>
                </c:pt>
                <c:pt idx="24">
                  <c:v>8227.9</c:v>
                </c:pt>
                <c:pt idx="25">
                  <c:v>8227.9</c:v>
                </c:pt>
                <c:pt idx="26">
                  <c:v>8227.9</c:v>
                </c:pt>
                <c:pt idx="27">
                  <c:v>8227.9</c:v>
                </c:pt>
                <c:pt idx="28">
                  <c:v>8227.9</c:v>
                </c:pt>
                <c:pt idx="29">
                  <c:v>8227.9</c:v>
                </c:pt>
                <c:pt idx="30">
                  <c:v>23341.3</c:v>
                </c:pt>
                <c:pt idx="31">
                  <c:v>23341.3</c:v>
                </c:pt>
                <c:pt idx="32">
                  <c:v>23341.3</c:v>
                </c:pt>
                <c:pt idx="33">
                  <c:v>23341.3</c:v>
                </c:pt>
                <c:pt idx="34">
                  <c:v>23341.3</c:v>
                </c:pt>
                <c:pt idx="35">
                  <c:v>23341.3</c:v>
                </c:pt>
                <c:pt idx="36">
                  <c:v>23341.3</c:v>
                </c:pt>
                <c:pt idx="37">
                  <c:v>23341.3</c:v>
                </c:pt>
                <c:pt idx="38">
                  <c:v>23341.3</c:v>
                </c:pt>
                <c:pt idx="39">
                  <c:v>23341.3</c:v>
                </c:pt>
                <c:pt idx="40">
                  <c:v>14733</c:v>
                </c:pt>
                <c:pt idx="41">
                  <c:v>14733</c:v>
                </c:pt>
                <c:pt idx="42">
                  <c:v>14733</c:v>
                </c:pt>
                <c:pt idx="43">
                  <c:v>14733</c:v>
                </c:pt>
                <c:pt idx="44">
                  <c:v>14733</c:v>
                </c:pt>
                <c:pt idx="45">
                  <c:v>14733</c:v>
                </c:pt>
                <c:pt idx="46">
                  <c:v>14733</c:v>
                </c:pt>
                <c:pt idx="47">
                  <c:v>14733</c:v>
                </c:pt>
                <c:pt idx="48">
                  <c:v>14733</c:v>
                </c:pt>
                <c:pt idx="49">
                  <c:v>14733</c:v>
                </c:pt>
                <c:pt idx="50">
                  <c:v>12141.2</c:v>
                </c:pt>
                <c:pt idx="51">
                  <c:v>12141.2</c:v>
                </c:pt>
                <c:pt idx="52">
                  <c:v>12141.2</c:v>
                </c:pt>
                <c:pt idx="53">
                  <c:v>12141.2</c:v>
                </c:pt>
                <c:pt idx="54">
                  <c:v>12141.2</c:v>
                </c:pt>
                <c:pt idx="55">
                  <c:v>12141.2</c:v>
                </c:pt>
                <c:pt idx="56">
                  <c:v>12141.2</c:v>
                </c:pt>
                <c:pt idx="57">
                  <c:v>12141.2</c:v>
                </c:pt>
                <c:pt idx="58">
                  <c:v>12141.2</c:v>
                </c:pt>
                <c:pt idx="59">
                  <c:v>12141.2</c:v>
                </c:pt>
                <c:pt idx="60">
                  <c:v>14962.2</c:v>
                </c:pt>
                <c:pt idx="61">
                  <c:v>14962.2</c:v>
                </c:pt>
                <c:pt idx="62">
                  <c:v>14962.2</c:v>
                </c:pt>
                <c:pt idx="63">
                  <c:v>14962.2</c:v>
                </c:pt>
                <c:pt idx="64">
                  <c:v>14962.2</c:v>
                </c:pt>
                <c:pt idx="65">
                  <c:v>14962.2</c:v>
                </c:pt>
                <c:pt idx="66">
                  <c:v>14962.2</c:v>
                </c:pt>
                <c:pt idx="67">
                  <c:v>14962.2</c:v>
                </c:pt>
                <c:pt idx="68">
                  <c:v>14962.2</c:v>
                </c:pt>
                <c:pt idx="69">
                  <c:v>14962.2</c:v>
                </c:pt>
                <c:pt idx="70">
                  <c:v>12006.9</c:v>
                </c:pt>
                <c:pt idx="71">
                  <c:v>12006.9</c:v>
                </c:pt>
                <c:pt idx="72">
                  <c:v>12006.9</c:v>
                </c:pt>
                <c:pt idx="73">
                  <c:v>12006.9</c:v>
                </c:pt>
                <c:pt idx="74">
                  <c:v>12006.9</c:v>
                </c:pt>
                <c:pt idx="75">
                  <c:v>12006.9</c:v>
                </c:pt>
                <c:pt idx="76">
                  <c:v>12006.9</c:v>
                </c:pt>
                <c:pt idx="77">
                  <c:v>12006.9</c:v>
                </c:pt>
                <c:pt idx="78">
                  <c:v>12006.9</c:v>
                </c:pt>
                <c:pt idx="79">
                  <c:v>12006.9</c:v>
                </c:pt>
                <c:pt idx="80">
                  <c:v>21656.2</c:v>
                </c:pt>
                <c:pt idx="81">
                  <c:v>21656.2</c:v>
                </c:pt>
                <c:pt idx="82">
                  <c:v>21656.2</c:v>
                </c:pt>
                <c:pt idx="83">
                  <c:v>21656.2</c:v>
                </c:pt>
                <c:pt idx="84">
                  <c:v>21656.2</c:v>
                </c:pt>
                <c:pt idx="85">
                  <c:v>21656.2</c:v>
                </c:pt>
                <c:pt idx="86">
                  <c:v>21656.2</c:v>
                </c:pt>
                <c:pt idx="87">
                  <c:v>21656.2</c:v>
                </c:pt>
                <c:pt idx="88">
                  <c:v>21656.2</c:v>
                </c:pt>
                <c:pt idx="89">
                  <c:v>21656.2</c:v>
                </c:pt>
                <c:pt idx="90">
                  <c:v>35306.9</c:v>
                </c:pt>
                <c:pt idx="91">
                  <c:v>35306.9</c:v>
                </c:pt>
                <c:pt idx="92">
                  <c:v>35306.9</c:v>
                </c:pt>
                <c:pt idx="93">
                  <c:v>35306.9</c:v>
                </c:pt>
                <c:pt idx="94">
                  <c:v>35306.9</c:v>
                </c:pt>
                <c:pt idx="95">
                  <c:v>35306.9</c:v>
                </c:pt>
                <c:pt idx="96">
                  <c:v>35306.9</c:v>
                </c:pt>
                <c:pt idx="97">
                  <c:v>35306.9</c:v>
                </c:pt>
                <c:pt idx="98">
                  <c:v>35306.9</c:v>
                </c:pt>
                <c:pt idx="99">
                  <c:v>35306.9</c:v>
                </c:pt>
                <c:pt idx="100">
                  <c:v>47705.7</c:v>
                </c:pt>
                <c:pt idx="101">
                  <c:v>47705.7</c:v>
                </c:pt>
                <c:pt idx="102">
                  <c:v>47705.7</c:v>
                </c:pt>
                <c:pt idx="103">
                  <c:v>47705.7</c:v>
                </c:pt>
                <c:pt idx="104">
                  <c:v>47705.7</c:v>
                </c:pt>
                <c:pt idx="105">
                  <c:v>47705.7</c:v>
                </c:pt>
                <c:pt idx="106">
                  <c:v>47705.7</c:v>
                </c:pt>
                <c:pt idx="107">
                  <c:v>47705.7</c:v>
                </c:pt>
                <c:pt idx="108">
                  <c:v>47705.7</c:v>
                </c:pt>
                <c:pt idx="109">
                  <c:v>47705.7</c:v>
                </c:pt>
                <c:pt idx="110">
                  <c:v>32042.9</c:v>
                </c:pt>
                <c:pt idx="111">
                  <c:v>32042.9</c:v>
                </c:pt>
                <c:pt idx="112">
                  <c:v>32042.9</c:v>
                </c:pt>
                <c:pt idx="113">
                  <c:v>32042.9</c:v>
                </c:pt>
                <c:pt idx="114">
                  <c:v>32042.9</c:v>
                </c:pt>
                <c:pt idx="115">
                  <c:v>32042.9</c:v>
                </c:pt>
                <c:pt idx="116">
                  <c:v>32042.9</c:v>
                </c:pt>
                <c:pt idx="117">
                  <c:v>32042.9</c:v>
                </c:pt>
                <c:pt idx="118">
                  <c:v>32042.9</c:v>
                </c:pt>
                <c:pt idx="119">
                  <c:v>32042.9</c:v>
                </c:pt>
                <c:pt idx="120">
                  <c:v>13399.428571428571</c:v>
                </c:pt>
                <c:pt idx="121">
                  <c:v>13399.428571428571</c:v>
                </c:pt>
                <c:pt idx="122">
                  <c:v>13399.428571428571</c:v>
                </c:pt>
                <c:pt idx="123">
                  <c:v>13399.428571428571</c:v>
                </c:pt>
                <c:pt idx="124">
                  <c:v>13399.428571428571</c:v>
                </c:pt>
                <c:pt idx="125">
                  <c:v>13399.428571428571</c:v>
                </c:pt>
                <c:pt idx="126">
                  <c:v>13399.428571428571</c:v>
                </c:pt>
              </c:numCache>
            </c:numRef>
          </c:val>
          <c:smooth val="0"/>
          <c:extLst>
            <c:ext xmlns:c16="http://schemas.microsoft.com/office/drawing/2014/chart" uri="{C3380CC4-5D6E-409C-BE32-E72D297353CC}">
              <c16:uniqueId val="{00000001-0797-4747-83D5-576C0EC6133D}"/>
            </c:ext>
          </c:extLst>
        </c:ser>
        <c:dLbls>
          <c:showLegendKey val="0"/>
          <c:showVal val="0"/>
          <c:showCatName val="0"/>
          <c:showSerName val="0"/>
          <c:showPercent val="0"/>
          <c:showBubbleSize val="0"/>
        </c:dLbls>
        <c:marker val="1"/>
        <c:smooth val="0"/>
        <c:axId val="199769088"/>
        <c:axId val="199774976"/>
      </c:lineChart>
      <c:catAx>
        <c:axId val="199764992"/>
        <c:scaling>
          <c:orientation val="minMax"/>
        </c:scaling>
        <c:delete val="0"/>
        <c:axPos val="b"/>
        <c:title>
          <c:tx>
            <c:rich>
              <a:bodyPr/>
              <a:lstStyle/>
              <a:p>
                <a:pPr>
                  <a:defRPr sz="1100" b="1" i="0" u="none" strike="noStrike" baseline="0">
                    <a:solidFill>
                      <a:srgbClr val="000000"/>
                    </a:solidFill>
                    <a:latin typeface="Times New Roman" panose="02020603050405020304" pitchFamily="18" charset="0"/>
                    <a:ea typeface="Arial"/>
                    <a:cs typeface="Times New Roman" panose="02020603050405020304" pitchFamily="18" charset="0"/>
                  </a:defRPr>
                </a:pPr>
                <a:r>
                  <a:rPr lang="en-US" sz="1100">
                    <a:latin typeface="Times New Roman" panose="02020603050405020304" pitchFamily="18" charset="0"/>
                    <a:cs typeface="Times New Roman" panose="02020603050405020304" pitchFamily="18" charset="0"/>
                  </a:rPr>
                  <a:t>Year</a:t>
                </a:r>
              </a:p>
            </c:rich>
          </c:tx>
          <c:layout>
            <c:manualLayout>
              <c:xMode val="edge"/>
              <c:yMode val="edge"/>
              <c:x val="0.54045606894558029"/>
              <c:y val="0.9591829747316396"/>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99767168"/>
        <c:crosses val="autoZero"/>
        <c:auto val="0"/>
        <c:lblAlgn val="ctr"/>
        <c:lblOffset val="100"/>
        <c:tickLblSkip val="10"/>
        <c:tickMarkSkip val="10"/>
        <c:noMultiLvlLbl val="0"/>
      </c:catAx>
      <c:valAx>
        <c:axId val="199767168"/>
        <c:scaling>
          <c:orientation val="minMax"/>
          <c:max val="70000"/>
        </c:scaling>
        <c:delete val="0"/>
        <c:axPos val="l"/>
        <c:majorGridlines>
          <c:spPr>
            <a:ln>
              <a:solidFill>
                <a:schemeClr val="bg1">
                  <a:lumMod val="85000"/>
                </a:schemeClr>
              </a:solidFill>
              <a:prstDash val="dash"/>
            </a:ln>
          </c:spPr>
        </c:majorGridlines>
        <c:title>
          <c:tx>
            <c:rich>
              <a:bodyPr/>
              <a:lstStyle/>
              <a:p>
                <a:pPr>
                  <a:defRPr sz="1400" b="1" i="0" u="none" strike="noStrike" baseline="0">
                    <a:solidFill>
                      <a:srgbClr val="000000"/>
                    </a:solidFill>
                    <a:latin typeface="Times New Roman" panose="02020603050405020304" pitchFamily="18" charset="0"/>
                    <a:ea typeface="Arial"/>
                    <a:cs typeface="Times New Roman" panose="02020603050405020304" pitchFamily="18" charset="0"/>
                  </a:defRPr>
                </a:pPr>
                <a:r>
                  <a:rPr lang="en-US">
                    <a:latin typeface="Times New Roman" panose="02020603050405020304" pitchFamily="18" charset="0"/>
                    <a:cs typeface="Times New Roman" panose="02020603050405020304" pitchFamily="18" charset="0"/>
                  </a:rPr>
                  <a:t>Commercial  Harvest</a:t>
                </a:r>
              </a:p>
            </c:rich>
          </c:tx>
          <c:layout>
            <c:manualLayout>
              <c:xMode val="edge"/>
              <c:yMode val="edge"/>
              <c:x val="6.3694333547237763E-3"/>
              <c:y val="0.2426968955153800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99764992"/>
        <c:crosses val="autoZero"/>
        <c:crossBetween val="between"/>
      </c:valAx>
      <c:catAx>
        <c:axId val="199769088"/>
        <c:scaling>
          <c:orientation val="minMax"/>
        </c:scaling>
        <c:delete val="1"/>
        <c:axPos val="b"/>
        <c:majorTickMark val="out"/>
        <c:minorTickMark val="none"/>
        <c:tickLblPos val="none"/>
        <c:crossAx val="199774976"/>
        <c:crosses val="autoZero"/>
        <c:auto val="0"/>
        <c:lblAlgn val="ctr"/>
        <c:lblOffset val="100"/>
        <c:noMultiLvlLbl val="0"/>
      </c:catAx>
      <c:valAx>
        <c:axId val="199774976"/>
        <c:scaling>
          <c:orientation val="minMax"/>
        </c:scaling>
        <c:delete val="1"/>
        <c:axPos val="l"/>
        <c:numFmt formatCode="#,##0_);\(#,##0\)" sourceLinked="1"/>
        <c:majorTickMark val="out"/>
        <c:minorTickMark val="none"/>
        <c:tickLblPos val="none"/>
        <c:crossAx val="199769088"/>
        <c:crosses val="autoZero"/>
        <c:crossBetween val="between"/>
      </c:valAx>
      <c:spPr>
        <a:solidFill>
          <a:srgbClr val="FFFFFF"/>
        </a:solidFill>
        <a:ln w="25400">
          <a:noFill/>
        </a:ln>
      </c:spPr>
    </c:plotArea>
    <c:legend>
      <c:legendPos val="r"/>
      <c:layout>
        <c:manualLayout>
          <c:xMode val="edge"/>
          <c:yMode val="edge"/>
          <c:x val="0.18006588871047605"/>
          <c:y val="0.17160100011756108"/>
          <c:w val="0.27763511309746042"/>
          <c:h val="9.8482856079786407E-2"/>
        </c:manualLayout>
      </c:layout>
      <c:overlay val="0"/>
      <c:spPr>
        <a:solidFill>
          <a:srgbClr val="FFFFFF"/>
        </a:solidFill>
        <a:ln w="25400">
          <a:noFill/>
        </a:ln>
      </c:spPr>
      <c:txPr>
        <a:bodyPr/>
        <a:lstStyle/>
        <a:p>
          <a:pPr>
            <a:defRPr sz="12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4" r="0.750000000000004"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CR Chinook Sibling for Return Years 1981</a:t>
            </a:r>
            <a:r>
              <a:rPr lang="en-US" baseline="0"/>
              <a:t> - 2010</a:t>
            </a:r>
            <a:endParaRPr lang="en-US"/>
          </a:p>
        </c:rich>
      </c:tx>
      <c:layout>
        <c:manualLayout>
          <c:xMode val="edge"/>
          <c:yMode val="edge"/>
          <c:x val="0.19784400367675556"/>
          <c:y val="2.8764850117419541E-2"/>
        </c:manualLayout>
      </c:layout>
      <c:overlay val="0"/>
      <c:spPr>
        <a:noFill/>
        <a:ln w="25400">
          <a:noFill/>
        </a:ln>
      </c:spPr>
    </c:title>
    <c:autoTitleDeleted val="0"/>
    <c:plotArea>
      <c:layout>
        <c:manualLayout>
          <c:layoutTarget val="inner"/>
          <c:xMode val="edge"/>
          <c:yMode val="edge"/>
          <c:x val="0.11251773541575386"/>
          <c:y val="9.1370709355682506E-2"/>
          <c:w val="0.84388301561815726"/>
          <c:h val="0.73942592571172649"/>
        </c:manualLayout>
      </c:layout>
      <c:scatterChart>
        <c:scatterStyle val="lineMarker"/>
        <c:varyColors val="0"/>
        <c:ser>
          <c:idx val="0"/>
          <c:order val="0"/>
          <c:spPr>
            <a:ln w="28575">
              <a:noFill/>
            </a:ln>
          </c:spPr>
          <c:dLbls>
            <c:dLbl>
              <c:idx val="0"/>
              <c:tx>
                <c:strRef>
                  <c:f>'Ln1.4=Ln1.3'!$AC$11</c:f>
                  <c:strCache>
                    <c:ptCount val="1"/>
                    <c:pt idx="0">
                      <c:v>81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{9342FA02-056C-4032-A5C5-EE79B1328FA4}</c15:txfldGUID>
                      <c15:f>'Ln1.4=Ln1.3'!$AC$11</c15:f>
                      <c15:dlblFieldTableCache>
                        <c:ptCount val="1"/>
                        <c:pt idx="0">
                          <c:v>81 </c:v>
                        </c:pt>
                      </c15:dlblFieldTableCache>
                    </c15:dlblFTEntry>
                  </c15:dlblFieldTable>
                  <c15:showDataLabelsRange val="0"/>
                </c:ext>
                <c:ext xmlns:c16="http://schemas.microsoft.com/office/drawing/2014/chart" uri="{C3380CC4-5D6E-409C-BE32-E72D297353CC}">
                  <c16:uniqueId val="{00000000-DF6C-4544-94F7-830D31ED4668}"/>
                </c:ext>
              </c:extLst>
            </c:dLbl>
            <c:dLbl>
              <c:idx val="1"/>
              <c:tx>
                <c:strRef>
                  <c:f>'Ln1.4=Ln1.3'!$AC$12</c:f>
                  <c:strCache>
                    <c:ptCount val="1"/>
                    <c:pt idx="0">
                      <c:v>82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{9415985B-AD34-439B-A438-FC5867A56175}</c15:txfldGUID>
                      <c15:f>'Ln1.4=Ln1.3'!$AC$12</c15:f>
                      <c15:dlblFieldTableCache>
                        <c:ptCount val="1"/>
                        <c:pt idx="0">
                          <c:v>82 </c:v>
                        </c:pt>
                      </c15:dlblFieldTableCache>
                    </c15:dlblFTEntry>
                  </c15:dlblFieldTable>
                  <c15:showDataLabelsRange val="0"/>
                </c:ext>
                <c:ext xmlns:c16="http://schemas.microsoft.com/office/drawing/2014/chart" uri="{C3380CC4-5D6E-409C-BE32-E72D297353CC}">
                  <c16:uniqueId val="{00000001-DF6C-4544-94F7-830D31ED4668}"/>
                </c:ext>
              </c:extLst>
            </c:dLbl>
            <c:dLbl>
              <c:idx val="2"/>
              <c:tx>
                <c:strRef>
                  <c:f>'Ln1.4=Ln1.3'!$AC$13</c:f>
                  <c:strCache>
                    <c:ptCount val="1"/>
                    <c:pt idx="0">
                      <c:v>83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{E22E2998-5BEF-4BED-BA2E-0D51AA01FEF6}</c15:txfldGUID>
                      <c15:f>'Ln1.4=Ln1.3'!$AC$13</c15:f>
                      <c15:dlblFieldTableCache>
                        <c:ptCount val="1"/>
                        <c:pt idx="0">
                          <c:v>83 </c:v>
                        </c:pt>
                      </c15:dlblFieldTableCache>
                    </c15:dlblFTEntry>
                  </c15:dlblFieldTable>
                  <c15:showDataLabelsRange val="0"/>
                </c:ext>
                <c:ext xmlns:c16="http://schemas.microsoft.com/office/drawing/2014/chart" uri="{C3380CC4-5D6E-409C-BE32-E72D297353CC}">
                  <c16:uniqueId val="{00000002-DF6C-4544-94F7-830D31ED4668}"/>
                </c:ext>
              </c:extLst>
            </c:dLbl>
            <c:dLbl>
              <c:idx val="3"/>
              <c:tx>
                <c:strRef>
                  <c:f>'Ln1.4=Ln1.3'!$AC$14</c:f>
                  <c:strCache>
                    <c:ptCount val="1"/>
                    <c:pt idx="0">
                      <c:v>84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{B5CD8C88-8BDB-4C18-BAB9-C4D7E40B2857}</c15:txfldGUID>
                      <c15:f>'Ln1.4=Ln1.3'!$AC$14</c15:f>
                      <c15:dlblFieldTableCache>
                        <c:ptCount val="1"/>
                        <c:pt idx="0">
                          <c:v>84 </c:v>
                        </c:pt>
                      </c15:dlblFieldTableCache>
                    </c15:dlblFTEntry>
                  </c15:dlblFieldTable>
                  <c15:showDataLabelsRange val="0"/>
                </c:ext>
                <c:ext xmlns:c16="http://schemas.microsoft.com/office/drawing/2014/chart" uri="{C3380CC4-5D6E-409C-BE32-E72D297353CC}">
                  <c16:uniqueId val="{00000003-DF6C-4544-94F7-830D31ED4668}"/>
                </c:ext>
              </c:extLst>
            </c:dLbl>
            <c:dLbl>
              <c:idx val="4"/>
              <c:tx>
                <c:strRef>
                  <c:f>'Ln1.4=Ln1.3'!$AC$15</c:f>
                  <c:strCache>
                    <c:ptCount val="1"/>
                    <c:pt idx="0">
                      <c:v>85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{C528DB4D-D0B9-4572-85E6-2AB4B6A98AE9}</c15:txfldGUID>
                      <c15:f>'Ln1.4=Ln1.3'!$AC$15</c15:f>
                      <c15:dlblFieldTableCache>
                        <c:ptCount val="1"/>
                        <c:pt idx="0">
                          <c:v>85 </c:v>
                        </c:pt>
                      </c15:dlblFieldTableCache>
                    </c15:dlblFTEntry>
                  </c15:dlblFieldTable>
                  <c15:showDataLabelsRange val="0"/>
                </c:ext>
                <c:ext xmlns:c16="http://schemas.microsoft.com/office/drawing/2014/chart" uri="{C3380CC4-5D6E-409C-BE32-E72D297353CC}">
                  <c16:uniqueId val="{00000004-DF6C-4544-94F7-830D31ED4668}"/>
                </c:ext>
              </c:extLst>
            </c:dLbl>
            <c:dLbl>
              <c:idx val="5"/>
              <c:tx>
                <c:strRef>
                  <c:f>'Ln1.4=Ln1.3'!$AC$16</c:f>
                  <c:strCache>
                    <c:ptCount val="1"/>
                    <c:pt idx="0">
                      <c:v>86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{89E79852-ABD6-4DAD-A6E3-7D948D903695}</c15:txfldGUID>
                      <c15:f>'Ln1.4=Ln1.3'!$AC$16</c15:f>
                      <c15:dlblFieldTableCache>
                        <c:ptCount val="1"/>
                        <c:pt idx="0">
                          <c:v>86 </c:v>
                        </c:pt>
                      </c15:dlblFieldTableCache>
                    </c15:dlblFTEntry>
                  </c15:dlblFieldTable>
                  <c15:showDataLabelsRange val="0"/>
                </c:ext>
                <c:ext xmlns:c16="http://schemas.microsoft.com/office/drawing/2014/chart" uri="{C3380CC4-5D6E-409C-BE32-E72D297353CC}">
                  <c16:uniqueId val="{00000005-DF6C-4544-94F7-830D31ED4668}"/>
                </c:ext>
              </c:extLst>
            </c:dLbl>
            <c:dLbl>
              <c:idx val="6"/>
              <c:tx>
                <c:strRef>
                  <c:f>'Ln1.4=Ln1.3'!$AC$17</c:f>
                  <c:strCache>
                    <c:ptCount val="1"/>
                    <c:pt idx="0">
                      <c:v>87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{B88E492A-61A7-4612-A555-00C83E8E0DFF}</c15:txfldGUID>
                      <c15:f>'Ln1.4=Ln1.3'!$AC$17</c15:f>
                      <c15:dlblFieldTableCache>
                        <c:ptCount val="1"/>
                        <c:pt idx="0">
                          <c:v>87 </c:v>
                        </c:pt>
                      </c15:dlblFieldTableCache>
                    </c15:dlblFTEntry>
                  </c15:dlblFieldTable>
                  <c15:showDataLabelsRange val="0"/>
                </c:ext>
                <c:ext xmlns:c16="http://schemas.microsoft.com/office/drawing/2014/chart" uri="{C3380CC4-5D6E-409C-BE32-E72D297353CC}">
                  <c16:uniqueId val="{00000006-DF6C-4544-94F7-830D31ED4668}"/>
                </c:ext>
              </c:extLst>
            </c:dLbl>
            <c:dLbl>
              <c:idx val="7"/>
              <c:tx>
                <c:strRef>
                  <c:f>'Ln1.4=Ln1.3'!$AC$18</c:f>
                  <c:strCache>
                    <c:ptCount val="1"/>
                    <c:pt idx="0">
                      <c:v>88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{81B20F16-164A-4693-AA71-6D52D4772D45}</c15:txfldGUID>
                      <c15:f>'Ln1.4=Ln1.3'!$AC$18</c15:f>
                      <c15:dlblFieldTableCache>
                        <c:ptCount val="1"/>
                        <c:pt idx="0">
                          <c:v>88 </c:v>
                        </c:pt>
                      </c15:dlblFieldTableCache>
                    </c15:dlblFTEntry>
                  </c15:dlblFieldTable>
                  <c15:showDataLabelsRange val="0"/>
                </c:ext>
                <c:ext xmlns:c16="http://schemas.microsoft.com/office/drawing/2014/chart" uri="{C3380CC4-5D6E-409C-BE32-E72D297353CC}">
                  <c16:uniqueId val="{00000007-DF6C-4544-94F7-830D31ED4668}"/>
                </c:ext>
              </c:extLst>
            </c:dLbl>
            <c:dLbl>
              <c:idx val="8"/>
              <c:tx>
                <c:strRef>
                  <c:f>'Ln1.4=Ln1.3'!$AC$19</c:f>
                  <c:strCache>
                    <c:ptCount val="1"/>
                    <c:pt idx="0">
                      <c:v>89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{53122CE5-DF65-4346-AE6D-E2EE25AAB649}</c15:txfldGUID>
                      <c15:f>'Ln1.4=Ln1.3'!$AC$19</c15:f>
                      <c15:dlblFieldTableCache>
                        <c:ptCount val="1"/>
                        <c:pt idx="0">
                          <c:v>89 </c:v>
                        </c:pt>
                      </c15:dlblFieldTableCache>
                    </c15:dlblFTEntry>
                  </c15:dlblFieldTable>
                  <c15:showDataLabelsRange val="0"/>
                </c:ext>
                <c:ext xmlns:c16="http://schemas.microsoft.com/office/drawing/2014/chart" uri="{C3380CC4-5D6E-409C-BE32-E72D297353CC}">
                  <c16:uniqueId val="{00000008-DF6C-4544-94F7-830D31ED4668}"/>
                </c:ext>
              </c:extLst>
            </c:dLbl>
            <c:dLbl>
              <c:idx val="9"/>
              <c:tx>
                <c:strRef>
                  <c:f>'Ln1.4=Ln1.3'!$AC$20</c:f>
                  <c:strCache>
                    <c:ptCount val="1"/>
                    <c:pt idx="0">
                      <c:v>90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{6340A342-4C7C-42D6-B819-D5C026600B34}</c15:txfldGUID>
                      <c15:f>'Ln1.4=Ln1.3'!$AC$20</c15:f>
                      <c15:dlblFieldTableCache>
                        <c:ptCount val="1"/>
                        <c:pt idx="0">
                          <c:v>90 </c:v>
                        </c:pt>
                      </c15:dlblFieldTableCache>
                    </c15:dlblFTEntry>
                  </c15:dlblFieldTable>
                  <c15:showDataLabelsRange val="0"/>
                </c:ext>
                <c:ext xmlns:c16="http://schemas.microsoft.com/office/drawing/2014/chart" uri="{C3380CC4-5D6E-409C-BE32-E72D297353CC}">
                  <c16:uniqueId val="{00000009-DF6C-4544-94F7-830D31ED4668}"/>
                </c:ext>
              </c:extLst>
            </c:dLbl>
            <c:dLbl>
              <c:idx val="10"/>
              <c:tx>
                <c:strRef>
                  <c:f>'Ln1.4=Ln1.3'!$AC$21</c:f>
                  <c:strCache>
                    <c:ptCount val="1"/>
                    <c:pt idx="0">
                      <c:v>91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{8381CF02-CE7B-4C6A-A89B-6D92D30EF1E4}</c15:txfldGUID>
                      <c15:f>'Ln1.4=Ln1.3'!$AC$21</c15:f>
                      <c15:dlblFieldTableCache>
                        <c:ptCount val="1"/>
                        <c:pt idx="0">
                          <c:v>91 </c:v>
                        </c:pt>
                      </c15:dlblFieldTableCache>
                    </c15:dlblFTEntry>
                  </c15:dlblFieldTable>
                  <c15:showDataLabelsRange val="0"/>
                </c:ext>
                <c:ext xmlns:c16="http://schemas.microsoft.com/office/drawing/2014/chart" uri="{C3380CC4-5D6E-409C-BE32-E72D297353CC}">
                  <c16:uniqueId val="{0000000A-DF6C-4544-94F7-830D31ED4668}"/>
                </c:ext>
              </c:extLst>
            </c:dLbl>
            <c:dLbl>
              <c:idx val="11"/>
              <c:tx>
                <c:strRef>
                  <c:f>'Ln1.4=Ln1.3'!$AC$22</c:f>
                  <c:strCache>
                    <c:ptCount val="1"/>
                    <c:pt idx="0">
                      <c:v>92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{AF64AAB2-1F15-4F98-8BB3-321390549FA5}</c15:txfldGUID>
                      <c15:f>'Ln1.4=Ln1.3'!$AC$22</c15:f>
                      <c15:dlblFieldTableCache>
                        <c:ptCount val="1"/>
                        <c:pt idx="0">
                          <c:v>92 </c:v>
                        </c:pt>
                      </c15:dlblFieldTableCache>
                    </c15:dlblFTEntry>
                  </c15:dlblFieldTable>
                  <c15:showDataLabelsRange val="0"/>
                </c:ext>
                <c:ext xmlns:c16="http://schemas.microsoft.com/office/drawing/2014/chart" uri="{C3380CC4-5D6E-409C-BE32-E72D297353CC}">
                  <c16:uniqueId val="{0000000B-DF6C-4544-94F7-830D31ED4668}"/>
                </c:ext>
              </c:extLst>
            </c:dLbl>
            <c:dLbl>
              <c:idx val="12"/>
              <c:tx>
                <c:strRef>
                  <c:f>'Ln1.4=Ln1.3'!$AC$23</c:f>
                  <c:strCache>
                    <c:ptCount val="1"/>
                    <c:pt idx="0">
                      <c:v>93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{B304D8E3-B3B2-486D-AA8D-EA20D3EFC6A5}</c15:txfldGUID>
                      <c15:f>'Ln1.4=Ln1.3'!$AC$23</c15:f>
                      <c15:dlblFieldTableCache>
                        <c:ptCount val="1"/>
                        <c:pt idx="0">
                          <c:v>93 </c:v>
                        </c:pt>
                      </c15:dlblFieldTableCache>
                    </c15:dlblFTEntry>
                  </c15:dlblFieldTable>
                  <c15:showDataLabelsRange val="0"/>
                </c:ext>
                <c:ext xmlns:c16="http://schemas.microsoft.com/office/drawing/2014/chart" uri="{C3380CC4-5D6E-409C-BE32-E72D297353CC}">
                  <c16:uniqueId val="{0000000C-DF6C-4544-94F7-830D31ED4668}"/>
                </c:ext>
              </c:extLst>
            </c:dLbl>
            <c:dLbl>
              <c:idx val="13"/>
              <c:tx>
                <c:strRef>
                  <c:f>'Ln1.4=Ln1.3'!$AC$24</c:f>
                  <c:strCache>
                    <c:ptCount val="1"/>
                    <c:pt idx="0">
                      <c:v>94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{F0B8F737-0ABD-445D-8353-D357D095E7DB}</c15:txfldGUID>
                      <c15:f>'Ln1.4=Ln1.3'!$AC$24</c15:f>
                      <c15:dlblFieldTableCache>
                        <c:ptCount val="1"/>
                        <c:pt idx="0">
                          <c:v>94 </c:v>
                        </c:pt>
                      </c15:dlblFieldTableCache>
                    </c15:dlblFTEntry>
                  </c15:dlblFieldTable>
                  <c15:showDataLabelsRange val="0"/>
                </c:ext>
                <c:ext xmlns:c16="http://schemas.microsoft.com/office/drawing/2014/chart" uri="{C3380CC4-5D6E-409C-BE32-E72D297353CC}">
                  <c16:uniqueId val="{0000000D-DF6C-4544-94F7-830D31ED4668}"/>
                </c:ext>
              </c:extLst>
            </c:dLbl>
            <c:dLbl>
              <c:idx val="14"/>
              <c:tx>
                <c:strRef>
                  <c:f>'Ln1.4=Ln1.3'!$AC$25</c:f>
                  <c:strCache>
                    <c:ptCount val="1"/>
                    <c:pt idx="0">
                      <c:v>95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{4A9C9914-3358-48A4-9340-5104090B9CB3}</c15:txfldGUID>
                      <c15:f>'Ln1.4=Ln1.3'!$AC$25</c15:f>
                      <c15:dlblFieldTableCache>
                        <c:ptCount val="1"/>
                        <c:pt idx="0">
                          <c:v>95 </c:v>
                        </c:pt>
                      </c15:dlblFieldTableCache>
                    </c15:dlblFTEntry>
                  </c15:dlblFieldTable>
                  <c15:showDataLabelsRange val="0"/>
                </c:ext>
                <c:ext xmlns:c16="http://schemas.microsoft.com/office/drawing/2014/chart" uri="{C3380CC4-5D6E-409C-BE32-E72D297353CC}">
                  <c16:uniqueId val="{0000000E-DF6C-4544-94F7-830D31ED4668}"/>
                </c:ext>
              </c:extLst>
            </c:dLbl>
            <c:dLbl>
              <c:idx val="15"/>
              <c:tx>
                <c:strRef>
                  <c:f>'Ln1.4=Ln1.3'!$AC$26</c:f>
                  <c:strCache>
                    <c:ptCount val="1"/>
                    <c:pt idx="0">
                      <c:v>96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{1B58F618-71BD-4D70-A986-0120549D4195}</c15:txfldGUID>
                      <c15:f>'Ln1.4=Ln1.3'!$AC$26</c15:f>
                      <c15:dlblFieldTableCache>
                        <c:ptCount val="1"/>
                        <c:pt idx="0">
                          <c:v>96 </c:v>
                        </c:pt>
                      </c15:dlblFieldTableCache>
                    </c15:dlblFTEntry>
                  </c15:dlblFieldTable>
                  <c15:showDataLabelsRange val="0"/>
                </c:ext>
                <c:ext xmlns:c16="http://schemas.microsoft.com/office/drawing/2014/chart" uri="{C3380CC4-5D6E-409C-BE32-E72D297353CC}">
                  <c16:uniqueId val="{0000000F-DF6C-4544-94F7-830D31ED4668}"/>
                </c:ext>
              </c:extLst>
            </c:dLbl>
            <c:dLbl>
              <c:idx val="16"/>
              <c:tx>
                <c:strRef>
                  <c:f>'Ln1.4=Ln1.3'!$AC$27</c:f>
                  <c:strCache>
                    <c:ptCount val="1"/>
                    <c:pt idx="0">
                      <c:v>97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{0B5CAE0F-C617-4DB8-9E4E-C300C5055DF3}</c15:txfldGUID>
                      <c15:f>'Ln1.4=Ln1.3'!$AC$27</c15:f>
                      <c15:dlblFieldTableCache>
                        <c:ptCount val="1"/>
                        <c:pt idx="0">
                          <c:v>97 </c:v>
                        </c:pt>
                      </c15:dlblFieldTableCache>
                    </c15:dlblFTEntry>
                  </c15:dlblFieldTable>
                  <c15:showDataLabelsRange val="0"/>
                </c:ext>
                <c:ext xmlns:c16="http://schemas.microsoft.com/office/drawing/2014/chart" uri="{C3380CC4-5D6E-409C-BE32-E72D297353CC}">
                  <c16:uniqueId val="{00000010-DF6C-4544-94F7-830D31ED4668}"/>
                </c:ext>
              </c:extLst>
            </c:dLbl>
            <c:dLbl>
              <c:idx val="17"/>
              <c:tx>
                <c:strRef>
                  <c:f>'Ln1.4=Ln1.3'!$AC$28</c:f>
                  <c:strCache>
                    <c:ptCount val="1"/>
                    <c:pt idx="0">
                      <c:v>98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{163D0A73-A0A2-4B80-935E-22C93BF7F682}</c15:txfldGUID>
                      <c15:f>'Ln1.4=Ln1.3'!$AC$28</c15:f>
                      <c15:dlblFieldTableCache>
                        <c:ptCount val="1"/>
                        <c:pt idx="0">
                          <c:v>98 </c:v>
                        </c:pt>
                      </c15:dlblFieldTableCache>
                    </c15:dlblFTEntry>
                  </c15:dlblFieldTable>
                  <c15:showDataLabelsRange val="0"/>
                </c:ext>
                <c:ext xmlns:c16="http://schemas.microsoft.com/office/drawing/2014/chart" uri="{C3380CC4-5D6E-409C-BE32-E72D297353CC}">
                  <c16:uniqueId val="{00000011-DF6C-4544-94F7-830D31ED4668}"/>
                </c:ext>
              </c:extLst>
            </c:dLbl>
            <c:dLbl>
              <c:idx val="18"/>
              <c:tx>
                <c:strRef>
                  <c:f>'Ln1.4=Ln1.3'!$AC$29</c:f>
                  <c:strCache>
                    <c:ptCount val="1"/>
                    <c:pt idx="0">
                      <c:v>99 </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{4A4D4348-20CE-4074-A478-424940303A06}</c15:txfldGUID>
                      <c15:f>'Ln1.4=Ln1.3'!$AC$29</c15:f>
                      <c15:dlblFieldTableCache>
                        <c:ptCount val="1"/>
                        <c:pt idx="0">
                          <c:v>99 </c:v>
                        </c:pt>
                      </c15:dlblFieldTableCache>
                    </c15:dlblFTEntry>
                  </c15:dlblFieldTable>
                  <c15:showDataLabelsRange val="0"/>
                </c:ext>
                <c:ext xmlns:c16="http://schemas.microsoft.com/office/drawing/2014/chart" uri="{C3380CC4-5D6E-409C-BE32-E72D297353CC}">
                  <c16:uniqueId val="{00000012-DF6C-4544-94F7-830D31ED4668}"/>
                </c:ext>
              </c:extLst>
            </c:dLbl>
            <c:dLbl>
              <c:idx val="19"/>
              <c:tx>
                <c:strRef>
                  <c:f>'Ln1.4=Ln1.3'!$AC$30</c:f>
                  <c:strCache>
                    <c:ptCount val="1"/>
                    <c:pt idx="0">
                      <c:v>00</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{F5AC4135-7BB5-4669-9E97-26A9AE57DC62}</c15:txfldGUID>
                      <c15:f>'Ln1.4=Ln1.3'!$AC$30</c15:f>
                      <c15:dlblFieldTableCache>
                        <c:ptCount val="1"/>
                        <c:pt idx="0">
                          <c:v>00</c:v>
                        </c:pt>
                      </c15:dlblFieldTableCache>
                    </c15:dlblFTEntry>
                  </c15:dlblFieldTable>
                  <c15:showDataLabelsRange val="0"/>
                </c:ext>
                <c:ext xmlns:c16="http://schemas.microsoft.com/office/drawing/2014/chart" uri="{C3380CC4-5D6E-409C-BE32-E72D297353CC}">
                  <c16:uniqueId val="{00000013-DF6C-4544-94F7-830D31ED4668}"/>
                </c:ext>
              </c:extLst>
            </c:dLbl>
            <c:dLbl>
              <c:idx val="20"/>
              <c:tx>
                <c:strRef>
                  <c:f>'Ln1.4=Ln1.3'!$AC$31</c:f>
                  <c:strCache>
                    <c:ptCount val="1"/>
                    <c:pt idx="0">
                      <c:v>01</c:v>
                    </c:pt>
                  </c:strCache>
                </c:strRef>
              </c:tx>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{7B6D92D8-97C0-4485-AC20-29347EBC25CD}</c15:txfldGUID>
                      <c15:f>'Ln1.4=Ln1.3'!$AC$31</c15:f>
                      <c15:dlblFieldTableCache>
                        <c:ptCount val="1"/>
                        <c:pt idx="0">
                          <c:v>01</c:v>
                        </c:pt>
                      </c15:dlblFieldTableCache>
                    </c15:dlblFTEntry>
                  </c15:dlblFieldTable>
                  <c15:showDataLabelsRange val="0"/>
                </c:ext>
                <c:ext xmlns:c16="http://schemas.microsoft.com/office/drawing/2014/chart" uri="{C3380CC4-5D6E-409C-BE32-E72D297353CC}">
                  <c16:uniqueId val="{00000014-DF6C-4544-94F7-830D31ED4668}"/>
                </c:ext>
              </c:extLst>
            </c:dLbl>
            <c:dLbl>
              <c:idx val="21"/>
              <c:tx>
                <c:strRef>
                  <c:f>'Ln1.4=Ln1.3'!$AC$32</c:f>
                  <c:strCache>
                    <c:ptCount val="1"/>
                    <c:pt idx="0">
                      <c:v>02</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{D03BC454-197F-4669-BB34-B644C4127B4F}</c15:txfldGUID>
                      <c15:f>'Ln1.4=Ln1.3'!$AC$32</c15:f>
                      <c15:dlblFieldTableCache>
                        <c:ptCount val="1"/>
                        <c:pt idx="0">
                          <c:v>02</c:v>
                        </c:pt>
                      </c15:dlblFieldTableCache>
                    </c15:dlblFTEntry>
                  </c15:dlblFieldTable>
                  <c15:showDataLabelsRange val="0"/>
                </c:ext>
                <c:ext xmlns:c16="http://schemas.microsoft.com/office/drawing/2014/chart" uri="{C3380CC4-5D6E-409C-BE32-E72D297353CC}">
                  <c16:uniqueId val="{00000015-DF6C-4544-94F7-830D31ED4668}"/>
                </c:ext>
              </c:extLst>
            </c:dLbl>
            <c:dLbl>
              <c:idx val="22"/>
              <c:tx>
                <c:strRef>
                  <c:f>'Ln1.4=Ln1.3'!$AC$33</c:f>
                  <c:strCache>
                    <c:ptCount val="1"/>
                    <c:pt idx="0">
                      <c:v>03</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{DE516652-CFA0-4BDF-8B49-9FC632B60325}</c15:txfldGUID>
                      <c15:f>'Ln1.4=Ln1.3'!$AC$33</c15:f>
                      <c15:dlblFieldTableCache>
                        <c:ptCount val="1"/>
                        <c:pt idx="0">
                          <c:v>03</c:v>
                        </c:pt>
                      </c15:dlblFieldTableCache>
                    </c15:dlblFTEntry>
                  </c15:dlblFieldTable>
                  <c15:showDataLabelsRange val="0"/>
                </c:ext>
                <c:ext xmlns:c16="http://schemas.microsoft.com/office/drawing/2014/chart" uri="{C3380CC4-5D6E-409C-BE32-E72D297353CC}">
                  <c16:uniqueId val="{00000016-DF6C-4544-94F7-830D31ED4668}"/>
                </c:ext>
              </c:extLst>
            </c:dLbl>
            <c:dLbl>
              <c:idx val="23"/>
              <c:tx>
                <c:strRef>
                  <c:f>'Ln1.4=Ln1.3'!$AC$34</c:f>
                  <c:strCache>
                    <c:ptCount val="1"/>
                    <c:pt idx="0">
                      <c:v>04</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{7B4765C7-6B99-492B-A05B-FD54046CA56C}</c15:txfldGUID>
                      <c15:f>'Ln1.4=Ln1.3'!$AC$34</c15:f>
                      <c15:dlblFieldTableCache>
                        <c:ptCount val="1"/>
                        <c:pt idx="0">
                          <c:v>04</c:v>
                        </c:pt>
                      </c15:dlblFieldTableCache>
                    </c15:dlblFTEntry>
                  </c15:dlblFieldTable>
                  <c15:showDataLabelsRange val="0"/>
                </c:ext>
                <c:ext xmlns:c16="http://schemas.microsoft.com/office/drawing/2014/chart" uri="{C3380CC4-5D6E-409C-BE32-E72D297353CC}">
                  <c16:uniqueId val="{00000017-DF6C-4544-94F7-830D31ED4668}"/>
                </c:ext>
              </c:extLst>
            </c:dLbl>
            <c:dLbl>
              <c:idx val="24"/>
              <c:tx>
                <c:strRef>
                  <c:f>'Ln1.4=Ln1.3'!$AC$35</c:f>
                  <c:strCache>
                    <c:ptCount val="1"/>
                    <c:pt idx="0">
                      <c:v>05</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{91C2C147-3B1A-49FD-9440-98231EA3F432}</c15:txfldGUID>
                      <c15:f>'Ln1.4=Ln1.3'!$AC$35</c15:f>
                      <c15:dlblFieldTableCache>
                        <c:ptCount val="1"/>
                        <c:pt idx="0">
                          <c:v>05</c:v>
                        </c:pt>
                      </c15:dlblFieldTableCache>
                    </c15:dlblFTEntry>
                  </c15:dlblFieldTable>
                  <c15:showDataLabelsRange val="0"/>
                </c:ext>
                <c:ext xmlns:c16="http://schemas.microsoft.com/office/drawing/2014/chart" uri="{C3380CC4-5D6E-409C-BE32-E72D297353CC}">
                  <c16:uniqueId val="{00000018-DF6C-4544-94F7-830D31ED4668}"/>
                </c:ext>
              </c:extLst>
            </c:dLbl>
            <c:dLbl>
              <c:idx val="25"/>
              <c:tx>
                <c:strRef>
                  <c:f>'Ln1.4=Ln1.3'!$AC$36</c:f>
                  <c:strCache>
                    <c:ptCount val="1"/>
                    <c:pt idx="0">
                      <c:v>06</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{53523986-E480-4C4E-84CF-2386B6FAA417}</c15:txfldGUID>
                      <c15:f>'Ln1.4=Ln1.3'!$AC$36</c15:f>
                      <c15:dlblFieldTableCache>
                        <c:ptCount val="1"/>
                        <c:pt idx="0">
                          <c:v>06</c:v>
                        </c:pt>
                      </c15:dlblFieldTableCache>
                    </c15:dlblFTEntry>
                  </c15:dlblFieldTable>
                  <c15:showDataLabelsRange val="0"/>
                </c:ext>
                <c:ext xmlns:c16="http://schemas.microsoft.com/office/drawing/2014/chart" uri="{C3380CC4-5D6E-409C-BE32-E72D297353CC}">
                  <c16:uniqueId val="{00000019-DF6C-4544-94F7-830D31ED4668}"/>
                </c:ext>
              </c:extLst>
            </c:dLbl>
            <c:dLbl>
              <c:idx val="26"/>
              <c:tx>
                <c:strRef>
                  <c:f>'Ln1.4=Ln1.3'!$AC$37</c:f>
                  <c:strCache>
                    <c:ptCount val="1"/>
                    <c:pt idx="0">
                      <c:v>07</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{41B4E4C6-CFD9-4A08-9BAF-B5B6BB065767}</c15:txfldGUID>
                      <c15:f>'Ln1.4=Ln1.3'!$AC$37</c15:f>
                      <c15:dlblFieldTableCache>
                        <c:ptCount val="1"/>
                        <c:pt idx="0">
                          <c:v>07</c:v>
                        </c:pt>
                      </c15:dlblFieldTableCache>
                    </c15:dlblFTEntry>
                  </c15:dlblFieldTable>
                  <c15:showDataLabelsRange val="0"/>
                </c:ext>
                <c:ext xmlns:c16="http://schemas.microsoft.com/office/drawing/2014/chart" uri="{C3380CC4-5D6E-409C-BE32-E72D297353CC}">
                  <c16:uniqueId val="{0000001A-DF6C-4544-94F7-830D31ED4668}"/>
                </c:ext>
              </c:extLst>
            </c:dLbl>
            <c:dLbl>
              <c:idx val="27"/>
              <c:tx>
                <c:strRef>
                  <c:f>'Ln1.4=Ln1.3'!$AC$38</c:f>
                  <c:strCache>
                    <c:ptCount val="1"/>
                    <c:pt idx="0">
                      <c:v>08</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{9F207035-BEA0-4B6E-924D-A1F2CBD7FDC9}</c15:txfldGUID>
                      <c15:f>'Ln1.4=Ln1.3'!$AC$38</c15:f>
                      <c15:dlblFieldTableCache>
                        <c:ptCount val="1"/>
                        <c:pt idx="0">
                          <c:v>08</c:v>
                        </c:pt>
                      </c15:dlblFieldTableCache>
                    </c15:dlblFTEntry>
                  </c15:dlblFieldTable>
                  <c15:showDataLabelsRange val="0"/>
                </c:ext>
                <c:ext xmlns:c16="http://schemas.microsoft.com/office/drawing/2014/chart" uri="{C3380CC4-5D6E-409C-BE32-E72D297353CC}">
                  <c16:uniqueId val="{0000001B-DF6C-4544-94F7-830D31ED4668}"/>
                </c:ext>
              </c:extLst>
            </c:dLbl>
            <c:dLbl>
              <c:idx val="28"/>
              <c:tx>
                <c:strRef>
                  <c:f>'Ln1.4=Ln1.3'!$AC$39</c:f>
                  <c:strCache>
                    <c:ptCount val="1"/>
                    <c:pt idx="0">
                      <c:v>09</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{FF73047E-0C4B-450D-AA3B-A092A8857506}</c15:txfldGUID>
                      <c15:f>'Ln1.4=Ln1.3'!$AC$39</c15:f>
                      <c15:dlblFieldTableCache>
                        <c:ptCount val="1"/>
                        <c:pt idx="0">
                          <c:v>09</c:v>
                        </c:pt>
                      </c15:dlblFieldTableCache>
                    </c15:dlblFTEntry>
                  </c15:dlblFieldTable>
                  <c15:showDataLabelsRange val="0"/>
                </c:ext>
                <c:ext xmlns:c16="http://schemas.microsoft.com/office/drawing/2014/chart" uri="{C3380CC4-5D6E-409C-BE32-E72D297353CC}">
                  <c16:uniqueId val="{0000001C-DF6C-4544-94F7-830D31ED4668}"/>
                </c:ext>
              </c:extLst>
            </c:dLbl>
            <c:dLbl>
              <c:idx val="29"/>
              <c:tx>
                <c:strRef>
                  <c:f>'Ln1.4=Ln1.3'!$AC$40</c:f>
                  <c:strCache>
                    <c:ptCount val="1"/>
                    <c:pt idx="0">
                      <c:v>10</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{EB039BF2-BAF7-40C8-9D0B-2BEF4CBEF20B}</c15:txfldGUID>
                      <c15:f>'Ln1.4=Ln1.3'!$AC$40</c15:f>
                      <c15:dlblFieldTableCache>
                        <c:ptCount val="1"/>
                        <c:pt idx="0">
                          <c:v>10</c:v>
                        </c:pt>
                      </c15:dlblFieldTableCache>
                    </c15:dlblFTEntry>
                  </c15:dlblFieldTable>
                  <c15:showDataLabelsRange val="0"/>
                </c:ext>
                <c:ext xmlns:c16="http://schemas.microsoft.com/office/drawing/2014/chart" uri="{C3380CC4-5D6E-409C-BE32-E72D297353CC}">
                  <c16:uniqueId val="{0000001D-DF6C-4544-94F7-830D31ED4668}"/>
                </c:ext>
              </c:extLst>
            </c:dLbl>
            <c:spPr>
              <a:noFill/>
              <a:ln>
                <a:noFill/>
              </a:ln>
              <a:effectLst/>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1"/>
            <c:dispEq val="1"/>
            <c:trendlineLbl>
              <c:layout>
                <c:manualLayout>
                  <c:x val="6.3211845354773685E-2"/>
                  <c:y val="-0.34678861942257277"/>
                </c:manualLayout>
              </c:layout>
              <c:numFmt formatCode="General" sourceLinked="0"/>
            </c:trendlineLbl>
          </c:trendline>
          <c:xVal>
            <c:numRef>
              <c:f>'Ln1.4=Ln1.3'!$Z$11:$Z$42</c:f>
              <c:numCache>
                <c:formatCode>General</c:formatCode>
                <c:ptCount val="32"/>
                <c:pt idx="0">
                  <c:v>7.7827025714270546</c:v>
                </c:pt>
                <c:pt idx="1">
                  <c:v>9.0623403675341656</c:v>
                </c:pt>
                <c:pt idx="2">
                  <c:v>10.13504358499859</c:v>
                </c:pt>
                <c:pt idx="3">
                  <c:v>10.431687290277248</c:v>
                </c:pt>
                <c:pt idx="4">
                  <c:v>9.4867647439893457</c:v>
                </c:pt>
                <c:pt idx="5">
                  <c:v>9.4124522170203111</c:v>
                </c:pt>
                <c:pt idx="6">
                  <c:v>9.9934902869486333</c:v>
                </c:pt>
                <c:pt idx="7">
                  <c:v>9.2102874380007052</c:v>
                </c:pt>
                <c:pt idx="8">
                  <c:v>8.9586545817934145</c:v>
                </c:pt>
                <c:pt idx="9">
                  <c:v>8.9356471061030138</c:v>
                </c:pt>
                <c:pt idx="10">
                  <c:v>8.6300723085055857</c:v>
                </c:pt>
                <c:pt idx="11">
                  <c:v>9.8927634816679095</c:v>
                </c:pt>
                <c:pt idx="12">
                  <c:v>9.1458366599460579</c:v>
                </c:pt>
                <c:pt idx="13">
                  <c:v>10.352901931665681</c:v>
                </c:pt>
                <c:pt idx="14">
                  <c:v>10.364719107135071</c:v>
                </c:pt>
                <c:pt idx="15">
                  <c:v>10.932271267111018</c:v>
                </c:pt>
                <c:pt idx="16">
                  <c:v>10.656121348880983</c:v>
                </c:pt>
                <c:pt idx="17">
                  <c:v>10.933721433830124</c:v>
                </c:pt>
                <c:pt idx="18">
                  <c:v>11.132704821306314</c:v>
                </c:pt>
                <c:pt idx="19">
                  <c:v>10.927145676643779</c:v>
                </c:pt>
                <c:pt idx="20">
                  <c:v>10.789352931941133</c:v>
                </c:pt>
                <c:pt idx="21">
                  <c:v>10.932762591336017</c:v>
                </c:pt>
                <c:pt idx="22">
                  <c:v>10.803113282007757</c:v>
                </c:pt>
                <c:pt idx="23">
                  <c:v>11.032613945187711</c:v>
                </c:pt>
                <c:pt idx="24">
                  <c:v>10.768363571451721</c:v>
                </c:pt>
                <c:pt idx="25">
                  <c:v>10.535511595455096</c:v>
                </c:pt>
                <c:pt idx="26">
                  <c:v>11.130479873503816</c:v>
                </c:pt>
                <c:pt idx="27">
                  <c:v>10.967830558393432</c:v>
                </c:pt>
                <c:pt idx="28">
                  <c:v>10.379405950511826</c:v>
                </c:pt>
                <c:pt idx="29">
                  <c:v>10.204959256251302</c:v>
                </c:pt>
                <c:pt idx="30">
                  <c:v>9.8896200751423216</c:v>
                </c:pt>
                <c:pt idx="31">
                  <c:v>10.623100792171124</c:v>
                </c:pt>
              </c:numCache>
            </c:numRef>
          </c:xVal>
          <c:yVal>
            <c:numRef>
              <c:f>'Ln1.4=Ln1.3'!$AB$11:$AB$42</c:f>
              <c:numCache>
                <c:formatCode>General</c:formatCode>
                <c:ptCount val="32"/>
                <c:pt idx="0">
                  <c:v>9.0266222849320847</c:v>
                </c:pt>
                <c:pt idx="1">
                  <c:v>9.3970948900131841</c:v>
                </c:pt>
                <c:pt idx="2">
                  <c:v>9.7404193385339362</c:v>
                </c:pt>
                <c:pt idx="3">
                  <c:v>10.004092431196456</c:v>
                </c:pt>
                <c:pt idx="4">
                  <c:v>10.165489904262202</c:v>
                </c:pt>
                <c:pt idx="5">
                  <c:v>9.5501302436281446</c:v>
                </c:pt>
                <c:pt idx="6">
                  <c:v>10.178473986732742</c:v>
                </c:pt>
                <c:pt idx="7">
                  <c:v>9.8572667978459574</c:v>
                </c:pt>
                <c:pt idx="8">
                  <c:v>9.8573102305470623</c:v>
                </c:pt>
                <c:pt idx="9">
                  <c:v>9.3734255558682165</c:v>
                </c:pt>
                <c:pt idx="10">
                  <c:v>9.3942843184345097</c:v>
                </c:pt>
                <c:pt idx="11">
                  <c:v>10.675430079793667</c:v>
                </c:pt>
                <c:pt idx="12">
                  <c:v>9.5380875011971771</c:v>
                </c:pt>
                <c:pt idx="13">
                  <c:v>10.497136035360006</c:v>
                </c:pt>
                <c:pt idx="14">
                  <c:v>10.371901569062425</c:v>
                </c:pt>
                <c:pt idx="15">
                  <c:v>10.474226626460448</c:v>
                </c:pt>
                <c:pt idx="16">
                  <c:v>10.173538987678372</c:v>
                </c:pt>
                <c:pt idx="17">
                  <c:v>10.299142556777642</c:v>
                </c:pt>
                <c:pt idx="18">
                  <c:v>10.233885379277817</c:v>
                </c:pt>
                <c:pt idx="19">
                  <c:v>9.6806349952062227</c:v>
                </c:pt>
                <c:pt idx="20">
                  <c:v>9.6201277812079784</c:v>
                </c:pt>
                <c:pt idx="21">
                  <c:v>9.5570267254061267</c:v>
                </c:pt>
                <c:pt idx="22">
                  <c:v>10.09530618703949</c:v>
                </c:pt>
                <c:pt idx="23">
                  <c:v>10.166553820964905</c:v>
                </c:pt>
                <c:pt idx="24">
                  <c:v>9.9186184176033159</c:v>
                </c:pt>
                <c:pt idx="25">
                  <c:v>9.7025697851178307</c:v>
                </c:pt>
                <c:pt idx="26">
                  <c:v>10.020361717106663</c:v>
                </c:pt>
                <c:pt idx="27">
                  <c:v>9.7438471390541253</c:v>
                </c:pt>
                <c:pt idx="28">
                  <c:v>9.1720816029653616</c:v>
                </c:pt>
                <c:pt idx="29">
                  <c:v>8.8186735071419058</c:v>
                </c:pt>
                <c:pt idx="30">
                  <c:v>8.7000098113952635</c:v>
                </c:pt>
                <c:pt idx="31">
                  <c:v>8.5808677407163678</c:v>
                </c:pt>
              </c:numCache>
            </c:numRef>
          </c:yVal>
          <c:smooth val="0"/>
          <c:extLst>
            <c:ext xmlns:c16="http://schemas.microsoft.com/office/drawing/2014/chart" uri="{C3380CC4-5D6E-409C-BE32-E72D297353CC}">
              <c16:uniqueId val="{0000001F-DF6C-4544-94F7-830D31ED4668}"/>
            </c:ext>
          </c:extLst>
        </c:ser>
        <c:ser>
          <c:idx val="1"/>
          <c:order val="1"/>
          <c:spPr>
            <a:ln w="3175">
              <a:solidFill>
                <a:srgbClr val="0000FF"/>
              </a:solidFill>
              <a:prstDash val="solid"/>
            </a:ln>
          </c:spPr>
          <c:marker>
            <c:symbol val="none"/>
          </c:marker>
          <c:xVal>
            <c:numRef>
              <c:f>'Ln1.4=Ln1.3'!$Z$11:$Z$40</c:f>
              <c:numCache>
                <c:formatCode>General</c:formatCode>
                <c:ptCount val="30"/>
                <c:pt idx="0">
                  <c:v>7.7827025714270546</c:v>
                </c:pt>
                <c:pt idx="1">
                  <c:v>9.0623403675341656</c:v>
                </c:pt>
                <c:pt idx="2">
                  <c:v>10.13504358499859</c:v>
                </c:pt>
                <c:pt idx="3">
                  <c:v>10.431687290277248</c:v>
                </c:pt>
                <c:pt idx="4">
                  <c:v>9.4867647439893457</c:v>
                </c:pt>
                <c:pt idx="5">
                  <c:v>9.4124522170203111</c:v>
                </c:pt>
                <c:pt idx="6">
                  <c:v>9.9934902869486333</c:v>
                </c:pt>
                <c:pt idx="7">
                  <c:v>9.2102874380007052</c:v>
                </c:pt>
                <c:pt idx="8">
                  <c:v>8.9586545817934145</c:v>
                </c:pt>
                <c:pt idx="9">
                  <c:v>8.9356471061030138</c:v>
                </c:pt>
                <c:pt idx="10">
                  <c:v>8.6300723085055857</c:v>
                </c:pt>
                <c:pt idx="11">
                  <c:v>9.8927634816679095</c:v>
                </c:pt>
                <c:pt idx="12">
                  <c:v>9.1458366599460579</c:v>
                </c:pt>
                <c:pt idx="13">
                  <c:v>10.352901931665681</c:v>
                </c:pt>
                <c:pt idx="14">
                  <c:v>10.364719107135071</c:v>
                </c:pt>
                <c:pt idx="15">
                  <c:v>10.932271267111018</c:v>
                </c:pt>
                <c:pt idx="16">
                  <c:v>10.656121348880983</c:v>
                </c:pt>
                <c:pt idx="17">
                  <c:v>10.933721433830124</c:v>
                </c:pt>
                <c:pt idx="18">
                  <c:v>11.132704821306314</c:v>
                </c:pt>
                <c:pt idx="19">
                  <c:v>10.927145676643779</c:v>
                </c:pt>
                <c:pt idx="20">
                  <c:v>10.789352931941133</c:v>
                </c:pt>
                <c:pt idx="21">
                  <c:v>10.932762591336017</c:v>
                </c:pt>
                <c:pt idx="22">
                  <c:v>10.803113282007757</c:v>
                </c:pt>
                <c:pt idx="23">
                  <c:v>11.032613945187711</c:v>
                </c:pt>
                <c:pt idx="24">
                  <c:v>10.768363571451721</c:v>
                </c:pt>
                <c:pt idx="25">
                  <c:v>10.535511595455096</c:v>
                </c:pt>
                <c:pt idx="26">
                  <c:v>11.130479873503816</c:v>
                </c:pt>
                <c:pt idx="27">
                  <c:v>10.967830558393432</c:v>
                </c:pt>
                <c:pt idx="28">
                  <c:v>10.379405950511826</c:v>
                </c:pt>
                <c:pt idx="29">
                  <c:v>10.204959256251302</c:v>
                </c:pt>
              </c:numCache>
            </c:numRef>
          </c:xVal>
          <c:yVal>
            <c:numRef>
              <c:f>'Ln1.4=Ln1.3'!$AD$11:$AD$40</c:f>
              <c:numCache>
                <c:formatCode>0.0000</c:formatCode>
                <c:ptCount val="30"/>
                <c:pt idx="0">
                  <c:v>8.5286786854550733</c:v>
                </c:pt>
                <c:pt idx="1">
                  <c:v>8.7421049198002052</c:v>
                </c:pt>
                <c:pt idx="2">
                  <c:v>8.9210172721625902</c:v>
                </c:pt>
                <c:pt idx="3">
                  <c:v>8.9704934201416648</c:v>
                </c:pt>
                <c:pt idx="4">
                  <c:v>8.8128931512096571</c:v>
                </c:pt>
                <c:pt idx="5">
                  <c:v>8.800498829282061</c:v>
                </c:pt>
                <c:pt idx="6">
                  <c:v>8.8974081013067092</c:v>
                </c:pt>
                <c:pt idx="7">
                  <c:v>8.7667804852048281</c:v>
                </c:pt>
                <c:pt idx="8">
                  <c:v>8.7248115365685717</c:v>
                </c:pt>
                <c:pt idx="9">
                  <c:v>8.7209742015716465</c:v>
                </c:pt>
                <c:pt idx="10">
                  <c:v>8.6700084684865502</c:v>
                </c:pt>
                <c:pt idx="11">
                  <c:v>8.8806082358962932</c:v>
                </c:pt>
                <c:pt idx="12">
                  <c:v>8.7560309692850389</c:v>
                </c:pt>
                <c:pt idx="13">
                  <c:v>8.9573530905412486</c:v>
                </c:pt>
                <c:pt idx="14">
                  <c:v>8.9593240351856629</c:v>
                </c:pt>
                <c:pt idx="15">
                  <c:v>9.0539840402797722</c:v>
                </c:pt>
                <c:pt idx="16">
                  <c:v>9.0079259781141712</c:v>
                </c:pt>
                <c:pt idx="17">
                  <c:v>9.0542259084263463</c:v>
                </c:pt>
                <c:pt idx="18">
                  <c:v>9.087413639529224</c:v>
                </c:pt>
                <c:pt idx="19">
                  <c:v>9.0531291612854599</c:v>
                </c:pt>
                <c:pt idx="20">
                  <c:v>9.0301471997402238</c:v>
                </c:pt>
                <c:pt idx="21">
                  <c:v>9.054065986498852</c:v>
                </c:pt>
                <c:pt idx="22">
                  <c:v>9.0324422395608082</c:v>
                </c:pt>
                <c:pt idx="23">
                  <c:v>9.0707198384807661</c:v>
                </c:pt>
                <c:pt idx="24">
                  <c:v>9.0266464589960869</c:v>
                </c:pt>
                <c:pt idx="25">
                  <c:v>8.987809906537283</c:v>
                </c:pt>
                <c:pt idx="26">
                  <c:v>9.0870425484028559</c:v>
                </c:pt>
                <c:pt idx="27">
                  <c:v>9.0599148479329017</c:v>
                </c:pt>
                <c:pt idx="28">
                  <c:v>8.9617736015284617</c:v>
                </c:pt>
                <c:pt idx="29">
                  <c:v>8.9326782581717357</c:v>
                </c:pt>
              </c:numCache>
            </c:numRef>
          </c:yVal>
          <c:smooth val="0"/>
          <c:extLst>
            <c:ext xmlns:c16="http://schemas.microsoft.com/office/drawing/2014/chart" uri="{C3380CC4-5D6E-409C-BE32-E72D297353CC}">
              <c16:uniqueId val="{00000020-DF6C-4544-94F7-830D31ED4668}"/>
            </c:ext>
          </c:extLst>
        </c:ser>
        <c:ser>
          <c:idx val="2"/>
          <c:order val="2"/>
          <c:spPr>
            <a:ln w="3175">
              <a:solidFill>
                <a:srgbClr val="996666"/>
              </a:solidFill>
              <a:prstDash val="solid"/>
            </a:ln>
          </c:spPr>
          <c:marker>
            <c:symbol val="none"/>
          </c:marker>
          <c:xVal>
            <c:numRef>
              <c:f>'Ln1.4=Ln1.3'!$Z$11:$Z$40</c:f>
              <c:numCache>
                <c:formatCode>General</c:formatCode>
                <c:ptCount val="30"/>
                <c:pt idx="0">
                  <c:v>7.7827025714270546</c:v>
                </c:pt>
                <c:pt idx="1">
                  <c:v>9.0623403675341656</c:v>
                </c:pt>
                <c:pt idx="2">
                  <c:v>10.13504358499859</c:v>
                </c:pt>
                <c:pt idx="3">
                  <c:v>10.431687290277248</c:v>
                </c:pt>
                <c:pt idx="4">
                  <c:v>9.4867647439893457</c:v>
                </c:pt>
                <c:pt idx="5">
                  <c:v>9.4124522170203111</c:v>
                </c:pt>
                <c:pt idx="6">
                  <c:v>9.9934902869486333</c:v>
                </c:pt>
                <c:pt idx="7">
                  <c:v>9.2102874380007052</c:v>
                </c:pt>
                <c:pt idx="8">
                  <c:v>8.9586545817934145</c:v>
                </c:pt>
                <c:pt idx="9">
                  <c:v>8.9356471061030138</c:v>
                </c:pt>
                <c:pt idx="10">
                  <c:v>8.6300723085055857</c:v>
                </c:pt>
                <c:pt idx="11">
                  <c:v>9.8927634816679095</c:v>
                </c:pt>
                <c:pt idx="12">
                  <c:v>9.1458366599460579</c:v>
                </c:pt>
                <c:pt idx="13">
                  <c:v>10.352901931665681</c:v>
                </c:pt>
                <c:pt idx="14">
                  <c:v>10.364719107135071</c:v>
                </c:pt>
                <c:pt idx="15">
                  <c:v>10.932271267111018</c:v>
                </c:pt>
                <c:pt idx="16">
                  <c:v>10.656121348880983</c:v>
                </c:pt>
                <c:pt idx="17">
                  <c:v>10.933721433830124</c:v>
                </c:pt>
                <c:pt idx="18">
                  <c:v>11.132704821306314</c:v>
                </c:pt>
                <c:pt idx="19">
                  <c:v>10.927145676643779</c:v>
                </c:pt>
                <c:pt idx="20">
                  <c:v>10.789352931941133</c:v>
                </c:pt>
                <c:pt idx="21">
                  <c:v>10.932762591336017</c:v>
                </c:pt>
                <c:pt idx="22">
                  <c:v>10.803113282007757</c:v>
                </c:pt>
                <c:pt idx="23">
                  <c:v>11.032613945187711</c:v>
                </c:pt>
                <c:pt idx="24">
                  <c:v>10.768363571451721</c:v>
                </c:pt>
                <c:pt idx="25">
                  <c:v>10.535511595455096</c:v>
                </c:pt>
                <c:pt idx="26">
                  <c:v>11.130479873503816</c:v>
                </c:pt>
                <c:pt idx="27">
                  <c:v>10.967830558393432</c:v>
                </c:pt>
                <c:pt idx="28">
                  <c:v>10.379405950511826</c:v>
                </c:pt>
                <c:pt idx="29">
                  <c:v>10.204959256251302</c:v>
                </c:pt>
              </c:numCache>
            </c:numRef>
          </c:xVal>
          <c:yVal>
            <c:numRef>
              <c:f>'Ln1.4=Ln1.3'!$AE$11:$AE$40</c:f>
              <c:numCache>
                <c:formatCode>0.0000</c:formatCode>
                <c:ptCount val="30"/>
                <c:pt idx="0">
                  <c:v>9.9826137417733527</c:v>
                </c:pt>
                <c:pt idx="1">
                  <c:v>10.196039976118485</c:v>
                </c:pt>
                <c:pt idx="2">
                  <c:v>10.37495232848087</c:v>
                </c:pt>
                <c:pt idx="3">
                  <c:v>10.424428476459944</c:v>
                </c:pt>
                <c:pt idx="4">
                  <c:v>10.266828207527936</c:v>
                </c:pt>
                <c:pt idx="5">
                  <c:v>10.25443388560034</c:v>
                </c:pt>
                <c:pt idx="6">
                  <c:v>10.351343157624989</c:v>
                </c:pt>
                <c:pt idx="7">
                  <c:v>10.220715541523107</c:v>
                </c:pt>
                <c:pt idx="8">
                  <c:v>10.178746592886851</c:v>
                </c:pt>
                <c:pt idx="9">
                  <c:v>10.174909257889926</c:v>
                </c:pt>
                <c:pt idx="10">
                  <c:v>10.12394352480483</c:v>
                </c:pt>
                <c:pt idx="11">
                  <c:v>10.334543292214573</c:v>
                </c:pt>
                <c:pt idx="12">
                  <c:v>10.209966025603318</c:v>
                </c:pt>
                <c:pt idx="13">
                  <c:v>10.411288146859528</c:v>
                </c:pt>
                <c:pt idx="14">
                  <c:v>10.413259091503942</c:v>
                </c:pt>
                <c:pt idx="15">
                  <c:v>10.507919096598052</c:v>
                </c:pt>
                <c:pt idx="16">
                  <c:v>10.461861034432451</c:v>
                </c:pt>
                <c:pt idx="17">
                  <c:v>10.508160964744626</c:v>
                </c:pt>
                <c:pt idx="18">
                  <c:v>10.541348695847503</c:v>
                </c:pt>
                <c:pt idx="19">
                  <c:v>10.507064217603739</c:v>
                </c:pt>
                <c:pt idx="20">
                  <c:v>10.484082256058503</c:v>
                </c:pt>
                <c:pt idx="21">
                  <c:v>10.508001042817131</c:v>
                </c:pt>
                <c:pt idx="22">
                  <c:v>10.486377295879088</c:v>
                </c:pt>
                <c:pt idx="23">
                  <c:v>10.524654894799045</c:v>
                </c:pt>
                <c:pt idx="24">
                  <c:v>10.480581515314366</c:v>
                </c:pt>
                <c:pt idx="25">
                  <c:v>10.441744962855562</c:v>
                </c:pt>
                <c:pt idx="26">
                  <c:v>10.540977604721135</c:v>
                </c:pt>
                <c:pt idx="27">
                  <c:v>10.513849904251181</c:v>
                </c:pt>
                <c:pt idx="28">
                  <c:v>10.415708657846741</c:v>
                </c:pt>
                <c:pt idx="29">
                  <c:v>10.386613314490015</c:v>
                </c:pt>
              </c:numCache>
            </c:numRef>
          </c:yVal>
          <c:smooth val="0"/>
          <c:extLst>
            <c:ext xmlns:c16="http://schemas.microsoft.com/office/drawing/2014/chart" uri="{C3380CC4-5D6E-409C-BE32-E72D297353CC}">
              <c16:uniqueId val="{00000021-DF6C-4544-94F7-830D31ED4668}"/>
            </c:ext>
          </c:extLst>
        </c:ser>
        <c:ser>
          <c:idx val="4"/>
          <c:order val="3"/>
          <c:spPr>
            <a:ln w="12700">
              <a:solidFill>
                <a:srgbClr val="000000"/>
              </a:solidFill>
              <a:prstDash val="solid"/>
            </a:ln>
          </c:spPr>
          <c:marker>
            <c:symbol val="none"/>
          </c:marker>
          <c:xVal>
            <c:numRef>
              <c:f>'Ln1.4=Ln1.3'!$Z$11:$Z$40</c:f>
              <c:numCache>
                <c:formatCode>General</c:formatCode>
                <c:ptCount val="30"/>
                <c:pt idx="0">
                  <c:v>7.7827025714270546</c:v>
                </c:pt>
                <c:pt idx="1">
                  <c:v>9.0623403675341656</c:v>
                </c:pt>
                <c:pt idx="2">
                  <c:v>10.13504358499859</c:v>
                </c:pt>
                <c:pt idx="3">
                  <c:v>10.431687290277248</c:v>
                </c:pt>
                <c:pt idx="4">
                  <c:v>9.4867647439893457</c:v>
                </c:pt>
                <c:pt idx="5">
                  <c:v>9.4124522170203111</c:v>
                </c:pt>
                <c:pt idx="6">
                  <c:v>9.9934902869486333</c:v>
                </c:pt>
                <c:pt idx="7">
                  <c:v>9.2102874380007052</c:v>
                </c:pt>
                <c:pt idx="8">
                  <c:v>8.9586545817934145</c:v>
                </c:pt>
                <c:pt idx="9">
                  <c:v>8.9356471061030138</c:v>
                </c:pt>
                <c:pt idx="10">
                  <c:v>8.6300723085055857</c:v>
                </c:pt>
                <c:pt idx="11">
                  <c:v>9.8927634816679095</c:v>
                </c:pt>
                <c:pt idx="12">
                  <c:v>9.1458366599460579</c:v>
                </c:pt>
                <c:pt idx="13">
                  <c:v>10.352901931665681</c:v>
                </c:pt>
                <c:pt idx="14">
                  <c:v>10.364719107135071</c:v>
                </c:pt>
                <c:pt idx="15">
                  <c:v>10.932271267111018</c:v>
                </c:pt>
                <c:pt idx="16">
                  <c:v>10.656121348880983</c:v>
                </c:pt>
                <c:pt idx="17">
                  <c:v>10.933721433830124</c:v>
                </c:pt>
                <c:pt idx="18">
                  <c:v>11.132704821306314</c:v>
                </c:pt>
                <c:pt idx="19">
                  <c:v>10.927145676643779</c:v>
                </c:pt>
                <c:pt idx="20">
                  <c:v>10.789352931941133</c:v>
                </c:pt>
                <c:pt idx="21">
                  <c:v>10.932762591336017</c:v>
                </c:pt>
                <c:pt idx="22">
                  <c:v>10.803113282007757</c:v>
                </c:pt>
                <c:pt idx="23">
                  <c:v>11.032613945187711</c:v>
                </c:pt>
                <c:pt idx="24">
                  <c:v>10.768363571451721</c:v>
                </c:pt>
                <c:pt idx="25">
                  <c:v>10.535511595455096</c:v>
                </c:pt>
                <c:pt idx="26">
                  <c:v>11.130479873503816</c:v>
                </c:pt>
                <c:pt idx="27">
                  <c:v>10.967830558393432</c:v>
                </c:pt>
                <c:pt idx="28">
                  <c:v>10.379405950511826</c:v>
                </c:pt>
                <c:pt idx="29">
                  <c:v>10.204959256251302</c:v>
                </c:pt>
              </c:numCache>
            </c:numRef>
          </c:xVal>
          <c:yVal>
            <c:numRef>
              <c:f>'Ln1.4=Ln1.3'!$AA$11:$AA$40</c:f>
              <c:numCache>
                <c:formatCode>0.0000_)</c:formatCode>
                <c:ptCount val="30"/>
                <c:pt idx="0">
                  <c:v>9.255646213614213</c:v>
                </c:pt>
                <c:pt idx="1">
                  <c:v>9.4690724479593449</c:v>
                </c:pt>
                <c:pt idx="2">
                  <c:v>9.6479848003217299</c:v>
                </c:pt>
                <c:pt idx="3">
                  <c:v>9.6974609483008045</c:v>
                </c:pt>
                <c:pt idx="4">
                  <c:v>9.5398606793687968</c:v>
                </c:pt>
                <c:pt idx="5">
                  <c:v>9.5274663574412006</c:v>
                </c:pt>
                <c:pt idx="6">
                  <c:v>9.6243756294658489</c:v>
                </c:pt>
                <c:pt idx="7">
                  <c:v>9.4937480133639678</c:v>
                </c:pt>
                <c:pt idx="8">
                  <c:v>9.4517790647277113</c:v>
                </c:pt>
                <c:pt idx="9">
                  <c:v>9.4479417297307862</c:v>
                </c:pt>
                <c:pt idx="10">
                  <c:v>9.3969759966456898</c:v>
                </c:pt>
                <c:pt idx="11">
                  <c:v>9.6075757640554329</c:v>
                </c:pt>
                <c:pt idx="12">
                  <c:v>9.4829984974441786</c:v>
                </c:pt>
                <c:pt idx="13">
                  <c:v>9.6843206187003883</c:v>
                </c:pt>
                <c:pt idx="14">
                  <c:v>9.6862915633448026</c:v>
                </c:pt>
                <c:pt idx="15">
                  <c:v>9.7809515684389119</c:v>
                </c:pt>
                <c:pt idx="16">
                  <c:v>9.7348935062733108</c:v>
                </c:pt>
                <c:pt idx="17">
                  <c:v>9.781193436585486</c:v>
                </c:pt>
                <c:pt idx="18">
                  <c:v>9.8143811676883637</c:v>
                </c:pt>
                <c:pt idx="19">
                  <c:v>9.7800966894445995</c:v>
                </c:pt>
                <c:pt idx="20">
                  <c:v>9.7571147278993635</c:v>
                </c:pt>
                <c:pt idx="21">
                  <c:v>9.7810335146579916</c:v>
                </c:pt>
                <c:pt idx="22">
                  <c:v>9.7594097677199478</c:v>
                </c:pt>
                <c:pt idx="23">
                  <c:v>9.7976873666399058</c:v>
                </c:pt>
                <c:pt idx="24">
                  <c:v>9.7536139871552265</c:v>
                </c:pt>
                <c:pt idx="25">
                  <c:v>9.7147774346964226</c:v>
                </c:pt>
                <c:pt idx="26">
                  <c:v>9.8140100765619955</c:v>
                </c:pt>
                <c:pt idx="27">
                  <c:v>9.7868823760920414</c:v>
                </c:pt>
                <c:pt idx="28">
                  <c:v>9.6887411296876014</c:v>
                </c:pt>
                <c:pt idx="29">
                  <c:v>9.6596457863308753</c:v>
                </c:pt>
              </c:numCache>
            </c:numRef>
          </c:yVal>
          <c:smooth val="0"/>
          <c:extLst>
            <c:ext xmlns:c16="http://schemas.microsoft.com/office/drawing/2014/chart" uri="{C3380CC4-5D6E-409C-BE32-E72D297353CC}">
              <c16:uniqueId val="{00000022-DF6C-4544-94F7-830D31ED4668}"/>
            </c:ext>
          </c:extLst>
        </c:ser>
        <c:ser>
          <c:idx val="3"/>
          <c:order val="4"/>
          <c:spPr>
            <a:ln w="28575">
              <a:noFill/>
            </a:ln>
          </c:spPr>
          <c:marker>
            <c:symbol val="triangle"/>
            <c:size val="7"/>
            <c:spPr>
              <a:solidFill>
                <a:srgbClr val="000000"/>
              </a:solidFill>
              <a:ln>
                <a:solidFill>
                  <a:srgbClr val="000000"/>
                </a:solidFill>
                <a:prstDash val="solid"/>
              </a:ln>
            </c:spPr>
          </c:marker>
          <c:xVal>
            <c:numRef>
              <c:f>'Ln1.4=Ln1.3'!$Z$11:$Z$48</c:f>
              <c:numCache>
                <c:formatCode>General</c:formatCode>
                <c:ptCount val="38"/>
                <c:pt idx="0">
                  <c:v>7.7827025714270546</c:v>
                </c:pt>
                <c:pt idx="1">
                  <c:v>9.0623403675341656</c:v>
                </c:pt>
                <c:pt idx="2">
                  <c:v>10.13504358499859</c:v>
                </c:pt>
                <c:pt idx="3">
                  <c:v>10.431687290277248</c:v>
                </c:pt>
                <c:pt idx="4">
                  <c:v>9.4867647439893457</c:v>
                </c:pt>
                <c:pt idx="5">
                  <c:v>9.4124522170203111</c:v>
                </c:pt>
                <c:pt idx="6">
                  <c:v>9.9934902869486333</c:v>
                </c:pt>
                <c:pt idx="7">
                  <c:v>9.2102874380007052</c:v>
                </c:pt>
                <c:pt idx="8">
                  <c:v>8.9586545817934145</c:v>
                </c:pt>
                <c:pt idx="9">
                  <c:v>8.9356471061030138</c:v>
                </c:pt>
                <c:pt idx="10">
                  <c:v>8.6300723085055857</c:v>
                </c:pt>
                <c:pt idx="11">
                  <c:v>9.8927634816679095</c:v>
                </c:pt>
                <c:pt idx="12">
                  <c:v>9.1458366599460579</c:v>
                </c:pt>
                <c:pt idx="13">
                  <c:v>10.352901931665681</c:v>
                </c:pt>
                <c:pt idx="14">
                  <c:v>10.364719107135071</c:v>
                </c:pt>
                <c:pt idx="15">
                  <c:v>10.932271267111018</c:v>
                </c:pt>
                <c:pt idx="16">
                  <c:v>10.656121348880983</c:v>
                </c:pt>
                <c:pt idx="17">
                  <c:v>10.933721433830124</c:v>
                </c:pt>
                <c:pt idx="18">
                  <c:v>11.132704821306314</c:v>
                </c:pt>
                <c:pt idx="19">
                  <c:v>10.927145676643779</c:v>
                </c:pt>
                <c:pt idx="20">
                  <c:v>10.789352931941133</c:v>
                </c:pt>
                <c:pt idx="21">
                  <c:v>10.932762591336017</c:v>
                </c:pt>
                <c:pt idx="22">
                  <c:v>10.803113282007757</c:v>
                </c:pt>
                <c:pt idx="23">
                  <c:v>11.032613945187711</c:v>
                </c:pt>
                <c:pt idx="24">
                  <c:v>10.768363571451721</c:v>
                </c:pt>
                <c:pt idx="25">
                  <c:v>10.535511595455096</c:v>
                </c:pt>
                <c:pt idx="26">
                  <c:v>11.130479873503816</c:v>
                </c:pt>
                <c:pt idx="27">
                  <c:v>10.967830558393432</c:v>
                </c:pt>
                <c:pt idx="28">
                  <c:v>10.379405950511826</c:v>
                </c:pt>
                <c:pt idx="29">
                  <c:v>10.204959256251302</c:v>
                </c:pt>
                <c:pt idx="30">
                  <c:v>9.8896200751423216</c:v>
                </c:pt>
                <c:pt idx="31">
                  <c:v>10.623100792171124</c:v>
                </c:pt>
                <c:pt idx="32">
                  <c:v>10.473027633372794</c:v>
                </c:pt>
                <c:pt idx="33">
                  <c:v>10.180744054918474</c:v>
                </c:pt>
                <c:pt idx="34">
                  <c:v>9.6782501880408773</c:v>
                </c:pt>
                <c:pt idx="35">
                  <c:v>10.524446289971486</c:v>
                </c:pt>
                <c:pt idx="37" formatCode="0.00">
                  <c:v>9.8062026003423828</c:v>
                </c:pt>
              </c:numCache>
            </c:numRef>
          </c:xVal>
          <c:yVal>
            <c:numRef>
              <c:f>'Ln1.4=Ln1.3'!$AF$11:$AF$48</c:f>
              <c:numCache>
                <c:formatCode>General</c:formatCode>
                <c:ptCount val="38"/>
                <c:pt idx="37" formatCode="0.0000_)">
                  <c:v>9.5931385826912177</c:v>
                </c:pt>
              </c:numCache>
            </c:numRef>
          </c:yVal>
          <c:smooth val="0"/>
          <c:extLst>
            <c:ext xmlns:c16="http://schemas.microsoft.com/office/drawing/2014/chart" uri="{C3380CC4-5D6E-409C-BE32-E72D297353CC}">
              <c16:uniqueId val="{00000023-DF6C-4544-94F7-830D31ED4668}"/>
            </c:ext>
          </c:extLst>
        </c:ser>
        <c:dLbls>
          <c:showLegendKey val="0"/>
          <c:showVal val="0"/>
          <c:showCatName val="0"/>
          <c:showSerName val="0"/>
          <c:showPercent val="0"/>
          <c:showBubbleSize val="0"/>
        </c:dLbls>
        <c:axId val="206950400"/>
        <c:axId val="206952704"/>
      </c:scatterChart>
      <c:valAx>
        <c:axId val="206950400"/>
        <c:scaling>
          <c:orientation val="minMax"/>
          <c:min val="8.5"/>
        </c:scaling>
        <c:delete val="0"/>
        <c:axPos val="b"/>
        <c:title>
          <c:tx>
            <c:rich>
              <a:bodyPr/>
              <a:lstStyle/>
              <a:p>
                <a:pPr>
                  <a:defRPr sz="1200" b="1" i="0" u="none" strike="noStrike" baseline="0">
                    <a:solidFill>
                      <a:srgbClr val="000000"/>
                    </a:solidFill>
                    <a:latin typeface="Arial"/>
                    <a:ea typeface="Arial"/>
                    <a:cs typeface="Arial"/>
                  </a:defRPr>
                </a:pPr>
                <a:r>
                  <a:rPr lang="en-US"/>
                  <a:t>Ln(1.3)</a:t>
                </a:r>
              </a:p>
            </c:rich>
          </c:tx>
          <c:layout>
            <c:manualLayout>
              <c:xMode val="edge"/>
              <c:yMode val="edge"/>
              <c:x val="0.49367156413662139"/>
              <c:y val="0.88494224061151761"/>
            </c:manualLayout>
          </c:layout>
          <c:overlay val="0"/>
          <c:spPr>
            <a:noFill/>
            <a:ln w="25400">
              <a:noFill/>
            </a:ln>
          </c:spPr>
        </c:title>
        <c:numFmt formatCode="General" sourceLinked="1"/>
        <c:majorTickMark val="out"/>
        <c:minorTickMark val="in"/>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06952704"/>
        <c:crosses val="autoZero"/>
        <c:crossBetween val="midCat"/>
      </c:valAx>
      <c:valAx>
        <c:axId val="206952704"/>
        <c:scaling>
          <c:orientation val="minMax"/>
          <c:min val="8"/>
        </c:scaling>
        <c:delete val="0"/>
        <c:axPos val="l"/>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Ln(1.4)</a:t>
                </a:r>
              </a:p>
            </c:rich>
          </c:tx>
          <c:layout>
            <c:manualLayout>
              <c:xMode val="edge"/>
              <c:yMode val="edge"/>
              <c:x val="1.5471188619666273E-2"/>
              <c:y val="0.411168192100571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06950400"/>
        <c:crosses val="autoZero"/>
        <c:crossBetween val="midCat"/>
        <c:majorUnit val="0.5"/>
      </c:valAx>
      <c:spPr>
        <a:solidFill>
          <a:srgbClr val="FFFFFF"/>
        </a:solidFill>
        <a:ln w="25400">
          <a:noFill/>
        </a:ln>
      </c:spPr>
    </c:plotArea>
    <c:legend>
      <c:legendPos val="b"/>
      <c:layout>
        <c:manualLayout>
          <c:xMode val="edge"/>
          <c:yMode val="edge"/>
          <c:x val="9.4233603410693853E-2"/>
          <c:y val="0.94416399667538575"/>
          <c:w val="0.87763833624288612"/>
          <c:h val="3.8917153984827736E-2"/>
        </c:manualLayout>
      </c:layout>
      <c:overlay val="0"/>
      <c:spPr>
        <a:solidFill>
          <a:srgbClr val="FFFFFF"/>
        </a:solidFill>
        <a:ln w="25400">
          <a:noFill/>
        </a:ln>
      </c:spPr>
      <c:txPr>
        <a:bodyPr/>
        <a:lstStyle/>
        <a:p>
          <a:pPr>
            <a:defRPr sz="9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53182556151622"/>
          <c:y val="5.5948449841381503E-2"/>
          <c:w val="0.8406503063348405"/>
          <c:h val="0.77682270741303339"/>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4.3613891651124982E-2"/>
                  <c:y val="-0.31855320115112801"/>
                </c:manualLayout>
              </c:layout>
              <c:numFmt formatCode="General" sourceLinked="0"/>
              <c:spPr>
                <a:noFill/>
                <a:ln w="25400">
                  <a:noFill/>
                </a:ln>
              </c:spPr>
              <c:txPr>
                <a:bodyPr/>
                <a:lstStyle/>
                <a:p>
                  <a:pPr>
                    <a:defRPr sz="850" b="0" i="0" u="none" strike="noStrike" baseline="0">
                      <a:solidFill>
                        <a:srgbClr val="000000"/>
                      </a:solidFill>
                      <a:latin typeface="Times New Roman"/>
                      <a:ea typeface="Times New Roman"/>
                      <a:cs typeface="Times New Roman"/>
                    </a:defRPr>
                  </a:pPr>
                  <a:endParaRPr lang="en-US"/>
                </a:p>
              </c:txPr>
            </c:trendlineLbl>
          </c:trendline>
          <c:xVal>
            <c:numRef>
              <c:f>Escapements!#REF!</c:f>
            </c:numRef>
          </c:xVal>
          <c:yVal>
            <c:numRef>
              <c:f>Escapements!$K$28:$K$33</c:f>
              <c:numCache>
                <c:formatCode>#,##0</c:formatCode>
                <c:ptCount val="6"/>
                <c:pt idx="0">
                  <c:v>32090</c:v>
                </c:pt>
                <c:pt idx="1">
                  <c:v>38047</c:v>
                </c:pt>
                <c:pt idx="2">
                  <c:v>39778</c:v>
                </c:pt>
                <c:pt idx="3">
                  <c:v>32873</c:v>
                </c:pt>
                <c:pt idx="4">
                  <c:v>44764</c:v>
                </c:pt>
                <c:pt idx="5">
                  <c:v>40564</c:v>
                </c:pt>
              </c:numCache>
            </c:numRef>
          </c:yVal>
          <c:smooth val="0"/>
          <c:extLst>
            <c:ext xmlns:c16="http://schemas.microsoft.com/office/drawing/2014/chart" uri="{C3380CC4-5D6E-409C-BE32-E72D297353CC}">
              <c16:uniqueId val="{00000001-97AA-4EC4-918C-55483DBE4B6E}"/>
            </c:ext>
          </c:extLst>
        </c:ser>
        <c:dLbls>
          <c:showLegendKey val="0"/>
          <c:showVal val="0"/>
          <c:showCatName val="0"/>
          <c:showSerName val="0"/>
          <c:showPercent val="0"/>
          <c:showBubbleSize val="0"/>
        </c:dLbls>
        <c:axId val="200720384"/>
        <c:axId val="200722304"/>
      </c:scatterChart>
      <c:valAx>
        <c:axId val="200720384"/>
        <c:scaling>
          <c:orientation val="minMax"/>
          <c:min val="17000"/>
        </c:scaling>
        <c:delete val="0"/>
        <c:axPos val="b"/>
        <c:title>
          <c:tx>
            <c:rich>
              <a:bodyPr/>
              <a:lstStyle/>
              <a:p>
                <a:pPr>
                  <a:defRPr sz="1375" b="1" i="0" u="none" strike="noStrike" baseline="0">
                    <a:solidFill>
                      <a:srgbClr val="000000"/>
                    </a:solidFill>
                    <a:latin typeface="Times New Roman"/>
                    <a:ea typeface="Times New Roman"/>
                    <a:cs typeface="Times New Roman"/>
                  </a:defRPr>
                </a:pPr>
                <a:r>
                  <a:rPr lang="en-US"/>
                  <a:t>Inriver from PU/SUB Proportion</a:t>
                </a:r>
              </a:p>
            </c:rich>
          </c:tx>
          <c:layout>
            <c:manualLayout>
              <c:xMode val="edge"/>
              <c:yMode val="edge"/>
              <c:x val="0.39750895064325403"/>
              <c:y val="0.92530128583823246"/>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Times New Roman"/>
                <a:ea typeface="Times New Roman"/>
                <a:cs typeface="Times New Roman"/>
              </a:defRPr>
            </a:pPr>
            <a:endParaRPr lang="en-US"/>
          </a:p>
        </c:txPr>
        <c:crossAx val="200722304"/>
        <c:crosses val="autoZero"/>
        <c:crossBetween val="midCat"/>
      </c:valAx>
      <c:valAx>
        <c:axId val="200722304"/>
        <c:scaling>
          <c:orientation val="minMax"/>
          <c:min val="25000"/>
        </c:scaling>
        <c:delete val="0"/>
        <c:axPos val="l"/>
        <c:title>
          <c:tx>
            <c:rich>
              <a:bodyPr/>
              <a:lstStyle/>
              <a:p>
                <a:pPr>
                  <a:defRPr sz="1375" b="1" i="0" u="none" strike="noStrike" baseline="0">
                    <a:solidFill>
                      <a:srgbClr val="000000"/>
                    </a:solidFill>
                    <a:latin typeface="Times New Roman"/>
                    <a:ea typeface="Times New Roman"/>
                    <a:cs typeface="Times New Roman"/>
                  </a:defRPr>
                </a:pPr>
                <a:r>
                  <a:rPr lang="en-US"/>
                  <a:t>Mark-Recapture 
Point Estimate</a:t>
                </a:r>
              </a:p>
            </c:rich>
          </c:tx>
          <c:layout>
            <c:manualLayout>
              <c:xMode val="edge"/>
              <c:yMode val="edge"/>
              <c:x val="1.0140534455184981E-2"/>
              <c:y val="0.29910902030584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200720384"/>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Times New Roman"/>
          <a:ea typeface="Times New Roman"/>
          <a:cs typeface="Times New Roman"/>
        </a:defRPr>
      </a:pPr>
      <a:endParaRPr lang="en-US"/>
    </a:p>
  </c:txPr>
  <c:printSettings>
    <c:headerFooter alignWithMargins="0"/>
    <c:pageMargins b="1" l="0.75000000000000422" r="0.750000000000004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numRef>
              <c:f>Total_Run_Size!$A$115:$A$132</c:f>
              <c:numCache>
                <c:formatCode>General</c:formatCode>
                <c:ptCount val="18"/>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numCache>
            </c:numRef>
          </c:cat>
          <c:val>
            <c:numRef>
              <c:f>Total_Run_Size!$N$115:$N$132</c:f>
              <c:numCache>
                <c:formatCode>0.00</c:formatCode>
                <c:ptCount val="18"/>
                <c:pt idx="0">
                  <c:v>0.83161196860897746</c:v>
                </c:pt>
                <c:pt idx="1">
                  <c:v>0.65384289227464176</c:v>
                </c:pt>
                <c:pt idx="2">
                  <c:v>0.65234967155128853</c:v>
                </c:pt>
                <c:pt idx="3">
                  <c:v>0.70534710992956395</c:v>
                </c:pt>
                <c:pt idx="4">
                  <c:v>0.64006133996086934</c:v>
                </c:pt>
                <c:pt idx="5">
                  <c:v>0.61962862746071545</c:v>
                </c:pt>
                <c:pt idx="6">
                  <c:v>0.67557303675573033</c:v>
                </c:pt>
                <c:pt idx="7">
                  <c:v>0.41474013036034324</c:v>
                </c:pt>
                <c:pt idx="8">
                  <c:v>0.60607717811122119</c:v>
                </c:pt>
                <c:pt idx="9">
                  <c:v>0.39723155140741839</c:v>
                </c:pt>
                <c:pt idx="10">
                  <c:v>0.35389587741530448</c:v>
                </c:pt>
                <c:pt idx="11">
                  <c:v>0.49460583413693349</c:v>
                </c:pt>
                <c:pt idx="12">
                  <c:v>0.48053442197068102</c:v>
                </c:pt>
                <c:pt idx="13">
                  <c:v>0.35480050814977498</c:v>
                </c:pt>
                <c:pt idx="14">
                  <c:v>0.3237611300172486</c:v>
                </c:pt>
                <c:pt idx="15">
                  <c:v>0.41370817054526926</c:v>
                </c:pt>
                <c:pt idx="16">
                  <c:v>0.52366205705946212</c:v>
                </c:pt>
                <c:pt idx="17">
                  <c:v>0.57381805768902538</c:v>
                </c:pt>
              </c:numCache>
            </c:numRef>
          </c:val>
          <c:extLst>
            <c:ext xmlns:c16="http://schemas.microsoft.com/office/drawing/2014/chart" uri="{C3380CC4-5D6E-409C-BE32-E72D297353CC}">
              <c16:uniqueId val="{00000000-DEEE-4301-A874-9961D25CD85A}"/>
            </c:ext>
          </c:extLst>
        </c:ser>
        <c:dLbls>
          <c:showLegendKey val="0"/>
          <c:showVal val="0"/>
          <c:showCatName val="0"/>
          <c:showSerName val="0"/>
          <c:showPercent val="0"/>
          <c:showBubbleSize val="0"/>
        </c:dLbls>
        <c:gapWidth val="150"/>
        <c:axId val="200788224"/>
        <c:axId val="200790016"/>
      </c:barChart>
      <c:catAx>
        <c:axId val="200788224"/>
        <c:scaling>
          <c:orientation val="minMax"/>
        </c:scaling>
        <c:delete val="0"/>
        <c:axPos val="b"/>
        <c:numFmt formatCode="General" sourceLinked="1"/>
        <c:majorTickMark val="out"/>
        <c:minorTickMark val="none"/>
        <c:tickLblPos val="nextTo"/>
        <c:crossAx val="200790016"/>
        <c:crosses val="autoZero"/>
        <c:auto val="1"/>
        <c:lblAlgn val="ctr"/>
        <c:lblOffset val="100"/>
        <c:noMultiLvlLbl val="0"/>
      </c:catAx>
      <c:valAx>
        <c:axId val="200790016"/>
        <c:scaling>
          <c:orientation val="minMax"/>
        </c:scaling>
        <c:delete val="0"/>
        <c:axPos val="l"/>
        <c:majorGridlines/>
        <c:numFmt formatCode="0%" sourceLinked="0"/>
        <c:majorTickMark val="out"/>
        <c:minorTickMark val="none"/>
        <c:tickLblPos val="nextTo"/>
        <c:crossAx val="20078822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600"/>
            </a:pPr>
            <a:r>
              <a:rPr lang="en-US" sz="1600"/>
              <a:t>Previous year as forecast </a:t>
            </a:r>
          </a:p>
        </c:rich>
      </c:tx>
      <c:layout>
        <c:manualLayout>
          <c:xMode val="edge"/>
          <c:yMode val="edge"/>
          <c:x val="6.6802209425314354E-2"/>
          <c:y val="4.3795633023631535E-2"/>
        </c:manualLayout>
      </c:layout>
      <c:overlay val="1"/>
    </c:title>
    <c:autoTitleDeleted val="0"/>
    <c:plotArea>
      <c:layout/>
      <c:barChart>
        <c:barDir val="col"/>
        <c:grouping val="clustered"/>
        <c:varyColors val="0"/>
        <c:ser>
          <c:idx val="0"/>
          <c:order val="0"/>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Mean_run_forecasts!$R$8:$R$24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Mean_run_forecasts!$AG$8:$AG$24</c:f>
              <c:numCache>
                <c:formatCode>0%</c:formatCode>
                <c:ptCount val="17"/>
                <c:pt idx="0">
                  <c:v>0.35562340103747048</c:v>
                </c:pt>
                <c:pt idx="1">
                  <c:v>-0.12723437326523815</c:v>
                </c:pt>
                <c:pt idx="2">
                  <c:v>0.1110608552631579</c:v>
                </c:pt>
                <c:pt idx="3">
                  <c:v>-0.22715139189017414</c:v>
                </c:pt>
                <c:pt idx="4">
                  <c:v>0.17302650380844692</c:v>
                </c:pt>
                <c:pt idx="5">
                  <c:v>0.21790254237288137</c:v>
                </c:pt>
                <c:pt idx="6">
                  <c:v>-0.33680586918776784</c:v>
                </c:pt>
                <c:pt idx="7">
                  <c:v>0.13635482362601645</c:v>
                </c:pt>
                <c:pt idx="8">
                  <c:v>0.62837298271027164</c:v>
                </c:pt>
                <c:pt idx="9">
                  <c:v>0.25248883513211762</c:v>
                </c:pt>
                <c:pt idx="10">
                  <c:v>0.29556412729026038</c:v>
                </c:pt>
                <c:pt idx="11">
                  <c:v>-0.38421570264803578</c:v>
                </c:pt>
                <c:pt idx="12">
                  <c:v>0.16035054476551397</c:v>
                </c:pt>
                <c:pt idx="13">
                  <c:v>8.2917502215175118E-2</c:v>
                </c:pt>
                <c:pt idx="14">
                  <c:v>0.21414415944736992</c:v>
                </c:pt>
                <c:pt idx="15">
                  <c:v>-0.37120375974650194</c:v>
                </c:pt>
                <c:pt idx="16">
                  <c:v>0.91752858849633046</c:v>
                </c:pt>
              </c:numCache>
            </c:numRef>
          </c:val>
          <c:extLst>
            <c:ext xmlns:c16="http://schemas.microsoft.com/office/drawing/2014/chart" uri="{C3380CC4-5D6E-409C-BE32-E72D297353CC}">
              <c16:uniqueId val="{00000000-D7AB-400A-BB0D-CCC44F5B878F}"/>
            </c:ext>
          </c:extLst>
        </c:ser>
        <c:dLbls>
          <c:showLegendKey val="0"/>
          <c:showVal val="0"/>
          <c:showCatName val="0"/>
          <c:showSerName val="0"/>
          <c:showPercent val="0"/>
          <c:showBubbleSize val="0"/>
        </c:dLbls>
        <c:gapWidth val="150"/>
        <c:axId val="201001600"/>
        <c:axId val="201052544"/>
      </c:barChart>
      <c:catAx>
        <c:axId val="201001600"/>
        <c:scaling>
          <c:orientation val="minMax"/>
        </c:scaling>
        <c:delete val="0"/>
        <c:axPos val="b"/>
        <c:numFmt formatCode="General" sourceLinked="1"/>
        <c:majorTickMark val="out"/>
        <c:minorTickMark val="none"/>
        <c:tickLblPos val="low"/>
        <c:txPr>
          <a:bodyPr/>
          <a:lstStyle/>
          <a:p>
            <a:pPr>
              <a:defRPr sz="1100"/>
            </a:pPr>
            <a:endParaRPr lang="en-US"/>
          </a:p>
        </c:txPr>
        <c:crossAx val="201052544"/>
        <c:crosses val="autoZero"/>
        <c:auto val="1"/>
        <c:lblAlgn val="ctr"/>
        <c:lblOffset val="100"/>
        <c:noMultiLvlLbl val="0"/>
      </c:catAx>
      <c:valAx>
        <c:axId val="201052544"/>
        <c:scaling>
          <c:orientation val="minMax"/>
          <c:max val="1.75"/>
          <c:min val="-0.75000000000000011"/>
        </c:scaling>
        <c:delete val="0"/>
        <c:axPos val="l"/>
        <c:numFmt formatCode="0%" sourceLinked="1"/>
        <c:majorTickMark val="out"/>
        <c:minorTickMark val="none"/>
        <c:tickLblPos val="nextTo"/>
        <c:txPr>
          <a:bodyPr/>
          <a:lstStyle/>
          <a:p>
            <a:pPr>
              <a:defRPr sz="1100"/>
            </a:pPr>
            <a:endParaRPr lang="en-US"/>
          </a:p>
        </c:txPr>
        <c:crossAx val="20100160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600"/>
            </a:pPr>
            <a:r>
              <a:rPr lang="en-US" sz="1600"/>
              <a:t>Previous 2 -years average as forecast</a:t>
            </a:r>
          </a:p>
        </c:rich>
      </c:tx>
      <c:layout>
        <c:manualLayout>
          <c:xMode val="edge"/>
          <c:yMode val="edge"/>
          <c:x val="7.2641749991146157E-2"/>
          <c:y val="7.4842411821809951E-2"/>
        </c:manualLayout>
      </c:layout>
      <c:overlay val="1"/>
    </c:title>
    <c:autoTitleDeleted val="0"/>
    <c:plotArea>
      <c:layout/>
      <c:barChart>
        <c:barDir val="col"/>
        <c:grouping val="clustered"/>
        <c:varyColors val="0"/>
        <c:ser>
          <c:idx val="0"/>
          <c:order val="0"/>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Mean_run_forecasts!$R$8:$R$24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Mean_run_forecasts!$AH$8:$AH$24</c:f>
              <c:numCache>
                <c:formatCode>0.00_);[Red]\(0.00\)</c:formatCode>
                <c:ptCount val="17"/>
                <c:pt idx="1">
                  <c:v>2.7953566978769599E-2</c:v>
                </c:pt>
                <c:pt idx="2">
                  <c:v>4.0378289473684208E-2</c:v>
                </c:pt>
                <c:pt idx="3">
                  <c:v>-0.18423477818736494</c:v>
                </c:pt>
                <c:pt idx="4">
                  <c:v>3.9799202276370231E-2</c:v>
                </c:pt>
                <c:pt idx="5">
                  <c:v>0.32326725181598065</c:v>
                </c:pt>
                <c:pt idx="6">
                  <c:v>-0.26455002559238855</c:v>
                </c:pt>
                <c:pt idx="7">
                  <c:v>-5.5010663412520103E-2</c:v>
                </c:pt>
                <c:pt idx="8">
                  <c:v>0.73939123813768637</c:v>
                </c:pt>
                <c:pt idx="9">
                  <c:v>0.64600390770375882</c:v>
                </c:pt>
                <c:pt idx="10">
                  <c:v>0.45912186595949855</c:v>
                </c:pt>
                <c:pt idx="11">
                  <c:v>-0.29321382842509602</c:v>
                </c:pt>
                <c:pt idx="12">
                  <c:v>-6.2561905172042548E-2</c:v>
                </c:pt>
                <c:pt idx="13">
                  <c:v>0.16974070792333162</c:v>
                </c:pt>
                <c:pt idx="14">
                  <c:v>0.26448105996262955</c:v>
                </c:pt>
                <c:pt idx="15">
                  <c:v>-0.30387723858012605</c:v>
                </c:pt>
                <c:pt idx="16">
                  <c:v>0.56163167776070999</c:v>
                </c:pt>
              </c:numCache>
            </c:numRef>
          </c:val>
          <c:extLst>
            <c:ext xmlns:c16="http://schemas.microsoft.com/office/drawing/2014/chart" uri="{C3380CC4-5D6E-409C-BE32-E72D297353CC}">
              <c16:uniqueId val="{00000000-4CD2-413F-B895-910F3CE158AE}"/>
            </c:ext>
          </c:extLst>
        </c:ser>
        <c:dLbls>
          <c:showLegendKey val="0"/>
          <c:showVal val="0"/>
          <c:showCatName val="0"/>
          <c:showSerName val="0"/>
          <c:showPercent val="0"/>
          <c:showBubbleSize val="0"/>
        </c:dLbls>
        <c:gapWidth val="150"/>
        <c:axId val="201339648"/>
        <c:axId val="201341184"/>
      </c:barChart>
      <c:catAx>
        <c:axId val="201339648"/>
        <c:scaling>
          <c:orientation val="minMax"/>
        </c:scaling>
        <c:delete val="0"/>
        <c:axPos val="b"/>
        <c:numFmt formatCode="General" sourceLinked="1"/>
        <c:majorTickMark val="out"/>
        <c:minorTickMark val="none"/>
        <c:tickLblPos val="low"/>
        <c:txPr>
          <a:bodyPr/>
          <a:lstStyle/>
          <a:p>
            <a:pPr>
              <a:defRPr sz="1100"/>
            </a:pPr>
            <a:endParaRPr lang="en-US"/>
          </a:p>
        </c:txPr>
        <c:crossAx val="201341184"/>
        <c:crosses val="autoZero"/>
        <c:auto val="1"/>
        <c:lblAlgn val="ctr"/>
        <c:lblOffset val="100"/>
        <c:noMultiLvlLbl val="0"/>
      </c:catAx>
      <c:valAx>
        <c:axId val="201341184"/>
        <c:scaling>
          <c:orientation val="minMax"/>
          <c:max val="1.75"/>
          <c:min val="-0.75000000000000011"/>
        </c:scaling>
        <c:delete val="0"/>
        <c:axPos val="l"/>
        <c:numFmt formatCode="0.00_);[Red]\(0.00\)" sourceLinked="1"/>
        <c:majorTickMark val="out"/>
        <c:minorTickMark val="none"/>
        <c:tickLblPos val="nextTo"/>
        <c:txPr>
          <a:bodyPr/>
          <a:lstStyle/>
          <a:p>
            <a:pPr>
              <a:defRPr sz="1100"/>
            </a:pPr>
            <a:endParaRPr lang="en-US"/>
          </a:p>
        </c:txPr>
        <c:crossAx val="20133964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600"/>
            </a:pPr>
            <a:r>
              <a:rPr lang="en-US" sz="1600"/>
              <a:t>Previous 3 -years average as forecast</a:t>
            </a:r>
          </a:p>
        </c:rich>
      </c:tx>
      <c:layout>
        <c:manualLayout>
          <c:xMode val="edge"/>
          <c:yMode val="edge"/>
          <c:x val="6.9623104947702436E-2"/>
          <c:y val="4.3795633023631535E-2"/>
        </c:manualLayout>
      </c:layout>
      <c:overlay val="1"/>
    </c:title>
    <c:autoTitleDeleted val="0"/>
    <c:plotArea>
      <c:layout/>
      <c:barChart>
        <c:barDir val="col"/>
        <c:grouping val="clustered"/>
        <c:varyColors val="0"/>
        <c:ser>
          <c:idx val="0"/>
          <c:order val="0"/>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Mean_run_forecasts!$R$8:$R$24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Mean_run_forecasts!$AI$8:$AI$24</c:f>
              <c:numCache>
                <c:formatCode>0.00_);[Red]\(0.00\)</c:formatCode>
                <c:ptCount val="17"/>
                <c:pt idx="2">
                  <c:v>0.13176626461988311</c:v>
                </c:pt>
                <c:pt idx="3">
                  <c:v>-0.20634718867844584</c:v>
                </c:pt>
                <c:pt idx="4">
                  <c:v>2.8951651983747315E-2</c:v>
                </c:pt>
                <c:pt idx="5">
                  <c:v>0.2502169087974172</c:v>
                </c:pt>
                <c:pt idx="6">
                  <c:v>-0.193879906462329</c:v>
                </c:pt>
                <c:pt idx="7">
                  <c:v>-6.406030815551475E-2</c:v>
                </c:pt>
                <c:pt idx="8">
                  <c:v>0.56865439733566081</c:v>
                </c:pt>
                <c:pt idx="9">
                  <c:v>0.86987501550676105</c:v>
                </c:pt>
                <c:pt idx="10">
                  <c:v>0.8535237865638059</c:v>
                </c:pt>
                <c:pt idx="11">
                  <c:v>-0.19573567889550744</c:v>
                </c:pt>
                <c:pt idx="12">
                  <c:v>-6.6470005598380774E-2</c:v>
                </c:pt>
                <c:pt idx="13">
                  <c:v>3.7751247493354477E-2</c:v>
                </c:pt>
                <c:pt idx="14">
                  <c:v>0.35153728554441993</c:v>
                </c:pt>
                <c:pt idx="15">
                  <c:v>-0.26033396233132766</c:v>
                </c:pt>
                <c:pt idx="16">
                  <c:v>0.52906639358252261</c:v>
                </c:pt>
              </c:numCache>
            </c:numRef>
          </c:val>
          <c:extLst>
            <c:ext xmlns:c16="http://schemas.microsoft.com/office/drawing/2014/chart" uri="{C3380CC4-5D6E-409C-BE32-E72D297353CC}">
              <c16:uniqueId val="{00000000-0930-413D-AD74-D77F3825B9F0}"/>
            </c:ext>
          </c:extLst>
        </c:ser>
        <c:dLbls>
          <c:showLegendKey val="0"/>
          <c:showVal val="0"/>
          <c:showCatName val="0"/>
          <c:showSerName val="0"/>
          <c:showPercent val="0"/>
          <c:showBubbleSize val="0"/>
        </c:dLbls>
        <c:gapWidth val="150"/>
        <c:axId val="201378432"/>
        <c:axId val="201380224"/>
      </c:barChart>
      <c:catAx>
        <c:axId val="201378432"/>
        <c:scaling>
          <c:orientation val="minMax"/>
        </c:scaling>
        <c:delete val="0"/>
        <c:axPos val="b"/>
        <c:numFmt formatCode="General" sourceLinked="1"/>
        <c:majorTickMark val="out"/>
        <c:minorTickMark val="none"/>
        <c:tickLblPos val="low"/>
        <c:txPr>
          <a:bodyPr/>
          <a:lstStyle/>
          <a:p>
            <a:pPr>
              <a:defRPr sz="1100"/>
            </a:pPr>
            <a:endParaRPr lang="en-US"/>
          </a:p>
        </c:txPr>
        <c:crossAx val="201380224"/>
        <c:crosses val="autoZero"/>
        <c:auto val="1"/>
        <c:lblAlgn val="ctr"/>
        <c:lblOffset val="100"/>
        <c:noMultiLvlLbl val="0"/>
      </c:catAx>
      <c:valAx>
        <c:axId val="201380224"/>
        <c:scaling>
          <c:orientation val="minMax"/>
          <c:max val="1.75"/>
          <c:min val="-0.75000000000000011"/>
        </c:scaling>
        <c:delete val="0"/>
        <c:axPos val="l"/>
        <c:numFmt formatCode="0.00_);[Red]\(0.00\)" sourceLinked="1"/>
        <c:majorTickMark val="out"/>
        <c:minorTickMark val="none"/>
        <c:tickLblPos val="nextTo"/>
        <c:txPr>
          <a:bodyPr/>
          <a:lstStyle/>
          <a:p>
            <a:pPr>
              <a:defRPr sz="1100"/>
            </a:pPr>
            <a:endParaRPr lang="en-US"/>
          </a:p>
        </c:txPr>
        <c:crossAx val="201378432"/>
        <c:crosses val="autoZero"/>
        <c:crossBetween val="between"/>
        <c:majorUnit val="0.5"/>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600"/>
            </a:pPr>
            <a:r>
              <a:rPr lang="en-US" sz="1600"/>
              <a:t>Previous 5 -years average as forecast</a:t>
            </a:r>
          </a:p>
        </c:rich>
      </c:tx>
      <c:layout>
        <c:manualLayout>
          <c:xMode val="edge"/>
          <c:yMode val="edge"/>
          <c:x val="6.9623104947702436E-2"/>
          <c:y val="4.3795633023631535E-2"/>
        </c:manualLayout>
      </c:layout>
      <c:overlay val="1"/>
    </c:title>
    <c:autoTitleDeleted val="0"/>
    <c:plotArea>
      <c:layout/>
      <c:barChart>
        <c:barDir val="col"/>
        <c:grouping val="clustered"/>
        <c:varyColors val="0"/>
        <c:ser>
          <c:idx val="0"/>
          <c:order val="0"/>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Mean_run_forecasts!$R$8:$R$24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Mean_run_forecasts!$AK$8:$AK$24</c:f>
              <c:numCache>
                <c:formatCode>0.00_);[Red]\(0.00\)</c:formatCode>
                <c:ptCount val="17"/>
                <c:pt idx="4">
                  <c:v>3.1536177139377973E-2</c:v>
                </c:pt>
                <c:pt idx="5">
                  <c:v>0.2096095641646489</c:v>
                </c:pt>
                <c:pt idx="6">
                  <c:v>-0.20716586878631865</c:v>
                </c:pt>
                <c:pt idx="7">
                  <c:v>-5.6688297617554208E-2</c:v>
                </c:pt>
                <c:pt idx="8">
                  <c:v>0.59074785967649079</c:v>
                </c:pt>
                <c:pt idx="9">
                  <c:v>0.80372162262746571</c:v>
                </c:pt>
                <c:pt idx="10">
                  <c:v>1.1109028447444551</c:v>
                </c:pt>
                <c:pt idx="11">
                  <c:v>0.1777728293343725</c:v>
                </c:pt>
                <c:pt idx="12">
                  <c:v>0.16960940527970372</c:v>
                </c:pt>
                <c:pt idx="13">
                  <c:v>7.426199692207254E-2</c:v>
                </c:pt>
                <c:pt idx="14">
                  <c:v>0.24224562595549512</c:v>
                </c:pt>
                <c:pt idx="15">
                  <c:v>-0.24618862819097806</c:v>
                </c:pt>
                <c:pt idx="16">
                  <c:v>0.60240996757125786</c:v>
                </c:pt>
              </c:numCache>
            </c:numRef>
          </c:val>
          <c:extLst>
            <c:ext xmlns:c16="http://schemas.microsoft.com/office/drawing/2014/chart" uri="{C3380CC4-5D6E-409C-BE32-E72D297353CC}">
              <c16:uniqueId val="{00000000-2E24-43E6-AF0C-3C3895E6F58A}"/>
            </c:ext>
          </c:extLst>
        </c:ser>
        <c:dLbls>
          <c:showLegendKey val="0"/>
          <c:showVal val="0"/>
          <c:showCatName val="0"/>
          <c:showSerName val="0"/>
          <c:showPercent val="0"/>
          <c:showBubbleSize val="0"/>
        </c:dLbls>
        <c:gapWidth val="150"/>
        <c:axId val="201404800"/>
        <c:axId val="201406336"/>
      </c:barChart>
      <c:catAx>
        <c:axId val="201404800"/>
        <c:scaling>
          <c:orientation val="minMax"/>
        </c:scaling>
        <c:delete val="0"/>
        <c:axPos val="b"/>
        <c:numFmt formatCode="General" sourceLinked="1"/>
        <c:majorTickMark val="out"/>
        <c:minorTickMark val="none"/>
        <c:tickLblPos val="low"/>
        <c:txPr>
          <a:bodyPr/>
          <a:lstStyle/>
          <a:p>
            <a:pPr>
              <a:defRPr sz="1100"/>
            </a:pPr>
            <a:endParaRPr lang="en-US"/>
          </a:p>
        </c:txPr>
        <c:crossAx val="201406336"/>
        <c:crosses val="autoZero"/>
        <c:auto val="1"/>
        <c:lblAlgn val="ctr"/>
        <c:lblOffset val="100"/>
        <c:noMultiLvlLbl val="0"/>
      </c:catAx>
      <c:valAx>
        <c:axId val="201406336"/>
        <c:scaling>
          <c:orientation val="minMax"/>
          <c:max val="1.75"/>
          <c:min val="-0.75000000000000011"/>
        </c:scaling>
        <c:delete val="0"/>
        <c:axPos val="l"/>
        <c:numFmt formatCode="0.00_);[Red]\(0.00\)" sourceLinked="1"/>
        <c:majorTickMark val="out"/>
        <c:minorTickMark val="none"/>
        <c:tickLblPos val="nextTo"/>
        <c:txPr>
          <a:bodyPr/>
          <a:lstStyle/>
          <a:p>
            <a:pPr>
              <a:defRPr sz="1100"/>
            </a:pPr>
            <a:endParaRPr lang="en-US"/>
          </a:p>
        </c:txPr>
        <c:crossAx val="20140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600"/>
            </a:pPr>
            <a:r>
              <a:rPr lang="en-US" sz="1600"/>
              <a:t>Previous 10-years average as forecast</a:t>
            </a:r>
          </a:p>
        </c:rich>
      </c:tx>
      <c:layout>
        <c:manualLayout>
          <c:xMode val="edge"/>
          <c:yMode val="edge"/>
          <c:x val="6.9623104947702436E-2"/>
          <c:y val="4.3795633023631535E-2"/>
        </c:manualLayout>
      </c:layout>
      <c:overlay val="1"/>
    </c:title>
    <c:autoTitleDeleted val="0"/>
    <c:plotArea>
      <c:layout/>
      <c:barChart>
        <c:barDir val="col"/>
        <c:grouping val="clustered"/>
        <c:varyColors val="0"/>
        <c:ser>
          <c:idx val="0"/>
          <c:order val="0"/>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Mean_run_forecasts!$R$8:$R$24</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Mean_run_forecasts!$AL$8:$AL$24</c:f>
              <c:numCache>
                <c:formatCode>0.00_);[Red]\(0.00\)</c:formatCode>
                <c:ptCount val="17"/>
                <c:pt idx="9">
                  <c:v>0.86735439151470051</c:v>
                </c:pt>
                <c:pt idx="10">
                  <c:v>1.2598119575699134</c:v>
                </c:pt>
                <c:pt idx="11">
                  <c:v>0.32184861474512433</c:v>
                </c:pt>
                <c:pt idx="12">
                  <c:v>0.47529606821411646</c:v>
                </c:pt>
                <c:pt idx="13">
                  <c:v>0.53579023457538577</c:v>
                </c:pt>
                <c:pt idx="14">
                  <c:v>0.7188183002095011</c:v>
                </c:pt>
                <c:pt idx="15">
                  <c:v>3.9876099263006827E-4</c:v>
                </c:pt>
                <c:pt idx="16">
                  <c:v>0.88447857996245105</c:v>
                </c:pt>
              </c:numCache>
            </c:numRef>
          </c:val>
          <c:extLst>
            <c:ext xmlns:c16="http://schemas.microsoft.com/office/drawing/2014/chart" uri="{C3380CC4-5D6E-409C-BE32-E72D297353CC}">
              <c16:uniqueId val="{00000000-911A-4560-BBC2-D466D30C4D31}"/>
            </c:ext>
          </c:extLst>
        </c:ser>
        <c:dLbls>
          <c:showLegendKey val="0"/>
          <c:showVal val="0"/>
          <c:showCatName val="0"/>
          <c:showSerName val="0"/>
          <c:showPercent val="0"/>
          <c:showBubbleSize val="0"/>
        </c:dLbls>
        <c:gapWidth val="150"/>
        <c:axId val="201439104"/>
        <c:axId val="201440640"/>
      </c:barChart>
      <c:catAx>
        <c:axId val="201439104"/>
        <c:scaling>
          <c:orientation val="minMax"/>
        </c:scaling>
        <c:delete val="0"/>
        <c:axPos val="b"/>
        <c:numFmt formatCode="General" sourceLinked="1"/>
        <c:majorTickMark val="out"/>
        <c:minorTickMark val="none"/>
        <c:tickLblPos val="low"/>
        <c:txPr>
          <a:bodyPr/>
          <a:lstStyle/>
          <a:p>
            <a:pPr>
              <a:defRPr sz="1100"/>
            </a:pPr>
            <a:endParaRPr lang="en-US"/>
          </a:p>
        </c:txPr>
        <c:crossAx val="201440640"/>
        <c:crosses val="autoZero"/>
        <c:auto val="1"/>
        <c:lblAlgn val="ctr"/>
        <c:lblOffset val="100"/>
        <c:noMultiLvlLbl val="0"/>
      </c:catAx>
      <c:valAx>
        <c:axId val="201440640"/>
        <c:scaling>
          <c:orientation val="minMax"/>
          <c:max val="1.75"/>
          <c:min val="-0.75000000000000011"/>
        </c:scaling>
        <c:delete val="0"/>
        <c:axPos val="l"/>
        <c:numFmt formatCode="0.00_);[Red]\(0.00\)" sourceLinked="1"/>
        <c:majorTickMark val="out"/>
        <c:minorTickMark val="none"/>
        <c:tickLblPos val="nextTo"/>
        <c:txPr>
          <a:bodyPr/>
          <a:lstStyle/>
          <a:p>
            <a:pPr>
              <a:defRPr sz="1100"/>
            </a:pPr>
            <a:endParaRPr lang="en-US"/>
          </a:p>
        </c:txPr>
        <c:crossAx val="2014391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2.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image" Target="../media/image2.png"/><Relationship Id="rId5" Type="http://schemas.openxmlformats.org/officeDocument/2006/relationships/chart" Target="../charts/chart9.xml"/><Relationship Id="rId10" Type="http://schemas.openxmlformats.org/officeDocument/2006/relationships/image" Target="../media/image1.png"/><Relationship Id="rId4" Type="http://schemas.openxmlformats.org/officeDocument/2006/relationships/chart" Target="../charts/chart8.xml"/><Relationship Id="rId9"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_rels/vmlDrawing1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oneCellAnchor>
    <xdr:from>
      <xdr:col>8</xdr:col>
      <xdr:colOff>133350</xdr:colOff>
      <xdr:row>92</xdr:row>
      <xdr:rowOff>85725</xdr:rowOff>
    </xdr:from>
    <xdr:ext cx="76200" cy="200025"/>
    <xdr:sp macro="" textlink="">
      <xdr:nvSpPr>
        <xdr:cNvPr id="3075" name="Text Box 3">
          <a:extLst>
            <a:ext uri="{FF2B5EF4-FFF2-40B4-BE49-F238E27FC236}">
              <a16:creationId xmlns:a16="http://schemas.microsoft.com/office/drawing/2014/main" id="{00000000-0008-0000-0000-0000030C0000}"/>
            </a:ext>
          </a:extLst>
        </xdr:cNvPr>
        <xdr:cNvSpPr txBox="1">
          <a:spLocks noChangeArrowheads="1"/>
        </xdr:cNvSpPr>
      </xdr:nvSpPr>
      <xdr:spPr bwMode="auto">
        <a:xfrm>
          <a:off x="5543550" y="16506825"/>
          <a:ext cx="76200" cy="200025"/>
        </a:xfrm>
        <a:prstGeom prst="rect">
          <a:avLst/>
        </a:prstGeom>
        <a:noFill/>
        <a:ln w="9525">
          <a:noFill/>
          <a:miter lim="800000"/>
          <a:headEnd/>
          <a:tailEnd/>
        </a:ln>
      </xdr:spPr>
    </xdr:sp>
    <xdr:clientData/>
  </xdr:oneCellAnchor>
</xdr:wsDr>
</file>

<file path=xl/drawings/drawing10.xml><?xml version="1.0" encoding="utf-8"?>
<c:userShapes xmlns:c="http://schemas.openxmlformats.org/drawingml/2006/chart">
  <cdr:relSizeAnchor xmlns:cdr="http://schemas.openxmlformats.org/drawingml/2006/chartDrawing">
    <cdr:from>
      <cdr:x>0.27738</cdr:x>
      <cdr:y>0.1927</cdr:y>
    </cdr:from>
    <cdr:to>
      <cdr:x>0.54405</cdr:x>
      <cdr:y>0.3559</cdr:y>
    </cdr:to>
    <cdr:sp macro="" textlink="">
      <cdr:nvSpPr>
        <cdr:cNvPr id="2" name="TextBox 1"/>
        <cdr:cNvSpPr txBox="1"/>
      </cdr:nvSpPr>
      <cdr:spPr>
        <a:xfrm xmlns:a="http://schemas.openxmlformats.org/drawingml/2006/main">
          <a:off x="1167765" y="528627"/>
          <a:ext cx="1122694" cy="4476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Forecast</a:t>
          </a:r>
          <a:r>
            <a:rPr lang="en-US" sz="1100" baseline="0"/>
            <a:t> too high</a:t>
          </a:r>
          <a:endParaRPr lang="en-US" sz="1100"/>
        </a:p>
      </cdr:txBody>
    </cdr:sp>
  </cdr:relSizeAnchor>
  <cdr:relSizeAnchor xmlns:cdr="http://schemas.openxmlformats.org/drawingml/2006/chartDrawing">
    <cdr:from>
      <cdr:x>0.58611</cdr:x>
      <cdr:y>0.72685</cdr:y>
    </cdr:from>
    <cdr:to>
      <cdr:x>0.85278</cdr:x>
      <cdr:y>0.81019</cdr:y>
    </cdr:to>
    <cdr:sp macro="" textlink="">
      <cdr:nvSpPr>
        <cdr:cNvPr id="3" name="TextBox 1"/>
        <cdr:cNvSpPr txBox="1"/>
      </cdr:nvSpPr>
      <cdr:spPr>
        <a:xfrm xmlns:a="http://schemas.openxmlformats.org/drawingml/2006/main">
          <a:off x="2679700" y="1993900"/>
          <a:ext cx="121920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Forecast</a:t>
          </a:r>
          <a:r>
            <a:rPr lang="en-US" sz="1100" baseline="0"/>
            <a:t> too low</a:t>
          </a:r>
          <a:endParaRPr lang="en-US" sz="1100"/>
        </a:p>
      </cdr:txBody>
    </cdr:sp>
  </cdr:relSizeAnchor>
</c:userShapes>
</file>

<file path=xl/drawings/drawing11.xml><?xml version="1.0" encoding="utf-8"?>
<xdr:wsDr xmlns:xdr="http://schemas.openxmlformats.org/drawingml/2006/spreadsheetDrawing" xmlns:a="http://schemas.openxmlformats.org/drawingml/2006/main">
  <xdr:oneCellAnchor>
    <xdr:from>
      <xdr:col>7</xdr:col>
      <xdr:colOff>133350</xdr:colOff>
      <xdr:row>89</xdr:row>
      <xdr:rowOff>85725</xdr:rowOff>
    </xdr:from>
    <xdr:ext cx="76200" cy="200025"/>
    <xdr:sp macro="" textlink="">
      <xdr:nvSpPr>
        <xdr:cNvPr id="2" name="Text Box 3">
          <a:extLst>
            <a:ext uri="{FF2B5EF4-FFF2-40B4-BE49-F238E27FC236}">
              <a16:creationId xmlns:a16="http://schemas.microsoft.com/office/drawing/2014/main" id="{00000000-0008-0000-0C00-000002000000}"/>
            </a:ext>
          </a:extLst>
        </xdr:cNvPr>
        <xdr:cNvSpPr txBox="1">
          <a:spLocks noChangeArrowheads="1"/>
        </xdr:cNvSpPr>
      </xdr:nvSpPr>
      <xdr:spPr bwMode="auto">
        <a:xfrm>
          <a:off x="5543550" y="17535525"/>
          <a:ext cx="76200" cy="200025"/>
        </a:xfrm>
        <a:prstGeom prst="rect">
          <a:avLst/>
        </a:prstGeom>
        <a:noFill/>
        <a:ln w="9525">
          <a:noFill/>
          <a:miter lim="800000"/>
          <a:headEnd/>
          <a:tailEnd/>
        </a:ln>
      </xdr:spPr>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152400</xdr:colOff>
      <xdr:row>48</xdr:row>
      <xdr:rowOff>85725</xdr:rowOff>
    </xdr:from>
    <xdr:to>
      <xdr:col>11</xdr:col>
      <xdr:colOff>790575</xdr:colOff>
      <xdr:row>74</xdr:row>
      <xdr:rowOff>152400</xdr:rowOff>
    </xdr:to>
    <xdr:graphicFrame macro="">
      <xdr:nvGraphicFramePr>
        <xdr:cNvPr id="14337" name="Chart 1">
          <a:extLst>
            <a:ext uri="{FF2B5EF4-FFF2-40B4-BE49-F238E27FC236}">
              <a16:creationId xmlns:a16="http://schemas.microsoft.com/office/drawing/2014/main" id="{00000000-0008-0000-0D00-000001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123825</xdr:colOff>
      <xdr:row>4</xdr:row>
      <xdr:rowOff>0</xdr:rowOff>
    </xdr:from>
    <xdr:to>
      <xdr:col>24</xdr:col>
      <xdr:colOff>352425</xdr:colOff>
      <xdr:row>30</xdr:row>
      <xdr:rowOff>76200</xdr:rowOff>
    </xdr:to>
    <xdr:graphicFrame macro="">
      <xdr:nvGraphicFramePr>
        <xdr:cNvPr id="14338" name="Chart 2">
          <a:extLst>
            <a:ext uri="{FF2B5EF4-FFF2-40B4-BE49-F238E27FC236}">
              <a16:creationId xmlns:a16="http://schemas.microsoft.com/office/drawing/2014/main" id="{00000000-0008-0000-0D00-00000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285750</xdr:colOff>
      <xdr:row>6</xdr:row>
      <xdr:rowOff>66675</xdr:rowOff>
    </xdr:from>
    <xdr:to>
      <xdr:col>16</xdr:col>
      <xdr:colOff>647700</xdr:colOff>
      <xdr:row>6</xdr:row>
      <xdr:rowOff>66675</xdr:rowOff>
    </xdr:to>
    <xdr:sp macro="" textlink="">
      <xdr:nvSpPr>
        <xdr:cNvPr id="14339" name="Line 3">
          <a:extLst>
            <a:ext uri="{FF2B5EF4-FFF2-40B4-BE49-F238E27FC236}">
              <a16:creationId xmlns:a16="http://schemas.microsoft.com/office/drawing/2014/main" id="{00000000-0008-0000-0D00-000003380000}"/>
            </a:ext>
          </a:extLst>
        </xdr:cNvPr>
        <xdr:cNvSpPr>
          <a:spLocks noChangeShapeType="1"/>
        </xdr:cNvSpPr>
      </xdr:nvSpPr>
      <xdr:spPr bwMode="auto">
        <a:xfrm>
          <a:off x="7334250" y="1152525"/>
          <a:ext cx="1590675" cy="0"/>
        </a:xfrm>
        <a:prstGeom prst="line">
          <a:avLst/>
        </a:prstGeom>
        <a:noFill/>
        <a:ln w="38100">
          <a:solidFill>
            <a:srgbClr val="000000"/>
          </a:solidFill>
          <a:round/>
          <a:headEnd/>
          <a:tailEnd type="triangle" w="med" len="me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142875</xdr:colOff>
      <xdr:row>5</xdr:row>
      <xdr:rowOff>47626</xdr:rowOff>
    </xdr:from>
    <xdr:to>
      <xdr:col>28</xdr:col>
      <xdr:colOff>28575</xdr:colOff>
      <xdr:row>28</xdr:row>
      <xdr:rowOff>142875</xdr:rowOff>
    </xdr:to>
    <xdr:graphicFrame macro="">
      <xdr:nvGraphicFramePr>
        <xdr:cNvPr id="18433" name="Chart 1">
          <a:extLst>
            <a:ext uri="{FF2B5EF4-FFF2-40B4-BE49-F238E27FC236}">
              <a16:creationId xmlns:a16="http://schemas.microsoft.com/office/drawing/2014/main" id="{00000000-0008-0000-1300-0000014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oneCellAnchor>
    <xdr:from>
      <xdr:col>11</xdr:col>
      <xdr:colOff>28574</xdr:colOff>
      <xdr:row>5</xdr:row>
      <xdr:rowOff>119062</xdr:rowOff>
    </xdr:from>
    <xdr:ext cx="1323975" cy="26456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248649" y="919162"/>
              <a:ext cx="1323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1100" b="0" i="1">
                      <a:latin typeface="Cambria Math"/>
                    </a:rPr>
                    <m:t>=</m:t>
                  </m:r>
                  <m:r>
                    <m:rPr>
                      <m:sty m:val="p"/>
                    </m:rPr>
                    <a:rPr lang="en-US" sz="1100" b="0" i="0">
                      <a:latin typeface="Cambria Math"/>
                    </a:rPr>
                    <m:t>exp</m:t>
                  </m:r>
                  <m:r>
                    <a:rPr lang="en-US" sz="1100" b="0" i="1">
                      <a:latin typeface="Cambria Math"/>
                    </a:rPr>
                    <m:t>⁡(</m:t>
                  </m:r>
                  <m:r>
                    <m:rPr>
                      <m:nor/>
                    </m:rPr>
                    <a:rPr lang="en-US" sz="1100" b="0" i="0">
                      <a:latin typeface="Cambria Math"/>
                    </a:rPr>
                    <m:t>R</m:t>
                  </m:r>
                  <m:r>
                    <a:rPr lang="en-US" sz="1100" b="0" i="1">
                      <a:latin typeface="Cambria Math"/>
                    </a:rPr>
                    <m:t>+</m:t>
                  </m:r>
                  <m:f>
                    <m:fPr>
                      <m:type m:val="lin"/>
                      <m:ctrlPr>
                        <a:rPr lang="en-US" sz="1100" b="0" i="1">
                          <a:latin typeface="Cambria Math" panose="02040503050406030204" pitchFamily="18" charset="0"/>
                        </a:rPr>
                      </m:ctrlPr>
                    </m:fPr>
                    <m:num>
                      <m:sSubSup>
                        <m:sSubSupPr>
                          <m:ctrlPr>
                            <a:rPr lang="en-US" sz="1100" b="0" i="1">
                              <a:latin typeface="Cambria Math" panose="02040503050406030204" pitchFamily="18" charset="0"/>
                            </a:rPr>
                          </m:ctrlPr>
                        </m:sSubSupPr>
                        <m:e>
                          <m:acc>
                            <m:accPr>
                              <m:chr m:val="̂"/>
                              <m:ctrlPr>
                                <a:rPr lang="en-US" sz="1100" b="0" i="1">
                                  <a:latin typeface="Cambria Math" panose="02040503050406030204" pitchFamily="18" charset="0"/>
                                </a:rPr>
                              </m:ctrlPr>
                            </m:accPr>
                            <m:e>
                              <m:r>
                                <a:rPr lang="en-US" sz="1100" b="0" i="1">
                                  <a:latin typeface="Cambria Math"/>
                                  <a:ea typeface="Cambria Math"/>
                                </a:rPr>
                                <m:t>𝜎</m:t>
                              </m:r>
                              <m:r>
                                <a:rPr lang="en-US" sz="1100" b="0" i="1" baseline="30000">
                                  <a:latin typeface="Cambria Math"/>
                                  <a:ea typeface="Cambria Math"/>
                                </a:rPr>
                                <m:t>2</m:t>
                              </m:r>
                            </m:e>
                          </m:acc>
                        </m:e>
                        <m:sub>
                          <m:r>
                            <a:rPr lang="en-US" sz="1100" b="0" i="1">
                              <a:latin typeface="Cambria Math"/>
                              <a:ea typeface="Cambria Math"/>
                            </a:rPr>
                            <m:t>𝜀</m:t>
                          </m:r>
                        </m:sub>
                        <m:sup/>
                      </m:sSubSup>
                    </m:num>
                    <m:den>
                      <m:r>
                        <a:rPr lang="en-US" sz="1100" b="0" i="1">
                          <a:latin typeface="Cambria Math"/>
                        </a:rPr>
                        <m:t>2</m:t>
                      </m:r>
                    </m:den>
                  </m:f>
                </m:oMath>
              </a14:m>
              <a:r>
                <a:rPr lang="en-US" sz="1100"/>
                <a:t>)</a:t>
              </a:r>
            </a:p>
          </xdr:txBody>
        </xdr:sp>
      </mc:Choice>
      <mc:Fallback xmlns="">
        <xdr:sp macro="" textlink="">
          <xdr:nvSpPr>
            <xdr:cNvPr id="3" name="TextBox 2"/>
            <xdr:cNvSpPr txBox="1"/>
          </xdr:nvSpPr>
          <xdr:spPr>
            <a:xfrm>
              <a:off x="8248649" y="919162"/>
              <a:ext cx="1323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Cambria Math"/>
                </a:rPr>
                <a:t>=exp⁡("R"+(</a:t>
              </a:r>
              <a:r>
                <a:rPr lang="en-US" sz="1100" b="0" i="0">
                  <a:latin typeface="Cambria Math"/>
                  <a:ea typeface="Cambria Math"/>
                </a:rPr>
                <a:t>𝜎</a:t>
              </a:r>
              <a:r>
                <a:rPr lang="en-US" sz="1100" b="0" i="0" baseline="30000">
                  <a:latin typeface="Cambria Math"/>
                  <a:ea typeface="Cambria Math"/>
                </a:rPr>
                <a:t>2) ̂_</a:t>
              </a:r>
              <a:r>
                <a:rPr lang="en-US" sz="1100" b="0" i="0">
                  <a:latin typeface="Cambria Math"/>
                  <a:ea typeface="Cambria Math"/>
                </a:rPr>
                <a:t>𝜀^ ∕</a:t>
              </a:r>
              <a:r>
                <a:rPr lang="en-US" sz="1100" b="0" i="0">
                  <a:latin typeface="Cambria Math"/>
                </a:rPr>
                <a:t>2</a:t>
              </a:r>
              <a:r>
                <a:rPr lang="en-US" sz="1100"/>
                <a:t>)</a:t>
              </a:r>
            </a:p>
          </xdr:txBody>
        </xdr:sp>
      </mc:Fallback>
    </mc:AlternateContent>
    <xdr:clientData/>
  </xdr:oneCellAnchor>
  <xdr:oneCellAnchor>
    <xdr:from>
      <xdr:col>11</xdr:col>
      <xdr:colOff>20954</xdr:colOff>
      <xdr:row>44</xdr:row>
      <xdr:rowOff>195262</xdr:rowOff>
    </xdr:from>
    <xdr:ext cx="1323975" cy="2645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9667874" y="8996362"/>
              <a:ext cx="1323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1100" b="0" i="1">
                      <a:latin typeface="Cambria Math"/>
                    </a:rPr>
                    <m:t>=</m:t>
                  </m:r>
                  <m:r>
                    <m:rPr>
                      <m:sty m:val="p"/>
                    </m:rPr>
                    <a:rPr lang="en-US" sz="1100" b="0" i="0">
                      <a:latin typeface="Cambria Math"/>
                    </a:rPr>
                    <m:t>exp</m:t>
                  </m:r>
                  <m:r>
                    <a:rPr lang="en-US" sz="1100" b="0" i="1">
                      <a:latin typeface="Cambria Math"/>
                    </a:rPr>
                    <m:t>⁡(</m:t>
                  </m:r>
                  <m:r>
                    <m:rPr>
                      <m:nor/>
                    </m:rPr>
                    <a:rPr lang="en-US" sz="1100" b="0" i="0">
                      <a:latin typeface="Cambria Math"/>
                    </a:rPr>
                    <m:t>R</m:t>
                  </m:r>
                  <m:r>
                    <a:rPr lang="en-US" sz="1100" b="0" i="1">
                      <a:latin typeface="Cambria Math"/>
                    </a:rPr>
                    <m:t>+</m:t>
                  </m:r>
                  <m:f>
                    <m:fPr>
                      <m:type m:val="lin"/>
                      <m:ctrlPr>
                        <a:rPr lang="en-US" sz="1100" b="0" i="1">
                          <a:latin typeface="Cambria Math" panose="02040503050406030204" pitchFamily="18" charset="0"/>
                        </a:rPr>
                      </m:ctrlPr>
                    </m:fPr>
                    <m:num>
                      <m:sSubSup>
                        <m:sSubSupPr>
                          <m:ctrlPr>
                            <a:rPr lang="en-US" sz="1100" b="0" i="1">
                              <a:latin typeface="Cambria Math" panose="02040503050406030204" pitchFamily="18" charset="0"/>
                            </a:rPr>
                          </m:ctrlPr>
                        </m:sSubSupPr>
                        <m:e>
                          <m:acc>
                            <m:accPr>
                              <m:chr m:val="̂"/>
                              <m:ctrlPr>
                                <a:rPr lang="en-US" sz="1100" b="0" i="1">
                                  <a:latin typeface="Cambria Math" panose="02040503050406030204" pitchFamily="18" charset="0"/>
                                </a:rPr>
                              </m:ctrlPr>
                            </m:accPr>
                            <m:e>
                              <m:r>
                                <a:rPr lang="en-US" sz="1100" b="0" i="1">
                                  <a:latin typeface="Cambria Math"/>
                                  <a:ea typeface="Cambria Math"/>
                                </a:rPr>
                                <m:t>𝜎</m:t>
                              </m:r>
                              <m:r>
                                <a:rPr lang="en-US" sz="1100" b="0" i="1" baseline="30000">
                                  <a:latin typeface="Cambria Math"/>
                                  <a:ea typeface="Cambria Math"/>
                                </a:rPr>
                                <m:t>2</m:t>
                              </m:r>
                            </m:e>
                          </m:acc>
                        </m:e>
                        <m:sub>
                          <m:r>
                            <a:rPr lang="en-US" sz="1100" b="0" i="1">
                              <a:latin typeface="Cambria Math"/>
                              <a:ea typeface="Cambria Math"/>
                            </a:rPr>
                            <m:t>𝜀</m:t>
                          </m:r>
                        </m:sub>
                        <m:sup/>
                      </m:sSubSup>
                    </m:num>
                    <m:den>
                      <m:r>
                        <a:rPr lang="en-US" sz="1100" b="0" i="1">
                          <a:latin typeface="Cambria Math"/>
                        </a:rPr>
                        <m:t>2</m:t>
                      </m:r>
                    </m:den>
                  </m:f>
                </m:oMath>
              </a14:m>
              <a:r>
                <a:rPr lang="en-US" sz="1100"/>
                <a:t>)</a:t>
              </a:r>
            </a:p>
          </xdr:txBody>
        </xdr:sp>
      </mc:Choice>
      <mc:Fallback xmlns="">
        <xdr:sp macro="" textlink="">
          <xdr:nvSpPr>
            <xdr:cNvPr id="4" name="TextBox 3"/>
            <xdr:cNvSpPr txBox="1"/>
          </xdr:nvSpPr>
          <xdr:spPr>
            <a:xfrm>
              <a:off x="9667874" y="8996362"/>
              <a:ext cx="1323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Cambria Math"/>
                </a:rPr>
                <a:t>=exp⁡("R"+(</a:t>
              </a:r>
              <a:r>
                <a:rPr lang="en-US" sz="1100" b="0" i="0">
                  <a:latin typeface="Cambria Math"/>
                  <a:ea typeface="Cambria Math"/>
                </a:rPr>
                <a:t>𝜎</a:t>
              </a:r>
              <a:r>
                <a:rPr lang="en-US" sz="1100" b="0" i="0" baseline="30000">
                  <a:latin typeface="Cambria Math"/>
                  <a:ea typeface="Cambria Math"/>
                </a:rPr>
                <a:t>2) ̂_</a:t>
              </a:r>
              <a:r>
                <a:rPr lang="en-US" sz="1100" b="0" i="0">
                  <a:latin typeface="Cambria Math"/>
                  <a:ea typeface="Cambria Math"/>
                </a:rPr>
                <a:t>𝜀^ ∕</a:t>
              </a:r>
              <a:r>
                <a:rPr lang="en-US" sz="1100" b="0" i="0">
                  <a:latin typeface="Cambria Math"/>
                </a:rPr>
                <a:t>2</a:t>
              </a:r>
              <a:r>
                <a:rPr lang="en-US" sz="1100"/>
                <a:t>)</a:t>
              </a:r>
            </a:p>
          </xdr:txBody>
        </xdr:sp>
      </mc:Fallback>
    </mc:AlternateContent>
    <xdr:clientData/>
  </xdr:oneCellAnchor>
  <xdr:twoCellAnchor>
    <xdr:from>
      <xdr:col>12</xdr:col>
      <xdr:colOff>628650</xdr:colOff>
      <xdr:row>43</xdr:row>
      <xdr:rowOff>152399</xdr:rowOff>
    </xdr:from>
    <xdr:to>
      <xdr:col>18</xdr:col>
      <xdr:colOff>600075</xdr:colOff>
      <xdr:row>104</xdr:row>
      <xdr:rowOff>38100</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11715750" y="9086849"/>
          <a:ext cx="7334250" cy="12220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#set variable 'pred_yr' to the year being predicted</a:t>
          </a:r>
        </a:p>
        <a:p>
          <a:r>
            <a:rPr lang="en-CA" sz="1100"/>
            <a:t>pred_yr = 2017</a:t>
          </a:r>
        </a:p>
        <a:p>
          <a:endParaRPr lang="en-CA" sz="1100"/>
        </a:p>
        <a:p>
          <a:r>
            <a:rPr lang="en-CA" sz="1100"/>
            <a:t>#update the next four lines so that they reflect the most current dataset</a:t>
          </a:r>
        </a:p>
        <a:p>
          <a:r>
            <a:rPr lang="en-CA" sz="1100"/>
            <a:t>Brood_Year = seq (1976,2012,1)</a:t>
          </a:r>
        </a:p>
        <a:p>
          <a:r>
            <a:rPr lang="en-CA" sz="1100"/>
            <a:t>Age5_Rt_Year = seq (1981,2017,1)</a:t>
          </a:r>
        </a:p>
        <a:p>
          <a:r>
            <a:rPr lang="en-CA" sz="1100"/>
            <a:t>Num12 = c(77, 1059, 3577, 2052, 900, 2829, 2352, 829, 970, 793, 1269, 1146, 3824, 4111, 4110,</a:t>
          </a:r>
        </a:p>
        <a:p>
          <a:r>
            <a:rPr lang="en-CA" sz="1100"/>
            <a:t>          7143, 5839, 7114, 6161, 10515, 4773, 8615, 6611, 5977, 5020, 5892, 9564, 5160, 3974, 4591,</a:t>
          </a:r>
        </a:p>
        <a:p>
          <a:r>
            <a:rPr lang="en-CA" sz="1100"/>
            <a:t>          5401, 5474, 3822, 5821, 8845, 6472, 4125 )</a:t>
          </a:r>
        </a:p>
        <a:p>
          <a:r>
            <a:rPr lang="en-CA" sz="1100"/>
            <a:t>Num13 = c(8624, 25211, 33918, 13184, 12240, 21884, 9999, 7775, 7598, 5597, 19787, 9375, 31348,</a:t>
          </a:r>
        </a:p>
        <a:p>
          <a:r>
            <a:rPr lang="en-CA" sz="1100"/>
            <a:t>          31721, 55953, 42452, 56034, 68371, 55667, 48502, 55981, 49174, 61859, 47494, 37628, 68219,</a:t>
          </a:r>
        </a:p>
        <a:p>
          <a:r>
            <a:rPr lang="en-CA" sz="1100"/>
            <a:t>          57979, 32190, 27037, 19725, 41073, 35349, 26390, 15967, 37232, 18133, NA )</a:t>
          </a:r>
        </a:p>
        <a:p>
          <a:endParaRPr lang="en-CA" sz="1100"/>
        </a:p>
        <a:p>
          <a:r>
            <a:rPr lang="en-CA" sz="1100"/>
            <a:t>#these lines combine the four data variables into one 'data frame', and then remove the original four variables</a:t>
          </a:r>
        </a:p>
        <a:p>
          <a:r>
            <a:rPr lang="en-CA" sz="1100"/>
            <a:t>CRCNData = data.frame(cbind(Brood_Year, Age5_Rt_Year, Num12, Num13))</a:t>
          </a:r>
        </a:p>
        <a:p>
          <a:r>
            <a:rPr lang="en-CA" sz="1100"/>
            <a:t>rm(Brood_Year, Age5_Rt_Year, Num12, Num13)</a:t>
          </a:r>
        </a:p>
        <a:p>
          <a:endParaRPr lang="en-CA" sz="1100"/>
        </a:p>
        <a:p>
          <a:r>
            <a:rPr lang="en-CA" sz="1100"/>
            <a:t>#Excluded 1976 as it significantly affected the normality of the data.</a:t>
          </a:r>
        </a:p>
        <a:p>
          <a:r>
            <a:rPr lang="en-CA" sz="1100"/>
            <a:t>CRCNData[1,3:4] = NA</a:t>
          </a:r>
        </a:p>
        <a:p>
          <a:endParaRPr lang="en-CA" sz="1100"/>
        </a:p>
        <a:p>
          <a:r>
            <a:rPr lang="en-CA" sz="1100"/>
            <a:t>#These lines create the ln-transformed variables from the raw counts</a:t>
          </a:r>
        </a:p>
        <a:p>
          <a:r>
            <a:rPr lang="en-CA" sz="1100"/>
            <a:t>CRCNData$ln12 = log(CRCNData$Num12)</a:t>
          </a:r>
        </a:p>
        <a:p>
          <a:r>
            <a:rPr lang="en-CA" sz="1100"/>
            <a:t>CRCNData$ln13 = log(CRCNData$Num13)</a:t>
          </a:r>
        </a:p>
        <a:p>
          <a:endParaRPr lang="en-CA" sz="1100"/>
        </a:p>
        <a:p>
          <a:r>
            <a:rPr lang="en-CA" sz="1100"/>
            <a:t>#these lines create a blank output file</a:t>
          </a:r>
        </a:p>
        <a:p>
          <a:r>
            <a:rPr lang="en-CA" sz="1100"/>
            <a:t>outfile = data.frame(array(0,dim=c(pred_yr-1991+1,2)))</a:t>
          </a:r>
        </a:p>
        <a:p>
          <a:r>
            <a:rPr lang="en-CA" sz="1100"/>
            <a:t>colnames(outfile) = c("Age5_Rt_Year", "residual MS")</a:t>
          </a:r>
        </a:p>
        <a:p>
          <a:endParaRPr lang="en-CA" sz="1100"/>
        </a:p>
        <a:p>
          <a:r>
            <a:rPr lang="en-CA" sz="1100"/>
            <a:t>#this loop is repeated once for each year from 1991 to the current year</a:t>
          </a:r>
        </a:p>
        <a:p>
          <a:r>
            <a:rPr lang="en-CA" sz="1100"/>
            <a:t># for each year, it creates a temporary dataframe that contains only the data that would have </a:t>
          </a:r>
        </a:p>
        <a:p>
          <a:r>
            <a:rPr lang="en-CA" sz="1100"/>
            <a:t>#been available during that year, and then runs a linear regression, creates the ANOVA table </a:t>
          </a:r>
        </a:p>
        <a:p>
          <a:r>
            <a:rPr lang="en-CA" sz="1100"/>
            <a:t>#for the regression output, and then pulls the residual mean square and saves it to the outfile</a:t>
          </a:r>
        </a:p>
        <a:p>
          <a:r>
            <a:rPr lang="en-CA" sz="1100"/>
            <a:t>for (ix in 1991:pred_yr) {   #first year is 1991 -- the first brood year for which 9+ years of data exist</a:t>
          </a:r>
        </a:p>
        <a:p>
          <a:r>
            <a:rPr lang="en-CA" sz="1100"/>
            <a:t>  temp = CRCNData[CRCNData$Age5_Rt_Year &lt;ix,]</a:t>
          </a:r>
        </a:p>
        <a:p>
          <a:r>
            <a:rPr lang="en-CA" sz="1100"/>
            <a:t>  m = lm(ln13~ln12, data = temp)</a:t>
          </a:r>
        </a:p>
        <a:p>
          <a:r>
            <a:rPr lang="en-CA" sz="1100"/>
            <a:t>  mo = anova(m)</a:t>
          </a:r>
        </a:p>
        <a:p>
          <a:r>
            <a:rPr lang="en-CA" sz="1100"/>
            <a:t>  names(mo)</a:t>
          </a:r>
        </a:p>
        <a:p>
          <a:r>
            <a:rPr lang="en-CA" sz="1100"/>
            <a:t>  outfile[ix-1990,1] = ix</a:t>
          </a:r>
        </a:p>
        <a:p>
          <a:r>
            <a:rPr lang="en-CA" sz="1100"/>
            <a:t>  outfile[ix-1990,2] = mo$"Mean Sq"[2]</a:t>
          </a:r>
        </a:p>
        <a:p>
          <a:r>
            <a:rPr lang="en-CA" sz="1100"/>
            <a:t>}</a:t>
          </a:r>
        </a:p>
        <a:p>
          <a:endParaRPr lang="en-CA" sz="1100"/>
        </a:p>
        <a:p>
          <a:r>
            <a:rPr lang="en-CA" sz="1100"/>
            <a:t>#the output is written to this file:</a:t>
          </a:r>
        </a:p>
        <a:p>
          <a:r>
            <a:rPr lang="en-CA" sz="1100"/>
            <a:t>write.csv(outfile, file = "C:/temp/resid_ms_ln13v12.csv", row.names = F)</a:t>
          </a:r>
        </a:p>
        <a:p>
          <a:endParaRPr lang="en-CA" sz="1100"/>
        </a:p>
        <a:p>
          <a:endParaRPr lang="en-CA" sz="1100"/>
        </a:p>
        <a:p>
          <a:endParaRPr lang="en-CA" sz="1100"/>
        </a:p>
        <a:p>
          <a:endParaRPr lang="en-CA" sz="1100"/>
        </a:p>
        <a:p>
          <a:r>
            <a:rPr lang="en-CA" sz="1100"/>
            <a:t>#PREDICTIONS (REPLACES SAS STUFF)</a:t>
          </a:r>
        </a:p>
        <a:p>
          <a:r>
            <a:rPr lang="en-CA" sz="1100"/>
            <a:t>#create prediction outfile</a:t>
          </a:r>
        </a:p>
        <a:p>
          <a:r>
            <a:rPr lang="en-CA" sz="1100"/>
            <a:t>outpred = data.frame(array(0,dim=c(3,2)))</a:t>
          </a:r>
        </a:p>
        <a:p>
          <a:r>
            <a:rPr lang="en-CA" sz="1100"/>
            <a:t>rownames(outpred) = c("lwr", "fit", "upr")</a:t>
          </a:r>
        </a:p>
        <a:p>
          <a:r>
            <a:rPr lang="en-CA" sz="1100"/>
            <a:t>colnames(outpred) = c("raw","ln")</a:t>
          </a:r>
        </a:p>
        <a:p>
          <a:endParaRPr lang="en-CA" sz="1100"/>
        </a:p>
        <a:p>
          <a:r>
            <a:rPr lang="en-CA" sz="1100"/>
            <a:t>#run non-transformed model for current  prediction year, save the predicted value from the last row, along with 80% CIs</a:t>
          </a:r>
        </a:p>
        <a:p>
          <a:r>
            <a:rPr lang="en-CA" sz="1100"/>
            <a:t>rw.m = lm(Num13~Num12, data = CRCNData)</a:t>
          </a:r>
        </a:p>
        <a:p>
          <a:r>
            <a:rPr lang="en-CA" sz="1100"/>
            <a:t>summary(rw.m)</a:t>
          </a:r>
        </a:p>
        <a:p>
          <a:r>
            <a:rPr lang="en-CA" sz="1100"/>
            <a:t>outpred[c(2,1,3),1] = predict(rw.m, newdata = CRCNData, interval = "prediction", level = 0.80)[length(CRCNData$ln12),]</a:t>
          </a:r>
        </a:p>
        <a:p>
          <a:endParaRPr lang="en-CA" sz="1100"/>
        </a:p>
        <a:p>
          <a:r>
            <a:rPr lang="en-CA" sz="1100"/>
            <a:t>#Ln-transformed model for current  prediction year, , save the predicted value from the last row, along with 80% CIs</a:t>
          </a:r>
        </a:p>
        <a:p>
          <a:r>
            <a:rPr lang="en-CA" sz="1100"/>
            <a:t>ln.m = lm(ln13~ln12, data = CRCNData)</a:t>
          </a:r>
        </a:p>
        <a:p>
          <a:r>
            <a:rPr lang="en-CA" sz="1100"/>
            <a:t>summary(ln.m)</a:t>
          </a:r>
        </a:p>
        <a:p>
          <a:r>
            <a:rPr lang="en-CA" sz="1100"/>
            <a:t>outpred[c(2,1,3),2] = predict(ln.m, newdata = CRCNData, interval = "prediction", level = 0.80)[length(CRCNData$ln12),]</a:t>
          </a:r>
        </a:p>
        <a:p>
          <a:endParaRPr lang="en-CA" sz="1100"/>
        </a:p>
        <a:p>
          <a:r>
            <a:rPr lang="en-CA" sz="1100"/>
            <a:t>#the output is written to this file:</a:t>
          </a:r>
        </a:p>
        <a:p>
          <a:r>
            <a:rPr lang="en-CA" sz="1100"/>
            <a:t>write.csv(outpred, file = "C:/temp/predictions_ln13v12.csv", row.names = T)</a:t>
          </a:r>
        </a:p>
      </xdr:txBody>
    </xdr:sp>
    <xdr:clientData/>
  </xdr:twoCellAnchor>
  <xdr:twoCellAnchor>
    <xdr:from>
      <xdr:col>9</xdr:col>
      <xdr:colOff>695325</xdr:colOff>
      <xdr:row>33</xdr:row>
      <xdr:rowOff>76200</xdr:rowOff>
    </xdr:from>
    <xdr:to>
      <xdr:col>12</xdr:col>
      <xdr:colOff>600075</xdr:colOff>
      <xdr:row>43</xdr:row>
      <xdr:rowOff>152400</xdr:rowOff>
    </xdr:to>
    <xdr:cxnSp macro="">
      <xdr:nvCxnSpPr>
        <xdr:cNvPr id="7" name="Straight Arrow Connector 6">
          <a:extLst>
            <a:ext uri="{FF2B5EF4-FFF2-40B4-BE49-F238E27FC236}">
              <a16:creationId xmlns:a16="http://schemas.microsoft.com/office/drawing/2014/main" id="{00000000-0008-0000-1400-000007000000}"/>
            </a:ext>
          </a:extLst>
        </xdr:cNvPr>
        <xdr:cNvCxnSpPr/>
      </xdr:nvCxnSpPr>
      <xdr:spPr bwMode="auto">
        <a:xfrm flipH="1" flipV="1">
          <a:off x="7829550" y="7010400"/>
          <a:ext cx="3857625" cy="20764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352425</xdr:colOff>
      <xdr:row>46</xdr:row>
      <xdr:rowOff>104776</xdr:rowOff>
    </xdr:from>
    <xdr:to>
      <xdr:col>7</xdr:col>
      <xdr:colOff>619125</xdr:colOff>
      <xdr:row>53</xdr:row>
      <xdr:rowOff>152400</xdr:rowOff>
    </xdr:to>
    <xdr:cxnSp macro="">
      <xdr:nvCxnSpPr>
        <xdr:cNvPr id="9" name="Straight Arrow Connector 8">
          <a:extLst>
            <a:ext uri="{FF2B5EF4-FFF2-40B4-BE49-F238E27FC236}">
              <a16:creationId xmlns:a16="http://schemas.microsoft.com/office/drawing/2014/main" id="{00000000-0008-0000-1400-000009000000}"/>
            </a:ext>
          </a:extLst>
        </xdr:cNvPr>
        <xdr:cNvCxnSpPr/>
      </xdr:nvCxnSpPr>
      <xdr:spPr bwMode="auto">
        <a:xfrm flipV="1">
          <a:off x="3524250" y="9715501"/>
          <a:ext cx="2000250" cy="1504949"/>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790575</xdr:colOff>
      <xdr:row>53</xdr:row>
      <xdr:rowOff>95250</xdr:rowOff>
    </xdr:from>
    <xdr:to>
      <xdr:col>8</xdr:col>
      <xdr:colOff>381000</xdr:colOff>
      <xdr:row>58</xdr:row>
      <xdr:rowOff>76200</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1609725" y="11163300"/>
          <a:ext cx="4791075"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can't see how SAS produced values that were so far off [note that the point estaimtes didn't even match those calculated on row 43 above].  I have provided the R script to calculate</a:t>
          </a:r>
          <a:r>
            <a:rPr lang="en-CA" sz="1100" baseline="0"/>
            <a:t> the 80%PIs for the current-year prediction.  </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32</xdr:col>
      <xdr:colOff>276225</xdr:colOff>
      <xdr:row>7</xdr:row>
      <xdr:rowOff>47625</xdr:rowOff>
    </xdr:from>
    <xdr:to>
      <xdr:col>44</xdr:col>
      <xdr:colOff>381000</xdr:colOff>
      <xdr:row>50</xdr:row>
      <xdr:rowOff>47625</xdr:rowOff>
    </xdr:to>
    <xdr:graphicFrame macro="">
      <xdr:nvGraphicFramePr>
        <xdr:cNvPr id="6145" name="Chart 1">
          <a:extLst>
            <a:ext uri="{FF2B5EF4-FFF2-40B4-BE49-F238E27FC236}">
              <a16:creationId xmlns:a16="http://schemas.microsoft.com/office/drawing/2014/main" id="{00000000-0008-0000-15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28575</xdr:colOff>
          <xdr:row>1</xdr:row>
          <xdr:rowOff>28575</xdr:rowOff>
        </xdr:from>
        <xdr:to>
          <xdr:col>15</xdr:col>
          <xdr:colOff>733425</xdr:colOff>
          <xdr:row>5</xdr:row>
          <xdr:rowOff>28575</xdr:rowOff>
        </xdr:to>
        <xdr:sp macro="" textlink="">
          <xdr:nvSpPr>
            <xdr:cNvPr id="6146" name="CommandButton1" hidden="1">
              <a:extLst>
                <a:ext uri="{63B3BB69-23CF-44E3-9099-C40C66FF867C}">
                  <a14:compatExt spid="_x0000_s6146"/>
                </a:ext>
                <a:ext uri="{FF2B5EF4-FFF2-40B4-BE49-F238E27FC236}">
                  <a16:creationId xmlns:a16="http://schemas.microsoft.com/office/drawing/2014/main" id="{00000000-0008-0000-1500-00000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32</xdr:col>
      <xdr:colOff>276225</xdr:colOff>
      <xdr:row>7</xdr:row>
      <xdr:rowOff>47625</xdr:rowOff>
    </xdr:from>
    <xdr:to>
      <xdr:col>44</xdr:col>
      <xdr:colOff>381000</xdr:colOff>
      <xdr:row>31</xdr:row>
      <xdr:rowOff>47625</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28575</xdr:colOff>
          <xdr:row>1</xdr:row>
          <xdr:rowOff>28575</xdr:rowOff>
        </xdr:from>
        <xdr:to>
          <xdr:col>15</xdr:col>
          <xdr:colOff>733425</xdr:colOff>
          <xdr:row>5</xdr:row>
          <xdr:rowOff>28575</xdr:rowOff>
        </xdr:to>
        <xdr:sp macro="" textlink="">
          <xdr:nvSpPr>
            <xdr:cNvPr id="79873" name="CommandButton1" hidden="1">
              <a:extLst>
                <a:ext uri="{63B3BB69-23CF-44E3-9099-C40C66FF867C}">
                  <a14:compatExt spid="_x0000_s79873"/>
                </a:ext>
                <a:ext uri="{FF2B5EF4-FFF2-40B4-BE49-F238E27FC236}">
                  <a16:creationId xmlns:a16="http://schemas.microsoft.com/office/drawing/2014/main" id="{00000000-0008-0000-1600-0000013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57150</xdr:colOff>
      <xdr:row>2</xdr:row>
      <xdr:rowOff>0</xdr:rowOff>
    </xdr:from>
    <xdr:to>
      <xdr:col>4</xdr:col>
      <xdr:colOff>57150</xdr:colOff>
      <xdr:row>4</xdr:row>
      <xdr:rowOff>142875</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57150" y="476250"/>
          <a:ext cx="275272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FF0000"/>
              </a:solidFill>
            </a:rPr>
            <a:t>1999 to present</a:t>
          </a:r>
          <a:r>
            <a:rPr lang="en-US" sz="2000" baseline="0">
              <a:solidFill>
                <a:srgbClr val="FF0000"/>
              </a:solidFill>
            </a:rPr>
            <a:t> only!</a:t>
          </a:r>
          <a:endParaRPr lang="en-US" sz="20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33</xdr:col>
      <xdr:colOff>114300</xdr:colOff>
      <xdr:row>6</xdr:row>
      <xdr:rowOff>28575</xdr:rowOff>
    </xdr:from>
    <xdr:to>
      <xdr:col>45</xdr:col>
      <xdr:colOff>485775</xdr:colOff>
      <xdr:row>47</xdr:row>
      <xdr:rowOff>104775</xdr:rowOff>
    </xdr:to>
    <xdr:graphicFrame macro="">
      <xdr:nvGraphicFramePr>
        <xdr:cNvPr id="8193" name="Chart 1">
          <a:extLst>
            <a:ext uri="{FF2B5EF4-FFF2-40B4-BE49-F238E27FC236}">
              <a16:creationId xmlns:a16="http://schemas.microsoft.com/office/drawing/2014/main" id="{00000000-0008-0000-17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0</xdr:colOff>
          <xdr:row>0</xdr:row>
          <xdr:rowOff>295275</xdr:rowOff>
        </xdr:from>
        <xdr:to>
          <xdr:col>15</xdr:col>
          <xdr:colOff>219075</xdr:colOff>
          <xdr:row>4</xdr:row>
          <xdr:rowOff>152400</xdr:rowOff>
        </xdr:to>
        <xdr:sp macro="" textlink="">
          <xdr:nvSpPr>
            <xdr:cNvPr id="8196" name="CommandButton1" hidden="1">
              <a:extLst>
                <a:ext uri="{63B3BB69-23CF-44E3-9099-C40C66FF867C}">
                  <a14:compatExt spid="_x0000_s8196"/>
                </a:ext>
                <a:ext uri="{FF2B5EF4-FFF2-40B4-BE49-F238E27FC236}">
                  <a16:creationId xmlns:a16="http://schemas.microsoft.com/office/drawing/2014/main" id="{00000000-0008-0000-1700-00000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22</xdr:col>
      <xdr:colOff>28575</xdr:colOff>
      <xdr:row>93</xdr:row>
      <xdr:rowOff>19050</xdr:rowOff>
    </xdr:from>
    <xdr:to>
      <xdr:col>38</xdr:col>
      <xdr:colOff>238125</xdr:colOff>
      <xdr:row>134</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28574</xdr:colOff>
      <xdr:row>19</xdr:row>
      <xdr:rowOff>19052</xdr:rowOff>
    </xdr:from>
    <xdr:to>
      <xdr:col>30</xdr:col>
      <xdr:colOff>647699</xdr:colOff>
      <xdr:row>56</xdr:row>
      <xdr:rowOff>114300</xdr:rowOff>
    </xdr:to>
    <xdr:graphicFrame macro="">
      <xdr:nvGraphicFramePr>
        <xdr:cNvPr id="3" name="Chart 23">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628650</xdr:colOff>
      <xdr:row>75</xdr:row>
      <xdr:rowOff>38100</xdr:rowOff>
    </xdr:from>
    <xdr:to>
      <xdr:col>2</xdr:col>
      <xdr:colOff>0</xdr:colOff>
      <xdr:row>102</xdr:row>
      <xdr:rowOff>57150</xdr:rowOff>
    </xdr:to>
    <xdr:graphicFrame macro="">
      <xdr:nvGraphicFramePr>
        <xdr:cNvPr id="2" name="Chart 26">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368300</xdr:colOff>
      <xdr:row>114</xdr:row>
      <xdr:rowOff>57148</xdr:rowOff>
    </xdr:from>
    <xdr:to>
      <xdr:col>31</xdr:col>
      <xdr:colOff>406400</xdr:colOff>
      <xdr:row>139</xdr:row>
      <xdr:rowOff>152399</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124</xdr:row>
      <xdr:rowOff>12700</xdr:rowOff>
    </xdr:from>
    <xdr:to>
      <xdr:col>6</xdr:col>
      <xdr:colOff>1079500</xdr:colOff>
      <xdr:row>126</xdr:row>
      <xdr:rowOff>152400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057900" y="25641300"/>
          <a:ext cx="2235200" cy="54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&lt;-</a:t>
          </a:r>
          <a:r>
            <a:rPr lang="en-CA" sz="1100" baseline="0"/>
            <a:t> Age 8 not yet returned</a:t>
          </a:r>
        </a:p>
        <a:p>
          <a:r>
            <a:rPr lang="en-CA" sz="1100" baseline="0"/>
            <a:t>&lt;- Age 7 and 8 not yet returned</a:t>
          </a:r>
          <a:endParaRPr lang="en-CA"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0.13057</cdr:x>
      <cdr:y>0.04636</cdr:y>
    </cdr:from>
    <cdr:to>
      <cdr:x>0.43779</cdr:x>
      <cdr:y>0.13907</cdr:y>
    </cdr:to>
    <cdr:sp macro="" textlink="">
      <cdr:nvSpPr>
        <cdr:cNvPr id="2" name="TextBox 1"/>
        <cdr:cNvSpPr txBox="1"/>
      </cdr:nvSpPr>
      <cdr:spPr>
        <a:xfrm xmlns:a="http://schemas.openxmlformats.org/drawingml/2006/main">
          <a:off x="1079500" y="222252"/>
          <a:ext cx="2540000" cy="444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600" b="1"/>
            <a:t>Overall</a:t>
          </a:r>
          <a:r>
            <a:rPr lang="en-CA" sz="1600" b="1" baseline="0"/>
            <a:t> Total Exploitation </a:t>
          </a:r>
          <a:endParaRPr lang="en-CA" sz="1600" b="1"/>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0</xdr:colOff>
      <xdr:row>71</xdr:row>
      <xdr:rowOff>0</xdr:rowOff>
    </xdr:from>
    <xdr:to>
      <xdr:col>25</xdr:col>
      <xdr:colOff>342900</xdr:colOff>
      <xdr:row>77</xdr:row>
      <xdr:rowOff>161925</xdr:rowOff>
    </xdr:to>
    <xdr:sp macro="" textlink="">
      <xdr:nvSpPr>
        <xdr:cNvPr id="3" name="Text Box 9">
          <a:extLst>
            <a:ext uri="{FF2B5EF4-FFF2-40B4-BE49-F238E27FC236}">
              <a16:creationId xmlns:a16="http://schemas.microsoft.com/office/drawing/2014/main" id="{00000000-0008-0000-0700-000003000000}"/>
            </a:ext>
          </a:extLst>
        </xdr:cNvPr>
        <xdr:cNvSpPr txBox="1">
          <a:spLocks noChangeArrowheads="1"/>
        </xdr:cNvSpPr>
      </xdr:nvSpPr>
      <xdr:spPr bwMode="auto">
        <a:xfrm>
          <a:off x="596900" y="12865100"/>
          <a:ext cx="15811500" cy="13430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200" b="0" i="0" u="none" strike="noStrike" baseline="0">
              <a:solidFill>
                <a:srgbClr val="000000"/>
              </a:solidFill>
              <a:latin typeface="Times New Roman"/>
              <a:cs typeface="Times New Roman"/>
            </a:rPr>
            <a:t>Forecast to be the average harvest, 1992-2001 and the ???% Prediction interval.  This should be refered to as a prediction interval rather than a confidence interval because we are not interested in estimating a population parameter (mean), but in the prediction of a single future observation (a random variable).   The prediction interval should be interpreted to mean :  the limits within which we can say with a given degree of confidence (100(1- a)% confidence) that they will contain a future observation ; or if we add new observations (new harvest totals)  and recalculate the prediction interval,  in the long run the resulting intervals will contain the future values 100(1- a)% of the time.</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See Devore pg 482 or Freund pg 420 for explanation of prediction intervals in a linear regression context.</a:t>
          </a:r>
        </a:p>
      </xdr:txBody>
    </xdr:sp>
    <xdr:clientData fPrintsWithSheet="0"/>
  </xdr:twoCellAnchor>
  <xdr:twoCellAnchor>
    <xdr:from>
      <xdr:col>47</xdr:col>
      <xdr:colOff>22225</xdr:colOff>
      <xdr:row>5</xdr:row>
      <xdr:rowOff>228601</xdr:rowOff>
    </xdr:from>
    <xdr:to>
      <xdr:col>66</xdr:col>
      <xdr:colOff>630034</xdr:colOff>
      <xdr:row>16</xdr:row>
      <xdr:rowOff>31750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22225</xdr:colOff>
      <xdr:row>16</xdr:row>
      <xdr:rowOff>31751</xdr:rowOff>
    </xdr:from>
    <xdr:to>
      <xdr:col>66</xdr:col>
      <xdr:colOff>630034</xdr:colOff>
      <xdr:row>27</xdr:row>
      <xdr:rowOff>1</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47</xdr:col>
      <xdr:colOff>22225</xdr:colOff>
      <xdr:row>26</xdr:row>
      <xdr:rowOff>171451</xdr:rowOff>
    </xdr:from>
    <xdr:to>
      <xdr:col>66</xdr:col>
      <xdr:colOff>630034</xdr:colOff>
      <xdr:row>37</xdr:row>
      <xdr:rowOff>190500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47</xdr:col>
      <xdr:colOff>22225</xdr:colOff>
      <xdr:row>47</xdr:row>
      <xdr:rowOff>180977</xdr:rowOff>
    </xdr:from>
    <xdr:to>
      <xdr:col>66</xdr:col>
      <xdr:colOff>630034</xdr:colOff>
      <xdr:row>60</xdr:row>
      <xdr:rowOff>139701</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47</xdr:col>
      <xdr:colOff>22225</xdr:colOff>
      <xdr:row>60</xdr:row>
      <xdr:rowOff>146051</xdr:rowOff>
    </xdr:from>
    <xdr:to>
      <xdr:col>66</xdr:col>
      <xdr:colOff>630034</xdr:colOff>
      <xdr:row>74</xdr:row>
      <xdr:rowOff>180976</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22225</xdr:colOff>
      <xdr:row>37</xdr:row>
      <xdr:rowOff>177800</xdr:rowOff>
    </xdr:from>
    <xdr:to>
      <xdr:col>66</xdr:col>
      <xdr:colOff>630034</xdr:colOff>
      <xdr:row>47</xdr:row>
      <xdr:rowOff>171449</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47</xdr:col>
      <xdr:colOff>27191</xdr:colOff>
      <xdr:row>74</xdr:row>
      <xdr:rowOff>177800</xdr:rowOff>
    </xdr:from>
    <xdr:to>
      <xdr:col>66</xdr:col>
      <xdr:colOff>635000</xdr:colOff>
      <xdr:row>89</xdr:row>
      <xdr:rowOff>9525</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1206500</xdr:colOff>
      <xdr:row>33</xdr:row>
      <xdr:rowOff>50800</xdr:rowOff>
    </xdr:from>
    <xdr:to>
      <xdr:col>9</xdr:col>
      <xdr:colOff>12700</xdr:colOff>
      <xdr:row>54</xdr:row>
      <xdr:rowOff>165100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304800</xdr:colOff>
      <xdr:row>100</xdr:row>
      <xdr:rowOff>0</xdr:rowOff>
    </xdr:from>
    <xdr:to>
      <xdr:col>66</xdr:col>
      <xdr:colOff>607809</xdr:colOff>
      <xdr:row>135</xdr:row>
      <xdr:rowOff>76200</xdr:rowOff>
    </xdr:to>
    <xdr:grpSp>
      <xdr:nvGrpSpPr>
        <xdr:cNvPr id="18" name="Group 17">
          <a:extLst>
            <a:ext uri="{FF2B5EF4-FFF2-40B4-BE49-F238E27FC236}">
              <a16:creationId xmlns:a16="http://schemas.microsoft.com/office/drawing/2014/main" id="{00000000-0008-0000-0700-000012000000}"/>
            </a:ext>
          </a:extLst>
        </xdr:cNvPr>
        <xdr:cNvGrpSpPr/>
      </xdr:nvGrpSpPr>
      <xdr:grpSpPr>
        <a:xfrm>
          <a:off x="44424600" y="22072600"/>
          <a:ext cx="9574009" cy="7188200"/>
          <a:chOff x="44424600" y="21831300"/>
          <a:chExt cx="9574009" cy="7188200"/>
        </a:xfrm>
      </xdr:grpSpPr>
      <xdr:graphicFrame macro="">
        <xdr:nvGraphicFramePr>
          <xdr:cNvPr id="16" name="Chart 15">
            <a:extLst>
              <a:ext uri="{FF2B5EF4-FFF2-40B4-BE49-F238E27FC236}">
                <a16:creationId xmlns:a16="http://schemas.microsoft.com/office/drawing/2014/main" id="{00000000-0008-0000-0700-000010000000}"/>
              </a:ext>
            </a:extLst>
          </xdr:cNvPr>
          <xdr:cNvGraphicFramePr>
            <a:graphicFrameLocks/>
          </xdr:cNvGraphicFramePr>
        </xdr:nvGraphicFramePr>
        <xdr:xfrm>
          <a:off x="44424600" y="21831300"/>
          <a:ext cx="9574009" cy="71882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50902544" y="23215600"/>
            <a:ext cx="2335855"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Times New Roman" panose="02020603050405020304" pitchFamily="18" charset="0"/>
                <a:cs typeface="Times New Roman" panose="02020603050405020304" pitchFamily="18" charset="0"/>
              </a:rPr>
              <a:t>Over</a:t>
            </a:r>
            <a:r>
              <a:rPr lang="en-US" sz="2400" baseline="0">
                <a:latin typeface="Times New Roman" panose="02020603050405020304" pitchFamily="18" charset="0"/>
                <a:cs typeface="Times New Roman" panose="02020603050405020304" pitchFamily="18" charset="0"/>
              </a:rPr>
              <a:t> Estimate</a:t>
            </a:r>
            <a:endParaRPr lang="en-US" sz="2400">
              <a:latin typeface="Times New Roman" panose="02020603050405020304" pitchFamily="18" charset="0"/>
              <a:cs typeface="Times New Roman" panose="02020603050405020304" pitchFamily="18" charset="0"/>
            </a:endParaRPr>
          </a:p>
        </xdr:txBody>
      </xdr:sp>
    </xdr:grpSp>
    <xdr:clientData/>
  </xdr:twoCellAnchor>
  <xdr:twoCellAnchor>
    <xdr:from>
      <xdr:col>68</xdr:col>
      <xdr:colOff>190500</xdr:colOff>
      <xdr:row>39</xdr:row>
      <xdr:rowOff>177800</xdr:rowOff>
    </xdr:from>
    <xdr:to>
      <xdr:col>74</xdr:col>
      <xdr:colOff>774700</xdr:colOff>
      <xdr:row>46</xdr:row>
      <xdr:rowOff>50800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54952900" y="9207500"/>
          <a:ext cx="5791200" cy="176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a:t>A scaled error is less than one if it arises from a better forecast than the average one-step naı¨ve forecast computed in-sample. Conversely, it is greater than one if the forecast is worse than the average one-step naı¨ve forecast computed in-sample.</a:t>
          </a:r>
        </a:p>
        <a:p>
          <a:endParaRPr lang="en-CA" sz="1100"/>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Hyndman, R.J., and A.B. Koehler.  2006.  Another look at measures of forecast accuracy.  International Journal of Forecasting 22: 679-688. </a:t>
          </a:r>
        </a:p>
        <a:p>
          <a:endParaRPr lang="en-CA" sz="1100"/>
        </a:p>
      </xdr:txBody>
    </xdr:sp>
    <xdr:clientData/>
  </xdr:twoCellAnchor>
  <xdr:twoCellAnchor editAs="oneCell">
    <xdr:from>
      <xdr:col>68</xdr:col>
      <xdr:colOff>317500</xdr:colOff>
      <xdr:row>1</xdr:row>
      <xdr:rowOff>0</xdr:rowOff>
    </xdr:from>
    <xdr:to>
      <xdr:col>74</xdr:col>
      <xdr:colOff>44450</xdr:colOff>
      <xdr:row>3</xdr:row>
      <xdr:rowOff>44450</xdr:rowOff>
    </xdr:to>
    <xdr:pic>
      <xdr:nvPicPr>
        <xdr:cNvPr id="15" name="Picture 14">
          <a:extLst>
            <a:ext uri="{FF2B5EF4-FFF2-40B4-BE49-F238E27FC236}">
              <a16:creationId xmlns:a16="http://schemas.microsoft.com/office/drawing/2014/main" id="{00000000-0008-0000-0700-00000F000000}"/>
            </a:ext>
          </a:extLst>
        </xdr:cNvPr>
        <xdr:cNvPicPr/>
      </xdr:nvPicPr>
      <xdr:blipFill rotWithShape="1">
        <a:blip xmlns:r="http://schemas.openxmlformats.org/officeDocument/2006/relationships" r:embed="rId10"/>
        <a:srcRect t="12942" r="766"/>
        <a:stretch/>
      </xdr:blipFill>
      <xdr:spPr bwMode="auto">
        <a:xfrm>
          <a:off x="55079900" y="203200"/>
          <a:ext cx="4933950" cy="7048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84</xdr:col>
      <xdr:colOff>647699</xdr:colOff>
      <xdr:row>34</xdr:row>
      <xdr:rowOff>63500</xdr:rowOff>
    </xdr:from>
    <xdr:to>
      <xdr:col>98</xdr:col>
      <xdr:colOff>119424</xdr:colOff>
      <xdr:row>40</xdr:row>
      <xdr:rowOff>155486</xdr:rowOff>
    </xdr:to>
    <xdr:pic>
      <xdr:nvPicPr>
        <xdr:cNvPr id="13" name="Picture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1"/>
        <a:stretch>
          <a:fillRect/>
        </a:stretch>
      </xdr:blipFill>
      <xdr:spPr>
        <a:xfrm>
          <a:off x="67602099" y="8013700"/>
          <a:ext cx="9072925" cy="1374686"/>
        </a:xfrm>
        <a:prstGeom prst="rect">
          <a:avLst/>
        </a:prstGeom>
      </xdr:spPr>
    </xdr:pic>
    <xdr:clientData/>
  </xdr:twoCellAnchor>
  <xdr:twoCellAnchor editAs="oneCell">
    <xdr:from>
      <xdr:col>76</xdr:col>
      <xdr:colOff>266700</xdr:colOff>
      <xdr:row>37</xdr:row>
      <xdr:rowOff>152400</xdr:rowOff>
    </xdr:from>
    <xdr:to>
      <xdr:col>85</xdr:col>
      <xdr:colOff>227833</xdr:colOff>
      <xdr:row>41</xdr:row>
      <xdr:rowOff>34824</xdr:rowOff>
    </xdr:to>
    <xdr:pic>
      <xdr:nvPicPr>
        <xdr:cNvPr id="14" name="Picture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2"/>
        <a:stretch>
          <a:fillRect/>
        </a:stretch>
      </xdr:blipFill>
      <xdr:spPr>
        <a:xfrm>
          <a:off x="61734700" y="8750300"/>
          <a:ext cx="6133333" cy="809524"/>
        </a:xfrm>
        <a:prstGeom prst="rect">
          <a:avLst/>
        </a:prstGeom>
      </xdr:spPr>
    </xdr:pic>
    <xdr:clientData/>
  </xdr:twoCellAnchor>
  <xdr:twoCellAnchor editAs="oneCell">
    <xdr:from>
      <xdr:col>83</xdr:col>
      <xdr:colOff>0</xdr:colOff>
      <xdr:row>30</xdr:row>
      <xdr:rowOff>0</xdr:rowOff>
    </xdr:from>
    <xdr:to>
      <xdr:col>84</xdr:col>
      <xdr:colOff>161819</xdr:colOff>
      <xdr:row>31</xdr:row>
      <xdr:rowOff>15843</xdr:rowOff>
    </xdr:to>
    <xdr:pic>
      <xdr:nvPicPr>
        <xdr:cNvPr id="17" name="Picture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13"/>
        <a:stretch>
          <a:fillRect/>
        </a:stretch>
      </xdr:blipFill>
      <xdr:spPr>
        <a:xfrm>
          <a:off x="66268600" y="6985000"/>
          <a:ext cx="847619" cy="257143"/>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0.64663</cdr:x>
      <cdr:y>0.68499</cdr:y>
    </cdr:from>
    <cdr:to>
      <cdr:x>0.84041</cdr:x>
      <cdr:y>0.85402</cdr:y>
    </cdr:to>
    <cdr:sp macro="" textlink="">
      <cdr:nvSpPr>
        <cdr:cNvPr id="2" name="TextBox 1"/>
        <cdr:cNvSpPr txBox="1"/>
      </cdr:nvSpPr>
      <cdr:spPr>
        <a:xfrm xmlns:a="http://schemas.openxmlformats.org/drawingml/2006/main">
          <a:off x="5502157" y="1972584"/>
          <a:ext cx="1648874" cy="4867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800"/>
            <a:t>Under</a:t>
          </a:r>
          <a:r>
            <a:rPr lang="en-US" sz="1800" baseline="0"/>
            <a:t> </a:t>
          </a:r>
          <a:r>
            <a:rPr lang="en-US" sz="1800"/>
            <a:t>estimate</a:t>
          </a:r>
        </a:p>
      </cdr:txBody>
    </cdr:sp>
  </cdr:relSizeAnchor>
  <cdr:relSizeAnchor xmlns:cdr="http://schemas.openxmlformats.org/drawingml/2006/chartDrawing">
    <cdr:from>
      <cdr:x>0.64663</cdr:x>
      <cdr:y>0.0882</cdr:y>
    </cdr:from>
    <cdr:to>
      <cdr:x>0.83208</cdr:x>
      <cdr:y>0.25579</cdr:y>
    </cdr:to>
    <cdr:sp macro="" textlink="">
      <cdr:nvSpPr>
        <cdr:cNvPr id="3" name="TextBox 1"/>
        <cdr:cNvSpPr txBox="1"/>
      </cdr:nvSpPr>
      <cdr:spPr>
        <a:xfrm xmlns:a="http://schemas.openxmlformats.org/drawingml/2006/main">
          <a:off x="5502157" y="254000"/>
          <a:ext cx="1577975" cy="4826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800"/>
            <a:t>Over estimate</a:t>
          </a:r>
        </a:p>
      </cdr:txBody>
    </cdr:sp>
  </cdr:relSizeAnchor>
</c:userShapes>
</file>

<file path=xl/drawings/drawing8.xml><?xml version="1.0" encoding="utf-8"?>
<c:userShapes xmlns:c="http://schemas.openxmlformats.org/drawingml/2006/chart">
  <cdr:relSizeAnchor xmlns:cdr="http://schemas.openxmlformats.org/drawingml/2006/chartDrawing">
    <cdr:from>
      <cdr:x>0.15092</cdr:x>
      <cdr:y>0.14423</cdr:y>
    </cdr:from>
    <cdr:to>
      <cdr:x>0.60223</cdr:x>
      <cdr:y>0.22441</cdr:y>
    </cdr:to>
    <cdr:sp macro="" textlink="">
      <cdr:nvSpPr>
        <cdr:cNvPr id="2" name="TextBox 1"/>
        <cdr:cNvSpPr txBox="1"/>
      </cdr:nvSpPr>
      <cdr:spPr>
        <a:xfrm xmlns:a="http://schemas.openxmlformats.org/drawingml/2006/main">
          <a:off x="1444882" y="1036761"/>
          <a:ext cx="4320918" cy="5763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a:latin typeface="Times New Roman" panose="02020603050405020304" pitchFamily="18" charset="0"/>
              <a:cs typeface="Times New Roman" panose="02020603050405020304" pitchFamily="18" charset="0"/>
            </a:rPr>
            <a:t>Mean Absolute Percentage</a:t>
          </a:r>
          <a:r>
            <a:rPr lang="en-US" sz="2000" baseline="0">
              <a:latin typeface="Times New Roman" panose="02020603050405020304" pitchFamily="18" charset="0"/>
              <a:cs typeface="Times New Roman" panose="02020603050405020304" pitchFamily="18" charset="0"/>
            </a:rPr>
            <a:t> Error = 29%</a:t>
          </a:r>
          <a:endParaRPr lang="en-US" sz="20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0.67788</cdr:x>
      <cdr:y>0.80092</cdr:y>
    </cdr:from>
    <cdr:to>
      <cdr:x>0.95243</cdr:x>
      <cdr:y>0.88333</cdr:y>
    </cdr:to>
    <cdr:sp macro="" textlink="">
      <cdr:nvSpPr>
        <cdr:cNvPr id="3" name="TextBox 6"/>
        <cdr:cNvSpPr txBox="1"/>
      </cdr:nvSpPr>
      <cdr:spPr>
        <a:xfrm xmlns:a="http://schemas.openxmlformats.org/drawingml/2006/main">
          <a:off x="6490006" y="5757201"/>
          <a:ext cx="2628594" cy="59234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400" baseline="0">
              <a:latin typeface="Times New Roman" panose="02020603050405020304" pitchFamily="18" charset="0"/>
              <a:cs typeface="Times New Roman" panose="02020603050405020304" pitchFamily="18" charset="0"/>
            </a:rPr>
            <a:t>Under Estimate</a:t>
          </a:r>
          <a:endParaRPr lang="en-US" sz="2400">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20</xdr:col>
      <xdr:colOff>514350</xdr:colOff>
      <xdr:row>37</xdr:row>
      <xdr:rowOff>80962</xdr:rowOff>
    </xdr:from>
    <xdr:to>
      <xdr:col>25</xdr:col>
      <xdr:colOff>933450</xdr:colOff>
      <xdr:row>50</xdr:row>
      <xdr:rowOff>80962</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30</xdr:row>
      <xdr:rowOff>9525</xdr:rowOff>
    </xdr:from>
    <xdr:to>
      <xdr:col>21</xdr:col>
      <xdr:colOff>314325</xdr:colOff>
      <xdr:row>40</xdr:row>
      <xdr:rowOff>66675</xdr:rowOff>
    </xdr:to>
    <xdr:cxnSp macro="">
      <xdr:nvCxnSpPr>
        <xdr:cNvPr id="6" name="Straight Arrow Connector 5">
          <a:extLst>
            <a:ext uri="{FF2B5EF4-FFF2-40B4-BE49-F238E27FC236}">
              <a16:creationId xmlns:a16="http://schemas.microsoft.com/office/drawing/2014/main" id="{00000000-0008-0000-0900-000006000000}"/>
            </a:ext>
          </a:extLst>
        </xdr:cNvPr>
        <xdr:cNvCxnSpPr/>
      </xdr:nvCxnSpPr>
      <xdr:spPr bwMode="auto">
        <a:xfrm flipV="1">
          <a:off x="3514725" y="6096000"/>
          <a:ext cx="7448550" cy="21050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F/Management/AMRs/2006_AMR/Appendix%20A/data/_A6&amp;A8-05%20%20Miles%20Lake%20Sonar%20Daily%20Counts%20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fgcdvfs02.dfg.alaska.local\common\CURRENT\REPORTS\1999ce\APPA05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RRENT/REPORTS/1999ce/APPA05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CF/SALMON/FORECAST/2016/CopperRiver_Chinook/CopperRiver_Sockeye/2016_Copper%20River%20Wild-Enhanced%20Sockeye%20forecast_Draft%20(Repaired).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URRENT/REPORTS/2005C&amp;E/APPA02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11_Network%20Drives/salmon/CBRSalmon/AWL/CatchbyAge_Soc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URRENT/REPORTS/2005C&amp;E/APPA030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BRSalmon/CBRSAL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6"/>
      <sheetName val="A7"/>
    </sheetNames>
    <sheetDataSet>
      <sheetData sheetId="0"/>
      <sheetData sheetId="1">
        <row r="7">
          <cell r="P7">
            <v>38850</v>
          </cell>
          <cell r="Q7">
            <v>18</v>
          </cell>
          <cell r="R7">
            <v>0</v>
          </cell>
          <cell r="S7">
            <v>18</v>
          </cell>
          <cell r="T7" t="str">
            <v>NA</v>
          </cell>
        </row>
        <row r="8">
          <cell r="P8">
            <v>38851</v>
          </cell>
          <cell r="Q8">
            <v>24</v>
          </cell>
          <cell r="R8">
            <v>0</v>
          </cell>
          <cell r="S8">
            <v>42</v>
          </cell>
          <cell r="T8" t="str">
            <v>NA</v>
          </cell>
        </row>
        <row r="9">
          <cell r="P9">
            <v>38852</v>
          </cell>
          <cell r="Q9">
            <v>72</v>
          </cell>
          <cell r="R9">
            <v>0</v>
          </cell>
          <cell r="S9">
            <v>114</v>
          </cell>
          <cell r="T9" t="str">
            <v>NA</v>
          </cell>
        </row>
        <row r="10">
          <cell r="P10">
            <v>38853</v>
          </cell>
          <cell r="Q10">
            <v>78</v>
          </cell>
          <cell r="R10">
            <v>364.95613277727398</v>
          </cell>
          <cell r="S10">
            <v>192</v>
          </cell>
          <cell r="T10">
            <v>364.95613277727398</v>
          </cell>
        </row>
        <row r="11">
          <cell r="P11">
            <v>38854</v>
          </cell>
          <cell r="Q11">
            <v>102</v>
          </cell>
          <cell r="R11">
            <v>579.04320426302286</v>
          </cell>
          <cell r="S11">
            <v>294</v>
          </cell>
          <cell r="T11">
            <v>943.99933704029684</v>
          </cell>
        </row>
        <row r="12">
          <cell r="P12">
            <v>38855</v>
          </cell>
          <cell r="Q12">
            <v>18</v>
          </cell>
          <cell r="R12">
            <v>1737.4803008937831</v>
          </cell>
          <cell r="S12">
            <v>312</v>
          </cell>
          <cell r="T12">
            <v>2681.4796379340801</v>
          </cell>
        </row>
        <row r="13">
          <cell r="P13">
            <v>38856</v>
          </cell>
          <cell r="Q13">
            <v>18</v>
          </cell>
          <cell r="R13">
            <v>3045.4740352355757</v>
          </cell>
          <cell r="S13">
            <v>330</v>
          </cell>
          <cell r="T13">
            <v>5726.9536731696553</v>
          </cell>
        </row>
        <row r="14">
          <cell r="P14">
            <v>38857</v>
          </cell>
          <cell r="Q14">
            <v>72</v>
          </cell>
          <cell r="R14">
            <v>4432.7873489695694</v>
          </cell>
          <cell r="S14">
            <v>402</v>
          </cell>
          <cell r="T14">
            <v>10159.741022139224</v>
          </cell>
        </row>
        <row r="15">
          <cell r="P15">
            <v>38858</v>
          </cell>
          <cell r="Q15">
            <v>0</v>
          </cell>
          <cell r="R15">
            <v>5008.0205341019782</v>
          </cell>
          <cell r="S15">
            <v>402</v>
          </cell>
          <cell r="T15">
            <v>15167.761556241203</v>
          </cell>
        </row>
        <row r="16">
          <cell r="P16">
            <v>38859</v>
          </cell>
          <cell r="Q16">
            <v>0</v>
          </cell>
          <cell r="R16">
            <v>7699.6247218248645</v>
          </cell>
          <cell r="S16">
            <v>402</v>
          </cell>
          <cell r="T16">
            <v>22867.386278066067</v>
          </cell>
        </row>
        <row r="17">
          <cell r="P17">
            <v>38860</v>
          </cell>
          <cell r="Q17">
            <v>138</v>
          </cell>
          <cell r="R17">
            <v>8782.9313660003572</v>
          </cell>
          <cell r="S17">
            <v>540</v>
          </cell>
          <cell r="T17">
            <v>31650.317644066425</v>
          </cell>
        </row>
        <row r="18">
          <cell r="P18">
            <v>38861</v>
          </cell>
          <cell r="Q18">
            <v>627</v>
          </cell>
          <cell r="R18">
            <v>9696.2847648994757</v>
          </cell>
          <cell r="S18">
            <v>1167</v>
          </cell>
          <cell r="T18">
            <v>41346.602408965904</v>
          </cell>
        </row>
        <row r="19">
          <cell r="P19">
            <v>38862</v>
          </cell>
          <cell r="Q19">
            <v>1639</v>
          </cell>
          <cell r="R19">
            <v>11078.77469419113</v>
          </cell>
          <cell r="S19">
            <v>2806</v>
          </cell>
          <cell r="T19">
            <v>52425.377103157036</v>
          </cell>
        </row>
        <row r="20">
          <cell r="P20">
            <v>38863</v>
          </cell>
          <cell r="Q20">
            <v>2706</v>
          </cell>
          <cell r="R20">
            <v>13656.324750380621</v>
          </cell>
          <cell r="S20">
            <v>5512</v>
          </cell>
          <cell r="T20">
            <v>66081.701853537656</v>
          </cell>
        </row>
        <row r="21">
          <cell r="P21">
            <v>38864</v>
          </cell>
          <cell r="Q21">
            <v>5590</v>
          </cell>
          <cell r="R21">
            <v>12927.290219795275</v>
          </cell>
          <cell r="S21">
            <v>11102</v>
          </cell>
          <cell r="T21">
            <v>79008.992073332935</v>
          </cell>
        </row>
        <row r="22">
          <cell r="P22">
            <v>38865</v>
          </cell>
          <cell r="Q22">
            <v>7710</v>
          </cell>
          <cell r="R22">
            <v>13760.065821575603</v>
          </cell>
          <cell r="S22">
            <v>18812</v>
          </cell>
          <cell r="T22">
            <v>92769.057894908532</v>
          </cell>
        </row>
        <row r="23">
          <cell r="P23">
            <v>38866</v>
          </cell>
          <cell r="Q23">
            <v>17990</v>
          </cell>
          <cell r="R23">
            <v>13819.604506204985</v>
          </cell>
          <cell r="S23">
            <v>36802</v>
          </cell>
          <cell r="T23">
            <v>106588.66240111351</v>
          </cell>
        </row>
        <row r="24">
          <cell r="P24">
            <v>38867</v>
          </cell>
          <cell r="Q24">
            <v>34122</v>
          </cell>
          <cell r="R24">
            <v>15065.061449161627</v>
          </cell>
          <cell r="S24">
            <v>70924</v>
          </cell>
          <cell r="T24">
            <v>121653.72385027514</v>
          </cell>
        </row>
        <row r="25">
          <cell r="P25">
            <v>38868</v>
          </cell>
          <cell r="Q25">
            <v>51716</v>
          </cell>
          <cell r="R25">
            <v>13239.787592599077</v>
          </cell>
          <cell r="S25">
            <v>122640</v>
          </cell>
          <cell r="T25">
            <v>134893.51144287421</v>
          </cell>
        </row>
        <row r="26">
          <cell r="P26">
            <v>38869</v>
          </cell>
          <cell r="Q26">
            <v>51138</v>
          </cell>
          <cell r="R26">
            <v>15183.158066918772</v>
          </cell>
          <cell r="S26">
            <v>173778</v>
          </cell>
          <cell r="T26">
            <v>150076.66950979299</v>
          </cell>
        </row>
        <row r="27">
          <cell r="P27">
            <v>38870</v>
          </cell>
          <cell r="Q27">
            <v>47734</v>
          </cell>
          <cell r="R27">
            <v>13732.650692426996</v>
          </cell>
          <cell r="S27">
            <v>221512</v>
          </cell>
          <cell r="T27">
            <v>163809.32020222</v>
          </cell>
        </row>
        <row r="28">
          <cell r="P28">
            <v>38871</v>
          </cell>
          <cell r="Q28">
            <v>52220</v>
          </cell>
          <cell r="R28">
            <v>13602.831453662511</v>
          </cell>
          <cell r="S28">
            <v>273732</v>
          </cell>
          <cell r="T28">
            <v>177412.15165588251</v>
          </cell>
        </row>
        <row r="29">
          <cell r="P29">
            <v>38872</v>
          </cell>
          <cell r="Q29">
            <v>34778</v>
          </cell>
          <cell r="R29">
            <v>12564.333750107951</v>
          </cell>
          <cell r="S29">
            <v>308510</v>
          </cell>
          <cell r="T29">
            <v>189976.48540599045</v>
          </cell>
        </row>
        <row r="30">
          <cell r="P30">
            <v>38873</v>
          </cell>
          <cell r="Q30">
            <v>16594</v>
          </cell>
          <cell r="R30">
            <v>13638.598361575603</v>
          </cell>
          <cell r="S30">
            <v>325104</v>
          </cell>
          <cell r="T30">
            <v>203615.08376756604</v>
          </cell>
        </row>
        <row r="31">
          <cell r="P31">
            <v>38874</v>
          </cell>
          <cell r="Q31">
            <v>19494</v>
          </cell>
          <cell r="R31">
            <v>11592.357284477843</v>
          </cell>
          <cell r="S31">
            <v>344598</v>
          </cell>
          <cell r="T31">
            <v>215207.4410520439</v>
          </cell>
        </row>
        <row r="32">
          <cell r="P32">
            <v>38875</v>
          </cell>
          <cell r="Q32">
            <v>16914</v>
          </cell>
          <cell r="R32">
            <v>12707.274271359311</v>
          </cell>
          <cell r="S32">
            <v>361512</v>
          </cell>
          <cell r="T32">
            <v>227914.71532340322</v>
          </cell>
        </row>
        <row r="33">
          <cell r="P33">
            <v>38876</v>
          </cell>
          <cell r="Q33">
            <v>14210</v>
          </cell>
          <cell r="R33">
            <v>13314.551887142492</v>
          </cell>
          <cell r="S33">
            <v>375722</v>
          </cell>
          <cell r="T33">
            <v>241229.26721054572</v>
          </cell>
        </row>
        <row r="34">
          <cell r="P34">
            <v>38877</v>
          </cell>
          <cell r="Q34">
            <v>12476</v>
          </cell>
          <cell r="R34">
            <v>11470.569971369572</v>
          </cell>
          <cell r="S34">
            <v>388198</v>
          </cell>
          <cell r="T34">
            <v>252699.8371819153</v>
          </cell>
        </row>
        <row r="35">
          <cell r="P35">
            <v>38878</v>
          </cell>
          <cell r="Q35">
            <v>16360</v>
          </cell>
          <cell r="R35">
            <v>10285.232699623784</v>
          </cell>
          <cell r="S35">
            <v>404558</v>
          </cell>
          <cell r="T35">
            <v>262985.06988153909</v>
          </cell>
        </row>
        <row r="36">
          <cell r="P36">
            <v>38879</v>
          </cell>
          <cell r="Q36">
            <v>11486</v>
          </cell>
          <cell r="R36">
            <v>9416.4204982373049</v>
          </cell>
          <cell r="S36">
            <v>416044</v>
          </cell>
          <cell r="T36">
            <v>272401.4903797764</v>
          </cell>
        </row>
        <row r="37">
          <cell r="P37">
            <v>38880</v>
          </cell>
          <cell r="Q37">
            <v>8600</v>
          </cell>
          <cell r="R37">
            <v>8340.1555379215133</v>
          </cell>
          <cell r="S37">
            <v>424644</v>
          </cell>
          <cell r="T37">
            <v>280741.64591769793</v>
          </cell>
        </row>
        <row r="38">
          <cell r="P38">
            <v>38881</v>
          </cell>
          <cell r="Q38">
            <v>11316</v>
          </cell>
          <cell r="R38">
            <v>7292.071905273182</v>
          </cell>
          <cell r="S38">
            <v>435960</v>
          </cell>
          <cell r="T38">
            <v>288033.71782297111</v>
          </cell>
        </row>
        <row r="39">
          <cell r="P39">
            <v>38882</v>
          </cell>
          <cell r="Q39">
            <v>16350</v>
          </cell>
          <cell r="R39">
            <v>7130.3110507713118</v>
          </cell>
          <cell r="S39">
            <v>452310</v>
          </cell>
          <cell r="T39">
            <v>295164.02887374244</v>
          </cell>
        </row>
        <row r="40">
          <cell r="P40">
            <v>38883</v>
          </cell>
          <cell r="Q40">
            <v>19732</v>
          </cell>
          <cell r="R40">
            <v>7560.0739266120863</v>
          </cell>
          <cell r="S40">
            <v>472042</v>
          </cell>
          <cell r="T40">
            <v>302724.10280035454</v>
          </cell>
        </row>
        <row r="41">
          <cell r="P41">
            <v>38884</v>
          </cell>
          <cell r="Q41">
            <v>10880</v>
          </cell>
          <cell r="R41">
            <v>7447.0974282060752</v>
          </cell>
          <cell r="S41">
            <v>482922</v>
          </cell>
          <cell r="T41">
            <v>310171.2002285606</v>
          </cell>
        </row>
        <row r="42">
          <cell r="P42">
            <v>38885</v>
          </cell>
          <cell r="Q42">
            <v>10088</v>
          </cell>
          <cell r="R42">
            <v>7395.4467075250232</v>
          </cell>
          <cell r="S42">
            <v>493010</v>
          </cell>
          <cell r="T42">
            <v>317566.6469360856</v>
          </cell>
        </row>
        <row r="43">
          <cell r="P43">
            <v>38886</v>
          </cell>
          <cell r="Q43">
            <v>12452</v>
          </cell>
          <cell r="R43">
            <v>7205.953167116646</v>
          </cell>
          <cell r="S43">
            <v>505462</v>
          </cell>
          <cell r="T43">
            <v>324772.60010320222</v>
          </cell>
        </row>
        <row r="44">
          <cell r="P44">
            <v>38887</v>
          </cell>
          <cell r="Q44">
            <v>17884</v>
          </cell>
          <cell r="R44">
            <v>7479.4958218562624</v>
          </cell>
          <cell r="S44">
            <v>523346</v>
          </cell>
          <cell r="T44">
            <v>332252.09592505847</v>
          </cell>
        </row>
        <row r="45">
          <cell r="P45">
            <v>38888</v>
          </cell>
          <cell r="Q45">
            <v>14728</v>
          </cell>
          <cell r="R45">
            <v>7142.212060788017</v>
          </cell>
          <cell r="S45">
            <v>538074</v>
          </cell>
          <cell r="T45">
            <v>339394.30798584648</v>
          </cell>
        </row>
        <row r="46">
          <cell r="P46">
            <v>38889</v>
          </cell>
          <cell r="Q46">
            <v>15386</v>
          </cell>
          <cell r="R46">
            <v>6967.9685863599343</v>
          </cell>
          <cell r="S46">
            <v>553460</v>
          </cell>
          <cell r="T46">
            <v>346362.27657220641</v>
          </cell>
        </row>
        <row r="47">
          <cell r="P47">
            <v>38890</v>
          </cell>
          <cell r="Q47">
            <v>15466</v>
          </cell>
          <cell r="R47">
            <v>6712.3715861804276</v>
          </cell>
          <cell r="S47">
            <v>568926</v>
          </cell>
          <cell r="T47">
            <v>353074.64815838682</v>
          </cell>
        </row>
        <row r="48">
          <cell r="P48">
            <v>38891</v>
          </cell>
          <cell r="Q48">
            <v>10428</v>
          </cell>
          <cell r="R48">
            <v>6310.671731983959</v>
          </cell>
          <cell r="S48">
            <v>579354</v>
          </cell>
          <cell r="T48">
            <v>359385.31989037077</v>
          </cell>
        </row>
        <row r="49">
          <cell r="P49">
            <v>38892</v>
          </cell>
          <cell r="Q49">
            <v>9282</v>
          </cell>
          <cell r="R49">
            <v>6314.203290445781</v>
          </cell>
          <cell r="S49">
            <v>588636</v>
          </cell>
          <cell r="T49">
            <v>365699.52318081656</v>
          </cell>
        </row>
        <row r="50">
          <cell r="P50">
            <v>38893</v>
          </cell>
          <cell r="Q50">
            <v>14206</v>
          </cell>
          <cell r="R50">
            <v>6507.9825814109408</v>
          </cell>
          <cell r="S50">
            <v>602842</v>
          </cell>
          <cell r="T50">
            <v>372207.50576222752</v>
          </cell>
        </row>
        <row r="51">
          <cell r="P51">
            <v>38894</v>
          </cell>
          <cell r="Q51">
            <v>10958</v>
          </cell>
          <cell r="R51">
            <v>7231.7507084672734</v>
          </cell>
          <cell r="S51">
            <v>613800</v>
          </cell>
          <cell r="T51">
            <v>379439.25647069479</v>
          </cell>
        </row>
        <row r="52">
          <cell r="P52">
            <v>38895</v>
          </cell>
          <cell r="Q52">
            <v>8270</v>
          </cell>
          <cell r="R52">
            <v>7380.074092988817</v>
          </cell>
          <cell r="S52">
            <v>622070</v>
          </cell>
          <cell r="T52">
            <v>386819.33056368359</v>
          </cell>
        </row>
        <row r="53">
          <cell r="P53">
            <v>38896</v>
          </cell>
          <cell r="Q53">
            <v>9622</v>
          </cell>
          <cell r="R53">
            <v>7527.9872068613922</v>
          </cell>
          <cell r="S53">
            <v>631692</v>
          </cell>
          <cell r="T53">
            <v>394347.31777054496</v>
          </cell>
        </row>
        <row r="54">
          <cell r="P54">
            <v>38897</v>
          </cell>
          <cell r="Q54">
            <v>9756</v>
          </cell>
          <cell r="R54">
            <v>7624.8050571727927</v>
          </cell>
          <cell r="S54">
            <v>641448</v>
          </cell>
          <cell r="T54">
            <v>401972.12282771774</v>
          </cell>
        </row>
        <row r="55">
          <cell r="P55">
            <v>38898</v>
          </cell>
          <cell r="Q55">
            <v>8070</v>
          </cell>
          <cell r="R55">
            <v>7049.453983760196</v>
          </cell>
          <cell r="S55">
            <v>649518</v>
          </cell>
          <cell r="T55">
            <v>409021.57681147795</v>
          </cell>
        </row>
        <row r="56">
          <cell r="P56">
            <v>38899</v>
          </cell>
          <cell r="Q56">
            <v>9568</v>
          </cell>
          <cell r="R56">
            <v>7124.3899536359022</v>
          </cell>
          <cell r="S56">
            <v>659086</v>
          </cell>
          <cell r="T56">
            <v>416145.96676511387</v>
          </cell>
        </row>
        <row r="57">
          <cell r="P57">
            <v>38900</v>
          </cell>
          <cell r="Q57">
            <v>12224</v>
          </cell>
          <cell r="R57">
            <v>6818.7865403923397</v>
          </cell>
          <cell r="S57">
            <v>671310</v>
          </cell>
          <cell r="T57">
            <v>422964.75330550619</v>
          </cell>
        </row>
        <row r="58">
          <cell r="P58">
            <v>38901</v>
          </cell>
          <cell r="Q58">
            <v>14024</v>
          </cell>
          <cell r="R58">
            <v>6823.8132225287327</v>
          </cell>
          <cell r="S58">
            <v>685334</v>
          </cell>
          <cell r="T58">
            <v>429788.56652803492</v>
          </cell>
        </row>
        <row r="59">
          <cell r="P59">
            <v>38902</v>
          </cell>
          <cell r="Q59">
            <v>10176</v>
          </cell>
          <cell r="R59">
            <v>7167.96894293067</v>
          </cell>
          <cell r="S59">
            <v>695510</v>
          </cell>
          <cell r="T59">
            <v>436956.53547096561</v>
          </cell>
        </row>
        <row r="60">
          <cell r="P60">
            <v>38903</v>
          </cell>
          <cell r="Q60">
            <v>8996</v>
          </cell>
          <cell r="R60">
            <v>7673.4998498499281</v>
          </cell>
          <cell r="S60">
            <v>704506</v>
          </cell>
          <cell r="T60">
            <v>444630.03532081551</v>
          </cell>
        </row>
        <row r="61">
          <cell r="P61">
            <v>38904</v>
          </cell>
          <cell r="Q61">
            <v>9840</v>
          </cell>
          <cell r="R61">
            <v>7888.4678467885778</v>
          </cell>
          <cell r="S61">
            <v>714346</v>
          </cell>
          <cell r="T61">
            <v>452518.5031676041</v>
          </cell>
        </row>
        <row r="62">
          <cell r="P62">
            <v>38905</v>
          </cell>
          <cell r="Q62">
            <v>6900</v>
          </cell>
          <cell r="R62">
            <v>7564.0598839058175</v>
          </cell>
          <cell r="S62">
            <v>721246</v>
          </cell>
          <cell r="T62">
            <v>460082.5630515099</v>
          </cell>
        </row>
        <row r="63">
          <cell r="P63">
            <v>38906</v>
          </cell>
          <cell r="Q63">
            <v>5620</v>
          </cell>
          <cell r="R63">
            <v>8060.5338620492212</v>
          </cell>
          <cell r="S63">
            <v>726866</v>
          </cell>
          <cell r="T63">
            <v>468143.09691355913</v>
          </cell>
        </row>
        <row r="64">
          <cell r="P64">
            <v>38907</v>
          </cell>
          <cell r="Q64">
            <v>7568</v>
          </cell>
          <cell r="R64">
            <v>8341.9758196271232</v>
          </cell>
          <cell r="S64">
            <v>734434</v>
          </cell>
          <cell r="T64">
            <v>476485.07273318624</v>
          </cell>
        </row>
        <row r="65">
          <cell r="P65">
            <v>38908</v>
          </cell>
          <cell r="Q65">
            <v>10598</v>
          </cell>
          <cell r="R65">
            <v>8047.687382856142</v>
          </cell>
          <cell r="S65">
            <v>745032</v>
          </cell>
          <cell r="T65">
            <v>484532.76011604239</v>
          </cell>
        </row>
        <row r="66">
          <cell r="P66">
            <v>38909</v>
          </cell>
          <cell r="Q66">
            <v>11410</v>
          </cell>
          <cell r="R66">
            <v>7930.0325560626216</v>
          </cell>
          <cell r="S66">
            <v>756442</v>
          </cell>
          <cell r="T66">
            <v>492462.79267210502</v>
          </cell>
        </row>
        <row r="67">
          <cell r="P67">
            <v>38910</v>
          </cell>
          <cell r="Q67">
            <v>10824</v>
          </cell>
          <cell r="R67">
            <v>9793.7635856390698</v>
          </cell>
          <cell r="S67">
            <v>767266</v>
          </cell>
          <cell r="T67">
            <v>502256.55625774409</v>
          </cell>
        </row>
        <row r="68">
          <cell r="P68">
            <v>38911</v>
          </cell>
          <cell r="Q68">
            <v>11930</v>
          </cell>
          <cell r="R68">
            <v>9241.4323375265067</v>
          </cell>
          <cell r="S68">
            <v>779196</v>
          </cell>
          <cell r="T68">
            <v>511497.98859527061</v>
          </cell>
        </row>
        <row r="69">
          <cell r="P69">
            <v>38912</v>
          </cell>
          <cell r="Q69">
            <v>10078</v>
          </cell>
          <cell r="R69">
            <v>8968.0996002536885</v>
          </cell>
          <cell r="S69">
            <v>789274</v>
          </cell>
          <cell r="T69">
            <v>520466.08819552429</v>
          </cell>
        </row>
        <row r="70">
          <cell r="P70">
            <v>38913</v>
          </cell>
          <cell r="Q70">
            <v>10508</v>
          </cell>
          <cell r="R70">
            <v>9614.099101336571</v>
          </cell>
          <cell r="S70">
            <v>799782</v>
          </cell>
          <cell r="T70">
            <v>530080.18729686085</v>
          </cell>
        </row>
        <row r="71">
          <cell r="P71">
            <v>38914</v>
          </cell>
          <cell r="Q71">
            <v>7910</v>
          </cell>
          <cell r="R71">
            <v>9016.5826951987674</v>
          </cell>
          <cell r="S71">
            <v>807692</v>
          </cell>
          <cell r="T71">
            <v>539096.76999205956</v>
          </cell>
        </row>
        <row r="72">
          <cell r="P72">
            <v>38915</v>
          </cell>
          <cell r="Q72">
            <v>9984</v>
          </cell>
          <cell r="R72">
            <v>7382.4223921024432</v>
          </cell>
          <cell r="S72">
            <v>817676</v>
          </cell>
          <cell r="T72">
            <v>546479.19238416199</v>
          </cell>
        </row>
        <row r="73">
          <cell r="P73">
            <v>38916</v>
          </cell>
          <cell r="Q73">
            <v>12926</v>
          </cell>
          <cell r="R73">
            <v>7796.7623073230452</v>
          </cell>
          <cell r="S73">
            <v>830602</v>
          </cell>
          <cell r="T73">
            <v>554275.95469148504</v>
          </cell>
        </row>
        <row r="74">
          <cell r="P74">
            <v>38917</v>
          </cell>
          <cell r="Q74">
            <v>12484</v>
          </cell>
          <cell r="R74">
            <v>7154.0854279899158</v>
          </cell>
          <cell r="S74">
            <v>843086</v>
          </cell>
          <cell r="T74">
            <v>561430.04011947499</v>
          </cell>
        </row>
        <row r="75">
          <cell r="P75">
            <v>38918</v>
          </cell>
          <cell r="Q75">
            <v>13480</v>
          </cell>
          <cell r="R75">
            <v>6496.9912946356417</v>
          </cell>
          <cell r="S75">
            <v>856566</v>
          </cell>
          <cell r="T75">
            <v>567927.03141411068</v>
          </cell>
        </row>
        <row r="76">
          <cell r="P76">
            <v>38919</v>
          </cell>
          <cell r="Q76">
            <v>10090</v>
          </cell>
          <cell r="R76">
            <v>6286.2883093118062</v>
          </cell>
          <cell r="S76">
            <v>866656</v>
          </cell>
          <cell r="T76">
            <v>574213.31972342252</v>
          </cell>
        </row>
        <row r="77">
          <cell r="P77">
            <v>38920</v>
          </cell>
          <cell r="Q77">
            <v>7926</v>
          </cell>
          <cell r="R77">
            <v>6014.4854766123972</v>
          </cell>
          <cell r="S77">
            <v>874582</v>
          </cell>
          <cell r="T77">
            <v>580227.80520003487</v>
          </cell>
        </row>
        <row r="78">
          <cell r="P78">
            <v>38921</v>
          </cell>
          <cell r="Q78">
            <v>8564</v>
          </cell>
          <cell r="R78">
            <v>5114.2722707234216</v>
          </cell>
          <cell r="S78">
            <v>883146</v>
          </cell>
          <cell r="T78">
            <v>585342.07747075835</v>
          </cell>
        </row>
        <row r="79">
          <cell r="P79">
            <v>38922</v>
          </cell>
          <cell r="Q79">
            <v>11930</v>
          </cell>
          <cell r="R79">
            <v>5281.5441793529117</v>
          </cell>
          <cell r="S79">
            <v>895076</v>
          </cell>
          <cell r="T79">
            <v>590623.62165011128</v>
          </cell>
        </row>
        <row r="80">
          <cell r="P80">
            <v>38923</v>
          </cell>
          <cell r="Q80">
            <v>10002</v>
          </cell>
          <cell r="R80">
            <v>4777.4094936044112</v>
          </cell>
          <cell r="S80">
            <v>905078</v>
          </cell>
          <cell r="T80">
            <v>595401.03114371572</v>
          </cell>
        </row>
        <row r="81">
          <cell r="P81">
            <v>38924</v>
          </cell>
          <cell r="Q81">
            <v>7846</v>
          </cell>
          <cell r="R81">
            <v>4451.1940226120651</v>
          </cell>
          <cell r="S81">
            <v>912924</v>
          </cell>
          <cell r="T81">
            <v>599852.22516632779</v>
          </cell>
        </row>
        <row r="82">
          <cell r="P82">
            <v>38925</v>
          </cell>
          <cell r="Q82">
            <v>6934</v>
          </cell>
          <cell r="R82">
            <v>4122.925665633903</v>
          </cell>
          <cell r="S82">
            <v>919858</v>
          </cell>
          <cell r="T82">
            <v>603975.15083196166</v>
          </cell>
        </row>
        <row r="83">
          <cell r="P83">
            <v>38926</v>
          </cell>
          <cell r="Q83">
            <v>9958</v>
          </cell>
          <cell r="R83">
            <v>3843.9506773349467</v>
          </cell>
          <cell r="S83">
            <v>929816</v>
          </cell>
          <cell r="T83">
            <v>607819.10150929657</v>
          </cell>
        </row>
        <row r="84">
          <cell r="P84">
            <v>38927</v>
          </cell>
          <cell r="Q84">
            <v>12494</v>
          </cell>
          <cell r="R84">
            <v>3098.7677482513423</v>
          </cell>
          <cell r="S84">
            <v>942310</v>
          </cell>
          <cell r="T84">
            <v>610917.86925754789</v>
          </cell>
        </row>
        <row r="85">
          <cell r="P85">
            <v>38928</v>
          </cell>
          <cell r="Q85">
            <v>9962</v>
          </cell>
          <cell r="R85">
            <v>2750.0817766108607</v>
          </cell>
          <cell r="S85">
            <v>952272</v>
          </cell>
          <cell r="T85">
            <v>613667.9510341587</v>
          </cell>
        </row>
        <row r="86">
          <cell r="Q86">
            <v>7434</v>
          </cell>
          <cell r="S86">
            <v>959706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Comp"/>
      <sheetName val="AgeErrors"/>
      <sheetName val="Mean_WT"/>
      <sheetName val="LenAtAge"/>
      <sheetName val="MeanLeng"/>
      <sheetName val="Data"/>
      <sheetName val="Overlay"/>
    </sheetNames>
    <sheetDataSet>
      <sheetData sheetId="0"/>
      <sheetData sheetId="1"/>
      <sheetData sheetId="2"/>
      <sheetData sheetId="3"/>
      <sheetData sheetId="4"/>
      <sheetData sheetId="5"/>
      <sheetData sheetId="6">
        <row r="11">
          <cell r="J11">
            <v>9852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Comp"/>
      <sheetName val="AgeErrors"/>
      <sheetName val="Mean_WT"/>
      <sheetName val="LenAtAge"/>
      <sheetName val="MeanLeng"/>
      <sheetName val="Data"/>
      <sheetName val="Overlay"/>
    </sheetNames>
    <sheetDataSet>
      <sheetData sheetId="0"/>
      <sheetData sheetId="1"/>
      <sheetData sheetId="2"/>
      <sheetData sheetId="3"/>
      <sheetData sheetId="4"/>
      <sheetData sheetId="5"/>
      <sheetData sheetId="6">
        <row r="11">
          <cell r="J11">
            <v>9852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Models"/>
      <sheetName val="Uncertainty"/>
      <sheetName val="Rank data"/>
      <sheetName val="Forecast by Age"/>
      <sheetName val="Average BY Return"/>
      <sheetName val="Fcst Sumry"/>
      <sheetName val="Performance"/>
      <sheetName val="Run by Year"/>
      <sheetName val="Age1.2"/>
      <sheetName val="Age1.3"/>
      <sheetName val="Charts"/>
      <sheetName val="Fry to adult survival"/>
      <sheetName val="Brd Link"/>
      <sheetName val="Brd Tbl"/>
      <sheetName val="ln03xln11"/>
      <sheetName val="ln03xln02"/>
      <sheetName val="ln12rpsxBYE"/>
      <sheetName val="ln12xln11"/>
      <sheetName val="13=BYE"/>
      <sheetName val="ln13rpsxBYE"/>
      <sheetName val="ln13xln12"/>
      <sheetName val="ln13xln03"/>
      <sheetName val="13 x 12"/>
      <sheetName val="ln22xBYE"/>
      <sheetName val="ln22xln12"/>
      <sheetName val="ln23xln22"/>
      <sheetName val="ln23xln13"/>
      <sheetName val="RegOut"/>
      <sheetName val="ttab"/>
    </sheetNames>
    <sheetDataSet>
      <sheetData sheetId="0" refreshError="1"/>
      <sheetData sheetId="1" refreshError="1"/>
      <sheetData sheetId="2" refreshError="1"/>
      <sheetData sheetId="3">
        <row r="111">
          <cell r="F111">
            <v>1442855.8681101864</v>
          </cell>
        </row>
      </sheetData>
      <sheetData sheetId="4" refreshError="1"/>
      <sheetData sheetId="5" refreshError="1"/>
      <sheetData sheetId="6">
        <row r="3">
          <cell r="B3">
            <v>2016</v>
          </cell>
        </row>
        <row r="45">
          <cell r="G45">
            <v>288445.68513891188</v>
          </cell>
        </row>
      </sheetData>
      <sheetData sheetId="7">
        <row r="64">
          <cell r="A64">
            <v>1983</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G1" t="str">
            <v>Model = Predict log returns per spawner aged 1.2 (ln(R_x001E_d1.2_x001F_/S) from brood year escapement (S)</v>
          </cell>
        </row>
        <row r="2">
          <cell r="G2" t="str">
            <v>X =</v>
          </cell>
          <cell r="H2" t="str">
            <v>Brood Year Escapement</v>
          </cell>
        </row>
        <row r="3">
          <cell r="G3" t="str">
            <v>Y=</v>
          </cell>
          <cell r="H3" t="str">
            <v>ln(Rd1.2/S)</v>
          </cell>
        </row>
        <row r="4">
          <cell r="G4" t="str">
            <v>Return Age</v>
          </cell>
          <cell r="H4">
            <v>4</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Z10" t="str">
            <v>Brood Yr.</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47</v>
          </cell>
          <cell r="G13">
            <v>-0.22047548557696428</v>
          </cell>
          <cell r="H13">
            <v>-1.0936524510732817E-6</v>
          </cell>
          <cell r="I13">
            <v>5.2435593428896628E-7</v>
          </cell>
          <cell r="J13">
            <v>-0.67553681255149134</v>
          </cell>
          <cell r="K13">
            <v>0.67514260116587888</v>
          </cell>
          <cell r="L13">
            <v>8.471579599703985E-2</v>
          </cell>
          <cell r="M13">
            <v>0.47124980306877612</v>
          </cell>
          <cell r="N13">
            <v>-0.72646945547308439</v>
          </cell>
          <cell r="O13">
            <v>0.52775786973535976</v>
          </cell>
          <cell r="P13">
            <v>-0.67553681255149134</v>
          </cell>
          <cell r="Q13">
            <v>-1.5667624065355947</v>
          </cell>
          <cell r="R13">
            <v>0.21568878143261194</v>
          </cell>
          <cell r="S13">
            <v>-109341.15414745877</v>
          </cell>
          <cell r="T13">
            <v>11955487990.29834</v>
          </cell>
          <cell r="U13">
            <v>211742.81782055987</v>
          </cell>
          <cell r="V13">
            <v>86846.901949259016</v>
          </cell>
          <cell r="W13">
            <v>516253.5437911881</v>
          </cell>
          <cell r="X13">
            <v>1.067767360660377</v>
          </cell>
          <cell r="Y13">
            <v>1.067767360660377</v>
          </cell>
          <cell r="Z13">
            <v>416093.18072477408</v>
          </cell>
          <cell r="AA13">
            <v>-0.69625310473208502</v>
          </cell>
          <cell r="AB13">
            <v>-1.4020062680245757</v>
          </cell>
          <cell r="AC13">
            <v>66</v>
          </cell>
          <cell r="AD13">
            <v>-1.5874786987161884</v>
          </cell>
        </row>
        <row r="14">
          <cell r="F14">
            <v>47</v>
          </cell>
          <cell r="G14">
            <v>-0.20963464540809251</v>
          </cell>
          <cell r="H14">
            <v>-1.1220738571116124E-6</v>
          </cell>
          <cell r="I14">
            <v>5.3694253046351878E-7</v>
          </cell>
          <cell r="J14">
            <v>-0.51372491135462472</v>
          </cell>
          <cell r="K14">
            <v>0.67939867913490748</v>
          </cell>
          <cell r="L14">
            <v>8.5016403342388525E-2</v>
          </cell>
          <cell r="M14">
            <v>0.47676162118271009</v>
          </cell>
          <cell r="N14">
            <v>-0.50762070697775385</v>
          </cell>
          <cell r="O14">
            <v>0.25767878215259465</v>
          </cell>
          <cell r="P14">
            <v>-0.51372491135462472</v>
          </cell>
          <cell r="Q14">
            <v>-1.4049505053387281</v>
          </cell>
          <cell r="R14">
            <v>0.37750068262947856</v>
          </cell>
          <cell r="S14">
            <v>-64541.18798462284</v>
          </cell>
          <cell r="T14">
            <v>4165564946.4664235</v>
          </cell>
          <cell r="U14">
            <v>162133.65763477463</v>
          </cell>
          <cell r="V14">
            <v>66499.567788007291</v>
          </cell>
          <cell r="W14">
            <v>395300.65852203971</v>
          </cell>
          <cell r="X14">
            <v>0.66133368912570045</v>
          </cell>
          <cell r="Y14">
            <v>0.66133368912570045</v>
          </cell>
          <cell r="Z14">
            <v>271007.35305366298</v>
          </cell>
          <cell r="AA14">
            <v>-0.54510115518369107</v>
          </cell>
          <cell r="AB14">
            <v>-1.0213456183323786</v>
          </cell>
          <cell r="AC14">
            <v>67</v>
          </cell>
          <cell r="AD14">
            <v>-1.4363267491677942</v>
          </cell>
        </row>
        <row r="15">
          <cell r="F15">
            <v>47</v>
          </cell>
          <cell r="G15">
            <v>-0.35384354686091973</v>
          </cell>
          <cell r="H15">
            <v>-9.0090407169842363E-7</v>
          </cell>
          <cell r="I15">
            <v>5.3651241317702184E-7</v>
          </cell>
          <cell r="J15">
            <v>-0.56464627012053614</v>
          </cell>
          <cell r="K15">
            <v>0.67430765433438511</v>
          </cell>
          <cell r="L15">
            <v>5.659743447001838E-2</v>
          </cell>
          <cell r="M15">
            <v>0.46954915172585265</v>
          </cell>
          <cell r="N15">
            <v>0.78172231996957153</v>
          </cell>
          <cell r="O15">
            <v>0.61108978553860915</v>
          </cell>
          <cell r="P15">
            <v>-0.56464627012053614</v>
          </cell>
          <cell r="Q15">
            <v>-1.4558718641046395</v>
          </cell>
          <cell r="R15">
            <v>0.32657932386356714</v>
          </cell>
          <cell r="S15">
            <v>157680.69717084945</v>
          </cell>
          <cell r="T15">
            <v>24863202260.28513</v>
          </cell>
          <cell r="U15">
            <v>133037.75510365944</v>
          </cell>
          <cell r="V15">
            <v>54565.802948878947</v>
          </cell>
          <cell r="W15">
            <v>324361.47415631288</v>
          </cell>
          <cell r="X15">
            <v>-0.54238283100778395</v>
          </cell>
          <cell r="Y15">
            <v>0.54238283100778395</v>
          </cell>
          <cell r="Z15">
            <v>233990.19926972012</v>
          </cell>
          <cell r="AA15">
            <v>-0.50653629291568769</v>
          </cell>
          <cell r="AB15">
            <v>0.21707604984903545</v>
          </cell>
          <cell r="AC15">
            <v>68</v>
          </cell>
          <cell r="AD15">
            <v>-1.397761886899791</v>
          </cell>
        </row>
        <row r="16">
          <cell r="F16">
            <v>47</v>
          </cell>
          <cell r="G16">
            <v>-0.31383353189446928</v>
          </cell>
          <cell r="H16">
            <v>-9.7298793096759548E-7</v>
          </cell>
          <cell r="I16">
            <v>5.2660579873568478E-7</v>
          </cell>
          <cell r="J16">
            <v>-0.67730603643618603</v>
          </cell>
          <cell r="K16">
            <v>0.67553914403425597</v>
          </cell>
          <cell r="L16">
            <v>6.7716393799733252E-2</v>
          </cell>
          <cell r="M16">
            <v>0.4717026712335935</v>
          </cell>
          <cell r="N16">
            <v>0.71103257988597657</v>
          </cell>
          <cell r="O16">
            <v>0.50556732965930762</v>
          </cell>
          <cell r="P16">
            <v>-0.67730603643618603</v>
          </cell>
          <cell r="Q16">
            <v>-1.5685316304202894</v>
          </cell>
          <cell r="R16">
            <v>0.21391955754791725</v>
          </cell>
          <cell r="S16">
            <v>196613.0809689734</v>
          </cell>
          <cell r="T16">
            <v>38656703608.112091</v>
          </cell>
          <cell r="U16">
            <v>189764.00432044652</v>
          </cell>
          <cell r="V16">
            <v>77832.230846586754</v>
          </cell>
          <cell r="W16">
            <v>462666.64778900688</v>
          </cell>
          <cell r="X16">
            <v>-0.50886320243784189</v>
          </cell>
          <cell r="Y16">
            <v>0.50886320243784189</v>
          </cell>
          <cell r="Z16">
            <v>373563.22002911044</v>
          </cell>
          <cell r="AA16">
            <v>-0.65194494192559382</v>
          </cell>
          <cell r="AB16">
            <v>3.3726543449790529E-2</v>
          </cell>
          <cell r="AC16">
            <v>69</v>
          </cell>
          <cell r="AD16">
            <v>-1.543170535909697</v>
          </cell>
        </row>
        <row r="17">
          <cell r="F17">
            <v>47</v>
          </cell>
          <cell r="G17">
            <v>-0.29521787295388635</v>
          </cell>
          <cell r="H17">
            <v>-9.9815822417420514E-7</v>
          </cell>
          <cell r="I17">
            <v>5.3007841415707417E-7</v>
          </cell>
          <cell r="J17">
            <v>-0.6692009136553988</v>
          </cell>
          <cell r="K17">
            <v>0.68006936473183144</v>
          </cell>
          <cell r="L17">
            <v>7.0150886524172257E-2</v>
          </cell>
          <cell r="M17">
            <v>0.47781202488540497</v>
          </cell>
          <cell r="N17">
            <v>0.45410241215010605</v>
          </cell>
          <cell r="O17">
            <v>0.20620900072054479</v>
          </cell>
          <cell r="P17">
            <v>-0.6692009136553988</v>
          </cell>
          <cell r="Q17">
            <v>-1.5604265076395021</v>
          </cell>
          <cell r="R17">
            <v>0.22202468032870448</v>
          </cell>
          <cell r="S17">
            <v>110282.91442548847</v>
          </cell>
          <cell r="T17">
            <v>12162321214.179613</v>
          </cell>
          <cell r="U17">
            <v>191876.70628517642</v>
          </cell>
          <cell r="V17">
            <v>78698.761396559887</v>
          </cell>
          <cell r="W17">
            <v>467817.66017040797</v>
          </cell>
          <cell r="X17">
            <v>-0.36498230361193984</v>
          </cell>
          <cell r="Y17">
            <v>0.36498230361193984</v>
          </cell>
          <cell r="Z17">
            <v>374673.10456808144</v>
          </cell>
          <cell r="AA17">
            <v>-0.65310123137530751</v>
          </cell>
          <cell r="AB17">
            <v>-0.21509850150529272</v>
          </cell>
          <cell r="AC17">
            <v>70</v>
          </cell>
          <cell r="AD17">
            <v>-1.5443268253594109</v>
          </cell>
        </row>
        <row r="18">
          <cell r="F18">
            <v>47</v>
          </cell>
          <cell r="G18">
            <v>-0.25835158688406068</v>
          </cell>
          <cell r="H18">
            <v>-1.0488936832378719E-6</v>
          </cell>
          <cell r="I18">
            <v>5.5361737428209819E-7</v>
          </cell>
          <cell r="J18">
            <v>-0.4183269694674483</v>
          </cell>
          <cell r="K18">
            <v>0.68316033740132842</v>
          </cell>
          <cell r="L18">
            <v>7.0954909768014093E-2</v>
          </cell>
          <cell r="M18">
            <v>0.4820008418774675</v>
          </cell>
          <cell r="N18">
            <v>-3.0934901155197536E-2</v>
          </cell>
          <cell r="O18">
            <v>9.5696810948184188E-4</v>
          </cell>
          <cell r="P18">
            <v>-0.4183269694674483</v>
          </cell>
          <cell r="Q18">
            <v>-1.3095525634515517</v>
          </cell>
          <cell r="R18">
            <v>0.47289862451665499</v>
          </cell>
          <cell r="S18">
            <v>-3057.6883182369202</v>
          </cell>
          <cell r="T18">
            <v>9349457.8514825255</v>
          </cell>
          <cell r="U18">
            <v>100379.39944371185</v>
          </cell>
          <cell r="V18">
            <v>41170.888112961911</v>
          </cell>
          <cell r="W18">
            <v>244736.61595626362</v>
          </cell>
          <cell r="X18">
            <v>3.1418357557387207E-2</v>
          </cell>
          <cell r="Y18">
            <v>3.1418357557387207E-2</v>
          </cell>
          <cell r="Z18">
            <v>152518.20574374442</v>
          </cell>
          <cell r="AA18">
            <v>-0.4216579084951162</v>
          </cell>
          <cell r="AB18">
            <v>-0.44926187062264583</v>
          </cell>
          <cell r="AC18">
            <v>71</v>
          </cell>
          <cell r="AD18">
            <v>-1.3128835024792194</v>
          </cell>
        </row>
        <row r="19">
          <cell r="F19">
            <v>47</v>
          </cell>
          <cell r="G19">
            <v>-0.26675112065831841</v>
          </cell>
          <cell r="H19">
            <v>-1.0356429897368588E-6</v>
          </cell>
          <cell r="I19">
            <v>5.4347791850346581E-7</v>
          </cell>
          <cell r="J19">
            <v>-0.50981836169642492</v>
          </cell>
          <cell r="K19">
            <v>0.68315667397009139</v>
          </cell>
          <cell r="L19">
            <v>7.1719568854109961E-2</v>
          </cell>
          <cell r="M19">
            <v>0.48199636527824785</v>
          </cell>
          <cell r="N19">
            <v>3.4297543224597604E-2</v>
          </cell>
          <cell r="O19">
            <v>1.176321471243141E-3</v>
          </cell>
          <cell r="P19">
            <v>-0.50981836169642492</v>
          </cell>
          <cell r="Q19">
            <v>-1.4010439556805281</v>
          </cell>
          <cell r="R19">
            <v>0.38140723228767837</v>
          </cell>
          <cell r="S19">
            <v>4918.5486962743744</v>
          </cell>
          <cell r="T19">
            <v>24192121.27762235</v>
          </cell>
          <cell r="U19">
            <v>140962.97616544017</v>
          </cell>
          <cell r="V19">
            <v>57816.354271294775</v>
          </cell>
          <cell r="W19">
            <v>343684.08212283254</v>
          </cell>
          <cell r="X19">
            <v>-3.3716049382790686E-2</v>
          </cell>
          <cell r="Y19">
            <v>3.3716049382790686E-2</v>
          </cell>
          <cell r="Z19">
            <v>234701.76831870052</v>
          </cell>
          <cell r="AA19">
            <v>-0.50727761307574837</v>
          </cell>
          <cell r="AB19">
            <v>-0.47552081847182731</v>
          </cell>
          <cell r="AC19">
            <v>72</v>
          </cell>
          <cell r="AD19">
            <v>-1.3985032070598518</v>
          </cell>
        </row>
        <row r="20">
          <cell r="F20">
            <v>47</v>
          </cell>
          <cell r="G20">
            <v>-0.24362389378644311</v>
          </cell>
          <cell r="H20">
            <v>-1.0456934324008222E-6</v>
          </cell>
          <cell r="I20">
            <v>5.1963525654254002E-7</v>
          </cell>
          <cell r="J20">
            <v>-0.79556428224386289</v>
          </cell>
          <cell r="K20">
            <v>0.67197877714293575</v>
          </cell>
          <cell r="L20">
            <v>7.9326673779168855E-2</v>
          </cell>
          <cell r="M20">
            <v>0.46717135239557733</v>
          </cell>
          <cell r="N20">
            <v>-0.85299586911197767</v>
          </cell>
          <cell r="O20">
            <v>0.72760195272209816</v>
          </cell>
          <cell r="P20">
            <v>-0.79556428224386289</v>
          </cell>
          <cell r="Q20">
            <v>-1.6867898762279663</v>
          </cell>
          <cell r="R20">
            <v>9.5661311740240396E-2</v>
          </cell>
          <cell r="S20">
            <v>-136705.91898164444</v>
          </cell>
          <cell r="T20">
            <v>18688508284.615932</v>
          </cell>
          <cell r="U20">
            <v>238220.21744686257</v>
          </cell>
          <cell r="V20">
            <v>97706.68058489394</v>
          </cell>
          <cell r="W20">
            <v>580808.51443032455</v>
          </cell>
          <cell r="X20">
            <v>1.3466666375917871</v>
          </cell>
          <cell r="Y20">
            <v>1.3466666375917871</v>
          </cell>
          <cell r="Z20">
            <v>527822.37255732983</v>
          </cell>
          <cell r="AA20">
            <v>-0.81265375831790732</v>
          </cell>
          <cell r="AB20">
            <v>-1.6485601513558406</v>
          </cell>
          <cell r="AC20">
            <v>73</v>
          </cell>
          <cell r="AD20">
            <v>-1.7038793523020106</v>
          </cell>
        </row>
        <row r="21">
          <cell r="F21">
            <v>47</v>
          </cell>
          <cell r="G21">
            <v>-0.19423653040192301</v>
          </cell>
          <cell r="H21">
            <v>-1.1399812456897219E-6</v>
          </cell>
          <cell r="I21">
            <v>5.2776631986097252E-7</v>
          </cell>
          <cell r="J21">
            <v>-0.57012196454397968</v>
          </cell>
          <cell r="K21">
            <v>0.6736373584718367</v>
          </cell>
          <cell r="L21">
            <v>9.0304663816287836E-2</v>
          </cell>
          <cell r="M21">
            <v>0.46902064736056137</v>
          </cell>
          <cell r="N21">
            <v>-0.79811433982724389</v>
          </cell>
          <cell r="O21">
            <v>0.63698649943787733</v>
          </cell>
          <cell r="P21">
            <v>-0.57012196454397968</v>
          </cell>
          <cell r="Q21">
            <v>-1.4613475585280828</v>
          </cell>
          <cell r="R21">
            <v>0.32110362944012361</v>
          </cell>
          <cell r="S21">
            <v>-102513.21037015908</v>
          </cell>
          <cell r="T21">
            <v>10508958300.396492</v>
          </cell>
          <cell r="U21">
            <v>186447.67279023759</v>
          </cell>
          <cell r="V21">
            <v>76472.028303710613</v>
          </cell>
          <cell r="W21">
            <v>454581.04695267684</v>
          </cell>
          <cell r="X21">
            <v>1.2213482688087871</v>
          </cell>
          <cell r="Y21">
            <v>1.2213482688087871</v>
          </cell>
          <cell r="Z21">
            <v>329729.48946597357</v>
          </cell>
          <cell r="AA21">
            <v>-0.60627849788382049</v>
          </cell>
          <cell r="AB21">
            <v>-1.3682363043712236</v>
          </cell>
          <cell r="AC21">
            <v>74</v>
          </cell>
          <cell r="AD21">
            <v>-1.4975040918679237</v>
          </cell>
        </row>
        <row r="22">
          <cell r="F22">
            <v>47</v>
          </cell>
          <cell r="G22">
            <v>-0.25613197776187258</v>
          </cell>
          <cell r="H22">
            <v>-9.9230758427584517E-7</v>
          </cell>
          <cell r="I22">
            <v>4.9526039639966038E-7</v>
          </cell>
          <cell r="J22">
            <v>-0.83703092017849301</v>
          </cell>
          <cell r="K22">
            <v>0.63998113612892404</v>
          </cell>
          <cell r="L22">
            <v>7.8692303933631719E-2</v>
          </cell>
          <cell r="M22">
            <v>0.42599860715597815</v>
          </cell>
          <cell r="N22">
            <v>-1.6568242119978991</v>
          </cell>
          <cell r="O22">
            <v>2.7450664694624591</v>
          </cell>
          <cell r="P22">
            <v>-0.83703092017849301</v>
          </cell>
          <cell r="Q22">
            <v>-1.7282565141625963</v>
          </cell>
          <cell r="R22">
            <v>5.4194673805610272E-2</v>
          </cell>
          <cell r="S22">
            <v>-205126.80273043551</v>
          </cell>
          <cell r="T22">
            <v>42077005198.411003</v>
          </cell>
          <cell r="U22">
            <v>253475.71995832131</v>
          </cell>
          <cell r="V22">
            <v>103963.76710351252</v>
          </cell>
          <cell r="W22">
            <v>618003.19859916437</v>
          </cell>
          <cell r="X22">
            <v>4.2426348818443911</v>
          </cell>
          <cell r="Y22">
            <v>4.2426348818443911</v>
          </cell>
          <cell r="Z22">
            <v>585402.09872581216</v>
          </cell>
          <cell r="AA22">
            <v>-0.87264092594504383</v>
          </cell>
          <cell r="AB22">
            <v>-2.493855132176392</v>
          </cell>
          <cell r="AC22">
            <v>75</v>
          </cell>
          <cell r="AD22">
            <v>-1.763866519929147</v>
          </cell>
        </row>
        <row r="23">
          <cell r="F23">
            <v>47</v>
          </cell>
          <cell r="G23">
            <v>-0.23886965155445461</v>
          </cell>
          <cell r="H23">
            <v>-1.0717286653281409E-6</v>
          </cell>
          <cell r="I23">
            <v>5.2908205200006284E-7</v>
          </cell>
          <cell r="J23">
            <v>-0.67650870772289606</v>
          </cell>
          <cell r="K23">
            <v>0.68082756137469613</v>
          </cell>
          <cell r="L23">
            <v>8.0292589263129724E-2</v>
          </cell>
          <cell r="M23">
            <v>0.47885712487815602</v>
          </cell>
          <cell r="N23">
            <v>-0.39369925206398382</v>
          </cell>
          <cell r="O23">
            <v>0.15499910107574028</v>
          </cell>
          <cell r="P23">
            <v>-0.67650870772289606</v>
          </cell>
          <cell r="Q23">
            <v>-1.5677343017069993</v>
          </cell>
          <cell r="R23">
            <v>0.21471688626120722</v>
          </cell>
          <cell r="S23">
            <v>-67561.96913198143</v>
          </cell>
          <cell r="T23">
            <v>4564619672.9908113</v>
          </cell>
          <cell r="U23">
            <v>207599.94167336664</v>
          </cell>
          <cell r="V23">
            <v>85147.689847301808</v>
          </cell>
          <cell r="W23">
            <v>506152.73133157025</v>
          </cell>
          <cell r="X23">
            <v>0.48245463645237324</v>
          </cell>
          <cell r="Y23">
            <v>0.48245463645237324</v>
          </cell>
          <cell r="Z23">
            <v>408348.74565424217</v>
          </cell>
          <cell r="AA23">
            <v>-0.68818487037831066</v>
          </cell>
          <cell r="AB23">
            <v>-1.0702079597868799</v>
          </cell>
          <cell r="AC23">
            <v>76</v>
          </cell>
          <cell r="AD23">
            <v>-1.5794104643624141</v>
          </cell>
        </row>
        <row r="24">
          <cell r="F24">
            <v>47</v>
          </cell>
          <cell r="G24">
            <v>-0.15667961395464591</v>
          </cell>
          <cell r="H24">
            <v>-1.1652253612109411E-6</v>
          </cell>
          <cell r="I24">
            <v>4.8065478674715622E-7</v>
          </cell>
          <cell r="J24">
            <v>-0.66034232653725633</v>
          </cell>
          <cell r="K24">
            <v>0.61955870525244428</v>
          </cell>
          <cell r="L24">
            <v>0.11114419137172882</v>
          </cell>
          <cell r="M24">
            <v>0.400377022068167</v>
          </cell>
          <cell r="N24">
            <v>-2.0001310303990607</v>
          </cell>
          <cell r="O24">
            <v>4.0005241387652086</v>
          </cell>
          <cell r="P24">
            <v>-0.66034232653725633</v>
          </cell>
          <cell r="Q24">
            <v>-1.5515679205213595</v>
          </cell>
          <cell r="R24">
            <v>0.23088326744684695</v>
          </cell>
          <cell r="S24">
            <v>-193109.4321500409</v>
          </cell>
          <cell r="T24">
            <v>37291252785.311249</v>
          </cell>
          <cell r="U24">
            <v>223329.88538654332</v>
          </cell>
          <cell r="V24">
            <v>91599.369736077599</v>
          </cell>
          <cell r="W24">
            <v>544504.15816695499</v>
          </cell>
          <cell r="X24">
            <v>6.3900243533339705</v>
          </cell>
          <cell r="Y24">
            <v>6.3900243533339705</v>
          </cell>
          <cell r="Z24">
            <v>432244.89386258059</v>
          </cell>
          <cell r="AA24">
            <v>-0.71308013028319595</v>
          </cell>
          <cell r="AB24">
            <v>-2.660473356936317</v>
          </cell>
          <cell r="AC24">
            <v>77</v>
          </cell>
          <cell r="AD24">
            <v>-1.6043057242672991</v>
          </cell>
        </row>
        <row r="25">
          <cell r="F25">
            <v>47</v>
          </cell>
          <cell r="G25">
            <v>-0.28605626010496743</v>
          </cell>
          <cell r="H25">
            <v>-1.0053096210650953E-6</v>
          </cell>
          <cell r="I25">
            <v>5.4584427702118051E-7</v>
          </cell>
          <cell r="J25">
            <v>-0.49700488454801928</v>
          </cell>
          <cell r="K25">
            <v>0.68267177706234239</v>
          </cell>
          <cell r="L25">
            <v>6.7313184208316251E-2</v>
          </cell>
          <cell r="M25">
            <v>0.48130307202460521</v>
          </cell>
          <cell r="N25">
            <v>0.18747717434326006</v>
          </cell>
          <cell r="O25">
            <v>3.5147690899733124E-2</v>
          </cell>
          <cell r="P25">
            <v>-0.49700488454801928</v>
          </cell>
          <cell r="Q25">
            <v>-1.3882304785321224</v>
          </cell>
          <cell r="R25">
            <v>0.394220709436084</v>
          </cell>
          <cell r="S25">
            <v>26322.356266988383</v>
          </cell>
          <cell r="T25">
            <v>692866439.4462626</v>
          </cell>
          <cell r="U25">
            <v>127652.81022211935</v>
          </cell>
          <cell r="V25">
            <v>52357.152922668407</v>
          </cell>
          <cell r="W25">
            <v>311232.35409061518</v>
          </cell>
          <cell r="X25">
            <v>-0.17095195846955252</v>
          </cell>
          <cell r="Y25">
            <v>0.17095195846955252</v>
          </cell>
          <cell r="Z25">
            <v>209834.48285271373</v>
          </cell>
          <cell r="AA25">
            <v>-0.4813706121060819</v>
          </cell>
          <cell r="AB25">
            <v>-0.30952771020475922</v>
          </cell>
          <cell r="AC25">
            <v>78</v>
          </cell>
          <cell r="AD25">
            <v>-1.3725962060901851</v>
          </cell>
        </row>
        <row r="26">
          <cell r="F26">
            <v>47</v>
          </cell>
          <cell r="G26">
            <v>-0.19011583671465759</v>
          </cell>
          <cell r="H26">
            <v>-1.1575615749719643E-6</v>
          </cell>
          <cell r="I26">
            <v>5.4764232563062033E-7</v>
          </cell>
          <cell r="J26">
            <v>-0.38989526012507758</v>
          </cell>
          <cell r="K26">
            <v>0.67916745851283977</v>
          </cell>
          <cell r="L26">
            <v>8.6807759370751122E-2</v>
          </cell>
          <cell r="M26">
            <v>0.47621191005071656</v>
          </cell>
          <cell r="N26">
            <v>-0.53349285620360365</v>
          </cell>
          <cell r="O26">
            <v>0.28461462762027895</v>
          </cell>
          <cell r="P26">
            <v>-0.38989526012507758</v>
          </cell>
          <cell r="Q26">
            <v>-1.2811208541091808</v>
          </cell>
          <cell r="R26">
            <v>0.5013303338590257</v>
          </cell>
          <cell r="S26">
            <v>-48316.727618695761</v>
          </cell>
          <cell r="T26">
            <v>2334506167.7792377</v>
          </cell>
          <cell r="U26">
            <v>116863.07061191328</v>
          </cell>
          <cell r="V26">
            <v>47931.711400587104</v>
          </cell>
          <cell r="W26">
            <v>284925.71773011534</v>
          </cell>
          <cell r="X26">
            <v>0.70487681047370498</v>
          </cell>
          <cell r="Y26">
            <v>0.70487681047370498</v>
          </cell>
          <cell r="Z26">
            <v>172586.43317981472</v>
          </cell>
          <cell r="AA26">
            <v>-0.4425652000592431</v>
          </cell>
          <cell r="AB26">
            <v>-0.92338811632868123</v>
          </cell>
          <cell r="AC26">
            <v>79</v>
          </cell>
          <cell r="AD26">
            <v>-1.3337907940433464</v>
          </cell>
        </row>
        <row r="27">
          <cell r="F27">
            <v>47</v>
          </cell>
          <cell r="G27">
            <v>-0.28204885101572374</v>
          </cell>
          <cell r="H27">
            <v>-1.0122308129400767E-6</v>
          </cell>
          <cell r="I27">
            <v>5.4173238017938334E-7</v>
          </cell>
          <cell r="J27">
            <v>-0.53358463393228917</v>
          </cell>
          <cell r="K27">
            <v>0.68274272177108952</v>
          </cell>
          <cell r="L27">
            <v>6.9146913936556156E-2</v>
          </cell>
          <cell r="M27">
            <v>0.48141381140524492</v>
          </cell>
          <cell r="N27">
            <v>0.17239913354884057</v>
          </cell>
          <cell r="O27">
            <v>2.9721461248390965E-2</v>
          </cell>
          <cell r="P27">
            <v>-0.53358463393228917</v>
          </cell>
          <cell r="Q27">
            <v>-1.4248102279163923</v>
          </cell>
          <cell r="R27">
            <v>0.35764096005181412</v>
          </cell>
          <cell r="S27">
            <v>27421.81077494545</v>
          </cell>
          <cell r="T27">
            <v>751955706.17691445</v>
          </cell>
          <cell r="U27">
            <v>145742.88427494385</v>
          </cell>
          <cell r="V27">
            <v>59776.846793238656</v>
          </cell>
          <cell r="W27">
            <v>355338.0523775341</v>
          </cell>
          <cell r="X27">
            <v>-0.15835682190902214</v>
          </cell>
          <cell r="Y27">
            <v>0.15835682190902214</v>
          </cell>
          <cell r="Z27">
            <v>248496.46908689401</v>
          </cell>
          <cell r="AA27">
            <v>-0.52164907821482309</v>
          </cell>
          <cell r="AB27">
            <v>-0.3611855003834486</v>
          </cell>
          <cell r="AC27">
            <v>80</v>
          </cell>
          <cell r="AD27">
            <v>-1.4128746721989263</v>
          </cell>
        </row>
        <row r="28">
          <cell r="F28">
            <v>47</v>
          </cell>
          <cell r="G28">
            <v>-0.23564646104488773</v>
          </cell>
          <cell r="H28">
            <v>-1.0793167725243365E-6</v>
          </cell>
          <cell r="I28">
            <v>5.3203707735635193E-7</v>
          </cell>
          <cell r="J28">
            <v>-0.62106662190386475</v>
          </cell>
          <cell r="K28">
            <v>0.68132001774503614</v>
          </cell>
          <cell r="L28">
            <v>8.0512280680975462E-2</v>
          </cell>
          <cell r="M28">
            <v>0.47949585668825545</v>
          </cell>
          <cell r="N28">
            <v>-0.35171187409706917</v>
          </cell>
          <cell r="O28">
            <v>0.12370124238087263</v>
          </cell>
          <cell r="P28">
            <v>-0.62106662190386475</v>
          </cell>
          <cell r="Q28">
            <v>-1.5122922158879679</v>
          </cell>
          <cell r="R28">
            <v>0.27015897208023854</v>
          </cell>
          <cell r="S28">
            <v>-56899.651813427277</v>
          </cell>
          <cell r="T28">
            <v>3237570376.4892583</v>
          </cell>
          <cell r="U28">
            <v>191893.24874986021</v>
          </cell>
          <cell r="V28">
            <v>78705.546334170431</v>
          </cell>
          <cell r="W28">
            <v>467857.99261759047</v>
          </cell>
          <cell r="X28">
            <v>0.42149889405658791</v>
          </cell>
          <cell r="Y28">
            <v>0.42149889405658791</v>
          </cell>
          <cell r="Z28">
            <v>357096.4249518197</v>
          </cell>
          <cell r="AA28">
            <v>-0.63478966067794107</v>
          </cell>
          <cell r="AB28">
            <v>-0.97277849600093391</v>
          </cell>
          <cell r="AC28">
            <v>81</v>
          </cell>
          <cell r="AD28">
            <v>-1.5260152546620445</v>
          </cell>
        </row>
        <row r="29">
          <cell r="F29">
            <v>47</v>
          </cell>
          <cell r="G29">
            <v>-0.38043334099732129</v>
          </cell>
          <cell r="H29">
            <v>-8.5981018253662935E-7</v>
          </cell>
          <cell r="I29">
            <v>5.3166999495992965E-7</v>
          </cell>
          <cell r="J29">
            <v>-0.58196743568673637</v>
          </cell>
          <cell r="K29">
            <v>0.66827400015925353</v>
          </cell>
          <cell r="L29">
            <v>5.271148820552609E-2</v>
          </cell>
          <cell r="M29">
            <v>0.46115841859773543</v>
          </cell>
          <cell r="N29">
            <v>1.0110567287824948</v>
          </cell>
          <cell r="O29">
            <v>1.0222357088163592</v>
          </cell>
          <cell r="P29">
            <v>-0.58196743568673637</v>
          </cell>
          <cell r="Q29">
            <v>-1.4731930296708398</v>
          </cell>
          <cell r="R29">
            <v>0.30925815829736691</v>
          </cell>
          <cell r="S29">
            <v>229016.78052054351</v>
          </cell>
          <cell r="T29">
            <v>52448685759.994797</v>
          </cell>
          <cell r="U29">
            <v>130978.70698330367</v>
          </cell>
          <cell r="V29">
            <v>53721.278671465741</v>
          </cell>
          <cell r="W29">
            <v>319341.27606925863</v>
          </cell>
          <cell r="X29">
            <v>-0.63616569782168753</v>
          </cell>
          <cell r="Y29">
            <v>0.63616569782168753</v>
          </cell>
          <cell r="Z29">
            <v>234393.70547443983</v>
          </cell>
          <cell r="AA29">
            <v>-0.5069566699468373</v>
          </cell>
          <cell r="AB29">
            <v>0.42908929309575849</v>
          </cell>
          <cell r="AC29">
            <v>82</v>
          </cell>
          <cell r="AD29">
            <v>-1.3981822639309405</v>
          </cell>
        </row>
        <row r="30">
          <cell r="F30">
            <v>47</v>
          </cell>
          <cell r="G30">
            <v>-0.27484119373178006</v>
          </cell>
          <cell r="H30">
            <v>-1.0348750740938579E-6</v>
          </cell>
          <cell r="I30">
            <v>5.2633899463304843E-7</v>
          </cell>
          <cell r="J30">
            <v>-0.80025052605218927</v>
          </cell>
          <cell r="K30">
            <v>0.68050019305066889</v>
          </cell>
          <cell r="L30">
            <v>7.6000853961658871E-2</v>
          </cell>
          <cell r="M30">
            <v>0.47845043307447954</v>
          </cell>
          <cell r="N30">
            <v>0.41824275182708659</v>
          </cell>
          <cell r="O30">
            <v>0.17492699945589393</v>
          </cell>
          <cell r="P30">
            <v>-0.80025052605218927</v>
          </cell>
          <cell r="Q30">
            <v>-1.6914761200362927</v>
          </cell>
          <cell r="R30">
            <v>9.0975067931914011E-2</v>
          </cell>
          <cell r="S30">
            <v>118433.60778886944</v>
          </cell>
          <cell r="T30">
            <v>14026519453.887756</v>
          </cell>
          <cell r="U30">
            <v>228068.5850364207</v>
          </cell>
          <cell r="V30">
            <v>93542.96049441275</v>
          </cell>
          <cell r="W30">
            <v>556057.65741850657</v>
          </cell>
          <cell r="X30">
            <v>-0.34179757081244461</v>
          </cell>
          <cell r="Y30">
            <v>0.34179757081244461</v>
          </cell>
          <cell r="Z30">
            <v>507703.14743589744</v>
          </cell>
          <cell r="AA30">
            <v>-0.79169333682587029</v>
          </cell>
          <cell r="AB30">
            <v>-0.38200777422510268</v>
          </cell>
          <cell r="AC30">
            <v>83</v>
          </cell>
          <cell r="AD30">
            <v>-1.6829189308099735</v>
          </cell>
        </row>
        <row r="31">
          <cell r="F31">
            <v>47</v>
          </cell>
          <cell r="G31">
            <v>-0.26350380326575429</v>
          </cell>
          <cell r="H31">
            <v>-1.0328058293790406E-6</v>
          </cell>
          <cell r="I31">
            <v>5.2867242876434533E-7</v>
          </cell>
          <cell r="J31">
            <v>-0.89273629280845623</v>
          </cell>
          <cell r="K31">
            <v>0.68254022427258898</v>
          </cell>
          <cell r="L31">
            <v>7.5103362284820036E-2</v>
          </cell>
          <cell r="M31">
            <v>0.48117086526670239</v>
          </cell>
          <cell r="N31">
            <v>-0.20402407219977736</v>
          </cell>
          <cell r="O31">
            <v>4.1625822036979968E-2</v>
          </cell>
          <cell r="P31">
            <v>-0.89273629280845623</v>
          </cell>
          <cell r="Q31">
            <v>-1.7839618867925595</v>
          </cell>
          <cell r="R31">
            <v>-1.5106988243529518E-3</v>
          </cell>
          <cell r="S31">
            <v>-46048.251359296788</v>
          </cell>
          <cell r="T31">
            <v>2120441453.2489784</v>
          </cell>
          <cell r="U31">
            <v>249506.58522560081</v>
          </cell>
          <cell r="V31">
            <v>102335.81552289224</v>
          </cell>
          <cell r="W31">
            <v>608325.98785528878</v>
          </cell>
          <cell r="X31">
            <v>0.22632767350565197</v>
          </cell>
          <cell r="Y31">
            <v>0.22632767350565197</v>
          </cell>
          <cell r="Z31">
            <v>609245.6797237664</v>
          </cell>
          <cell r="AA31">
            <v>-0.8974814207742533</v>
          </cell>
          <cell r="AB31">
            <v>-1.0967603650082336</v>
          </cell>
          <cell r="AC31">
            <v>84</v>
          </cell>
          <cell r="AD31">
            <v>-1.7887070147583566</v>
          </cell>
        </row>
        <row r="32">
          <cell r="F32">
            <v>47</v>
          </cell>
          <cell r="G32">
            <v>-0.29518251435697529</v>
          </cell>
          <cell r="H32">
            <v>-9.6041652410177202E-7</v>
          </cell>
          <cell r="I32">
            <v>5.3452005336860537E-7</v>
          </cell>
          <cell r="J32">
            <v>-1.0436774005105449</v>
          </cell>
          <cell r="K32">
            <v>0.67857784166926438</v>
          </cell>
          <cell r="L32">
            <v>6.4274934971838976E-2</v>
          </cell>
          <cell r="M32">
            <v>0.47566425407737217</v>
          </cell>
          <cell r="N32">
            <v>-0.55807684982819095</v>
          </cell>
          <cell r="O32">
            <v>0.31144977031415721</v>
          </cell>
          <cell r="P32">
            <v>-1.0436774005105449</v>
          </cell>
          <cell r="Q32">
            <v>-1.9349029944946481</v>
          </cell>
          <cell r="R32">
            <v>-0.15245180652644164</v>
          </cell>
          <cell r="S32">
            <v>-117380.60762365689</v>
          </cell>
          <cell r="T32">
            <v>13778207046.098898</v>
          </cell>
          <cell r="U32">
            <v>274451.67018420034</v>
          </cell>
          <cell r="V32">
            <v>112567.11106251868</v>
          </cell>
          <cell r="W32">
            <v>669144.99764556461</v>
          </cell>
          <cell r="X32">
            <v>0.74730892953889727</v>
          </cell>
          <cell r="Y32">
            <v>0.74730892953889727</v>
          </cell>
          <cell r="Z32">
            <v>779344.03185492684</v>
          </cell>
          <cell r="AA32">
            <v>-1.0746916828122286</v>
          </cell>
          <cell r="AB32">
            <v>-1.6017542503387359</v>
          </cell>
          <cell r="AC32">
            <v>85</v>
          </cell>
          <cell r="AD32">
            <v>-1.9659172767963318</v>
          </cell>
        </row>
        <row r="33">
          <cell r="F33">
            <v>47</v>
          </cell>
          <cell r="G33">
            <v>-0.26215783474151821</v>
          </cell>
          <cell r="H33">
            <v>-1.0491554140036447E-6</v>
          </cell>
          <cell r="I33">
            <v>5.2883712865778676E-7</v>
          </cell>
          <cell r="J33">
            <v>-0.90136540171846447</v>
          </cell>
          <cell r="K33">
            <v>0.68275244281686753</v>
          </cell>
          <cell r="L33">
            <v>7.7270270165099922E-2</v>
          </cell>
          <cell r="M33">
            <v>0.48145539641227697</v>
          </cell>
          <cell r="N33">
            <v>0.16638448216052848</v>
          </cell>
          <cell r="O33">
            <v>2.7683795903827219E-2</v>
          </cell>
          <cell r="P33">
            <v>-0.90136540171846447</v>
          </cell>
          <cell r="Q33">
            <v>-1.7925909957025676</v>
          </cell>
          <cell r="R33">
            <v>-1.0139807734361184E-2</v>
          </cell>
          <cell r="S33">
            <v>44780.367296453245</v>
          </cell>
          <cell r="T33">
            <v>2005281295.2052593</v>
          </cell>
          <cell r="U33">
            <v>247368.30960190415</v>
          </cell>
          <cell r="V33">
            <v>101458.79586601279</v>
          </cell>
          <cell r="W33">
            <v>603112.62392777542</v>
          </cell>
          <cell r="X33">
            <v>-0.15327937737685857</v>
          </cell>
          <cell r="Y33">
            <v>0.15327937737685857</v>
          </cell>
          <cell r="Z33">
            <v>609259.17976030742</v>
          </cell>
          <cell r="AA33">
            <v>-0.89749548525508449</v>
          </cell>
          <cell r="AB33">
            <v>-0.73498091955793599</v>
          </cell>
          <cell r="AC33">
            <v>86</v>
          </cell>
          <cell r="AD33">
            <v>-1.7887210792391879</v>
          </cell>
        </row>
        <row r="34">
          <cell r="F34">
            <v>47</v>
          </cell>
          <cell r="G34">
            <v>-0.28777121903511249</v>
          </cell>
          <cell r="H34">
            <v>-9.6339133447465108E-7</v>
          </cell>
          <cell r="I34">
            <v>5.2365915668508451E-7</v>
          </cell>
          <cell r="J34">
            <v>-0.95241959058434311</v>
          </cell>
          <cell r="K34">
            <v>0.67224663346976044</v>
          </cell>
          <cell r="L34">
            <v>6.7175391154856809E-2</v>
          </cell>
          <cell r="M34">
            <v>0.4673101217601448</v>
          </cell>
          <cell r="N34">
            <v>-0.84900073843212986</v>
          </cell>
          <cell r="O34">
            <v>0.72080225385830177</v>
          </cell>
          <cell r="P34">
            <v>-0.95241959058434311</v>
          </cell>
          <cell r="Q34">
            <v>-1.8436451845684463</v>
          </cell>
          <cell r="R34">
            <v>-6.1193996600239831E-2</v>
          </cell>
          <cell r="S34">
            <v>-152291.06567418939</v>
          </cell>
          <cell r="T34">
            <v>23192568684.180267</v>
          </cell>
          <cell r="U34">
            <v>266169.71328384196</v>
          </cell>
          <cell r="V34">
            <v>109170.24354995471</v>
          </cell>
          <cell r="W34">
            <v>648952.62633708795</v>
          </cell>
          <cell r="X34">
            <v>1.3373101004518859</v>
          </cell>
          <cell r="Y34">
            <v>1.3373101004518859</v>
          </cell>
          <cell r="Z34">
            <v>689904.86811018642</v>
          </cell>
          <cell r="AA34">
            <v>-0.98151301620503262</v>
          </cell>
          <cell r="AB34">
            <v>-1.801420329016473</v>
          </cell>
          <cell r="AC34">
            <v>87</v>
          </cell>
          <cell r="AD34">
            <v>-1.8727386101891359</v>
          </cell>
        </row>
        <row r="35">
          <cell r="F35">
            <v>47</v>
          </cell>
          <cell r="G35">
            <v>-0.24783820573900994</v>
          </cell>
          <cell r="H35">
            <v>-1.0769524492378361E-6</v>
          </cell>
          <cell r="I35">
            <v>5.4319501563215569E-7</v>
          </cell>
          <cell r="J35">
            <v>-1.1497554431558124</v>
          </cell>
          <cell r="K35">
            <v>0.68262780581597648</v>
          </cell>
          <cell r="L35">
            <v>7.7179322740240142E-2</v>
          </cell>
          <cell r="M35">
            <v>0.48124770426598412</v>
          </cell>
          <cell r="N35">
            <v>0.19457829034137808</v>
          </cell>
          <cell r="O35">
            <v>3.7860711072173626E-2</v>
          </cell>
          <cell r="P35">
            <v>-1.1497554431558124</v>
          </cell>
          <cell r="Q35">
            <v>-2.0409810371399155</v>
          </cell>
          <cell r="R35">
            <v>-0.25852984917170907</v>
          </cell>
          <cell r="S35">
            <v>56973.005822385661</v>
          </cell>
          <cell r="T35">
            <v>3245923392.4375906</v>
          </cell>
          <cell r="U35">
            <v>265239.20311296138</v>
          </cell>
          <cell r="V35">
            <v>108788.5922316005</v>
          </cell>
          <cell r="W35">
            <v>646683.93463743408</v>
          </cell>
          <cell r="X35">
            <v>-0.17681827144488335</v>
          </cell>
          <cell r="Y35">
            <v>0.17681827144488335</v>
          </cell>
          <cell r="Z35">
            <v>837471.73615241167</v>
          </cell>
          <cell r="AA35">
            <v>-1.1352497398490211</v>
          </cell>
          <cell r="AB35">
            <v>-0.95517715281443427</v>
          </cell>
          <cell r="AC35">
            <v>88</v>
          </cell>
          <cell r="AD35">
            <v>-2.0264753338331243</v>
          </cell>
        </row>
        <row r="36">
          <cell r="F36">
            <v>47</v>
          </cell>
          <cell r="G36">
            <v>-0.26333555376083828</v>
          </cell>
          <cell r="H36">
            <v>-1.0392936871068668E-6</v>
          </cell>
          <cell r="I36">
            <v>5.3017757191895703E-7</v>
          </cell>
          <cell r="J36">
            <v>-0.93271470296597647</v>
          </cell>
          <cell r="K36">
            <v>0.68315089046319999</v>
          </cell>
          <cell r="L36">
            <v>7.5579752627520896E-2</v>
          </cell>
          <cell r="M36">
            <v>0.48198973522339106</v>
          </cell>
          <cell r="N36">
            <v>-3.8745246924423937E-2</v>
          </cell>
          <cell r="O36">
            <v>1.5011941592345825E-3</v>
          </cell>
          <cell r="P36">
            <v>-0.93271470296597647</v>
          </cell>
          <cell r="Q36">
            <v>-1.8239402969500798</v>
          </cell>
          <cell r="R36">
            <v>-4.1489108981873191E-2</v>
          </cell>
          <cell r="S36">
            <v>-9631.4841975881427</v>
          </cell>
          <cell r="T36">
            <v>92765487.848390102</v>
          </cell>
          <cell r="U36">
            <v>253431.76150931613</v>
          </cell>
          <cell r="V36">
            <v>103945.73742415958</v>
          </cell>
          <cell r="W36">
            <v>617896.02280301671</v>
          </cell>
          <cell r="X36">
            <v>3.9505632658789522E-2</v>
          </cell>
          <cell r="Y36">
            <v>3.9505632658789522E-2</v>
          </cell>
          <cell r="Z36">
            <v>644071.2163551402</v>
          </cell>
          <cell r="AA36">
            <v>-0.93376303311638909</v>
          </cell>
          <cell r="AB36">
            <v>-0.97145994989040041</v>
          </cell>
          <cell r="AC36">
            <v>89</v>
          </cell>
          <cell r="AD36">
            <v>-1.8249886271004923</v>
          </cell>
        </row>
        <row r="37">
          <cell r="F37">
            <v>47</v>
          </cell>
          <cell r="G37">
            <v>-0.26921289775158663</v>
          </cell>
          <cell r="H37">
            <v>-1.0385426925266205E-6</v>
          </cell>
          <cell r="I37">
            <v>5.2771790190381399E-7</v>
          </cell>
          <cell r="J37">
            <v>-0.80113473834198912</v>
          </cell>
          <cell r="K37">
            <v>0.68233051622615404</v>
          </cell>
          <cell r="L37">
            <v>7.613036138865667E-2</v>
          </cell>
          <cell r="M37">
            <v>0.48089317261747672</v>
          </cell>
          <cell r="N37">
            <v>0.23501651399218237</v>
          </cell>
          <cell r="O37">
            <v>5.5232761849037651E-2</v>
          </cell>
          <cell r="P37">
            <v>-0.80113473834198912</v>
          </cell>
          <cell r="Q37">
            <v>-1.6923603323260923</v>
          </cell>
          <cell r="R37">
            <v>9.0090855642114165E-2</v>
          </cell>
          <cell r="S37">
            <v>60901.17201737524</v>
          </cell>
          <cell r="T37">
            <v>3708952753.0899291</v>
          </cell>
          <cell r="U37">
            <v>229876.76264460123</v>
          </cell>
          <cell r="V37">
            <v>94284.589537895037</v>
          </cell>
          <cell r="W37">
            <v>560466.20410563971</v>
          </cell>
          <cell r="X37">
            <v>-0.20944220574429637</v>
          </cell>
          <cell r="Y37">
            <v>0.20944220574429637</v>
          </cell>
          <cell r="Z37">
            <v>512181.00557456672</v>
          </cell>
          <cell r="AA37">
            <v>-0.7963584167880241</v>
          </cell>
          <cell r="AB37">
            <v>-0.56611822434980674</v>
          </cell>
          <cell r="AC37">
            <v>90</v>
          </cell>
          <cell r="AD37">
            <v>-1.6875840107721274</v>
          </cell>
        </row>
        <row r="38">
          <cell r="F38">
            <v>47</v>
          </cell>
          <cell r="G38">
            <v>-0.2639170974155729</v>
          </cell>
          <cell r="H38">
            <v>-1.0411201001112776E-6</v>
          </cell>
          <cell r="I38">
            <v>5.2840435061997094E-7</v>
          </cell>
          <cell r="J38">
            <v>-0.79072282059322518</v>
          </cell>
          <cell r="K38">
            <v>0.68315016320821165</v>
          </cell>
          <cell r="L38">
            <v>7.6296339086979442E-2</v>
          </cell>
          <cell r="M38">
            <v>0.48198896669166097</v>
          </cell>
          <cell r="N38">
            <v>3.9228206867116699E-2</v>
          </cell>
          <cell r="O38">
            <v>1.5388522140093019E-3</v>
          </cell>
          <cell r="P38">
            <v>-0.79072282059322518</v>
          </cell>
          <cell r="Q38">
            <v>-1.6819484145773285</v>
          </cell>
          <cell r="R38">
            <v>0.1005027733908781</v>
          </cell>
          <cell r="S38">
            <v>9180.9515484960866</v>
          </cell>
          <cell r="T38">
            <v>84289871.335832685</v>
          </cell>
          <cell r="U38">
            <v>229479.07763086309</v>
          </cell>
          <cell r="V38">
            <v>94121.477930378416</v>
          </cell>
          <cell r="W38">
            <v>559496.60192612698</v>
          </cell>
          <cell r="X38">
            <v>-3.8468743928613047E-2</v>
          </cell>
          <cell r="Y38">
            <v>3.8468743928613047E-2</v>
          </cell>
          <cell r="Z38">
            <v>505998.99389258347</v>
          </cell>
          <cell r="AA38">
            <v>-0.78991793164304558</v>
          </cell>
          <cell r="AB38">
            <v>-0.75149461372610848</v>
          </cell>
          <cell r="AC38">
            <v>91</v>
          </cell>
          <cell r="AD38">
            <v>-1.681143525627149</v>
          </cell>
        </row>
        <row r="39">
          <cell r="F39">
            <v>47</v>
          </cell>
          <cell r="G39">
            <v>-0.2642521915762549</v>
          </cell>
          <cell r="H39">
            <v>-1.0407304567365917E-6</v>
          </cell>
          <cell r="I39">
            <v>5.2851195035784351E-7</v>
          </cell>
          <cell r="J39">
            <v>-0.78022551239361981</v>
          </cell>
          <cell r="K39">
            <v>0.68314199994891278</v>
          </cell>
          <cell r="L39">
            <v>7.6214918825239966E-2</v>
          </cell>
          <cell r="M39">
            <v>0.4819780261787856</v>
          </cell>
          <cell r="N39">
            <v>4.5551480161456714E-2</v>
          </cell>
          <cell r="O39">
            <v>2.0749373448995848E-3</v>
          </cell>
          <cell r="P39">
            <v>-0.78022551239361981</v>
          </cell>
          <cell r="Q39">
            <v>-1.6714511063777231</v>
          </cell>
          <cell r="R39">
            <v>0.11100008159048347</v>
          </cell>
          <cell r="S39">
            <v>10589.434437650489</v>
          </cell>
          <cell r="T39">
            <v>112136121.70929812</v>
          </cell>
          <cell r="U39">
            <v>227217.27517321749</v>
          </cell>
          <cell r="V39">
            <v>93193.793401148228</v>
          </cell>
          <cell r="W39">
            <v>553982.06525313028</v>
          </cell>
          <cell r="X39">
            <v>-4.452958646532041E-2</v>
          </cell>
          <cell r="Y39">
            <v>4.452958646532041E-2</v>
          </cell>
          <cell r="Z39">
            <v>495779.97595582763</v>
          </cell>
          <cell r="AA39">
            <v>-0.77927165069055926</v>
          </cell>
          <cell r="AB39">
            <v>-0.7346740322321631</v>
          </cell>
          <cell r="AC39">
            <v>92</v>
          </cell>
          <cell r="AD39">
            <v>-1.6704972446746624</v>
          </cell>
        </row>
        <row r="40">
          <cell r="F40">
            <v>47</v>
          </cell>
          <cell r="G40">
            <v>-0.2628967750013621</v>
          </cell>
          <cell r="H40">
            <v>-1.0424886641292553E-6</v>
          </cell>
          <cell r="I40">
            <v>5.2861144227930552E-7</v>
          </cell>
          <cell r="J40">
            <v>-0.86865293010465483</v>
          </cell>
          <cell r="K40">
            <v>0.68316422229205465</v>
          </cell>
          <cell r="L40">
            <v>7.6426369538759545E-2</v>
          </cell>
          <cell r="M40">
            <v>0.48200776838652054</v>
          </cell>
          <cell r="N40">
            <v>2.4850938933741351E-2</v>
          </cell>
          <cell r="O40">
            <v>6.1756916588854172E-4</v>
          </cell>
          <cell r="P40">
            <v>-0.86865293010465483</v>
          </cell>
          <cell r="Q40">
            <v>-1.7598785240887582</v>
          </cell>
          <cell r="R40">
            <v>2.2572663879448451E-2</v>
          </cell>
          <cell r="S40">
            <v>6133.743495991599</v>
          </cell>
          <cell r="T40">
            <v>37622809.274619244</v>
          </cell>
          <cell r="U40">
            <v>243767.22883342029</v>
          </cell>
          <cell r="V40">
            <v>99981.802636060995</v>
          </cell>
          <cell r="W40">
            <v>594332.77142867655</v>
          </cell>
          <cell r="X40">
            <v>-2.4544696400405696E-2</v>
          </cell>
          <cell r="Y40">
            <v>2.4544696400405696E-2</v>
          </cell>
          <cell r="Z40">
            <v>581067.37842492911</v>
          </cell>
          <cell r="AA40">
            <v>-0.86812496849597631</v>
          </cell>
          <cell r="AB40">
            <v>-0.84380199117091348</v>
          </cell>
          <cell r="AC40">
            <v>93</v>
          </cell>
          <cell r="AD40">
            <v>-1.7593505624800796</v>
          </cell>
        </row>
        <row r="41">
          <cell r="F41">
            <v>47</v>
          </cell>
          <cell r="G41">
            <v>-0.26398122070913022</v>
          </cell>
          <cell r="H41">
            <v>-1.0330043719591608E-6</v>
          </cell>
          <cell r="I41">
            <v>5.2906998969769969E-7</v>
          </cell>
          <cell r="J41">
            <v>-0.90410099436526448</v>
          </cell>
          <cell r="K41">
            <v>0.68270901080742885</v>
          </cell>
          <cell r="L41">
            <v>7.5025670533268612E-2</v>
          </cell>
          <cell r="M41">
            <v>0.48139652938918714</v>
          </cell>
          <cell r="N41">
            <v>-0.17483786785254996</v>
          </cell>
          <cell r="O41">
            <v>3.0568280035225721E-2</v>
          </cell>
          <cell r="P41">
            <v>-0.90410099436526448</v>
          </cell>
          <cell r="Q41">
            <v>-1.7953265883493676</v>
          </cell>
          <cell r="R41">
            <v>-1.2875400381161195E-2</v>
          </cell>
          <cell r="S41">
            <v>-40247.226900067559</v>
          </cell>
          <cell r="T41">
            <v>1619839273.1455216</v>
          </cell>
          <cell r="U41">
            <v>250907.13444847186</v>
          </cell>
          <cell r="V41">
            <v>102910.25465752617</v>
          </cell>
          <cell r="W41">
            <v>611740.68926997331</v>
          </cell>
          <cell r="X41">
            <v>0.19105309296131617</v>
          </cell>
          <cell r="Y41">
            <v>0.19105309296131617</v>
          </cell>
          <cell r="Z41">
            <v>619668.01983819774</v>
          </cell>
          <cell r="AA41">
            <v>-0.90833952492157111</v>
          </cell>
          <cell r="AB41">
            <v>-1.0789388622178144</v>
          </cell>
          <cell r="AC41">
            <v>94</v>
          </cell>
          <cell r="AD41">
            <v>-1.7995651189056745</v>
          </cell>
        </row>
        <row r="42">
          <cell r="F42">
            <v>47</v>
          </cell>
          <cell r="G42">
            <v>-0.26882810940537127</v>
          </cell>
          <cell r="H42">
            <v>-1.0536739081465545E-6</v>
          </cell>
          <cell r="I42">
            <v>5.2388031378691142E-7</v>
          </cell>
          <cell r="J42">
            <v>-0.86667206605263925</v>
          </cell>
          <cell r="K42">
            <v>0.67726926871859194</v>
          </cell>
          <cell r="L42">
            <v>7.9248805815564261E-2</v>
          </cell>
          <cell r="M42">
            <v>0.47415353820857392</v>
          </cell>
          <cell r="N42">
            <v>0.62086620771730994</v>
          </cell>
          <cell r="O42">
            <v>0.38547484788527386</v>
          </cell>
          <cell r="P42">
            <v>-0.86667206605263925</v>
          </cell>
          <cell r="Q42">
            <v>-1.7578976600367424</v>
          </cell>
          <cell r="R42">
            <v>2.4553527931464036E-2</v>
          </cell>
          <cell r="S42">
            <v>205239.64636748031</v>
          </cell>
          <cell r="T42">
            <v>42123312441.04837</v>
          </cell>
          <cell r="U42">
            <v>238501.28415121391</v>
          </cell>
          <cell r="V42">
            <v>97821.960870502924</v>
          </cell>
          <cell r="W42">
            <v>581493.78764835664</v>
          </cell>
          <cell r="X42">
            <v>-0.46252133227280423</v>
          </cell>
          <cell r="Y42">
            <v>0.46252133227280423</v>
          </cell>
          <cell r="Z42">
            <v>567389.92208594619</v>
          </cell>
          <cell r="AA42">
            <v>-0.85387564984311137</v>
          </cell>
          <cell r="AB42">
            <v>-0.24580585833532928</v>
          </cell>
          <cell r="AC42">
            <v>95</v>
          </cell>
          <cell r="AD42">
            <v>-1.7451012438272147</v>
          </cell>
        </row>
        <row r="43">
          <cell r="F43">
            <v>47</v>
          </cell>
          <cell r="G43">
            <v>-0.27234122344202616</v>
          </cell>
          <cell r="H43">
            <v>-1.0521612168808027E-6</v>
          </cell>
          <cell r="I43">
            <v>5.215799134817845E-7</v>
          </cell>
          <cell r="J43">
            <v>-0.85979549050456094</v>
          </cell>
          <cell r="K43">
            <v>0.67439759840676727</v>
          </cell>
          <cell r="L43">
            <v>7.9682455076563366E-2</v>
          </cell>
          <cell r="M43">
            <v>0.47035561526410519</v>
          </cell>
          <cell r="N43">
            <v>0.75602451822956407</v>
          </cell>
          <cell r="O43">
            <v>0.57157307216424447</v>
          </cell>
          <cell r="P43">
            <v>-0.85979549050456094</v>
          </cell>
          <cell r="Q43">
            <v>-1.7510210844886642</v>
          </cell>
          <cell r="R43">
            <v>3.1430103479542337E-2</v>
          </cell>
          <cell r="S43">
            <v>266984.46490410954</v>
          </cell>
          <cell r="T43">
            <v>71280704500.133698</v>
          </cell>
          <cell r="U43">
            <v>236312.84902792249</v>
          </cell>
          <cell r="V43">
            <v>96924.368156232595</v>
          </cell>
          <cell r="W43">
            <v>576158.12904427724</v>
          </cell>
          <cell r="X43">
            <v>-0.53047067312615248</v>
          </cell>
          <cell r="Y43">
            <v>0.53047067312615248</v>
          </cell>
          <cell r="Z43">
            <v>558331.04056437232</v>
          </cell>
          <cell r="AA43">
            <v>-0.8444380112763884</v>
          </cell>
          <cell r="AB43">
            <v>-0.10377097227499686</v>
          </cell>
          <cell r="AC43">
            <v>96</v>
          </cell>
          <cell r="AD43">
            <v>-1.7356636052604917</v>
          </cell>
        </row>
        <row r="44">
          <cell r="F44">
            <v>47</v>
          </cell>
          <cell r="G44">
            <v>-0.2598876477671811</v>
          </cell>
          <cell r="H44">
            <v>-1.0532993869870596E-6</v>
          </cell>
          <cell r="I44">
            <v>5.3019845999841514E-7</v>
          </cell>
          <cell r="J44">
            <v>-0.94739839077179577</v>
          </cell>
          <cell r="K44">
            <v>0.68276742424729719</v>
          </cell>
          <cell r="L44">
            <v>7.7466021482799324E-2</v>
          </cell>
          <cell r="M44">
            <v>0.48147270125679137</v>
          </cell>
          <cell r="N44">
            <v>0.16381653922184736</v>
          </cell>
          <cell r="O44">
            <v>2.6835858522623053E-2</v>
          </cell>
          <cell r="P44">
            <v>-0.94739839077179577</v>
          </cell>
          <cell r="Q44">
            <v>-1.8386239847558992</v>
          </cell>
          <cell r="R44">
            <v>-5.6172796787692492E-2</v>
          </cell>
          <cell r="S44">
            <v>298092.46635972214</v>
          </cell>
          <cell r="T44">
            <v>88859118500.422073</v>
          </cell>
          <cell r="U44">
            <v>253091.61909086219</v>
          </cell>
          <cell r="V44">
            <v>103806.22707113648</v>
          </cell>
          <cell r="W44">
            <v>617066.71614351356</v>
          </cell>
          <cell r="X44">
            <v>-0.15110225296371596</v>
          </cell>
          <cell r="Y44">
            <v>0.15110225296371596</v>
          </cell>
          <cell r="Z44">
            <v>652721.10807092034</v>
          </cell>
          <cell r="AA44">
            <v>-0.94277458177837459</v>
          </cell>
          <cell r="AB44">
            <v>-0.78358185154994842</v>
          </cell>
          <cell r="AC44">
            <v>97</v>
          </cell>
          <cell r="AD44">
            <v>-1.834000175762478</v>
          </cell>
        </row>
        <row r="45">
          <cell r="F45">
            <v>47</v>
          </cell>
          <cell r="G45">
            <v>-0.26131622459132142</v>
          </cell>
          <cell r="H45">
            <v>-1.0543893989269866E-6</v>
          </cell>
          <cell r="I45">
            <v>5.2848162337353681E-7</v>
          </cell>
          <cell r="J45">
            <v>-0.90975440545797415</v>
          </cell>
          <cell r="K45">
            <v>0.68210989272757727</v>
          </cell>
          <cell r="L45">
            <v>7.8079644430053108E-2</v>
          </cell>
          <cell r="M45">
            <v>0.4805934006339036</v>
          </cell>
          <cell r="N45">
            <v>0.26442690680814618</v>
          </cell>
          <cell r="O45">
            <v>6.992158904412403E-2</v>
          </cell>
          <cell r="P45">
            <v>-0.90975440545797415</v>
          </cell>
          <cell r="Q45">
            <v>-1.8009799994420774</v>
          </cell>
          <cell r="R45">
            <v>-1.8528811473870865E-2</v>
          </cell>
          <cell r="S45">
            <v>322507.1867794664</v>
          </cell>
          <cell r="T45">
            <v>104010885524.40562</v>
          </cell>
          <cell r="U45">
            <v>247608.88801264676</v>
          </cell>
          <cell r="V45">
            <v>101557.46976609557</v>
          </cell>
          <cell r="W45">
            <v>603699.18199091963</v>
          </cell>
          <cell r="X45">
            <v>-0.23235424350443962</v>
          </cell>
          <cell r="Y45">
            <v>0.23235424350443962</v>
          </cell>
          <cell r="Z45">
            <v>614989.28339619539</v>
          </cell>
          <cell r="AA45">
            <v>-0.90346516781871966</v>
          </cell>
          <cell r="AB45">
            <v>-0.64532749864982797</v>
          </cell>
          <cell r="AC45">
            <v>98</v>
          </cell>
          <cell r="AD45">
            <v>-1.7946907618028229</v>
          </cell>
        </row>
        <row r="46">
          <cell r="F46">
            <v>47</v>
          </cell>
          <cell r="G46">
            <v>-0.27983967574289659</v>
          </cell>
          <cell r="H46">
            <v>-1.0387130229017609E-6</v>
          </cell>
          <cell r="I46">
            <v>5.2122980015218914E-7</v>
          </cell>
          <cell r="J46">
            <v>-0.82902326942995153</v>
          </cell>
          <cell r="K46">
            <v>0.67404343150319945</v>
          </cell>
          <cell r="L46">
            <v>7.7912469393687955E-2</v>
          </cell>
          <cell r="M46">
            <v>0.46989158327211866</v>
          </cell>
          <cell r="N46">
            <v>0.77091545565748343</v>
          </cell>
          <cell r="O46">
            <v>0.59431063977158527</v>
          </cell>
          <cell r="P46">
            <v>-0.82902326942995153</v>
          </cell>
          <cell r="Q46">
            <v>-1.7202488634140547</v>
          </cell>
          <cell r="R46">
            <v>6.2202324554151756E-2</v>
          </cell>
          <cell r="S46">
            <v>498819.49188306596</v>
          </cell>
          <cell r="T46">
            <v>248820885482.4801</v>
          </cell>
          <cell r="U46">
            <v>230771.27351315776</v>
          </cell>
          <cell r="V46">
            <v>94651.47564290525</v>
          </cell>
          <cell r="W46">
            <v>562647.12533170637</v>
          </cell>
          <cell r="X46">
            <v>-0.53741060566468835</v>
          </cell>
          <cell r="Y46">
            <v>0.53741060566468835</v>
          </cell>
          <cell r="Z46">
            <v>528715.42146727804</v>
          </cell>
          <cell r="AA46">
            <v>-0.81358414611627128</v>
          </cell>
          <cell r="AB46">
            <v>-5.8107813772468077E-2</v>
          </cell>
          <cell r="AC46">
            <v>99</v>
          </cell>
          <cell r="AD46">
            <v>-1.7048097401003746</v>
          </cell>
        </row>
        <row r="47">
          <cell r="F47">
            <v>47</v>
          </cell>
          <cell r="G47">
            <v>-0.29512907417928225</v>
          </cell>
          <cell r="H47">
            <v>-9.322803984360371E-7</v>
          </cell>
          <cell r="I47">
            <v>5.1078778378688671E-7</v>
          </cell>
          <cell r="J47">
            <v>-0.92426575633573649</v>
          </cell>
          <cell r="K47">
            <v>0.65662135716818271</v>
          </cell>
          <cell r="L47">
            <v>6.6187208256800134E-2</v>
          </cell>
          <cell r="M47">
            <v>0.4467836028753025</v>
          </cell>
          <cell r="N47">
            <v>-1.3140021610391579</v>
          </cell>
          <cell r="O47">
            <v>1.7266016792155769</v>
          </cell>
          <cell r="P47">
            <v>-0.92426575633573649</v>
          </cell>
          <cell r="Q47">
            <v>-1.8154913503198398</v>
          </cell>
          <cell r="R47">
            <v>-3.3040162351633207E-2</v>
          </cell>
          <cell r="S47">
            <v>71966.610564786504</v>
          </cell>
          <cell r="T47">
            <v>5179193036.1836405</v>
          </cell>
          <cell r="U47">
            <v>267790.35859178513</v>
          </cell>
          <cell r="V47">
            <v>109834.95570218808</v>
          </cell>
          <cell r="W47">
            <v>652903.94752977765</v>
          </cell>
          <cell r="X47">
            <v>2.7210361373169327</v>
          </cell>
          <cell r="Y47">
            <v>2.7210361373169327</v>
          </cell>
          <cell r="Z47">
            <v>674836.32951188635</v>
          </cell>
          <cell r="AA47">
            <v>-0.96581445334373528</v>
          </cell>
          <cell r="AB47">
            <v>-2.2382679173748943</v>
          </cell>
          <cell r="AC47" t="str">
            <v>00</v>
          </cell>
          <cell r="AD47">
            <v>-1.8570400473278386</v>
          </cell>
        </row>
        <row r="48">
          <cell r="F48">
            <v>47</v>
          </cell>
          <cell r="G48">
            <v>-0.36631648598712341</v>
          </cell>
          <cell r="H48">
            <v>-8.0846244493725381E-7</v>
          </cell>
          <cell r="I48">
            <v>5.3805307375361411E-7</v>
          </cell>
          <cell r="J48">
            <v>-1.0942016674812396</v>
          </cell>
          <cell r="K48">
            <v>0.6669450105205349</v>
          </cell>
          <cell r="L48">
            <v>4.5834784121752563E-2</v>
          </cell>
          <cell r="M48">
            <v>0.45867887132640695</v>
          </cell>
          <cell r="N48">
            <v>-1.0694547793672537</v>
          </cell>
          <cell r="O48">
            <v>1.1437335251114613</v>
          </cell>
          <cell r="P48">
            <v>-1.0942016674812396</v>
          </cell>
          <cell r="Q48">
            <v>-1.9854272614653428</v>
          </cell>
          <cell r="R48">
            <v>-0.20297607349713631</v>
          </cell>
          <cell r="S48">
            <v>103402.01919072802</v>
          </cell>
          <cell r="T48">
            <v>10691977572.719687</v>
          </cell>
          <cell r="U48">
            <v>301437.5012230908</v>
          </cell>
          <cell r="V48">
            <v>123635.42424724209</v>
          </cell>
          <cell r="W48">
            <v>734939.58302689099</v>
          </cell>
          <cell r="X48">
            <v>1.9137904081635111</v>
          </cell>
          <cell r="Y48">
            <v>1.9137904081635111</v>
          </cell>
          <cell r="Z48">
            <v>900332.70692073856</v>
          </cell>
          <cell r="AA48">
            <v>-1.2007389639493646</v>
          </cell>
          <cell r="AB48">
            <v>-2.1636564468484933</v>
          </cell>
          <cell r="AC48" t="str">
            <v>01</v>
          </cell>
          <cell r="AD48">
            <v>-2.0919645579334678</v>
          </cell>
        </row>
        <row r="49">
          <cell r="F49">
            <v>47</v>
          </cell>
          <cell r="G49">
            <v>-0.25853653790145281</v>
          </cell>
          <cell r="H49">
            <v>-1.0628597232202573E-6</v>
          </cell>
          <cell r="I49">
            <v>5.2843872858884331E-7</v>
          </cell>
          <cell r="J49">
            <v>-0.93385719618121477</v>
          </cell>
          <cell r="K49">
            <v>0.68128951006205152</v>
          </cell>
          <cell r="L49">
            <v>7.9251213186996738E-2</v>
          </cell>
          <cell r="M49">
            <v>0.47948872990773422</v>
          </cell>
          <cell r="N49">
            <v>0.35220797070256804</v>
          </cell>
          <cell r="O49">
            <v>0.12405045462642103</v>
          </cell>
          <cell r="P49">
            <v>-0.93385719618121477</v>
          </cell>
          <cell r="Q49">
            <v>-1.8250827901653182</v>
          </cell>
          <cell r="R49">
            <v>-4.2631602197111484E-2</v>
          </cell>
          <cell r="S49">
            <v>355112.44428529782</v>
          </cell>
          <cell r="T49">
            <v>126104848086.27875</v>
          </cell>
          <cell r="U49">
            <v>249726.74589064505</v>
          </cell>
          <cell r="V49">
            <v>102426.11502814572</v>
          </cell>
          <cell r="W49">
            <v>608862.76508675457</v>
          </cell>
          <cell r="X49">
            <v>-0.29686612447671273</v>
          </cell>
          <cell r="Y49">
            <v>0.29686612447671273</v>
          </cell>
          <cell r="Z49">
            <v>635380.79722662957</v>
          </cell>
          <cell r="AA49">
            <v>-0.92470926256724406</v>
          </cell>
          <cell r="AB49">
            <v>-0.58164922547864673</v>
          </cell>
          <cell r="AC49" t="str">
            <v>02</v>
          </cell>
          <cell r="AD49">
            <v>-1.8159348565513473</v>
          </cell>
        </row>
        <row r="50">
          <cell r="F50">
            <v>47</v>
          </cell>
          <cell r="G50">
            <v>-0.26206077043773146</v>
          </cell>
          <cell r="H50">
            <v>-1.0447282603286744E-6</v>
          </cell>
          <cell r="I50">
            <v>5.3034782023236079E-7</v>
          </cell>
          <cell r="J50">
            <v>-0.93997135709762403</v>
          </cell>
          <cell r="K50">
            <v>0.6831456280076077</v>
          </cell>
          <cell r="L50">
            <v>7.6266520878605942E-2</v>
          </cell>
          <cell r="M50">
            <v>0.48198262201676817</v>
          </cell>
          <cell r="N50">
            <v>4.3008618714804991E-2</v>
          </cell>
          <cell r="O50">
            <v>1.8497412837554742E-3</v>
          </cell>
          <cell r="P50">
            <v>-0.93997135709762403</v>
          </cell>
          <cell r="Q50">
            <v>-1.8311969510817274</v>
          </cell>
          <cell r="R50">
            <v>-4.8745763113520746E-2</v>
          </cell>
          <cell r="S50">
            <v>264570.26846396091</v>
          </cell>
          <cell r="T50">
            <v>69997426955.092346</v>
          </cell>
          <cell r="U50">
            <v>253480.58451794248</v>
          </cell>
          <cell r="V50">
            <v>103965.76231608594</v>
          </cell>
          <cell r="W50">
            <v>618015.05895962089</v>
          </cell>
          <cell r="X50">
            <v>-4.2096865862471002E-2</v>
          </cell>
          <cell r="Y50">
            <v>4.2096865862471002E-2</v>
          </cell>
          <cell r="Z50">
            <v>648887</v>
          </cell>
          <cell r="AA50">
            <v>-0.9387801674444497</v>
          </cell>
          <cell r="AB50">
            <v>-0.89696273838281904</v>
          </cell>
          <cell r="AC50" t="str">
            <v>03</v>
          </cell>
          <cell r="AD50">
            <v>-1.830005761428553</v>
          </cell>
        </row>
        <row r="54">
          <cell r="A54">
            <v>2003</v>
          </cell>
          <cell r="B54">
            <v>2007</v>
          </cell>
          <cell r="C54">
            <v>653564</v>
          </cell>
          <cell r="D54">
            <v>-1.5101886284575481</v>
          </cell>
          <cell r="E54">
            <v>49</v>
          </cell>
          <cell r="F54">
            <v>47</v>
          </cell>
          <cell r="G54">
            <v>-0.2731536369230505</v>
          </cell>
          <cell r="H54">
            <v>-1.0006252669172185E-6</v>
          </cell>
          <cell r="I54">
            <v>5.2653651617980293E-7</v>
          </cell>
        </row>
        <row r="55">
          <cell r="A55">
            <v>2004</v>
          </cell>
          <cell r="B55">
            <v>2008</v>
          </cell>
          <cell r="C55">
            <v>586275</v>
          </cell>
          <cell r="D55">
            <v>-1.7375737479908642</v>
          </cell>
          <cell r="E55">
            <v>49</v>
          </cell>
          <cell r="F55">
            <v>47</v>
          </cell>
          <cell r="G55">
            <v>-0.25947552770516191</v>
          </cell>
          <cell r="H55">
            <v>-1.0149657044587782E-6</v>
          </cell>
          <cell r="I55">
            <v>5.1942396604201693E-7</v>
          </cell>
        </row>
        <row r="56">
          <cell r="A56">
            <v>2005</v>
          </cell>
          <cell r="B56">
            <v>2009</v>
          </cell>
          <cell r="C56">
            <v>633006.30056050722</v>
          </cell>
          <cell r="D56">
            <v>-0.60152980230954101</v>
          </cell>
          <cell r="E56">
            <v>49</v>
          </cell>
          <cell r="F56">
            <v>47</v>
          </cell>
          <cell r="G56">
            <v>-0.25906330888692375</v>
          </cell>
          <cell r="H56">
            <v>-1.0610151007758248E-6</v>
          </cell>
          <cell r="I56">
            <v>5.2854748493011278E-7</v>
          </cell>
        </row>
        <row r="57">
          <cell r="A57">
            <v>2006</v>
          </cell>
          <cell r="B57">
            <v>2010</v>
          </cell>
          <cell r="C57">
            <v>777091</v>
          </cell>
          <cell r="D57">
            <v>-0.6486592847028797</v>
          </cell>
          <cell r="E57">
            <v>49</v>
          </cell>
          <cell r="F57">
            <v>47</v>
          </cell>
          <cell r="G57">
            <v>-0.23704332376592563</v>
          </cell>
          <cell r="H57">
            <v>-1.1065908424222931E-6</v>
          </cell>
          <cell r="I57">
            <v>5.3561983190564069E-7</v>
          </cell>
        </row>
        <row r="58">
          <cell r="A58">
            <v>2007</v>
          </cell>
          <cell r="B58">
            <v>2011</v>
          </cell>
          <cell r="C58">
            <v>786932</v>
          </cell>
          <cell r="D58">
            <v>-0.58136587273067797</v>
          </cell>
          <cell r="E58">
            <v>49</v>
          </cell>
          <cell r="F58">
            <v>47</v>
          </cell>
          <cell r="G58">
            <v>-0.23056605788742057</v>
          </cell>
          <cell r="H58">
            <v>-1.1218139396670578E-6</v>
          </cell>
          <cell r="I58">
            <v>5.354970725982263E-7</v>
          </cell>
        </row>
        <row r="59">
          <cell r="A59">
            <v>2008</v>
          </cell>
          <cell r="B59">
            <v>2012</v>
          </cell>
          <cell r="C59">
            <v>615240</v>
          </cell>
          <cell r="D59">
            <v>-0.30874334937834291</v>
          </cell>
          <cell r="E59">
            <v>49</v>
          </cell>
          <cell r="F59">
            <v>47</v>
          </cell>
          <cell r="G59">
            <v>-0.25937953572221517</v>
          </cell>
          <cell r="H59">
            <v>-1.0708956632756968E-6</v>
          </cell>
          <cell r="I59">
            <v>5.2491884768222693E-7</v>
          </cell>
        </row>
        <row r="60">
          <cell r="A60">
            <v>2009</v>
          </cell>
          <cell r="B60">
            <v>2013</v>
          </cell>
          <cell r="C60">
            <v>605329</v>
          </cell>
          <cell r="D60">
            <v>7.8304881924816161E-2</v>
          </cell>
          <cell r="E60">
            <v>49</v>
          </cell>
          <cell r="F60">
            <v>47</v>
          </cell>
          <cell r="G60">
            <v>-0.26039809995730034</v>
          </cell>
          <cell r="H60">
            <v>-1.08337444077913E-6</v>
          </cell>
          <cell r="I60">
            <v>5.1728692653701827E-7</v>
          </cell>
        </row>
        <row r="61">
          <cell r="A61">
            <v>2010</v>
          </cell>
          <cell r="B61">
            <v>2014</v>
          </cell>
          <cell r="C61">
            <v>668239</v>
          </cell>
          <cell r="D61">
            <v>6.9929106900485344E-2</v>
          </cell>
          <cell r="E61">
            <v>49</v>
          </cell>
          <cell r="F61">
            <v>47</v>
          </cell>
          <cell r="G61">
            <v>-0.23886308220621666</v>
          </cell>
          <cell r="H61">
            <v>-1.1260888178281863E-6</v>
          </cell>
          <cell r="I61">
            <v>5.1776007983505269E-7</v>
          </cell>
        </row>
        <row r="62">
          <cell r="A62">
            <v>2011</v>
          </cell>
          <cell r="B62">
            <v>2015</v>
          </cell>
          <cell r="C62">
            <v>759798</v>
          </cell>
          <cell r="D62">
            <v>-0.30343985781712507</v>
          </cell>
          <cell r="E62">
            <v>49</v>
          </cell>
          <cell r="F62">
            <v>47</v>
          </cell>
          <cell r="G62">
            <v>-0.22178860355114582</v>
          </cell>
          <cell r="H62">
            <v>-1.1478628112179621E-6</v>
          </cell>
          <cell r="I62">
            <v>5.2927807590630571E-7</v>
          </cell>
        </row>
        <row r="64">
          <cell r="A64">
            <v>2012</v>
          </cell>
          <cell r="B64">
            <v>2016</v>
          </cell>
          <cell r="C64">
            <v>1086617</v>
          </cell>
          <cell r="E64">
            <v>50</v>
          </cell>
          <cell r="F64">
            <v>48</v>
          </cell>
          <cell r="G64">
            <v>-0.262762828873357</v>
          </cell>
          <cell r="H64">
            <v>-1.0418105749862345E-6</v>
          </cell>
          <cell r="I64">
            <v>5.2275089131380045E-7</v>
          </cell>
        </row>
        <row r="66">
          <cell r="E66" t="str">
            <v>d.f. =</v>
          </cell>
          <cell r="F66">
            <v>47</v>
          </cell>
          <cell r="G66" t="str">
            <v>leave 1 out</v>
          </cell>
        </row>
        <row r="67">
          <cell r="C67" t="str">
            <v>Average</v>
          </cell>
          <cell r="D67">
            <v>-0.82058465930579061</v>
          </cell>
          <cell r="E67" t="str">
            <v>d.f. =</v>
          </cell>
          <cell r="F67">
            <v>48</v>
          </cell>
          <cell r="G67" t="str">
            <v>regression</v>
          </cell>
        </row>
        <row r="69">
          <cell r="B69" t="str">
            <v>Pct Errof Obs-Avg</v>
          </cell>
          <cell r="D69" t="str">
            <v>Pct Error of LN(Obs-Avg)</v>
          </cell>
        </row>
        <row r="70">
          <cell r="A70">
            <v>1962</v>
          </cell>
          <cell r="B70">
            <v>-8.3416173262572765E-2</v>
          </cell>
          <cell r="D70">
            <v>0.7085455499627108</v>
          </cell>
        </row>
        <row r="71">
          <cell r="A71">
            <v>1963</v>
          </cell>
          <cell r="B71">
            <v>-0.43990579168790822</v>
          </cell>
          <cell r="D71">
            <v>0.24465599831762694</v>
          </cell>
        </row>
        <row r="72">
          <cell r="A72">
            <v>1964</v>
          </cell>
          <cell r="B72">
            <v>-0.12605380712369507</v>
          </cell>
          <cell r="D72">
            <v>-1.2645382744940423</v>
          </cell>
        </row>
        <row r="73">
          <cell r="A73">
            <v>1965</v>
          </cell>
          <cell r="B73">
            <v>0.6373126128802904</v>
          </cell>
          <cell r="D73">
            <v>-1.0411006263245561</v>
          </cell>
        </row>
      </sheetData>
      <sheetData sheetId="18">
        <row r="1">
          <cell r="G1" t="str">
            <v>Model = Predict log returns aged 1.2 (ln(R_x001E_d1.2_x001F_)) from log returns aged 1.1 (ln(R_x001E_d1.1_x001F_)).</v>
          </cell>
        </row>
        <row r="2">
          <cell r="G2" t="str">
            <v>X =</v>
          </cell>
          <cell r="H2" t="str">
            <v>ln (1.1)</v>
          </cell>
        </row>
        <row r="3">
          <cell r="G3" t="str">
            <v>Y=</v>
          </cell>
          <cell r="H3" t="str">
            <v>ln (1.2)</v>
          </cell>
        </row>
        <row r="4">
          <cell r="G4" t="str">
            <v>ReturnAge</v>
          </cell>
          <cell r="H4">
            <v>4</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44</v>
          </cell>
          <cell r="G13">
            <v>11.787032181108142</v>
          </cell>
          <cell r="H13">
            <v>5.8499296809260255E-2</v>
          </cell>
          <cell r="I13">
            <v>5.8065245114416582E-2</v>
          </cell>
          <cell r="J13">
            <v>12.217169027938493</v>
          </cell>
          <cell r="K13">
            <v>0.71728806352655361</v>
          </cell>
          <cell r="L13">
            <v>2.2548177664925461E-2</v>
          </cell>
          <cell r="M13">
            <v>0.56913944533679151</v>
          </cell>
          <cell r="N13">
            <v>0.64740004854229838</v>
          </cell>
          <cell r="O13">
            <v>0.4191268228525703</v>
          </cell>
          <cell r="P13">
            <v>12.217169027938493</v>
          </cell>
          <cell r="Q13">
            <v>11.242116021679228</v>
          </cell>
          <cell r="R13">
            <v>13.192222034197757</v>
          </cell>
          <cell r="S13">
            <v>184145.45016773671</v>
          </cell>
          <cell r="T13">
            <v>33909546817.478405</v>
          </cell>
          <cell r="U13">
            <v>202231.63512168304</v>
          </cell>
          <cell r="V13">
            <v>76276.183194174038</v>
          </cell>
          <cell r="W13">
            <v>536178.30011076515</v>
          </cell>
          <cell r="X13">
            <v>-0.47659516358171361</v>
          </cell>
          <cell r="Y13">
            <v>0.47659516358171361</v>
          </cell>
          <cell r="Z13">
            <v>7.3528549964084489</v>
          </cell>
          <cell r="AA13">
            <v>12.240650079747162</v>
          </cell>
          <cell r="AB13">
            <v>12.864569076480791</v>
          </cell>
          <cell r="AC13">
            <v>69</v>
          </cell>
          <cell r="AD13">
            <v>11.265597073487898</v>
          </cell>
        </row>
        <row r="14">
          <cell r="F14">
            <v>44</v>
          </cell>
          <cell r="G14">
            <v>10.999533554307524</v>
          </cell>
          <cell r="H14">
            <v>0.14488065592822585</v>
          </cell>
          <cell r="I14">
            <v>8.1590901055426449E-2</v>
          </cell>
          <cell r="J14">
            <v>10.999533554307524</v>
          </cell>
          <cell r="K14">
            <v>0.70403412296044388</v>
          </cell>
          <cell r="L14">
            <v>6.6869353579474197E-2</v>
          </cell>
          <cell r="M14">
            <v>0.52125666678975169</v>
          </cell>
          <cell r="N14">
            <v>1.6191771478181138</v>
          </cell>
          <cell r="O14">
            <v>2.6217346360164022</v>
          </cell>
          <cell r="P14">
            <v>10.999533554307524</v>
          </cell>
          <cell r="Q14">
            <v>10.02448054804826</v>
          </cell>
          <cell r="R14">
            <v>11.974586560566788</v>
          </cell>
          <cell r="S14">
            <v>242313.40051851733</v>
          </cell>
          <cell r="T14">
            <v>58715784070.847397</v>
          </cell>
          <cell r="U14">
            <v>59846.220192147382</v>
          </cell>
          <cell r="V14">
            <v>22572.340139110482</v>
          </cell>
          <cell r="W14">
            <v>158670.74699451739</v>
          </cell>
          <cell r="X14">
            <v>-0.80193839252448096</v>
          </cell>
          <cell r="Y14">
            <v>0.80193839252448096</v>
          </cell>
          <cell r="Z14">
            <v>0</v>
          </cell>
          <cell r="AA14">
            <v>11.857334801426518</v>
          </cell>
          <cell r="AB14">
            <v>12.618710702125638</v>
          </cell>
          <cell r="AC14">
            <v>70</v>
          </cell>
          <cell r="AD14">
            <v>10.882281795167254</v>
          </cell>
        </row>
        <row r="15">
          <cell r="F15">
            <v>44</v>
          </cell>
          <cell r="G15">
            <v>11.939170355312147</v>
          </cell>
          <cell r="H15">
            <v>4.479746222509759E-2</v>
          </cell>
          <cell r="I15">
            <v>5.7772079303248389E-2</v>
          </cell>
          <cell r="J15">
            <v>12.272092525719126</v>
          </cell>
          <cell r="K15">
            <v>0.71422589793926639</v>
          </cell>
          <cell r="L15">
            <v>1.3481045788210046E-2</v>
          </cell>
          <cell r="M15">
            <v>0.56480977823286271</v>
          </cell>
          <cell r="N15">
            <v>-0.78631514651143064</v>
          </cell>
          <cell r="O15">
            <v>0.6182915096332926</v>
          </cell>
          <cell r="P15">
            <v>12.272092525719126</v>
          </cell>
          <cell r="Q15">
            <v>11.297039519459862</v>
          </cell>
          <cell r="R15">
            <v>13.24714553197839</v>
          </cell>
          <cell r="S15">
            <v>-116327.87965973886</v>
          </cell>
          <cell r="T15">
            <v>13532175586.130686</v>
          </cell>
          <cell r="U15">
            <v>213649.59078521378</v>
          </cell>
          <cell r="V15">
            <v>80582.720484298785</v>
          </cell>
          <cell r="W15">
            <v>566450.81437258341</v>
          </cell>
          <cell r="X15">
            <v>1.1952921739092695</v>
          </cell>
          <cell r="Y15">
            <v>1.1952921739092695</v>
          </cell>
          <cell r="Z15">
            <v>7.4317194294202729</v>
          </cell>
          <cell r="AA15">
            <v>12.244761400058021</v>
          </cell>
          <cell r="AB15">
            <v>11.485777379207695</v>
          </cell>
          <cell r="AC15">
            <v>71</v>
          </cell>
          <cell r="AD15">
            <v>11.269708393798757</v>
          </cell>
        </row>
        <row r="16">
          <cell r="F16">
            <v>44</v>
          </cell>
          <cell r="G16">
            <v>11.892647238770037</v>
          </cell>
          <cell r="H16">
            <v>4.9052781023289312E-2</v>
          </cell>
          <cell r="I16">
            <v>5.8269884738530751E-2</v>
          </cell>
          <cell r="J16">
            <v>12.265713797921295</v>
          </cell>
          <cell r="K16">
            <v>0.72151570639835327</v>
          </cell>
          <cell r="L16">
            <v>1.5850657475084441E-2</v>
          </cell>
          <cell r="M16">
            <v>0.57519116318248942</v>
          </cell>
          <cell r="N16">
            <v>-0.37516370020360768</v>
          </cell>
          <cell r="O16">
            <v>0.14074780195046241</v>
          </cell>
          <cell r="P16">
            <v>12.265713797921295</v>
          </cell>
          <cell r="Q16">
            <v>11.290660791662031</v>
          </cell>
          <cell r="R16">
            <v>13.240766804180559</v>
          </cell>
          <cell r="S16">
            <v>145835.52486171445</v>
          </cell>
          <cell r="T16">
            <v>21268000311.691734</v>
          </cell>
          <cell r="U16">
            <v>212291.11547972675</v>
          </cell>
          <cell r="V16">
            <v>80070.341146596533</v>
          </cell>
          <cell r="W16">
            <v>562849.07827624911</v>
          </cell>
          <cell r="X16">
            <v>0.45522961650533866</v>
          </cell>
          <cell r="Y16">
            <v>0.45522961650533866</v>
          </cell>
          <cell r="Z16">
            <v>7.6054109750502077</v>
          </cell>
          <cell r="AA16">
            <v>12.253816198933777</v>
          </cell>
          <cell r="AB16">
            <v>11.890550097717687</v>
          </cell>
          <cell r="AC16">
            <v>72</v>
          </cell>
          <cell r="AD16">
            <v>11.278763192674512</v>
          </cell>
        </row>
        <row r="17">
          <cell r="F17">
            <v>44</v>
          </cell>
          <cell r="G17">
            <v>11.923220308691986</v>
          </cell>
          <cell r="H17">
            <v>4.6518165329050072E-2</v>
          </cell>
          <cell r="I17">
            <v>5.768278323168604E-2</v>
          </cell>
          <cell r="J17">
            <v>12.282542147375262</v>
          </cell>
          <cell r="K17">
            <v>0.71493192168009378</v>
          </cell>
          <cell r="L17">
            <v>1.4565580315274903E-2</v>
          </cell>
          <cell r="M17">
            <v>0.56587259681487023</v>
          </cell>
          <cell r="N17">
            <v>-0.75458720825424841</v>
          </cell>
          <cell r="O17">
            <v>0.56940185486094042</v>
          </cell>
          <cell r="P17">
            <v>12.282542147375262</v>
          </cell>
          <cell r="Q17">
            <v>11.307489141115997</v>
          </cell>
          <cell r="R17">
            <v>13.257595153634526</v>
          </cell>
          <cell r="S17">
            <v>101468.29846521807</v>
          </cell>
          <cell r="T17">
            <v>10295815593.426577</v>
          </cell>
          <cell r="U17">
            <v>215893.85360283486</v>
          </cell>
          <cell r="V17">
            <v>81429.194388887132</v>
          </cell>
          <cell r="W17">
            <v>572401.04575863644</v>
          </cell>
          <cell r="X17">
            <v>1.126733444124689</v>
          </cell>
          <cell r="Y17">
            <v>1.126733444124689</v>
          </cell>
          <cell r="Z17">
            <v>7.724333841233479</v>
          </cell>
          <cell r="AA17">
            <v>12.260015825007187</v>
          </cell>
          <cell r="AB17">
            <v>11.527954939121013</v>
          </cell>
          <cell r="AC17">
            <v>73</v>
          </cell>
          <cell r="AD17">
            <v>11.284962818747923</v>
          </cell>
        </row>
        <row r="18">
          <cell r="F18">
            <v>44</v>
          </cell>
          <cell r="G18">
            <v>11.801702780686439</v>
          </cell>
          <cell r="H18">
            <v>6.099340115071783E-2</v>
          </cell>
          <cell r="I18">
            <v>5.6983566341416436E-2</v>
          </cell>
          <cell r="J18">
            <v>12.420518032945417</v>
          </cell>
          <cell r="K18">
            <v>0.70560800714554173</v>
          </cell>
          <cell r="L18">
            <v>2.5377578057518887E-2</v>
          </cell>
          <cell r="M18">
            <v>0.55276618917024156</v>
          </cell>
          <cell r="N18">
            <v>-1.0827264689264133</v>
          </cell>
          <cell r="O18">
            <v>1.1722966065138596</v>
          </cell>
          <cell r="P18">
            <v>12.420518032945417</v>
          </cell>
          <cell r="Q18">
            <v>11.445465026686152</v>
          </cell>
          <cell r="R18">
            <v>13.395571039204681</v>
          </cell>
          <cell r="S18">
            <v>-163900.42650134745</v>
          </cell>
          <cell r="T18">
            <v>26863349807.323597</v>
          </cell>
          <cell r="U18">
            <v>247834.88892142597</v>
          </cell>
          <cell r="V18">
            <v>93476.470078007143</v>
          </cell>
          <cell r="W18">
            <v>657086.56002348091</v>
          </cell>
          <cell r="X18">
            <v>1.9527190831467065</v>
          </cell>
          <cell r="Y18">
            <v>1.9527190831467065</v>
          </cell>
          <cell r="Z18">
            <v>10.145609862448119</v>
          </cell>
          <cell r="AA18">
            <v>12.386240548929573</v>
          </cell>
          <cell r="AB18">
            <v>11.337791564019003</v>
          </cell>
          <cell r="AC18">
            <v>74</v>
          </cell>
          <cell r="AD18">
            <v>11.411187542670309</v>
          </cell>
        </row>
        <row r="19">
          <cell r="F19">
            <v>44</v>
          </cell>
          <cell r="G19">
            <v>12.022618513075638</v>
          </cell>
          <cell r="H19">
            <v>3.7128800419664792E-2</v>
          </cell>
          <cell r="I19">
            <v>5.5732894717473308E-2</v>
          </cell>
          <cell r="J19">
            <v>12.295002863122402</v>
          </cell>
          <cell r="K19">
            <v>0.68835854372061334</v>
          </cell>
          <cell r="L19">
            <v>9.9859028630902777E-3</v>
          </cell>
          <cell r="M19">
            <v>0.52876201155119618</v>
          </cell>
          <cell r="N19">
            <v>-1.508803756951167</v>
          </cell>
          <cell r="O19">
            <v>2.276488776989956</v>
          </cell>
          <cell r="P19">
            <v>12.295002863122402</v>
          </cell>
          <cell r="Q19">
            <v>11.319949856863138</v>
          </cell>
          <cell r="R19">
            <v>13.270055869381666</v>
          </cell>
          <cell r="S19">
            <v>-170251.95900963532</v>
          </cell>
          <cell r="T19">
            <v>28985729546.618546</v>
          </cell>
          <cell r="U19">
            <v>218600.87623752112</v>
          </cell>
          <cell r="V19">
            <v>82450.208506039795</v>
          </cell>
          <cell r="W19">
            <v>579578.19583089952</v>
          </cell>
          <cell r="X19">
            <v>3.5213189616465805</v>
          </cell>
          <cell r="Y19">
            <v>3.5213189616465805</v>
          </cell>
          <cell r="Z19">
            <v>7.336201196053131</v>
          </cell>
          <cell r="AA19">
            <v>12.239781892339494</v>
          </cell>
          <cell r="AB19">
            <v>10.786199106171235</v>
          </cell>
          <cell r="AC19">
            <v>75</v>
          </cell>
          <cell r="AD19">
            <v>11.264728886080229</v>
          </cell>
        </row>
        <row r="20">
          <cell r="F20">
            <v>44</v>
          </cell>
          <cell r="G20">
            <v>11.907046625161609</v>
          </cell>
          <cell r="H20">
            <v>4.7468794508700542E-2</v>
          </cell>
          <cell r="I20">
            <v>5.8609146331260485E-2</v>
          </cell>
          <cell r="J20">
            <v>12.240721393864856</v>
          </cell>
          <cell r="K20">
            <v>0.72135795789659285</v>
          </cell>
          <cell r="L20">
            <v>1.4689467835829771E-2</v>
          </cell>
          <cell r="M20">
            <v>0.57492650550518798</v>
          </cell>
          <cell r="N20">
            <v>-0.39105249661181674</v>
          </cell>
          <cell r="O20">
            <v>0.15292205510633494</v>
          </cell>
          <cell r="P20">
            <v>12.240721393864856</v>
          </cell>
          <cell r="Q20">
            <v>11.265668387605592</v>
          </cell>
          <cell r="R20">
            <v>13.21577440012412</v>
          </cell>
          <cell r="S20">
            <v>-67013.229364814353</v>
          </cell>
          <cell r="T20">
            <v>4490772909.9012165</v>
          </cell>
          <cell r="U20">
            <v>207051.20190619957</v>
          </cell>
          <cell r="V20">
            <v>78093.990575057556</v>
          </cell>
          <cell r="W20">
            <v>548956.45484524814</v>
          </cell>
          <cell r="X20">
            <v>0.47853612951308638</v>
          </cell>
          <cell r="Y20">
            <v>0.47853612951308638</v>
          </cell>
          <cell r="Z20">
            <v>7.0293499583623902</v>
          </cell>
          <cell r="AA20">
            <v>12.223785280460719</v>
          </cell>
          <cell r="AB20">
            <v>11.849668897253039</v>
          </cell>
          <cell r="AC20">
            <v>76</v>
          </cell>
          <cell r="AD20">
            <v>11.248732274201455</v>
          </cell>
        </row>
        <row r="21">
          <cell r="F21">
            <v>44</v>
          </cell>
          <cell r="G21">
            <v>12.058933192546199</v>
          </cell>
          <cell r="H21">
            <v>3.4212510764190927E-2</v>
          </cell>
          <cell r="I21">
            <v>5.3378409794543426E-2</v>
          </cell>
          <cell r="J21">
            <v>12.315112363777216</v>
          </cell>
          <cell r="K21">
            <v>0.66025881219345783</v>
          </cell>
          <cell r="L21">
            <v>9.250175208483917E-3</v>
          </cell>
          <cell r="M21">
            <v>0.49139537908145536</v>
          </cell>
          <cell r="N21">
            <v>-1.9988381301641294</v>
          </cell>
          <cell r="O21">
            <v>3.9953538705980329</v>
          </cell>
          <cell r="P21">
            <v>12.315112363777216</v>
          </cell>
          <cell r="Q21">
            <v>11.340059357517951</v>
          </cell>
          <cell r="R21">
            <v>13.29016537003648</v>
          </cell>
          <cell r="S21">
            <v>-192820.87546645521</v>
          </cell>
          <cell r="T21">
            <v>37179890015.65023</v>
          </cell>
          <cell r="U21">
            <v>223041.32870295763</v>
          </cell>
          <cell r="V21">
            <v>84125.024444282404</v>
          </cell>
          <cell r="W21">
            <v>591351.20183566143</v>
          </cell>
          <cell r="X21">
            <v>6.380475962999534</v>
          </cell>
          <cell r="Y21">
            <v>6.380475962999534</v>
          </cell>
          <cell r="Z21">
            <v>7.4878798868848628</v>
          </cell>
          <cell r="AA21">
            <v>12.247689128320603</v>
          </cell>
          <cell r="AB21">
            <v>10.316274233613086</v>
          </cell>
          <cell r="AC21">
            <v>77</v>
          </cell>
          <cell r="AD21">
            <v>11.272636122061339</v>
          </cell>
        </row>
        <row r="22">
          <cell r="F22">
            <v>44</v>
          </cell>
          <cell r="G22">
            <v>11.861727523100292</v>
          </cell>
          <cell r="H22">
            <v>5.257909244271175E-2</v>
          </cell>
          <cell r="I22">
            <v>5.7945328054882096E-2</v>
          </cell>
          <cell r="J22">
            <v>12.337756950666204</v>
          </cell>
          <cell r="K22">
            <v>0.72127927452774698</v>
          </cell>
          <cell r="L22">
            <v>1.8368974822353629E-2</v>
          </cell>
          <cell r="M22">
            <v>0.57488971603860772</v>
          </cell>
          <cell r="N22">
            <v>-0.39321033883791046</v>
          </cell>
          <cell r="O22">
            <v>0.15461437056902436</v>
          </cell>
          <cell r="P22">
            <v>12.337756950666204</v>
          </cell>
          <cell r="Q22">
            <v>11.36270394440694</v>
          </cell>
          <cell r="R22">
            <v>13.312809956925468</v>
          </cell>
          <cell r="S22">
            <v>-74174.460328673449</v>
          </cell>
          <cell r="T22">
            <v>5501850565.0499516</v>
          </cell>
          <cell r="U22">
            <v>228149.62681778127</v>
          </cell>
          <cell r="V22">
            <v>86051.733302578941</v>
          </cell>
          <cell r="W22">
            <v>604894.87218188157</v>
          </cell>
          <cell r="X22">
            <v>0.48173002192480524</v>
          </cell>
          <cell r="Y22">
            <v>0.48173002192480524</v>
          </cell>
          <cell r="Z22">
            <v>9.0535877560947906</v>
          </cell>
          <cell r="AA22">
            <v>12.329311810659393</v>
          </cell>
          <cell r="AB22">
            <v>11.944546611828294</v>
          </cell>
          <cell r="AC22">
            <v>78</v>
          </cell>
          <cell r="AD22">
            <v>11.354258804400128</v>
          </cell>
        </row>
        <row r="23">
          <cell r="F23">
            <v>44</v>
          </cell>
          <cell r="G23">
            <v>12.011761756546381</v>
          </cell>
          <cell r="H23">
            <v>3.7453076502321221E-2</v>
          </cell>
          <cell r="I23">
            <v>5.7330247610966292E-2</v>
          </cell>
          <cell r="J23">
            <v>12.269098359251137</v>
          </cell>
          <cell r="K23">
            <v>0.7041627192897677</v>
          </cell>
          <cell r="L23">
            <v>9.6064403721965227E-3</v>
          </cell>
          <cell r="M23">
            <v>0.55030356484137943</v>
          </cell>
          <cell r="N23">
            <v>-1.1338330237039003</v>
          </cell>
          <cell r="O23">
            <v>1.2855773256415293</v>
          </cell>
          <cell r="P23">
            <v>12.269098359251137</v>
          </cell>
          <cell r="Q23">
            <v>11.294045352991873</v>
          </cell>
          <cell r="R23">
            <v>13.244151365510401</v>
          </cell>
          <cell r="S23">
            <v>-144464.50208405574</v>
          </cell>
          <cell r="T23">
            <v>20869992362.394146</v>
          </cell>
          <cell r="U23">
            <v>213010.84507727323</v>
          </cell>
          <cell r="V23">
            <v>80341.803257851745</v>
          </cell>
          <cell r="W23">
            <v>564757.30293120816</v>
          </cell>
          <cell r="X23">
            <v>2.1075449947541354</v>
          </cell>
          <cell r="Y23">
            <v>2.1075449947541354</v>
          </cell>
          <cell r="Z23">
            <v>6.8709069250641237</v>
          </cell>
          <cell r="AA23">
            <v>12.215525409235683</v>
          </cell>
          <cell r="AB23">
            <v>11.135265335547237</v>
          </cell>
          <cell r="AC23">
            <v>79</v>
          </cell>
          <cell r="AD23">
            <v>11.240472402976419</v>
          </cell>
        </row>
        <row r="24">
          <cell r="F24">
            <v>44</v>
          </cell>
          <cell r="G24">
            <v>11.869396695458393</v>
          </cell>
          <cell r="H24">
            <v>5.1339594461679926E-2</v>
          </cell>
          <cell r="I24">
            <v>5.8113167119108189E-2</v>
          </cell>
          <cell r="J24">
            <v>12.298507500072212</v>
          </cell>
          <cell r="K24">
            <v>0.72280028789542483</v>
          </cell>
          <cell r="L24">
            <v>1.7428786030302613E-2</v>
          </cell>
          <cell r="M24">
            <v>0.57703488611052389</v>
          </cell>
          <cell r="N24">
            <v>-0.23650908494364664</v>
          </cell>
          <cell r="O24">
            <v>5.5936547260881063E-2</v>
          </cell>
          <cell r="P24">
            <v>12.298507500072212</v>
          </cell>
          <cell r="Q24">
            <v>11.323454493812948</v>
          </cell>
          <cell r="R24">
            <v>13.273560506331476</v>
          </cell>
          <cell r="S24">
            <v>-46203.641945893469</v>
          </cell>
          <cell r="T24">
            <v>2134776529.0643265</v>
          </cell>
          <cell r="U24">
            <v>219368.33699578277</v>
          </cell>
          <cell r="V24">
            <v>82739.673491853129</v>
          </cell>
          <cell r="W24">
            <v>581612.97048185277</v>
          </cell>
          <cell r="X24">
            <v>0.26681906454766691</v>
          </cell>
          <cell r="Y24">
            <v>0.26681906454766691</v>
          </cell>
          <cell r="Z24">
            <v>8.3582819286605297</v>
          </cell>
          <cell r="AA24">
            <v>12.293064482663517</v>
          </cell>
          <cell r="AB24">
            <v>12.061998415128565</v>
          </cell>
          <cell r="AC24">
            <v>80</v>
          </cell>
          <cell r="AD24">
            <v>11.318011476404253</v>
          </cell>
        </row>
        <row r="25">
          <cell r="F25">
            <v>44</v>
          </cell>
          <cell r="G25">
            <v>11.876486210369237</v>
          </cell>
          <cell r="H25">
            <v>5.1179233962988943E-2</v>
          </cell>
          <cell r="I25">
            <v>5.7834181400148302E-2</v>
          </cell>
          <cell r="J25">
            <v>12.315792139390776</v>
          </cell>
          <cell r="K25">
            <v>0.71976515602267166</v>
          </cell>
          <cell r="L25">
            <v>1.748655278919475E-2</v>
          </cell>
          <cell r="M25">
            <v>0.5727548674301095</v>
          </cell>
          <cell r="N25">
            <v>-0.50280951319554923</v>
          </cell>
          <cell r="O25">
            <v>0.25281740655994517</v>
          </cell>
          <cell r="P25">
            <v>12.315792139390776</v>
          </cell>
          <cell r="Q25">
            <v>11.340739133131512</v>
          </cell>
          <cell r="R25">
            <v>13.29084514565004</v>
          </cell>
          <cell r="S25">
            <v>-88199.401367400656</v>
          </cell>
          <cell r="T25">
            <v>7779134401.5678368</v>
          </cell>
          <cell r="U25">
            <v>223192.99830383362</v>
          </cell>
          <cell r="V25">
            <v>84182.230025666562</v>
          </cell>
          <cell r="W25">
            <v>591753.32462286646</v>
          </cell>
          <cell r="X25">
            <v>0.65335988794292821</v>
          </cell>
          <cell r="Y25">
            <v>0.65335988794292821</v>
          </cell>
          <cell r="Z25">
            <v>8.5836753504210321</v>
          </cell>
          <cell r="AA25">
            <v>12.304814577318718</v>
          </cell>
          <cell r="AB25">
            <v>11.812982626195227</v>
          </cell>
          <cell r="AC25">
            <v>81</v>
          </cell>
          <cell r="AD25">
            <v>11.329761571059453</v>
          </cell>
        </row>
        <row r="26">
          <cell r="F26">
            <v>44</v>
          </cell>
          <cell r="G26">
            <v>11.900419824530069</v>
          </cell>
          <cell r="H26">
            <v>4.6391003602805084E-2</v>
          </cell>
          <cell r="I26">
            <v>5.9104411434268249E-2</v>
          </cell>
          <cell r="J26">
            <v>12.423755888814451</v>
          </cell>
          <cell r="K26">
            <v>0.72163126943861466</v>
          </cell>
          <cell r="L26">
            <v>1.3808180680248333E-2</v>
          </cell>
          <cell r="M26">
            <v>0.57527334877895731</v>
          </cell>
          <cell r="N26">
            <v>0.37009088682774482</v>
          </cell>
          <cell r="O26">
            <v>0.13696726451294663</v>
          </cell>
          <cell r="P26">
            <v>12.423755888814451</v>
          </cell>
          <cell r="Q26">
            <v>11.448702882555187</v>
          </cell>
          <cell r="R26">
            <v>13.398808895073715</v>
          </cell>
          <cell r="S26">
            <v>111356.84441489453</v>
          </cell>
          <cell r="T26">
            <v>12400346798.043026</v>
          </cell>
          <cell r="U26">
            <v>248638.64308895235</v>
          </cell>
          <cell r="V26">
            <v>93779.623934664793</v>
          </cell>
          <cell r="W26">
            <v>659217.55967144354</v>
          </cell>
          <cell r="X26">
            <v>-0.3093284451619816</v>
          </cell>
          <cell r="Y26">
            <v>0.3093284451619816</v>
          </cell>
          <cell r="Z26">
            <v>11.280981734414087</v>
          </cell>
          <cell r="AA26">
            <v>12.44542917502279</v>
          </cell>
          <cell r="AB26">
            <v>12.793846775642196</v>
          </cell>
          <cell r="AC26">
            <v>82</v>
          </cell>
          <cell r="AD26">
            <v>11.470376168763526</v>
          </cell>
        </row>
        <row r="27">
          <cell r="F27">
            <v>44</v>
          </cell>
          <cell r="G27">
            <v>11.868397693284427</v>
          </cell>
          <cell r="H27">
            <v>4.9922928700034168E-2</v>
          </cell>
          <cell r="I27">
            <v>5.8071397290954174E-2</v>
          </cell>
          <cell r="J27">
            <v>12.354128825278988</v>
          </cell>
          <cell r="K27">
            <v>0.72118891333063118</v>
          </cell>
          <cell r="L27">
            <v>1.6519190880942888E-2</v>
          </cell>
          <cell r="M27">
            <v>0.57474622892714344</v>
          </cell>
          <cell r="N27">
            <v>0.40151560081319815</v>
          </cell>
          <cell r="O27">
            <v>0.16121477769638348</v>
          </cell>
          <cell r="P27">
            <v>12.354128825278988</v>
          </cell>
          <cell r="Q27">
            <v>11.379075819019723</v>
          </cell>
          <cell r="R27">
            <v>13.329181831538252</v>
          </cell>
          <cell r="S27">
            <v>114586.58495807432</v>
          </cell>
          <cell r="T27">
            <v>13130085452.353985</v>
          </cell>
          <cell r="U27">
            <v>231915.60786721576</v>
          </cell>
          <cell r="V27">
            <v>87472.157264733105</v>
          </cell>
          <cell r="W27">
            <v>614879.64689885487</v>
          </cell>
          <cell r="X27">
            <v>-0.33069512208209906</v>
          </cell>
          <cell r="Y27">
            <v>0.33069512208209906</v>
          </cell>
          <cell r="Z27">
            <v>9.7296201293220044</v>
          </cell>
          <cell r="AA27">
            <v>12.364554384792015</v>
          </cell>
          <cell r="AB27">
            <v>12.755644426092186</v>
          </cell>
          <cell r="AC27">
            <v>83</v>
          </cell>
          <cell r="AD27">
            <v>11.389501378532751</v>
          </cell>
        </row>
        <row r="28">
          <cell r="F28">
            <v>44</v>
          </cell>
          <cell r="G28">
            <v>11.848614335920416</v>
          </cell>
          <cell r="H28">
            <v>5.351810068973941E-2</v>
          </cell>
          <cell r="I28">
            <v>5.8409145880042986E-2</v>
          </cell>
          <cell r="J28">
            <v>12.391886901029649</v>
          </cell>
          <cell r="K28">
            <v>0.723226264065016</v>
          </cell>
          <cell r="L28">
            <v>1.872313449689195E-2</v>
          </cell>
          <cell r="M28">
            <v>0.57763242628973899</v>
          </cell>
          <cell r="N28">
            <v>-0.16867038571423976</v>
          </cell>
          <cell r="O28">
            <v>2.8449699016990414E-2</v>
          </cell>
          <cell r="P28">
            <v>12.391886901029649</v>
          </cell>
          <cell r="Q28">
            <v>11.416833894770384</v>
          </cell>
          <cell r="R28">
            <v>13.366939907288913</v>
          </cell>
          <cell r="S28">
            <v>-37381.37940210916</v>
          </cell>
          <cell r="T28">
            <v>1397367526.004431</v>
          </cell>
          <cell r="U28">
            <v>240839.71326841324</v>
          </cell>
          <cell r="V28">
            <v>90838.083164586889</v>
          </cell>
          <cell r="W28">
            <v>638540.19664985826</v>
          </cell>
          <cell r="X28">
            <v>0.1837299003277649</v>
          </cell>
          <cell r="Y28">
            <v>0.1837299003277649</v>
          </cell>
          <cell r="Z28">
            <v>10.151192925525287</v>
          </cell>
          <cell r="AA28">
            <v>12.386531602320174</v>
          </cell>
          <cell r="AB28">
            <v>12.223216515315409</v>
          </cell>
          <cell r="AC28">
            <v>84</v>
          </cell>
          <cell r="AD28">
            <v>11.41147859606091</v>
          </cell>
        </row>
        <row r="29">
          <cell r="F29">
            <v>44</v>
          </cell>
          <cell r="G29">
            <v>11.87256129917286</v>
          </cell>
          <cell r="H29">
            <v>5.1236350855313424E-2</v>
          </cell>
          <cell r="I29">
            <v>5.8017418216960513E-2</v>
          </cell>
          <cell r="J29">
            <v>12.306623021533259</v>
          </cell>
          <cell r="K29">
            <v>0.72185927594934651</v>
          </cell>
          <cell r="L29">
            <v>1.7416322318172757E-2</v>
          </cell>
          <cell r="M29">
            <v>0.57570568265109479</v>
          </cell>
          <cell r="N29">
            <v>-0.34216941183370331</v>
          </cell>
          <cell r="O29">
            <v>0.11707990639462246</v>
          </cell>
          <cell r="P29">
            <v>12.306623021533259</v>
          </cell>
          <cell r="Q29">
            <v>11.331570015273995</v>
          </cell>
          <cell r="R29">
            <v>13.281676027792523</v>
          </cell>
          <cell r="S29">
            <v>-64084.806448398071</v>
          </cell>
          <cell r="T29">
            <v>4106862417.5286431</v>
          </cell>
          <cell r="U29">
            <v>221155.86900894146</v>
          </cell>
          <cell r="V29">
            <v>83413.881160792283</v>
          </cell>
          <cell r="W29">
            <v>586352.26794949337</v>
          </cell>
          <cell r="X29">
            <v>0.40799880897028018</v>
          </cell>
          <cell r="Y29">
            <v>0.40799880897028018</v>
          </cell>
          <cell r="Z29">
            <v>8.4717532594416642</v>
          </cell>
          <cell r="AA29">
            <v>12.298979912079849</v>
          </cell>
          <cell r="AB29">
            <v>11.964453609699556</v>
          </cell>
          <cell r="AC29">
            <v>85</v>
          </cell>
          <cell r="AD29">
            <v>11.323926905820585</v>
          </cell>
        </row>
        <row r="30">
          <cell r="F30">
            <v>44</v>
          </cell>
          <cell r="G30">
            <v>11.869574979961875</v>
          </cell>
          <cell r="H30">
            <v>5.0284345093122872E-2</v>
          </cell>
          <cell r="I30">
            <v>5.8499450181981362E-2</v>
          </cell>
          <cell r="J30">
            <v>12.389627765990252</v>
          </cell>
          <cell r="K30">
            <v>0.7230802821231106</v>
          </cell>
          <cell r="L30">
            <v>1.6514944417960819E-2</v>
          </cell>
          <cell r="M30">
            <v>0.57742095474446486</v>
          </cell>
          <cell r="N30">
            <v>0.19539035313852793</v>
          </cell>
          <cell r="O30">
            <v>3.8177390099598647E-2</v>
          </cell>
          <cell r="P30">
            <v>12.389627765990252</v>
          </cell>
          <cell r="Q30">
            <v>11.414574759730987</v>
          </cell>
          <cell r="R30">
            <v>13.364680772249516</v>
          </cell>
          <cell r="S30">
            <v>51852.438941862871</v>
          </cell>
          <cell r="T30">
            <v>2688675424.2196169</v>
          </cell>
          <cell r="U30">
            <v>240296.23795649447</v>
          </cell>
          <cell r="V30">
            <v>90633.099298296729</v>
          </cell>
          <cell r="W30">
            <v>637099.27634714986</v>
          </cell>
          <cell r="X30">
            <v>-0.17748647535344844</v>
          </cell>
          <cell r="Y30">
            <v>0.17748647535344844</v>
          </cell>
          <cell r="Z30">
            <v>10.342240414293496</v>
          </cell>
          <cell r="AA30">
            <v>12.396491192352267</v>
          </cell>
          <cell r="AB30">
            <v>12.58501811912878</v>
          </cell>
          <cell r="AC30">
            <v>86</v>
          </cell>
          <cell r="AD30">
            <v>11.421438186093003</v>
          </cell>
        </row>
        <row r="31">
          <cell r="F31">
            <v>44</v>
          </cell>
          <cell r="G31">
            <v>11.832130329598169</v>
          </cell>
          <cell r="H31">
            <v>5.6762621165874834E-2</v>
          </cell>
          <cell r="I31">
            <v>5.7615886568246066E-2</v>
          </cell>
          <cell r="J31">
            <v>12.390513164375779</v>
          </cell>
          <cell r="K31">
            <v>0.71506983585091544</v>
          </cell>
          <cell r="L31">
            <v>2.1582994585544874E-2</v>
          </cell>
          <cell r="M31">
            <v>0.56609997646513033</v>
          </cell>
          <cell r="N31">
            <v>-0.74762449862814684</v>
          </cell>
          <cell r="O31">
            <v>0.5589423909489879</v>
          </cell>
          <cell r="P31">
            <v>12.390513164375779</v>
          </cell>
          <cell r="Q31">
            <v>11.415460158116515</v>
          </cell>
          <cell r="R31">
            <v>13.365566170635043</v>
          </cell>
          <cell r="S31">
            <v>-126630.44246353199</v>
          </cell>
          <cell r="T31">
            <v>16035268958.509886</v>
          </cell>
          <cell r="U31">
            <v>240509.09007318463</v>
          </cell>
          <cell r="V31">
            <v>90713.381233594118</v>
          </cell>
          <cell r="W31">
            <v>637663.61281227914</v>
          </cell>
          <cell r="X31">
            <v>1.1119770485647957</v>
          </cell>
          <cell r="Y31">
            <v>1.1119770485647957</v>
          </cell>
          <cell r="Z31">
            <v>9.8371573283388987</v>
          </cell>
          <cell r="AA31">
            <v>12.370160459084399</v>
          </cell>
          <cell r="AB31">
            <v>11.642888665747632</v>
          </cell>
          <cell r="AC31">
            <v>87</v>
          </cell>
          <cell r="AD31">
            <v>11.395107452825135</v>
          </cell>
        </row>
        <row r="32">
          <cell r="F32">
            <v>44</v>
          </cell>
          <cell r="G32">
            <v>11.865368380093392</v>
          </cell>
          <cell r="H32">
            <v>5.0436362664195357E-2</v>
          </cell>
          <cell r="I32">
            <v>5.8118547254505257E-2</v>
          </cell>
          <cell r="J32">
            <v>12.353290970133752</v>
          </cell>
          <cell r="K32">
            <v>0.72199365511564773</v>
          </cell>
          <cell r="L32">
            <v>1.6828089126490621E-2</v>
          </cell>
          <cell r="M32">
            <v>0.57588817216211885</v>
          </cell>
          <cell r="N32">
            <v>0.32967467128598216</v>
          </cell>
          <cell r="O32">
            <v>0.10868538888752038</v>
          </cell>
          <cell r="P32">
            <v>12.353290970133752</v>
          </cell>
          <cell r="Q32">
            <v>11.378237963874488</v>
          </cell>
          <cell r="R32">
            <v>13.328343976393016</v>
          </cell>
          <cell r="S32">
            <v>90490.831373650261</v>
          </cell>
          <cell r="T32">
            <v>8188590562.6944065</v>
          </cell>
          <cell r="U32">
            <v>231721.37756169678</v>
          </cell>
          <cell r="V32">
            <v>87398.898961912608</v>
          </cell>
          <cell r="W32">
            <v>614364.68258587527</v>
          </cell>
          <cell r="X32">
            <v>-0.2808423419852708</v>
          </cell>
          <cell r="Y32">
            <v>0.2808423419852708</v>
          </cell>
          <cell r="Z32">
            <v>9.6740241418466972</v>
          </cell>
          <cell r="AA32">
            <v>12.361656083190391</v>
          </cell>
          <cell r="AB32">
            <v>12.682965641419734</v>
          </cell>
          <cell r="AC32">
            <v>88</v>
          </cell>
          <cell r="AD32">
            <v>11.386603076931127</v>
          </cell>
        </row>
        <row r="33">
          <cell r="F33">
            <v>44</v>
          </cell>
          <cell r="G33">
            <v>11.858469882709789</v>
          </cell>
          <cell r="H33">
            <v>5.1939718736681059E-2</v>
          </cell>
          <cell r="I33">
            <v>5.8369216971883221E-2</v>
          </cell>
          <cell r="J33">
            <v>12.377441730191983</v>
          </cell>
          <cell r="K33">
            <v>0.72364811907861659</v>
          </cell>
          <cell r="L33">
            <v>1.7677980689159749E-2</v>
          </cell>
          <cell r="M33">
            <v>0.57823544343332611</v>
          </cell>
          <cell r="N33">
            <v>2.6662903292494988E-2</v>
          </cell>
          <cell r="O33">
            <v>7.1091041198494012E-4</v>
          </cell>
          <cell r="P33">
            <v>12.377441730191983</v>
          </cell>
          <cell r="Q33">
            <v>11.402388723932718</v>
          </cell>
          <cell r="R33">
            <v>13.352494736451247</v>
          </cell>
          <cell r="S33">
            <v>6414.5282352378126</v>
          </cell>
          <cell r="T33">
            <v>41146172.480663128</v>
          </cell>
          <cell r="U33">
            <v>237385.7490764902</v>
          </cell>
          <cell r="V33">
            <v>89535.343337107784</v>
          </cell>
          <cell r="W33">
            <v>629382.6746432028</v>
          </cell>
          <cell r="X33">
            <v>-2.6310586296159399E-2</v>
          </cell>
          <cell r="Y33">
            <v>2.6310586296159399E-2</v>
          </cell>
          <cell r="Z33">
            <v>9.9918108935711842</v>
          </cell>
          <cell r="AA33">
            <v>12.378222779697174</v>
          </cell>
          <cell r="AB33">
            <v>12.404104633484478</v>
          </cell>
          <cell r="AC33">
            <v>89</v>
          </cell>
          <cell r="AD33">
            <v>11.403169773437909</v>
          </cell>
        </row>
        <row r="34">
          <cell r="F34">
            <v>44</v>
          </cell>
          <cell r="G34">
            <v>11.85523554079413</v>
          </cell>
          <cell r="H34">
            <v>5.1759550622883156E-2</v>
          </cell>
          <cell r="I34">
            <v>5.8060827588603918E-2</v>
          </cell>
          <cell r="J34">
            <v>12.326467120711335</v>
          </cell>
          <cell r="K34">
            <v>0.72266825903170795</v>
          </cell>
          <cell r="L34">
            <v>1.7741393026202076E-2</v>
          </cell>
          <cell r="M34">
            <v>0.576850054120983</v>
          </cell>
          <cell r="N34">
            <v>0.25384802299755549</v>
          </cell>
          <cell r="O34">
            <v>6.4438818779767454E-2</v>
          </cell>
          <cell r="P34">
            <v>12.326467120711335</v>
          </cell>
          <cell r="Q34">
            <v>11.351414114452071</v>
          </cell>
          <cell r="R34">
            <v>13.301520126970599</v>
          </cell>
          <cell r="S34">
            <v>65189.592893783207</v>
          </cell>
          <cell r="T34">
            <v>4249683021.6571898</v>
          </cell>
          <cell r="U34">
            <v>225588.34176819344</v>
          </cell>
          <cell r="V34">
            <v>85085.68737441687</v>
          </cell>
          <cell r="W34">
            <v>598104.11729746009</v>
          </cell>
          <cell r="X34">
            <v>-0.22419030168009402</v>
          </cell>
          <cell r="Y34">
            <v>0.22419030168009402</v>
          </cell>
          <cell r="Z34">
            <v>9.1042440331557071</v>
          </cell>
          <cell r="AA34">
            <v>12.331952597802587</v>
          </cell>
          <cell r="AB34">
            <v>12.580315143708891</v>
          </cell>
          <cell r="AC34">
            <v>90</v>
          </cell>
          <cell r="AD34">
            <v>11.356899591543323</v>
          </cell>
        </row>
        <row r="35">
          <cell r="F35">
            <v>44</v>
          </cell>
          <cell r="G35">
            <v>11.851168633214971</v>
          </cell>
          <cell r="H35">
            <v>5.2963797629183927E-2</v>
          </cell>
          <cell r="I35">
            <v>5.9117193486933568E-2</v>
          </cell>
          <cell r="J35">
            <v>12.44024735385787</v>
          </cell>
          <cell r="K35">
            <v>0.72360991104281214</v>
          </cell>
          <cell r="L35">
            <v>1.7915413517689077E-2</v>
          </cell>
          <cell r="M35">
            <v>0.57817914293825134</v>
          </cell>
          <cell r="N35">
            <v>-5.7452007670931948E-2</v>
          </cell>
          <cell r="O35">
            <v>3.3007331854208234E-3</v>
          </cell>
          <cell r="P35">
            <v>12.44024735385787</v>
          </cell>
          <cell r="Q35">
            <v>11.465194347598606</v>
          </cell>
          <cell r="R35">
            <v>13.415300360117135</v>
          </cell>
          <cell r="S35">
            <v>-14113.026962650591</v>
          </cell>
          <cell r="T35">
            <v>199177530.04850256</v>
          </cell>
          <cell r="U35">
            <v>252773.05614200959</v>
          </cell>
          <cell r="V35">
            <v>95339.010265322839</v>
          </cell>
          <cell r="W35">
            <v>670179.16101245116</v>
          </cell>
          <cell r="X35">
            <v>5.9134439106450859E-2</v>
          </cell>
          <cell r="Y35">
            <v>5.9134439106450859E-2</v>
          </cell>
          <cell r="Z35">
            <v>11.122290073820292</v>
          </cell>
          <cell r="AA35">
            <v>12.437156342486668</v>
          </cell>
          <cell r="AB35">
            <v>12.382795346186938</v>
          </cell>
          <cell r="AC35">
            <v>91</v>
          </cell>
          <cell r="AD35">
            <v>11.462103336227404</v>
          </cell>
        </row>
        <row r="36">
          <cell r="F36">
            <v>44</v>
          </cell>
          <cell r="G36">
            <v>11.857731647865046</v>
          </cell>
          <cell r="H36">
            <v>5.202206523477116E-2</v>
          </cell>
          <cell r="I36">
            <v>5.8205363701422166E-2</v>
          </cell>
          <cell r="J36">
            <v>12.352210741519759</v>
          </cell>
          <cell r="K36">
            <v>0.72364777842682393</v>
          </cell>
          <cell r="L36">
            <v>1.7831282684821582E-2</v>
          </cell>
          <cell r="M36">
            <v>0.57823504696863293</v>
          </cell>
          <cell r="N36">
            <v>2.7002736673697569E-2</v>
          </cell>
          <cell r="O36">
            <v>7.2914778786905166E-4</v>
          </cell>
          <cell r="P36">
            <v>12.352210741519759</v>
          </cell>
          <cell r="Q36">
            <v>11.377157735260495</v>
          </cell>
          <cell r="R36">
            <v>13.327263747779023</v>
          </cell>
          <cell r="S36">
            <v>6335.5089632294257</v>
          </cell>
          <cell r="T36">
            <v>40138673.823160395</v>
          </cell>
          <cell r="U36">
            <v>231471.2006476387</v>
          </cell>
          <cell r="V36">
            <v>87304.539144685376</v>
          </cell>
          <cell r="W36">
            <v>613701.38659647235</v>
          </cell>
          <cell r="X36">
            <v>-2.664142224412613E-2</v>
          </cell>
          <cell r="Y36">
            <v>2.664142224412613E-2</v>
          </cell>
          <cell r="Z36">
            <v>9.5051799928197944</v>
          </cell>
          <cell r="AA36">
            <v>12.352853986316635</v>
          </cell>
          <cell r="AB36">
            <v>12.379213478193456</v>
          </cell>
          <cell r="AC36">
            <v>92</v>
          </cell>
          <cell r="AD36">
            <v>11.377800980057371</v>
          </cell>
        </row>
        <row r="37">
          <cell r="F37">
            <v>44</v>
          </cell>
          <cell r="G37">
            <v>11.859595101881988</v>
          </cell>
          <cell r="H37">
            <v>5.1770835143568644E-2</v>
          </cell>
          <cell r="I37">
            <v>5.8436426218238732E-2</v>
          </cell>
          <cell r="J37">
            <v>12.384579565543005</v>
          </cell>
          <cell r="K37">
            <v>0.72362919120523894</v>
          </cell>
          <cell r="L37">
            <v>1.7525549128756989E-2</v>
          </cell>
          <cell r="M37">
            <v>0.57820834981790581</v>
          </cell>
          <cell r="N37">
            <v>4.4240442146467274E-2</v>
          </cell>
          <cell r="O37">
            <v>1.9572167213149179E-3</v>
          </cell>
          <cell r="P37">
            <v>12.384579565543005</v>
          </cell>
          <cell r="Q37">
            <v>11.409526559283741</v>
          </cell>
          <cell r="R37">
            <v>13.359632571802269</v>
          </cell>
          <cell r="S37">
            <v>2295045.7287459671</v>
          </cell>
          <cell r="T37">
            <v>5267234897035.1074</v>
          </cell>
          <cell r="U37">
            <v>239086.2311287584</v>
          </cell>
          <cell r="V37">
            <v>90176.718166813196</v>
          </cell>
          <cell r="W37">
            <v>633891.17587549228</v>
          </cell>
          <cell r="X37">
            <v>-4.3276106930860557E-2</v>
          </cell>
          <cell r="Y37">
            <v>4.3276106930860557E-2</v>
          </cell>
          <cell r="Z37">
            <v>10.140544617546777</v>
          </cell>
          <cell r="AA37">
            <v>12.385976490171435</v>
          </cell>
          <cell r="AB37">
            <v>12.428820007689472</v>
          </cell>
          <cell r="AC37">
            <v>93</v>
          </cell>
          <cell r="AD37">
            <v>11.410923483912171</v>
          </cell>
        </row>
        <row r="38">
          <cell r="F38">
            <v>44</v>
          </cell>
          <cell r="G38">
            <v>11.840178769676818</v>
          </cell>
          <cell r="H38">
            <v>5.4490438548290297E-2</v>
          </cell>
          <cell r="I38">
            <v>5.8918659858417793E-2</v>
          </cell>
          <cell r="J38">
            <v>12.435884938835988</v>
          </cell>
          <cell r="K38">
            <v>0.72318602506188645</v>
          </cell>
          <cell r="L38">
            <v>1.906868777357169E-2</v>
          </cell>
          <cell r="M38">
            <v>0.57756300790090964</v>
          </cell>
          <cell r="N38">
            <v>-0.17788463931195153</v>
          </cell>
          <cell r="O38">
            <v>3.1642944903143094E-2</v>
          </cell>
          <cell r="P38">
            <v>12.435884938835988</v>
          </cell>
          <cell r="Q38">
            <v>11.460831932576724</v>
          </cell>
          <cell r="R38">
            <v>13.410937945095252</v>
          </cell>
          <cell r="S38">
            <v>2051325.895063106</v>
          </cell>
          <cell r="T38">
            <v>4207937927756.4526</v>
          </cell>
          <cell r="U38">
            <v>251672.75689071146</v>
          </cell>
          <cell r="V38">
            <v>94924.007799413244</v>
          </cell>
          <cell r="W38">
            <v>667261.92908768728</v>
          </cell>
          <cell r="X38">
            <v>0.1946874933137602</v>
          </cell>
          <cell r="Y38">
            <v>0.1946874933137602</v>
          </cell>
          <cell r="Z38">
            <v>10.932306383095929</v>
          </cell>
          <cell r="AA38">
            <v>12.427252209830446</v>
          </cell>
          <cell r="AB38">
            <v>12.258000299524037</v>
          </cell>
          <cell r="AC38">
            <v>94</v>
          </cell>
          <cell r="AD38">
            <v>11.452199203571181</v>
          </cell>
        </row>
        <row r="39">
          <cell r="F39">
            <v>44</v>
          </cell>
          <cell r="G39">
            <v>11.916531012820219</v>
          </cell>
          <cell r="H39">
            <v>4.4015266794362462E-2</v>
          </cell>
          <cell r="I39">
            <v>5.8533838883390241E-2</v>
          </cell>
          <cell r="J39">
            <v>12.39890896908291</v>
          </cell>
          <cell r="K39">
            <v>0.71819015018071752</v>
          </cell>
          <cell r="L39">
            <v>1.2688035499788584E-2</v>
          </cell>
          <cell r="M39">
            <v>0.57031782496492622</v>
          </cell>
          <cell r="N39">
            <v>0.60408721221225647</v>
          </cell>
          <cell r="O39">
            <v>0.36492135995837577</v>
          </cell>
          <cell r="P39">
            <v>12.39890896908291</v>
          </cell>
          <cell r="Q39">
            <v>11.423855962823646</v>
          </cell>
          <cell r="R39">
            <v>13.373961975342175</v>
          </cell>
          <cell r="S39">
            <v>4620567.6684106048</v>
          </cell>
          <cell r="T39">
            <v>21349645578361.414</v>
          </cell>
          <cell r="U39">
            <v>242536.85788363914</v>
          </cell>
          <cell r="V39">
            <v>91478.199205284909</v>
          </cell>
          <cell r="W39">
            <v>643039.84930947528</v>
          </cell>
          <cell r="X39">
            <v>-0.45342689573365508</v>
          </cell>
          <cell r="Y39">
            <v>0.45342689573365508</v>
          </cell>
          <cell r="Z39">
            <v>10.959332781426545</v>
          </cell>
          <cell r="AA39">
            <v>12.428661136213893</v>
          </cell>
          <cell r="AB39">
            <v>13.002996181295167</v>
          </cell>
          <cell r="AC39">
            <v>95</v>
          </cell>
          <cell r="AD39">
            <v>11.453608129954629</v>
          </cell>
        </row>
        <row r="40">
          <cell r="F40">
            <v>44</v>
          </cell>
          <cell r="G40">
            <v>11.906496591970262</v>
          </cell>
          <cell r="H40">
            <v>4.4777741024265169E-2</v>
          </cell>
          <cell r="I40">
            <v>5.7861579655117457E-2</v>
          </cell>
          <cell r="J40">
            <v>12.371356402560828</v>
          </cell>
          <cell r="K40">
            <v>0.71491711154981852</v>
          </cell>
          <cell r="L40">
            <v>1.3428261269090889E-2</v>
          </cell>
          <cell r="M40">
            <v>0.56577421571168907</v>
          </cell>
          <cell r="N40">
            <v>0.75757995327706773</v>
          </cell>
          <cell r="O40">
            <v>0.57392738560728418</v>
          </cell>
          <cell r="P40">
            <v>12.371356402560828</v>
          </cell>
          <cell r="Q40">
            <v>11.396303396301564</v>
          </cell>
          <cell r="R40">
            <v>13.346409408820092</v>
          </cell>
          <cell r="S40">
            <v>4989032.0388930636</v>
          </cell>
          <cell r="T40">
            <v>24890440685101.48</v>
          </cell>
          <cell r="U40">
            <v>235945.56545728797</v>
          </cell>
          <cell r="V40">
            <v>88992.145881846052</v>
          </cell>
          <cell r="W40">
            <v>625564.3046620345</v>
          </cell>
          <cell r="X40">
            <v>-0.53120042780687027</v>
          </cell>
          <cell r="Y40">
            <v>0.53120042780687027</v>
          </cell>
          <cell r="Z40">
            <v>10.381493124868852</v>
          </cell>
          <cell r="AA40">
            <v>12.398537494596276</v>
          </cell>
          <cell r="AB40">
            <v>13.128936355837896</v>
          </cell>
          <cell r="AC40">
            <v>96</v>
          </cell>
          <cell r="AD40">
            <v>11.423484488337012</v>
          </cell>
        </row>
        <row r="41">
          <cell r="F41">
            <v>44</v>
          </cell>
          <cell r="G41">
            <v>11.863694863809231</v>
          </cell>
          <cell r="H41">
            <v>5.0818322176101452E-2</v>
          </cell>
          <cell r="I41">
            <v>5.8182595834900167E-2</v>
          </cell>
          <cell r="J41">
            <v>12.356357358678739</v>
          </cell>
          <cell r="K41">
            <v>0.72270990138839153</v>
          </cell>
          <cell r="L41">
            <v>1.7042624165304224E-2</v>
          </cell>
          <cell r="M41">
            <v>0.5769034180971806</v>
          </cell>
          <cell r="N41">
            <v>0.24896601349315617</v>
          </cell>
          <cell r="O41">
            <v>6.1984075874674423E-2</v>
          </cell>
          <cell r="P41">
            <v>12.356357358678739</v>
          </cell>
          <cell r="Q41">
            <v>11.381304352419475</v>
          </cell>
          <cell r="R41">
            <v>13.331410364938003</v>
          </cell>
          <cell r="S41">
            <v>2657924.4841722744</v>
          </cell>
          <cell r="T41">
            <v>7064562563562.4512</v>
          </cell>
          <cell r="U41">
            <v>232433.01586163376</v>
          </cell>
          <cell r="V41">
            <v>87667.309259348622</v>
          </cell>
          <cell r="W41">
            <v>616251.45472083008</v>
          </cell>
          <cell r="X41">
            <v>-0.22039353096495409</v>
          </cell>
          <cell r="Y41">
            <v>0.22039353096495409</v>
          </cell>
          <cell r="Z41">
            <v>9.6945840353067609</v>
          </cell>
          <cell r="AA41">
            <v>12.362727901047228</v>
          </cell>
          <cell r="AB41">
            <v>12.605323372171895</v>
          </cell>
          <cell r="AC41">
            <v>97</v>
          </cell>
          <cell r="AD41">
            <v>11.387674894787963</v>
          </cell>
        </row>
        <row r="42">
          <cell r="F42">
            <v>44</v>
          </cell>
          <cell r="G42">
            <v>11.891352529490199</v>
          </cell>
          <cell r="H42">
            <v>4.776071932992567E-2</v>
          </cell>
          <cell r="I42">
            <v>5.9892531659835387E-2</v>
          </cell>
          <cell r="J42">
            <v>12.459261617916557</v>
          </cell>
          <cell r="K42">
            <v>0.72292860824957328</v>
          </cell>
          <cell r="L42">
            <v>1.4246624329787946E-2</v>
          </cell>
          <cell r="M42">
            <v>0.57715259356069248</v>
          </cell>
          <cell r="N42">
            <v>0.22477100469840572</v>
          </cell>
          <cell r="O42">
            <v>5.0522004553130724E-2</v>
          </cell>
          <cell r="P42">
            <v>12.459261617916557</v>
          </cell>
          <cell r="Q42">
            <v>11.484208611657293</v>
          </cell>
          <cell r="R42">
            <v>13.434314624175821</v>
          </cell>
          <cell r="S42">
            <v>3577798.2636767989</v>
          </cell>
          <cell r="T42">
            <v>12800640415568.717</v>
          </cell>
          <cell r="U42">
            <v>257625.33484156069</v>
          </cell>
          <cell r="V42">
            <v>97169.155676417649</v>
          </cell>
          <cell r="W42">
            <v>683044.04510055901</v>
          </cell>
          <cell r="X42">
            <v>-0.20130090384004662</v>
          </cell>
          <cell r="Y42">
            <v>0.20130090384004662</v>
          </cell>
          <cell r="Z42">
            <v>11.890714721093429</v>
          </cell>
          <cell r="AA42">
            <v>12.477215463424294</v>
          </cell>
          <cell r="AB42">
            <v>12.684032622614962</v>
          </cell>
          <cell r="AC42">
            <v>98</v>
          </cell>
          <cell r="AD42">
            <v>11.50216245716503</v>
          </cell>
        </row>
        <row r="43">
          <cell r="F43">
            <v>44</v>
          </cell>
          <cell r="G43">
            <v>11.902371265008487</v>
          </cell>
          <cell r="H43">
            <v>4.5256201792353318E-2</v>
          </cell>
          <cell r="I43">
            <v>5.78218819754521E-2</v>
          </cell>
          <cell r="J43">
            <v>12.368254354699037</v>
          </cell>
          <cell r="K43">
            <v>0.71503503547119351</v>
          </cell>
          <cell r="L43">
            <v>1.3731383482202594E-2</v>
          </cell>
          <cell r="M43">
            <v>0.56596245102382492</v>
          </cell>
          <cell r="N43">
            <v>0.7518434419804656</v>
          </cell>
          <cell r="O43">
            <v>0.5652685612490338</v>
          </cell>
          <cell r="P43">
            <v>12.368254354699037</v>
          </cell>
          <cell r="Q43">
            <v>11.393201348439773</v>
          </cell>
          <cell r="R43">
            <v>13.343307360958301</v>
          </cell>
          <cell r="S43">
            <v>4900311.0686986847</v>
          </cell>
          <cell r="T43">
            <v>24013048570010.844</v>
          </cell>
          <cell r="U43">
            <v>235214.78506434645</v>
          </cell>
          <cell r="V43">
            <v>88716.515716005888</v>
          </cell>
          <cell r="W43">
            <v>623626.78094767639</v>
          </cell>
          <cell r="X43">
            <v>-0.5285034254689297</v>
          </cell>
          <cell r="Y43">
            <v>0.5285034254689297</v>
          </cell>
          <cell r="Z43">
            <v>10.294347984131246</v>
          </cell>
          <cell r="AA43">
            <v>12.393994488662875</v>
          </cell>
          <cell r="AB43">
            <v>13.120097796679502</v>
          </cell>
          <cell r="AC43">
            <v>99</v>
          </cell>
          <cell r="AD43">
            <v>11.418941482403611</v>
          </cell>
        </row>
        <row r="44">
          <cell r="F44">
            <v>44</v>
          </cell>
          <cell r="G44">
            <v>11.844730650280733</v>
          </cell>
          <cell r="H44">
            <v>5.6410432159379534E-2</v>
          </cell>
          <cell r="I44">
            <v>5.6407553791307061E-2</v>
          </cell>
          <cell r="J44">
            <v>12.376854262442366</v>
          </cell>
          <cell r="K44">
            <v>0.70149405576805823</v>
          </cell>
          <cell r="L44">
            <v>2.2224439789490118E-2</v>
          </cell>
          <cell r="M44">
            <v>0.54731605951494611</v>
          </cell>
          <cell r="N44">
            <v>-1.1928967141615665</v>
          </cell>
          <cell r="O44">
            <v>1.4230025706574621</v>
          </cell>
          <cell r="P44">
            <v>12.376854262442366</v>
          </cell>
          <cell r="Q44">
            <v>11.401801256183102</v>
          </cell>
          <cell r="R44">
            <v>13.35190726870163</v>
          </cell>
          <cell r="S44">
            <v>441619.81411601871</v>
          </cell>
          <cell r="T44">
            <v>195028060219.86691</v>
          </cell>
          <cell r="U44">
            <v>237246.33355975876</v>
          </cell>
          <cell r="V44">
            <v>89482.759657566668</v>
          </cell>
          <cell r="W44">
            <v>629013.04120417556</v>
          </cell>
          <cell r="X44">
            <v>2.2966167462643341</v>
          </cell>
          <cell r="Y44">
            <v>2.2966167462643341</v>
          </cell>
          <cell r="Z44">
            <v>9.4330710081815266</v>
          </cell>
          <cell r="AA44">
            <v>12.349094837587396</v>
          </cell>
          <cell r="AB44">
            <v>11.1839575482808</v>
          </cell>
          <cell r="AC44" t="str">
            <v>00</v>
          </cell>
          <cell r="AD44">
            <v>11.374041831328132</v>
          </cell>
        </row>
        <row r="45">
          <cell r="F45">
            <v>44</v>
          </cell>
          <cell r="G45">
            <v>11.868574381272049</v>
          </cell>
          <cell r="H45">
            <v>5.2775147534813674E-2</v>
          </cell>
          <cell r="I45">
            <v>5.7344390264150766E-2</v>
          </cell>
          <cell r="J45">
            <v>12.343675404615572</v>
          </cell>
          <cell r="K45">
            <v>0.71383541092430514</v>
          </cell>
          <cell r="L45">
            <v>1.8886164032641348E-2</v>
          </cell>
          <cell r="M45">
            <v>0.56444851350681835</v>
          </cell>
          <cell r="N45">
            <v>-0.79681220311397105</v>
          </cell>
          <cell r="O45">
            <v>0.63490968703134021</v>
          </cell>
          <cell r="P45">
            <v>12.343675404615572</v>
          </cell>
          <cell r="Q45">
            <v>11.368622398356308</v>
          </cell>
          <cell r="R45">
            <v>13.318728410874836</v>
          </cell>
          <cell r="S45">
            <v>701808.6824378348</v>
          </cell>
          <cell r="T45">
            <v>492535426745.12964</v>
          </cell>
          <cell r="U45">
            <v>229503.9235960248</v>
          </cell>
          <cell r="V45">
            <v>86562.536615297198</v>
          </cell>
          <cell r="W45">
            <v>608485.52971658029</v>
          </cell>
          <cell r="X45">
            <v>1.218457652072529</v>
          </cell>
          <cell r="Y45">
            <v>1.218457652072529</v>
          </cell>
          <cell r="Z45">
            <v>9.0023627699026001</v>
          </cell>
          <cell r="AA45">
            <v>12.326641375862456</v>
          </cell>
          <cell r="AB45">
            <v>11.546863201501601</v>
          </cell>
          <cell r="AC45" t="str">
            <v>01</v>
          </cell>
          <cell r="AD45">
            <v>11.351588369603192</v>
          </cell>
        </row>
        <row r="46">
          <cell r="F46">
            <v>44</v>
          </cell>
          <cell r="G46">
            <v>11.865599240239623</v>
          </cell>
          <cell r="H46">
            <v>5.0159947482810142E-2</v>
          </cell>
          <cell r="I46">
            <v>5.7992894551281801E-2</v>
          </cell>
          <cell r="J46">
            <v>12.346178358310416</v>
          </cell>
          <cell r="K46">
            <v>0.72076577228732719</v>
          </cell>
          <cell r="L46">
            <v>1.6718214470775556E-2</v>
          </cell>
          <cell r="M46">
            <v>0.57415332999790025</v>
          </cell>
          <cell r="N46">
            <v>0.43415219502102254</v>
          </cell>
          <cell r="O46">
            <v>0.18848812844157198</v>
          </cell>
          <cell r="P46">
            <v>12.346178358310416</v>
          </cell>
          <cell r="Q46">
            <v>11.371125352051152</v>
          </cell>
          <cell r="R46">
            <v>13.32123136456968</v>
          </cell>
          <cell r="S46">
            <v>3172708.6574792508</v>
          </cell>
          <cell r="T46">
            <v>10066080225243.789</v>
          </cell>
          <cell r="U46">
            <v>230079.08078520722</v>
          </cell>
          <cell r="V46">
            <v>86779.470010021163</v>
          </cell>
          <cell r="W46">
            <v>610010.44842579588</v>
          </cell>
          <cell r="X46">
            <v>-0.35218634603047355</v>
          </cell>
          <cell r="Y46">
            <v>0.35218634603047355</v>
          </cell>
          <cell r="Z46">
            <v>9.5809334376892554</v>
          </cell>
          <cell r="AA46">
            <v>12.356803126183813</v>
          </cell>
          <cell r="AB46">
            <v>12.780330553331439</v>
          </cell>
          <cell r="AC46" t="str">
            <v>02</v>
          </cell>
          <cell r="AD46">
            <v>11.381750119924549</v>
          </cell>
        </row>
        <row r="47">
          <cell r="F47">
            <v>44</v>
          </cell>
          <cell r="G47">
            <v>11.854230375956966</v>
          </cell>
          <cell r="H47">
            <v>5.2080834229709674E-2</v>
          </cell>
          <cell r="I47">
            <v>5.8096504625765426E-2</v>
          </cell>
          <cell r="J47">
            <v>12.319008638894735</v>
          </cell>
          <cell r="K47">
            <v>0.7232299927407525</v>
          </cell>
          <cell r="L47">
            <v>1.7936704756640276E-2</v>
          </cell>
          <cell r="M47">
            <v>0.5776443068508188</v>
          </cell>
          <cell r="N47">
            <v>0.1670424892274962</v>
          </cell>
          <cell r="O47">
            <v>2.7903193207318187E-2</v>
          </cell>
          <cell r="P47">
            <v>12.319008638894735</v>
          </cell>
          <cell r="Q47">
            <v>11.34395563263547</v>
          </cell>
          <cell r="R47">
            <v>13.294061645153999</v>
          </cell>
          <cell r="S47">
            <v>2137604.4331991491</v>
          </cell>
          <cell r="T47">
            <v>4569352712832.6553</v>
          </cell>
          <cell r="U47">
            <v>223912.0542738121</v>
          </cell>
          <cell r="V47">
            <v>84453.438063221824</v>
          </cell>
          <cell r="W47">
            <v>593659.76328383852</v>
          </cell>
          <cell r="X47">
            <v>-0.15383634226677925</v>
          </cell>
          <cell r="Y47">
            <v>0.15383634226677925</v>
          </cell>
          <cell r="Z47">
            <v>8.924170855017401</v>
          </cell>
          <cell r="AA47">
            <v>12.322565114922824</v>
          </cell>
          <cell r="AB47">
            <v>12.486051128122231</v>
          </cell>
          <cell r="AC47" t="str">
            <v>03</v>
          </cell>
          <cell r="AD47">
            <v>11.34751210866356</v>
          </cell>
        </row>
        <row r="48">
          <cell r="F48">
            <v>44</v>
          </cell>
          <cell r="G48">
            <v>11.876260384865095</v>
          </cell>
          <cell r="H48">
            <v>4.8056330924045668E-2</v>
          </cell>
          <cell r="I48">
            <v>5.7431547903186907E-2</v>
          </cell>
          <cell r="J48">
            <v>12.340298302665174</v>
          </cell>
          <cell r="K48">
            <v>0.71352583037112327</v>
          </cell>
          <cell r="L48">
            <v>1.5663580852841311E-2</v>
          </cell>
          <cell r="M48">
            <v>0.56396091514381885</v>
          </cell>
          <cell r="N48">
            <v>0.8107645846540894</v>
          </cell>
          <cell r="O48">
            <v>0.65733921172931808</v>
          </cell>
          <cell r="P48">
            <v>12.340298302665174</v>
          </cell>
          <cell r="Q48">
            <v>11.365245296405909</v>
          </cell>
          <cell r="R48">
            <v>13.315351308924438</v>
          </cell>
          <cell r="S48">
            <v>4739902.6381155057</v>
          </cell>
          <cell r="T48">
            <v>22466677018814.332</v>
          </cell>
          <cell r="U48">
            <v>228730.17270122631</v>
          </cell>
          <cell r="V48">
            <v>86270.699163838159</v>
          </cell>
          <cell r="W48">
            <v>606434.07797792123</v>
          </cell>
          <cell r="X48">
            <v>-0.55548193543115376</v>
          </cell>
          <cell r="Y48">
            <v>0.55548193543115376</v>
          </cell>
          <cell r="Z48">
            <v>9.6561245704234917</v>
          </cell>
          <cell r="AA48">
            <v>12.360722951882178</v>
          </cell>
          <cell r="AB48">
            <v>13.151062887319263</v>
          </cell>
          <cell r="AC48" t="str">
            <v>04</v>
          </cell>
          <cell r="AD48">
            <v>11.385669945622913</v>
          </cell>
        </row>
        <row r="49">
          <cell r="F49">
            <v>44</v>
          </cell>
          <cell r="G49">
            <v>11.853469277369333</v>
          </cell>
          <cell r="H49">
            <v>5.2190170123401644E-2</v>
          </cell>
          <cell r="I49">
            <v>5.8100666453211429E-2</v>
          </cell>
          <cell r="J49">
            <v>12.313751303931554</v>
          </cell>
          <cell r="K49">
            <v>0.72327908829534415</v>
          </cell>
          <cell r="L49">
            <v>1.8008203110422921E-2</v>
          </cell>
          <cell r="M49">
            <v>0.57771371002006422</v>
          </cell>
          <cell r="N49">
            <v>0.15719620676732049</v>
          </cell>
          <cell r="O49">
            <v>2.4710647422034177E-2</v>
          </cell>
          <cell r="P49">
            <v>12.313751303931554</v>
          </cell>
          <cell r="Q49">
            <v>11.338698297672289</v>
          </cell>
          <cell r="R49">
            <v>13.288804310190818</v>
          </cell>
          <cell r="S49">
            <v>2076050.4114183597</v>
          </cell>
          <cell r="T49">
            <v>4309985310750.3408</v>
          </cell>
          <cell r="U49">
            <v>222737.96260307723</v>
          </cell>
          <cell r="V49">
            <v>84010.603136283491</v>
          </cell>
          <cell r="W49">
            <v>590546.8849460351</v>
          </cell>
          <cell r="X49">
            <v>-0.14546362345197525</v>
          </cell>
          <cell r="Y49">
            <v>0.14546362345197525</v>
          </cell>
          <cell r="Z49">
            <v>8.8193241270128464</v>
          </cell>
          <cell r="AA49">
            <v>12.317099298890044</v>
          </cell>
          <cell r="AB49">
            <v>12.470947510698874</v>
          </cell>
          <cell r="AC49" t="str">
            <v>05</v>
          </cell>
          <cell r="AD49">
            <v>11.34204629263078</v>
          </cell>
        </row>
        <row r="50">
          <cell r="F50">
            <v>44</v>
          </cell>
          <cell r="G50">
            <v>11.837246166169384</v>
          </cell>
          <cell r="H50">
            <v>5.2833218718599355E-2</v>
          </cell>
          <cell r="I50">
            <v>5.7609719963423928E-2</v>
          </cell>
          <cell r="J50">
            <v>12.297435335324527</v>
          </cell>
          <cell r="K50">
            <v>0.71710944501440266</v>
          </cell>
          <cell r="L50">
            <v>1.8756284976403914E-2</v>
          </cell>
          <cell r="M50">
            <v>0.569026931673833</v>
          </cell>
          <cell r="N50">
            <v>0.65138502542556864</v>
          </cell>
          <cell r="O50">
            <v>0.42430245134866873</v>
          </cell>
          <cell r="P50">
            <v>12.297435335324527</v>
          </cell>
          <cell r="Q50">
            <v>11.322382329065263</v>
          </cell>
          <cell r="R50">
            <v>13.272488341583792</v>
          </cell>
          <cell r="S50">
            <v>3442126.5868793796</v>
          </cell>
          <cell r="T50">
            <v>11848235440101.887</v>
          </cell>
          <cell r="U50">
            <v>219133.2640390851</v>
          </cell>
          <cell r="V50">
            <v>82651.010469876986</v>
          </cell>
          <cell r="W50">
            <v>580989.71973155194</v>
          </cell>
          <cell r="X50">
            <v>-0.47867676942518445</v>
          </cell>
          <cell r="Y50">
            <v>0.47867676942518445</v>
          </cell>
          <cell r="Z50">
            <v>8.710223990065888</v>
          </cell>
          <cell r="AA50">
            <v>12.311411746316374</v>
          </cell>
          <cell r="AB50">
            <v>12.948820360750096</v>
          </cell>
          <cell r="AC50" t="str">
            <v>06</v>
          </cell>
          <cell r="AD50">
            <v>11.33635874005711</v>
          </cell>
        </row>
        <row r="54">
          <cell r="A54">
            <v>2006</v>
          </cell>
          <cell r="B54">
            <v>2010</v>
          </cell>
          <cell r="C54">
            <v>7.408557997551882</v>
          </cell>
          <cell r="D54">
            <v>12.914653454906349</v>
          </cell>
          <cell r="E54">
            <v>46</v>
          </cell>
          <cell r="F54">
            <v>44</v>
          </cell>
          <cell r="G54">
            <v>11.784019669911206</v>
          </cell>
          <cell r="H54">
            <v>5.8723175614885138E-2</v>
          </cell>
          <cell r="I54">
            <v>5.7952214443093869E-2</v>
          </cell>
        </row>
        <row r="55">
          <cell r="A55">
            <v>2007</v>
          </cell>
          <cell r="B55">
            <v>2011</v>
          </cell>
          <cell r="C55">
            <v>8.8709815958130207</v>
          </cell>
          <cell r="D55">
            <v>12.994531246869743</v>
          </cell>
          <cell r="E55">
            <v>46</v>
          </cell>
          <cell r="F55">
            <v>44</v>
          </cell>
          <cell r="G55">
            <v>11.842421944212461</v>
          </cell>
          <cell r="H55">
            <v>5.2159044365495615E-2</v>
          </cell>
          <cell r="I55">
            <v>5.7540788484476746E-2</v>
          </cell>
        </row>
        <row r="56">
          <cell r="A56">
            <v>2008</v>
          </cell>
          <cell r="B56">
            <v>2012</v>
          </cell>
          <cell r="C56">
            <v>7.1740783512018949</v>
          </cell>
          <cell r="D56">
            <v>13.021024365187404</v>
          </cell>
          <cell r="E56">
            <v>46</v>
          </cell>
          <cell r="F56">
            <v>44</v>
          </cell>
          <cell r="G56">
            <v>11.759583838110553</v>
          </cell>
          <cell r="H56">
            <v>6.1171414018062975E-2</v>
          </cell>
          <cell r="I56">
            <v>5.786119458771221E-2</v>
          </cell>
        </row>
        <row r="57">
          <cell r="A57">
            <v>2009</v>
          </cell>
          <cell r="B57">
            <v>2013</v>
          </cell>
          <cell r="C57">
            <v>7.9676591537960633</v>
          </cell>
          <cell r="D57">
            <v>13.391832272784152</v>
          </cell>
          <cell r="E57">
            <v>46</v>
          </cell>
          <cell r="F57">
            <v>44</v>
          </cell>
          <cell r="G57">
            <v>11.772973028970618</v>
          </cell>
          <cell r="H57">
            <v>5.8879064101300858E-2</v>
          </cell>
          <cell r="I57">
            <v>5.6638839203965133E-2</v>
          </cell>
        </row>
        <row r="58">
          <cell r="A58">
            <v>2010</v>
          </cell>
          <cell r="B58">
            <v>2014</v>
          </cell>
          <cell r="C58">
            <v>7.4053249421928262</v>
          </cell>
          <cell r="D58">
            <v>13.482330279860818</v>
          </cell>
          <cell r="E58">
            <v>46</v>
          </cell>
          <cell r="F58">
            <v>44</v>
          </cell>
          <cell r="G58">
            <v>11.721738231529061</v>
          </cell>
          <cell r="H58">
            <v>6.4328242721367168E-2</v>
          </cell>
          <cell r="I58">
            <v>5.649253434868988E-2</v>
          </cell>
        </row>
        <row r="59">
          <cell r="A59">
            <v>2011</v>
          </cell>
          <cell r="B59">
            <v>2015</v>
          </cell>
          <cell r="C59">
            <v>9.2757161658152754</v>
          </cell>
          <cell r="D59">
            <v>13.237368029643422</v>
          </cell>
          <cell r="E59">
            <v>46</v>
          </cell>
          <cell r="F59">
            <v>44</v>
          </cell>
          <cell r="G59">
            <v>11.858758287346722</v>
          </cell>
          <cell r="H59">
            <v>4.9773471869825309E-2</v>
          </cell>
          <cell r="I59">
            <v>5.7114160813995979E-2</v>
          </cell>
        </row>
        <row r="61">
          <cell r="A61">
            <v>2012</v>
          </cell>
          <cell r="B61">
            <v>2016</v>
          </cell>
          <cell r="C61">
            <v>8.4447883802615316</v>
          </cell>
          <cell r="E61">
            <v>47</v>
          </cell>
          <cell r="F61">
            <v>45</v>
          </cell>
          <cell r="G61">
            <v>11.857334801426518</v>
          </cell>
          <cell r="H61">
            <v>5.2131488858120807E-2</v>
          </cell>
          <cell r="I61">
            <v>5.7481016039627499E-2</v>
          </cell>
        </row>
        <row r="63">
          <cell r="E63" t="str">
            <v>d.f. =</v>
          </cell>
          <cell r="F63">
            <v>44</v>
          </cell>
        </row>
        <row r="64">
          <cell r="E64" t="str">
            <v>d.f. =</v>
          </cell>
          <cell r="F64">
            <v>45</v>
          </cell>
        </row>
      </sheetData>
      <sheetData sheetId="19">
        <row r="1">
          <cell r="G1" t="str">
            <v>Model = Predict untransformed 1.3s from brood year escapement (S)</v>
          </cell>
        </row>
        <row r="2">
          <cell r="G2" t="str">
            <v>X =</v>
          </cell>
          <cell r="H2" t="str">
            <v>S</v>
          </cell>
        </row>
        <row r="3">
          <cell r="G3" t="str">
            <v>Y=</v>
          </cell>
          <cell r="H3" t="str">
            <v>No. 1.3s</v>
          </cell>
        </row>
        <row r="4">
          <cell r="G4" t="str">
            <v>Return Age</v>
          </cell>
          <cell r="H4">
            <v>5</v>
          </cell>
        </row>
        <row r="8">
          <cell r="V8" t="str">
            <v>Graphics Section</v>
          </cell>
        </row>
        <row r="9">
          <cell r="H9" t="str">
            <v xml:space="preserve">          Regression Data</v>
          </cell>
          <cell r="N9" t="str">
            <v xml:space="preserve">       Confidence Intervals (transformed if applicable)</v>
          </cell>
          <cell r="S9" t="str">
            <v>Percent</v>
          </cell>
          <cell r="T9" t="str">
            <v>Absolute</v>
          </cell>
          <cell r="U9" t="str">
            <v>X</v>
          </cell>
          <cell r="V9" t="str">
            <v>(A)</v>
          </cell>
          <cell r="W9" t="str">
            <v>(B)</v>
          </cell>
          <cell r="X9" t="str">
            <v>Labels(B)</v>
          </cell>
          <cell r="Y9" t="str">
            <v>Confidence Bounds</v>
          </cell>
        </row>
        <row r="10">
          <cell r="I10" t="str">
            <v>Std Err</v>
          </cell>
          <cell r="J10" t="str">
            <v>Y est</v>
          </cell>
          <cell r="K10" t="str">
            <v>Std Err</v>
          </cell>
          <cell r="M10" t="str">
            <v>Leave 1 out</v>
          </cell>
          <cell r="P10" t="str">
            <v>Point</v>
          </cell>
          <cell r="Q10" t="str">
            <v>Lower</v>
          </cell>
          <cell r="R10" t="str">
            <v>Upper</v>
          </cell>
          <cell r="S10" t="str">
            <v>Error</v>
          </cell>
          <cell r="T10" t="str">
            <v>Percentage</v>
          </cell>
          <cell r="U10" t="str">
            <v>Brood Yr.</v>
          </cell>
          <cell r="V10" t="str">
            <v>Predicted</v>
          </cell>
          <cell r="W10" t="str">
            <v>Actual</v>
          </cell>
          <cell r="X10" t="str">
            <v>Return</v>
          </cell>
          <cell r="Y10" t="str">
            <v>(C)</v>
          </cell>
          <cell r="Z10" t="str">
            <v>(D)</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(Ye-Yo)/Yo</v>
          </cell>
          <cell r="T11" t="str">
            <v>Error</v>
          </cell>
          <cell r="U11" t="str">
            <v>Escape</v>
          </cell>
          <cell r="V11" t="str">
            <v>Y</v>
          </cell>
          <cell r="W11" t="str">
            <v>Y</v>
          </cell>
          <cell r="X11" t="str">
            <v>Year</v>
          </cell>
          <cell r="Y11" t="str">
            <v>Lower</v>
          </cell>
          <cell r="Z11" t="str">
            <v>Upper</v>
          </cell>
          <cell r="AA11" t="str">
            <v>Forecast</v>
          </cell>
        </row>
        <row r="13">
          <cell r="F13">
            <v>46</v>
          </cell>
          <cell r="G13">
            <v>412159.39918344456</v>
          </cell>
          <cell r="H13">
            <v>1.3130126298813385</v>
          </cell>
          <cell r="I13">
            <v>0.34888851196504433</v>
          </cell>
          <cell r="J13">
            <v>958495.0006825712</v>
          </cell>
          <cell r="K13">
            <v>442352.52207182907</v>
          </cell>
          <cell r="L13">
            <v>0.2354142866193436</v>
          </cell>
          <cell r="M13">
            <v>202092506231.31961</v>
          </cell>
          <cell r="N13">
            <v>-397694.23326787225</v>
          </cell>
          <cell r="O13">
            <v>158160703174.52078</v>
          </cell>
          <cell r="P13">
            <v>958495.0006825712</v>
          </cell>
          <cell r="Q13">
            <v>375156.27176640055</v>
          </cell>
          <cell r="R13">
            <v>1541833.729598742</v>
          </cell>
          <cell r="S13">
            <v>0.70915422441600673</v>
          </cell>
          <cell r="T13">
            <v>0.70915422441600673</v>
          </cell>
          <cell r="U13">
            <v>416093.18072477408</v>
          </cell>
          <cell r="V13">
            <v>947147.53121783433</v>
          </cell>
          <cell r="W13">
            <v>560800.76741469896</v>
          </cell>
          <cell r="X13">
            <v>67</v>
          </cell>
          <cell r="Y13">
            <v>363808.80230166367</v>
          </cell>
          <cell r="Z13">
            <v>1530486.260134005</v>
          </cell>
        </row>
        <row r="14">
          <cell r="F14">
            <v>46</v>
          </cell>
          <cell r="G14">
            <v>418415.32341472292</v>
          </cell>
          <cell r="H14">
            <v>1.2966222720617275</v>
          </cell>
          <cell r="I14">
            <v>0.35666811143271088</v>
          </cell>
          <cell r="J14">
            <v>769809.49327659816</v>
          </cell>
          <cell r="K14">
            <v>444343.74414750689</v>
          </cell>
          <cell r="L14">
            <v>0.22318226886677459</v>
          </cell>
          <cell r="M14">
            <v>203778719203.99255</v>
          </cell>
          <cell r="N14">
            <v>-277889.33136452251</v>
          </cell>
          <cell r="O14">
            <v>77222480486.22139</v>
          </cell>
          <cell r="P14">
            <v>769809.49327659816</v>
          </cell>
          <cell r="Q14">
            <v>186470.76436042751</v>
          </cell>
          <cell r="R14">
            <v>1353148.2221927689</v>
          </cell>
          <cell r="S14">
            <v>0.56490738310943966</v>
          </cell>
          <cell r="T14">
            <v>0.56490738310943966</v>
          </cell>
          <cell r="U14">
            <v>271007.35305366298</v>
          </cell>
          <cell r="V14">
            <v>752562.9774659418</v>
          </cell>
          <cell r="W14">
            <v>491920.16191207565</v>
          </cell>
          <cell r="X14">
            <v>68</v>
          </cell>
          <cell r="Y14">
            <v>169224.24854977115</v>
          </cell>
          <cell r="Z14">
            <v>1335901.7063821126</v>
          </cell>
        </row>
        <row r="15">
          <cell r="F15">
            <v>46</v>
          </cell>
          <cell r="G15">
            <v>372159.87524615205</v>
          </cell>
          <cell r="H15">
            <v>1.3675375209234502</v>
          </cell>
          <cell r="I15">
            <v>0.36016135815432243</v>
          </cell>
          <cell r="J15">
            <v>692150.25227584923</v>
          </cell>
          <cell r="K15">
            <v>445644.41531563352</v>
          </cell>
          <cell r="L15">
            <v>0.23862881126317867</v>
          </cell>
          <cell r="M15">
            <v>204955619096.66055</v>
          </cell>
          <cell r="N15">
            <v>143983.62975754298</v>
          </cell>
          <cell r="O15">
            <v>20731285638.157215</v>
          </cell>
          <cell r="P15">
            <v>692150.25227584923</v>
          </cell>
          <cell r="Q15">
            <v>108811.52335967857</v>
          </cell>
          <cell r="R15">
            <v>1275488.9811920198</v>
          </cell>
          <cell r="S15">
            <v>-0.17220164479806691</v>
          </cell>
          <cell r="T15">
            <v>0.17220164479806691</v>
          </cell>
          <cell r="U15">
            <v>233990.19926972012</v>
          </cell>
          <cell r="V15">
            <v>702916.73381944466</v>
          </cell>
          <cell r="W15">
            <v>836133.8820333922</v>
          </cell>
          <cell r="X15">
            <v>69</v>
          </cell>
          <cell r="Y15">
            <v>119578.00490327401</v>
          </cell>
          <cell r="Z15">
            <v>1286255.4627356152</v>
          </cell>
        </row>
        <row r="16">
          <cell r="F16">
            <v>46</v>
          </cell>
          <cell r="G16">
            <v>371440.2722327892</v>
          </cell>
          <cell r="H16">
            <v>1.3649904704003748</v>
          </cell>
          <cell r="I16">
            <v>0.3520306737066296</v>
          </cell>
          <cell r="J16">
            <v>881350.50766460341</v>
          </cell>
          <cell r="K16">
            <v>444693.67053779768</v>
          </cell>
          <cell r="L16">
            <v>0.24633184462395</v>
          </cell>
          <cell r="M16">
            <v>204131911830.85791</v>
          </cell>
          <cell r="N16">
            <v>245497.9315527596</v>
          </cell>
          <cell r="O16">
            <v>60269234396.683441</v>
          </cell>
          <cell r="P16">
            <v>881350.50766460341</v>
          </cell>
          <cell r="Q16">
            <v>298011.77874843276</v>
          </cell>
          <cell r="R16">
            <v>1464689.2365807742</v>
          </cell>
          <cell r="S16">
            <v>-0.21786242320508231</v>
          </cell>
          <cell r="T16">
            <v>0.21786242320508231</v>
          </cell>
          <cell r="U16">
            <v>373563.22002911044</v>
          </cell>
          <cell r="V16">
            <v>890107.68414323917</v>
          </cell>
          <cell r="W16">
            <v>1126848.439217363</v>
          </cell>
          <cell r="X16">
            <v>70</v>
          </cell>
          <cell r="Y16">
            <v>306768.95522706851</v>
          </cell>
          <cell r="Z16">
            <v>1473446.4130594097</v>
          </cell>
        </row>
        <row r="17">
          <cell r="F17">
            <v>46</v>
          </cell>
          <cell r="G17">
            <v>389468.67018079164</v>
          </cell>
          <cell r="H17">
            <v>1.3406673620560727</v>
          </cell>
          <cell r="I17">
            <v>0.35311366812380329</v>
          </cell>
          <cell r="J17">
            <v>891780.67291544052</v>
          </cell>
          <cell r="K17">
            <v>446111.37359964085</v>
          </cell>
          <cell r="L17">
            <v>0.23859900377177384</v>
          </cell>
          <cell r="M17">
            <v>205386957101.37704</v>
          </cell>
          <cell r="N17">
            <v>-5202.058416194981</v>
          </cell>
          <cell r="O17">
            <v>27061411.765505034</v>
          </cell>
          <cell r="P17">
            <v>891780.67291544052</v>
          </cell>
          <cell r="Q17">
            <v>308441.94399926986</v>
          </cell>
          <cell r="R17">
            <v>1475119.4018316111</v>
          </cell>
          <cell r="S17">
            <v>5.8675658662635244E-3</v>
          </cell>
          <cell r="T17">
            <v>5.8675658662635244E-3</v>
          </cell>
          <cell r="U17">
            <v>374673.10456808144</v>
          </cell>
          <cell r="V17">
            <v>891596.22641644708</v>
          </cell>
          <cell r="W17">
            <v>886578.61449924554</v>
          </cell>
          <cell r="X17">
            <v>71</v>
          </cell>
          <cell r="Y17">
            <v>308257.49750027643</v>
          </cell>
          <cell r="Z17">
            <v>1474934.9553326177</v>
          </cell>
        </row>
        <row r="18">
          <cell r="F18">
            <v>46</v>
          </cell>
          <cell r="G18">
            <v>370605.34623384045</v>
          </cell>
          <cell r="H18">
            <v>1.3710751496081981</v>
          </cell>
          <cell r="I18">
            <v>0.36704526420507305</v>
          </cell>
          <cell r="J18">
            <v>579719.26799191872</v>
          </cell>
          <cell r="K18">
            <v>445755.31616784347</v>
          </cell>
          <cell r="L18">
            <v>0.23273875197067523</v>
          </cell>
          <cell r="M18">
            <v>205045467561.09094</v>
          </cell>
          <cell r="N18">
            <v>128134.92632962135</v>
          </cell>
          <cell r="O18">
            <v>16418559345.49749</v>
          </cell>
          <cell r="P18">
            <v>579719.26799191872</v>
          </cell>
          <cell r="Q18">
            <v>-3619.4609242519364</v>
          </cell>
          <cell r="R18">
            <v>1163057.9969080894</v>
          </cell>
          <cell r="S18">
            <v>-0.18101881341882187</v>
          </cell>
          <cell r="T18">
            <v>0.18101881341882187</v>
          </cell>
          <cell r="U18">
            <v>152518.20574374442</v>
          </cell>
          <cell r="V18">
            <v>593649.05579739832</v>
          </cell>
          <cell r="W18">
            <v>707854.19432154007</v>
          </cell>
          <cell r="X18">
            <v>72</v>
          </cell>
          <cell r="Y18">
            <v>10310.326881227666</v>
          </cell>
          <cell r="Z18">
            <v>1176987.7847135691</v>
          </cell>
        </row>
        <row r="19">
          <cell r="F19">
            <v>46</v>
          </cell>
          <cell r="G19">
            <v>403161.84985085553</v>
          </cell>
          <cell r="H19">
            <v>1.3192789086778525</v>
          </cell>
          <cell r="I19">
            <v>0.36022688384344115</v>
          </cell>
          <cell r="J19">
            <v>712798.94262311293</v>
          </cell>
          <cell r="K19">
            <v>445788.19303575269</v>
          </cell>
          <cell r="L19">
            <v>0.22575668888946079</v>
          </cell>
          <cell r="M19">
            <v>205088457874.02371</v>
          </cell>
          <cell r="N19">
            <v>-119812.45479800855</v>
          </cell>
          <cell r="O19">
            <v>14355024324.724842</v>
          </cell>
          <cell r="P19">
            <v>712798.94262311293</v>
          </cell>
          <cell r="Q19">
            <v>129460.21370694228</v>
          </cell>
          <cell r="R19">
            <v>1296137.6715392836</v>
          </cell>
          <cell r="S19">
            <v>0.20204921572065579</v>
          </cell>
          <cell r="T19">
            <v>0.20204921572065579</v>
          </cell>
          <cell r="U19">
            <v>234701.76831870052</v>
          </cell>
          <cell r="V19">
            <v>703871.06787179178</v>
          </cell>
          <cell r="W19">
            <v>592986.48782510438</v>
          </cell>
          <cell r="X19">
            <v>73</v>
          </cell>
          <cell r="Y19">
            <v>120532.33895562112</v>
          </cell>
          <cell r="Z19">
            <v>1287209.7967879623</v>
          </cell>
        </row>
        <row r="20">
          <cell r="F20">
            <v>46</v>
          </cell>
          <cell r="G20">
            <v>399113.78738906432</v>
          </cell>
          <cell r="H20">
            <v>1.3402925744703369</v>
          </cell>
          <cell r="I20">
            <v>0.34626103274604481</v>
          </cell>
          <cell r="J20">
            <v>1106550.1939669694</v>
          </cell>
          <cell r="K20">
            <v>440851.96993008332</v>
          </cell>
          <cell r="L20">
            <v>0.24568852192230395</v>
          </cell>
          <cell r="M20">
            <v>200823275814.52341</v>
          </cell>
          <cell r="N20">
            <v>-468063.84519714804</v>
          </cell>
          <cell r="O20">
            <v>219083763180.73978</v>
          </cell>
          <cell r="P20">
            <v>1106550.1939669694</v>
          </cell>
          <cell r="Q20">
            <v>523211.46505079872</v>
          </cell>
          <cell r="R20">
            <v>1689888.9228831399</v>
          </cell>
          <cell r="S20">
            <v>0.73308355941982439</v>
          </cell>
          <cell r="T20">
            <v>0.73308355941982439</v>
          </cell>
          <cell r="U20">
            <v>527822.37255732983</v>
          </cell>
          <cell r="V20">
            <v>1096995.2129850755</v>
          </cell>
          <cell r="W20">
            <v>638486.34876982134</v>
          </cell>
          <cell r="X20">
            <v>74</v>
          </cell>
          <cell r="Y20">
            <v>513656.48406890489</v>
          </cell>
          <cell r="Z20">
            <v>1680333.9419012461</v>
          </cell>
        </row>
        <row r="21">
          <cell r="F21">
            <v>46</v>
          </cell>
          <cell r="G21">
            <v>432901.42614374426</v>
          </cell>
          <cell r="H21">
            <v>1.2781703505169144</v>
          </cell>
          <cell r="I21">
            <v>0.35013828487248105</v>
          </cell>
          <cell r="J21">
            <v>854351.88327023096</v>
          </cell>
          <cell r="K21">
            <v>440074.82893750304</v>
          </cell>
          <cell r="L21">
            <v>0.22462265410771401</v>
          </cell>
          <cell r="M21">
            <v>200016734309.00778</v>
          </cell>
          <cell r="N21">
            <v>-507737.88064855733</v>
          </cell>
          <cell r="O21">
            <v>257797755445.48865</v>
          </cell>
          <cell r="P21">
            <v>854351.88327023096</v>
          </cell>
          <cell r="Q21">
            <v>271013.1543540603</v>
          </cell>
          <cell r="R21">
            <v>1437690.6121864016</v>
          </cell>
          <cell r="S21">
            <v>1.4648510354694155</v>
          </cell>
          <cell r="T21">
            <v>1.4648510354694155</v>
          </cell>
          <cell r="U21">
            <v>329729.48946597357</v>
          </cell>
          <cell r="V21">
            <v>831319.26188435708</v>
          </cell>
          <cell r="W21">
            <v>346614.00262167363</v>
          </cell>
          <cell r="X21">
            <v>75</v>
          </cell>
          <cell r="Y21">
            <v>247980.53296818642</v>
          </cell>
          <cell r="Z21">
            <v>1414657.9908005279</v>
          </cell>
        </row>
        <row r="22">
          <cell r="F22">
            <v>46</v>
          </cell>
          <cell r="G22">
            <v>389703.68361180939</v>
          </cell>
          <cell r="H22">
            <v>1.3491976462629678</v>
          </cell>
          <cell r="I22">
            <v>0.34965223452237582</v>
          </cell>
          <cell r="J22">
            <v>1179526.8173300768</v>
          </cell>
          <cell r="K22">
            <v>444753.61110498349</v>
          </cell>
          <cell r="L22">
            <v>0.24453245742928803</v>
          </cell>
          <cell r="M22">
            <v>204201409919.70059</v>
          </cell>
          <cell r="N22">
            <v>-238607.05381910386</v>
          </cell>
          <cell r="O22">
            <v>56933326132.232727</v>
          </cell>
          <cell r="P22">
            <v>1179526.8173300768</v>
          </cell>
          <cell r="Q22">
            <v>596188.08841390617</v>
          </cell>
          <cell r="R22">
            <v>1762865.5462462474</v>
          </cell>
          <cell r="S22">
            <v>0.25358916144853755</v>
          </cell>
          <cell r="T22">
            <v>0.25358916144853755</v>
          </cell>
          <cell r="U22">
            <v>585402.09872581216</v>
          </cell>
          <cell r="V22">
            <v>1174219.3326768242</v>
          </cell>
          <cell r="W22">
            <v>940919.76351097296</v>
          </cell>
          <cell r="X22">
            <v>76</v>
          </cell>
          <cell r="Y22">
            <v>590880.60376065352</v>
          </cell>
          <cell r="Z22">
            <v>1757558.0615929947</v>
          </cell>
        </row>
        <row r="23">
          <cell r="F23">
            <v>46</v>
          </cell>
          <cell r="G23">
            <v>394938.43818530964</v>
          </cell>
          <cell r="H23">
            <v>1.3338742107162707</v>
          </cell>
          <cell r="I23">
            <v>0.35188527493685179</v>
          </cell>
          <cell r="J23">
            <v>939624.29899184103</v>
          </cell>
          <cell r="K23">
            <v>445891.71227701387</v>
          </cell>
          <cell r="L23">
            <v>0.23801993920789161</v>
          </cell>
          <cell r="M23">
            <v>205193445024.49344</v>
          </cell>
          <cell r="N23">
            <v>-96517.568878296297</v>
          </cell>
          <cell r="O23">
            <v>9315641102.1766701</v>
          </cell>
          <cell r="P23">
            <v>939624.29899184103</v>
          </cell>
          <cell r="Q23">
            <v>356285.57007567037</v>
          </cell>
          <cell r="R23">
            <v>1522963.0279080118</v>
          </cell>
          <cell r="S23">
            <v>0.11447847043671193</v>
          </cell>
          <cell r="T23">
            <v>0.11447847043671193</v>
          </cell>
          <cell r="U23">
            <v>408348.74565424217</v>
          </cell>
          <cell r="V23">
            <v>936760.93821664888</v>
          </cell>
          <cell r="W23">
            <v>843106.73011354473</v>
          </cell>
          <cell r="X23">
            <v>77</v>
          </cell>
          <cell r="Y23">
            <v>353422.20930047822</v>
          </cell>
          <cell r="Z23">
            <v>1520099.6671328195</v>
          </cell>
        </row>
        <row r="24">
          <cell r="F24">
            <v>46</v>
          </cell>
          <cell r="G24">
            <v>425493.27573589212</v>
          </cell>
          <cell r="H24">
            <v>1.2991558865687787</v>
          </cell>
          <cell r="I24">
            <v>0.34243956177616525</v>
          </cell>
          <cell r="J24">
            <v>987046.77403676067</v>
          </cell>
          <cell r="K24">
            <v>434650.80071567686</v>
          </cell>
          <cell r="L24">
            <v>0.23832371831454527</v>
          </cell>
          <cell r="M24">
            <v>195451132043.69727</v>
          </cell>
          <cell r="N24">
            <v>-690613.25224787893</v>
          </cell>
          <cell r="O24">
            <v>476946664180.39246</v>
          </cell>
          <cell r="P24">
            <v>987046.77403676067</v>
          </cell>
          <cell r="Q24">
            <v>403708.04512059002</v>
          </cell>
          <cell r="R24">
            <v>1570385.5029529314</v>
          </cell>
          <cell r="S24">
            <v>2.3297407394421801</v>
          </cell>
          <cell r="T24">
            <v>2.3297407394421801</v>
          </cell>
          <cell r="U24">
            <v>432244.89386258059</v>
          </cell>
          <cell r="V24">
            <v>968809.70142217097</v>
          </cell>
          <cell r="W24">
            <v>296433.52178888174</v>
          </cell>
          <cell r="X24">
            <v>78</v>
          </cell>
          <cell r="Y24">
            <v>385470.97250600031</v>
          </cell>
          <cell r="Z24">
            <v>1552148.4303383417</v>
          </cell>
        </row>
        <row r="25">
          <cell r="F25">
            <v>46</v>
          </cell>
          <cell r="G25">
            <v>420469.66159645712</v>
          </cell>
          <cell r="H25">
            <v>1.291676708299301</v>
          </cell>
          <cell r="I25">
            <v>0.36121282054021681</v>
          </cell>
          <cell r="J25">
            <v>691507.97569533647</v>
          </cell>
          <cell r="K25">
            <v>444715.92253451922</v>
          </cell>
          <cell r="L25">
            <v>0.2175190451955987</v>
          </cell>
          <cell r="M25">
            <v>204086394261.4689</v>
          </cell>
          <cell r="N25">
            <v>-249908.13857766276</v>
          </cell>
          <cell r="O25">
            <v>62454077727.352295</v>
          </cell>
          <cell r="P25">
            <v>691507.97569533647</v>
          </cell>
          <cell r="Q25">
            <v>108169.24677916581</v>
          </cell>
          <cell r="R25">
            <v>1274846.7046115072</v>
          </cell>
          <cell r="S25">
            <v>0.56591537761611399</v>
          </cell>
          <cell r="T25">
            <v>0.56591537761611399</v>
          </cell>
          <cell r="U25">
            <v>209834.48285271373</v>
          </cell>
          <cell r="V25">
            <v>670519.84588759625</v>
          </cell>
          <cell r="W25">
            <v>441599.83711767371</v>
          </cell>
          <cell r="X25">
            <v>79</v>
          </cell>
          <cell r="Y25">
            <v>87181.116971425596</v>
          </cell>
          <cell r="Z25">
            <v>1253858.5748037668</v>
          </cell>
        </row>
        <row r="26">
          <cell r="F26">
            <v>46</v>
          </cell>
          <cell r="G26">
            <v>421379.2553689254</v>
          </cell>
          <cell r="H26">
            <v>1.2893662837584294</v>
          </cell>
          <cell r="I26">
            <v>0.36448536748566868</v>
          </cell>
          <cell r="J26">
            <v>643906.38334510557</v>
          </cell>
          <cell r="K26">
            <v>444905.21118509892</v>
          </cell>
          <cell r="L26">
            <v>0.21386190588556744</v>
          </cell>
          <cell r="M26">
            <v>204243066946.64697</v>
          </cell>
          <cell r="N26">
            <v>-234379.58281131549</v>
          </cell>
          <cell r="O26">
            <v>54933788838.806297</v>
          </cell>
          <cell r="P26">
            <v>643906.38334510557</v>
          </cell>
          <cell r="Q26">
            <v>60567.654428934911</v>
          </cell>
          <cell r="R26">
            <v>1227245.1122612762</v>
          </cell>
          <cell r="S26">
            <v>0.57231805709862649</v>
          </cell>
          <cell r="T26">
            <v>0.57231805709862649</v>
          </cell>
          <cell r="U26">
            <v>172586.43317981472</v>
          </cell>
          <cell r="V26">
            <v>620563.93192914035</v>
          </cell>
          <cell r="W26">
            <v>409526.80053379008</v>
          </cell>
          <cell r="X26">
            <v>80</v>
          </cell>
          <cell r="Y26">
            <v>37225.203012969694</v>
          </cell>
          <cell r="Z26">
            <v>1203902.6608453109</v>
          </cell>
        </row>
        <row r="27">
          <cell r="F27">
            <v>46</v>
          </cell>
          <cell r="G27">
            <v>368026.14751192601</v>
          </cell>
          <cell r="H27">
            <v>1.3736836028777883</v>
          </cell>
          <cell r="I27">
            <v>0.35889637965500437</v>
          </cell>
          <cell r="J27">
            <v>709381.67246961955</v>
          </cell>
          <cell r="K27">
            <v>445321.4201713035</v>
          </cell>
          <cell r="L27">
            <v>0.24154888458586563</v>
          </cell>
          <cell r="M27">
            <v>204661610217.54471</v>
          </cell>
          <cell r="N27">
            <v>186664.70431153849</v>
          </cell>
          <cell r="O27">
            <v>34843711835.714096</v>
          </cell>
          <cell r="P27">
            <v>709381.67246961955</v>
          </cell>
          <cell r="Q27">
            <v>126042.94355344889</v>
          </cell>
          <cell r="R27">
            <v>1292720.4013857902</v>
          </cell>
          <cell r="S27">
            <v>-0.20832036058455902</v>
          </cell>
          <cell r="T27">
            <v>0.20832036058455902</v>
          </cell>
          <cell r="U27">
            <v>248496.46908689401</v>
          </cell>
          <cell r="V27">
            <v>722372.08713884652</v>
          </cell>
          <cell r="W27">
            <v>896046.37678115803</v>
          </cell>
          <cell r="X27">
            <v>81</v>
          </cell>
          <cell r="Y27">
            <v>139033.35822267586</v>
          </cell>
          <cell r="Z27">
            <v>1305710.8160550171</v>
          </cell>
        </row>
        <row r="28">
          <cell r="F28">
            <v>46</v>
          </cell>
          <cell r="G28">
            <v>350369.77237797005</v>
          </cell>
          <cell r="H28">
            <v>1.3948629516374873</v>
          </cell>
          <cell r="I28">
            <v>0.34908097247799547</v>
          </cell>
          <cell r="J28">
            <v>848470.34570545983</v>
          </cell>
          <cell r="K28">
            <v>440197.95280950173</v>
          </cell>
          <cell r="L28">
            <v>0.25766385488083171</v>
          </cell>
          <cell r="M28">
            <v>200160193228.49588</v>
          </cell>
          <cell r="N28">
            <v>500910.89757566457</v>
          </cell>
          <cell r="O28">
            <v>250911727310.05792</v>
          </cell>
          <cell r="P28">
            <v>848470.34570545983</v>
          </cell>
          <cell r="Q28">
            <v>265131.61678928917</v>
          </cell>
          <cell r="R28">
            <v>1431809.0746216304</v>
          </cell>
          <cell r="S28">
            <v>-0.37121525148642287</v>
          </cell>
          <cell r="T28">
            <v>0.37121525148642287</v>
          </cell>
          <cell r="U28">
            <v>357096.4249518197</v>
          </cell>
          <cell r="V28">
            <v>868022.93594094133</v>
          </cell>
          <cell r="W28">
            <v>1349381.2432811244</v>
          </cell>
          <cell r="X28">
            <v>82</v>
          </cell>
          <cell r="Y28">
            <v>284684.20702477067</v>
          </cell>
          <cell r="Z28">
            <v>1451361.6648571119</v>
          </cell>
        </row>
        <row r="29">
          <cell r="F29">
            <v>46</v>
          </cell>
          <cell r="G29">
            <v>374665.84456180013</v>
          </cell>
          <cell r="H29">
            <v>1.3636306114071004</v>
          </cell>
          <cell r="I29">
            <v>0.36023554158379656</v>
          </cell>
          <cell r="J29">
            <v>694292.27646788629</v>
          </cell>
          <cell r="K29">
            <v>445771.78118545946</v>
          </cell>
          <cell r="L29">
            <v>0.23751616609501391</v>
          </cell>
          <cell r="M29">
            <v>205073268135.90945</v>
          </cell>
          <cell r="N29">
            <v>122817.47332609864</v>
          </cell>
          <cell r="O29">
            <v>15084131754.206951</v>
          </cell>
          <cell r="P29">
            <v>694292.27646788629</v>
          </cell>
          <cell r="Q29">
            <v>110953.54755171563</v>
          </cell>
          <cell r="R29">
            <v>1277631.0053840568</v>
          </cell>
          <cell r="S29">
            <v>-0.1503071935649577</v>
          </cell>
          <cell r="T29">
            <v>0.1503071935649577</v>
          </cell>
          <cell r="U29">
            <v>234393.70547443983</v>
          </cell>
          <cell r="V29">
            <v>703457.90366381756</v>
          </cell>
          <cell r="W29">
            <v>817109.74979398493</v>
          </cell>
          <cell r="X29">
            <v>83</v>
          </cell>
          <cell r="Y29">
            <v>120119.1747476469</v>
          </cell>
          <cell r="Z29">
            <v>1286796.6325799883</v>
          </cell>
        </row>
        <row r="30">
          <cell r="F30">
            <v>46</v>
          </cell>
          <cell r="G30">
            <v>378966.23084480374</v>
          </cell>
          <cell r="H30">
            <v>1.3463379054568261</v>
          </cell>
          <cell r="I30">
            <v>0.34798686914421167</v>
          </cell>
          <cell r="J30">
            <v>1062506.2229574881</v>
          </cell>
          <cell r="K30">
            <v>442975.76020627539</v>
          </cell>
          <cell r="L30">
            <v>0.24551379743106938</v>
          </cell>
          <cell r="M30">
            <v>202658710880.004</v>
          </cell>
          <cell r="N30">
            <v>361915.57031671121</v>
          </cell>
          <cell r="O30">
            <v>130982880037.67033</v>
          </cell>
          <cell r="P30">
            <v>1062506.2229574881</v>
          </cell>
          <cell r="Q30">
            <v>479167.49404131749</v>
          </cell>
          <cell r="R30">
            <v>1645844.9518736587</v>
          </cell>
          <cell r="S30">
            <v>-0.25407893365967543</v>
          </cell>
          <cell r="T30">
            <v>0.25407893365967543</v>
          </cell>
          <cell r="U30">
            <v>507703.14743589744</v>
          </cell>
          <cell r="V30">
            <v>1070011.9403599761</v>
          </cell>
          <cell r="W30">
            <v>1424421.7932741994</v>
          </cell>
          <cell r="X30">
            <v>84</v>
          </cell>
          <cell r="Y30">
            <v>486673.21144380549</v>
          </cell>
          <cell r="Z30">
            <v>1653350.6692761467</v>
          </cell>
        </row>
        <row r="31">
          <cell r="F31">
            <v>46</v>
          </cell>
          <cell r="G31">
            <v>388221.87476729648</v>
          </cell>
          <cell r="H31">
            <v>1.3492036502384792</v>
          </cell>
          <cell r="I31">
            <v>0.35055446837463361</v>
          </cell>
          <cell r="J31">
            <v>1210218.3697426254</v>
          </cell>
          <cell r="K31">
            <v>445455.14766448253</v>
          </cell>
          <cell r="L31">
            <v>0.24358320133806999</v>
          </cell>
          <cell r="M31">
            <v>204812367763.61072</v>
          </cell>
          <cell r="N31">
            <v>-166154.59555651271</v>
          </cell>
          <cell r="O31">
            <v>27607349624.548313</v>
          </cell>
          <cell r="P31">
            <v>1210218.3697426254</v>
          </cell>
          <cell r="Q31">
            <v>626879.64082645474</v>
          </cell>
          <cell r="R31">
            <v>1793557.0986587959</v>
          </cell>
          <cell r="S31">
            <v>0.15914219003148206</v>
          </cell>
          <cell r="T31">
            <v>0.15914219003148206</v>
          </cell>
          <cell r="U31">
            <v>609245.6797237664</v>
          </cell>
          <cell r="V31">
            <v>1206197.5943913406</v>
          </cell>
          <cell r="W31">
            <v>1044063.7741861127</v>
          </cell>
          <cell r="X31">
            <v>85</v>
          </cell>
          <cell r="Y31">
            <v>622858.86547516997</v>
          </cell>
          <cell r="Z31">
            <v>1789536.3233075114</v>
          </cell>
        </row>
        <row r="32">
          <cell r="F32">
            <v>46</v>
          </cell>
          <cell r="G32">
            <v>343457.61227737716</v>
          </cell>
          <cell r="H32">
            <v>1.4559182540125069</v>
          </cell>
          <cell r="I32">
            <v>0.34695822545619753</v>
          </cell>
          <cell r="J32">
            <v>1478118.8144106697</v>
          </cell>
          <cell r="K32">
            <v>433067.15105957008</v>
          </cell>
          <cell r="L32">
            <v>0.2768249403042744</v>
          </cell>
          <cell r="M32">
            <v>193713702451.33743</v>
          </cell>
          <cell r="N32">
            <v>-748560.80889508605</v>
          </cell>
          <cell r="O32">
            <v>560343284613.66553</v>
          </cell>
          <cell r="P32">
            <v>1478118.8144106697</v>
          </cell>
          <cell r="Q32">
            <v>894780.08549449907</v>
          </cell>
          <cell r="R32">
            <v>2061457.5433268403</v>
          </cell>
          <cell r="S32">
            <v>1.0260470082376425</v>
          </cell>
          <cell r="T32">
            <v>1.0260470082376425</v>
          </cell>
          <cell r="U32">
            <v>779344.03185492684</v>
          </cell>
          <cell r="V32">
            <v>1434328.1601031325</v>
          </cell>
          <cell r="W32">
            <v>729558.00551558367</v>
          </cell>
          <cell r="X32">
            <v>86</v>
          </cell>
          <cell r="Y32">
            <v>850989.43118696183</v>
          </cell>
          <cell r="Z32">
            <v>2017666.889019303</v>
          </cell>
        </row>
        <row r="33">
          <cell r="F33">
            <v>46</v>
          </cell>
          <cell r="G33">
            <v>389931.72733637458</v>
          </cell>
          <cell r="H33">
            <v>1.3334993213370636</v>
          </cell>
          <cell r="I33">
            <v>0.35060089260345217</v>
          </cell>
          <cell r="J33">
            <v>1202378.4300651206</v>
          </cell>
          <cell r="K33">
            <v>445513.84157989366</v>
          </cell>
          <cell r="L33">
            <v>0.23924654083706828</v>
          </cell>
          <cell r="M33">
            <v>204863725406.03201</v>
          </cell>
          <cell r="N33">
            <v>158562.86699075135</v>
          </cell>
          <cell r="O33">
            <v>25142182788.326706</v>
          </cell>
          <cell r="P33">
            <v>1202378.4300651206</v>
          </cell>
          <cell r="Q33">
            <v>619039.70114894991</v>
          </cell>
          <cell r="R33">
            <v>1785717.1589812911</v>
          </cell>
          <cell r="S33">
            <v>-0.11650970349255389</v>
          </cell>
          <cell r="T33">
            <v>0.11650970349255389</v>
          </cell>
          <cell r="U33">
            <v>609259.17976030742</v>
          </cell>
          <cell r="V33">
            <v>1206215.7002162039</v>
          </cell>
          <cell r="W33">
            <v>1360941.2970558719</v>
          </cell>
          <cell r="X33">
            <v>87</v>
          </cell>
          <cell r="Y33">
            <v>622876.97130003327</v>
          </cell>
          <cell r="Z33">
            <v>1789554.4291323745</v>
          </cell>
        </row>
        <row r="34">
          <cell r="F34">
            <v>46</v>
          </cell>
          <cell r="G34">
            <v>363432.80590365827</v>
          </cell>
          <cell r="H34">
            <v>1.4206568972020921</v>
          </cell>
          <cell r="I34">
            <v>0.34079256851123874</v>
          </cell>
          <cell r="J34">
            <v>1343550.9151976942</v>
          </cell>
          <cell r="K34">
            <v>430420.93438839377</v>
          </cell>
          <cell r="L34">
            <v>0.27419535270712808</v>
          </cell>
          <cell r="M34">
            <v>191714430259.35025</v>
          </cell>
          <cell r="N34">
            <v>-810128.60079684062</v>
          </cell>
          <cell r="O34">
            <v>656308349829.04675</v>
          </cell>
          <cell r="P34">
            <v>1343550.9151976942</v>
          </cell>
          <cell r="Q34">
            <v>760212.18628152355</v>
          </cell>
          <cell r="R34">
            <v>1926889.6441138647</v>
          </cell>
          <cell r="S34">
            <v>1.5187377410462981</v>
          </cell>
          <cell r="T34">
            <v>1.5187377410462981</v>
          </cell>
          <cell r="U34">
            <v>689904.86811018642</v>
          </cell>
          <cell r="V34">
            <v>1314375.1636970055</v>
          </cell>
          <cell r="W34">
            <v>533422.31440085359</v>
          </cell>
          <cell r="X34">
            <v>88</v>
          </cell>
          <cell r="Y34">
            <v>731036.43478083482</v>
          </cell>
          <cell r="Z34">
            <v>1897713.8926131763</v>
          </cell>
        </row>
        <row r="35">
          <cell r="F35">
            <v>46</v>
          </cell>
          <cell r="G35">
            <v>345418.40625956026</v>
          </cell>
          <cell r="H35">
            <v>1.4444351523545367</v>
          </cell>
          <cell r="I35">
            <v>0.35578773174348788</v>
          </cell>
          <cell r="J35">
            <v>1555092.0210614873</v>
          </cell>
          <cell r="K35">
            <v>439368.34615002474</v>
          </cell>
          <cell r="L35">
            <v>0.26378987183068592</v>
          </cell>
          <cell r="M35">
            <v>199178094108.81863</v>
          </cell>
          <cell r="N35">
            <v>-545941.83303220675</v>
          </cell>
          <cell r="O35">
            <v>298052485054.56592</v>
          </cell>
          <cell r="P35">
            <v>1555092.0210614873</v>
          </cell>
          <cell r="Q35">
            <v>971753.29214531661</v>
          </cell>
          <cell r="R35">
            <v>2138430.749977658</v>
          </cell>
          <cell r="S35">
            <v>0.54099165764250567</v>
          </cell>
          <cell r="T35">
            <v>0.54099165764250567</v>
          </cell>
          <cell r="U35">
            <v>837471.73615241167</v>
          </cell>
          <cell r="V35">
            <v>1512287.2108450693</v>
          </cell>
          <cell r="W35">
            <v>1009150.1880292805</v>
          </cell>
          <cell r="X35">
            <v>89</v>
          </cell>
          <cell r="Y35">
            <v>928948.4819288986</v>
          </cell>
          <cell r="Z35">
            <v>2095625.93976124</v>
          </cell>
        </row>
        <row r="36">
          <cell r="F36">
            <v>46</v>
          </cell>
          <cell r="G36">
            <v>378747.37617094419</v>
          </cell>
          <cell r="H36">
            <v>1.3845324906437444</v>
          </cell>
          <cell r="I36">
            <v>0.34454172009129358</v>
          </cell>
          <cell r="J36">
            <v>1270484.9015030726</v>
          </cell>
          <cell r="K36">
            <v>436890.20847219735</v>
          </cell>
          <cell r="L36">
            <v>0.25983310954780808</v>
          </cell>
          <cell r="M36">
            <v>197356535349.01865</v>
          </cell>
          <cell r="N36">
            <v>-620876.24010342488</v>
          </cell>
          <cell r="O36">
            <v>385487305524.9657</v>
          </cell>
          <cell r="P36">
            <v>1270484.9015030726</v>
          </cell>
          <cell r="Q36">
            <v>687146.17258690193</v>
          </cell>
          <cell r="R36">
            <v>1853823.6304192431</v>
          </cell>
          <cell r="S36">
            <v>0.95576964562892996</v>
          </cell>
          <cell r="T36">
            <v>0.95576964562892996</v>
          </cell>
          <cell r="U36">
            <v>644071.2163551402</v>
          </cell>
          <cell r="V36">
            <v>1252904.5099692526</v>
          </cell>
          <cell r="W36">
            <v>649608.66139964771</v>
          </cell>
          <cell r="X36">
            <v>90</v>
          </cell>
          <cell r="Y36">
            <v>669565.78105308197</v>
          </cell>
          <cell r="Z36">
            <v>1836243.2388854232</v>
          </cell>
        </row>
        <row r="37">
          <cell r="F37">
            <v>46</v>
          </cell>
          <cell r="G37">
            <v>383404.94069678942</v>
          </cell>
          <cell r="H37">
            <v>1.3436406991640419</v>
          </cell>
          <cell r="I37">
            <v>0.34956578967325086</v>
          </cell>
          <cell r="J37">
            <v>1071592.1851255423</v>
          </cell>
          <cell r="K37">
            <v>445011.92577452341</v>
          </cell>
          <cell r="L37">
            <v>0.24310176579991255</v>
          </cell>
          <cell r="M37">
            <v>204428273300.4252</v>
          </cell>
          <cell r="N37">
            <v>214578.38627748471</v>
          </cell>
          <cell r="O37">
            <v>46043883857.44944</v>
          </cell>
          <cell r="P37">
            <v>1071592.1851255423</v>
          </cell>
          <cell r="Q37">
            <v>488253.45620937168</v>
          </cell>
          <cell r="R37">
            <v>1654930.9140417129</v>
          </cell>
          <cell r="S37">
            <v>-0.16683509252074596</v>
          </cell>
          <cell r="T37">
            <v>0.16683509252074596</v>
          </cell>
          <cell r="U37">
            <v>512181.00557456672</v>
          </cell>
          <cell r="V37">
            <v>1076017.503009778</v>
          </cell>
          <cell r="W37">
            <v>1286170.571403027</v>
          </cell>
          <cell r="X37">
            <v>91</v>
          </cell>
          <cell r="Y37">
            <v>492678.77409360732</v>
          </cell>
          <cell r="Z37">
            <v>1659356.2319259485</v>
          </cell>
        </row>
        <row r="38">
          <cell r="F38">
            <v>46</v>
          </cell>
          <cell r="G38">
            <v>388883.14408628712</v>
          </cell>
          <cell r="H38">
            <v>1.3412831459068832</v>
          </cell>
          <cell r="I38">
            <v>0.3504585869277369</v>
          </cell>
          <cell r="J38">
            <v>1067571.0664402493</v>
          </cell>
          <cell r="K38">
            <v>446110.67789464025</v>
          </cell>
          <cell r="L38">
            <v>0.24152030609900138</v>
          </cell>
          <cell r="M38">
            <v>205386358056.78149</v>
          </cell>
          <cell r="N38">
            <v>7470.9806818477809</v>
          </cell>
          <cell r="O38">
            <v>55815552.348542735</v>
          </cell>
          <cell r="P38">
            <v>1067571.0664402493</v>
          </cell>
          <cell r="Q38">
            <v>484232.33752407867</v>
          </cell>
          <cell r="R38">
            <v>1650909.7953564199</v>
          </cell>
          <cell r="S38">
            <v>-6.9494776523836461E-3</v>
          </cell>
          <cell r="T38">
            <v>6.9494776523836461E-3</v>
          </cell>
          <cell r="U38">
            <v>505998.99389258347</v>
          </cell>
          <cell r="V38">
            <v>1067726.3831689446</v>
          </cell>
          <cell r="W38">
            <v>1075042.0471220971</v>
          </cell>
          <cell r="X38">
            <v>92</v>
          </cell>
          <cell r="Y38">
            <v>484387.65425277397</v>
          </cell>
          <cell r="Z38">
            <v>1651065.1120851152</v>
          </cell>
        </row>
        <row r="39">
          <cell r="F39">
            <v>46</v>
          </cell>
          <cell r="G39">
            <v>380106.31529756961</v>
          </cell>
          <cell r="H39">
            <v>1.3472677582388179</v>
          </cell>
          <cell r="I39">
            <v>0.34903529711332276</v>
          </cell>
          <cell r="J39">
            <v>1048054.6920832726</v>
          </cell>
          <cell r="K39">
            <v>444213.19874069223</v>
          </cell>
          <cell r="L39">
            <v>0.24465609269989369</v>
          </cell>
          <cell r="M39">
            <v>203732366770.69644</v>
          </cell>
          <cell r="N39">
            <v>281864.14685878297</v>
          </cell>
          <cell r="O39">
            <v>79447397284.429581</v>
          </cell>
          <cell r="P39">
            <v>1048054.6920832726</v>
          </cell>
          <cell r="Q39">
            <v>464715.96316710196</v>
          </cell>
          <cell r="R39">
            <v>1631393.4209994432</v>
          </cell>
          <cell r="S39">
            <v>-0.21194086331088041</v>
          </cell>
          <cell r="T39">
            <v>0.21194086331088041</v>
          </cell>
          <cell r="U39">
            <v>495779.97595582763</v>
          </cell>
          <cell r="V39">
            <v>1054020.957374264</v>
          </cell>
          <cell r="W39">
            <v>1329918.8389420556</v>
          </cell>
          <cell r="X39">
            <v>93</v>
          </cell>
          <cell r="Y39">
            <v>470682.22845809336</v>
          </cell>
          <cell r="Z39">
            <v>1637359.6862904346</v>
          </cell>
        </row>
        <row r="40">
          <cell r="F40">
            <v>46</v>
          </cell>
          <cell r="G40">
            <v>388433.97475178121</v>
          </cell>
          <cell r="H40">
            <v>1.3359927391083999</v>
          </cell>
          <cell r="I40">
            <v>0.350146547989724</v>
          </cell>
          <cell r="J40">
            <v>1164735.7732602395</v>
          </cell>
          <cell r="K40">
            <v>445446.1698764399</v>
          </cell>
          <cell r="L40">
            <v>0.240400487119586</v>
          </cell>
          <cell r="M40">
            <v>204805845208.98645</v>
          </cell>
          <cell r="N40">
            <v>167094.08202120755</v>
          </cell>
          <cell r="O40">
            <v>27920432246.510036</v>
          </cell>
          <cell r="P40">
            <v>1164735.7732602395</v>
          </cell>
          <cell r="Q40">
            <v>581397.04434406885</v>
          </cell>
          <cell r="R40">
            <v>1748074.5021764101</v>
          </cell>
          <cell r="S40">
            <v>-0.12546203357627586</v>
          </cell>
          <cell r="T40">
            <v>0.12546203357627586</v>
          </cell>
          <cell r="U40">
            <v>581067.37842492911</v>
          </cell>
          <cell r="V40">
            <v>1168405.7419979423</v>
          </cell>
          <cell r="W40">
            <v>1331829.8552814471</v>
          </cell>
          <cell r="X40">
            <v>94</v>
          </cell>
          <cell r="Y40">
            <v>585067.01308177167</v>
          </cell>
          <cell r="Z40">
            <v>1751744.4709141129</v>
          </cell>
          <cell r="AC40" t="str">
            <v>R2     =</v>
          </cell>
          <cell r="AD40">
            <v>0.24160000000000001</v>
          </cell>
        </row>
        <row r="41">
          <cell r="F41">
            <v>46</v>
          </cell>
          <cell r="G41">
            <v>387673.34618080768</v>
          </cell>
          <cell r="H41">
            <v>1.3501545755533193</v>
          </cell>
          <cell r="I41">
            <v>0.35076154824535677</v>
          </cell>
          <cell r="J41">
            <v>1224320.9584894152</v>
          </cell>
          <cell r="K41">
            <v>445472.69594564737</v>
          </cell>
          <cell r="L41">
            <v>0.24362521660262657</v>
          </cell>
          <cell r="M41">
            <v>204827104739.50476</v>
          </cell>
          <cell r="N41">
            <v>-164012.1177889891</v>
          </cell>
          <cell r="O41">
            <v>26899974781.629234</v>
          </cell>
          <cell r="P41">
            <v>1224320.9584894152</v>
          </cell>
          <cell r="Q41">
            <v>640982.22957324458</v>
          </cell>
          <cell r="R41">
            <v>1807659.6874055858</v>
          </cell>
          <cell r="S41">
            <v>0.15468334460047023</v>
          </cell>
          <cell r="T41">
            <v>0.15468334460047023</v>
          </cell>
          <cell r="U41">
            <v>619668.01983819774</v>
          </cell>
          <cell r="V41">
            <v>1220175.7095027235</v>
          </cell>
          <cell r="W41">
            <v>1060308.8407004261</v>
          </cell>
          <cell r="X41">
            <v>95</v>
          </cell>
          <cell r="Y41">
            <v>636836.98058655288</v>
          </cell>
          <cell r="Z41">
            <v>1803514.4384188941</v>
          </cell>
          <cell r="AC41" t="str">
            <v>SLOPE =</v>
          </cell>
          <cell r="AD41">
            <v>1.34117</v>
          </cell>
        </row>
        <row r="42">
          <cell r="F42">
            <v>46</v>
          </cell>
          <cell r="G42">
            <v>381946.99190297781</v>
          </cell>
          <cell r="H42">
            <v>1.3220854789576686</v>
          </cell>
          <cell r="I42">
            <v>0.33683682672325649</v>
          </cell>
          <cell r="J42">
            <v>1132084.9687997303</v>
          </cell>
          <cell r="K42">
            <v>428674.24538659537</v>
          </cell>
          <cell r="L42">
            <v>0.25088322620562364</v>
          </cell>
          <cell r="M42">
            <v>190451690005.64212</v>
          </cell>
          <cell r="N42">
            <v>846711.21523636184</v>
          </cell>
          <cell r="O42">
            <v>716919882007.03662</v>
          </cell>
          <cell r="P42">
            <v>1132084.9687997303</v>
          </cell>
          <cell r="Q42">
            <v>548746.23988355964</v>
          </cell>
          <cell r="R42">
            <v>1715423.6977159008</v>
          </cell>
          <cell r="S42">
            <v>-0.42789208007736806</v>
          </cell>
          <cell r="T42">
            <v>0.42789208007736806</v>
          </cell>
          <cell r="U42">
            <v>567389.92208594619</v>
          </cell>
          <cell r="V42">
            <v>1150061.967275748</v>
          </cell>
          <cell r="W42">
            <v>1978796.1840360921</v>
          </cell>
          <cell r="X42">
            <v>96</v>
          </cell>
          <cell r="Y42">
            <v>566723.23835957737</v>
          </cell>
          <cell r="Z42">
            <v>1733400.6961919186</v>
          </cell>
          <cell r="AC42" t="str">
            <v>Avg Error  =</v>
          </cell>
          <cell r="AD42">
            <v>0.1918788924971932</v>
          </cell>
        </row>
        <row r="43">
          <cell r="F43">
            <v>46</v>
          </cell>
          <cell r="G43">
            <v>374956.27078644128</v>
          </cell>
          <cell r="H43">
            <v>1.3201643623586621</v>
          </cell>
          <cell r="I43">
            <v>0.32040248597017384</v>
          </cell>
          <cell r="J43">
            <v>1112045.0129381542</v>
          </cell>
          <cell r="K43">
            <v>407833.64255070197</v>
          </cell>
          <cell r="L43">
            <v>0.26957610592402287</v>
          </cell>
          <cell r="M43">
            <v>173394033845.79785</v>
          </cell>
          <cell r="N43">
            <v>1239228.5413431872</v>
          </cell>
          <cell r="O43">
            <v>1535687377679.5635</v>
          </cell>
          <cell r="P43">
            <v>1112045.0129381542</v>
          </cell>
          <cell r="Q43">
            <v>528706.28402198351</v>
          </cell>
          <cell r="R43">
            <v>1695383.7418543249</v>
          </cell>
          <cell r="S43">
            <v>-0.52704566811748665</v>
          </cell>
          <cell r="T43">
            <v>0.52704566811748665</v>
          </cell>
          <cell r="U43">
            <v>558331.04056437232</v>
          </cell>
          <cell r="V43">
            <v>1137912.4799918314</v>
          </cell>
          <cell r="W43">
            <v>2351273.5542813414</v>
          </cell>
          <cell r="X43">
            <v>97</v>
          </cell>
          <cell r="Y43">
            <v>554573.75107566069</v>
          </cell>
          <cell r="Z43">
            <v>1721251.2089080019</v>
          </cell>
        </row>
        <row r="44">
          <cell r="F44">
            <v>46</v>
          </cell>
          <cell r="G44">
            <v>384861.22684586211</v>
          </cell>
          <cell r="H44">
            <v>1.3574957480453653</v>
          </cell>
          <cell r="I44">
            <v>0.35116040431950257</v>
          </cell>
          <cell r="J44">
            <v>1270927.3557115959</v>
          </cell>
          <cell r="K44">
            <v>444995.39830238296</v>
          </cell>
          <cell r="L44">
            <v>0.24520829696161378</v>
          </cell>
          <cell r="M44">
            <v>204404903619.80493</v>
          </cell>
          <cell r="N44">
            <v>-217176.49165419838</v>
          </cell>
          <cell r="O44">
            <v>47165628527.226097</v>
          </cell>
          <cell r="P44">
            <v>1270927.3557115959</v>
          </cell>
          <cell r="Q44">
            <v>687588.6267954252</v>
          </cell>
          <cell r="R44">
            <v>1854266.0846277666</v>
          </cell>
          <cell r="S44">
            <v>0.20609851821897898</v>
          </cell>
          <cell r="T44">
            <v>0.20609851821897898</v>
          </cell>
          <cell r="U44">
            <v>652721.10807092034</v>
          </cell>
          <cell r="V44">
            <v>1264505.4729753202</v>
          </cell>
          <cell r="W44">
            <v>1053750.8640573975</v>
          </cell>
          <cell r="X44">
            <v>98</v>
          </cell>
          <cell r="Y44">
            <v>681166.74405914953</v>
          </cell>
          <cell r="Z44">
            <v>1847844.2018914907</v>
          </cell>
        </row>
        <row r="45">
          <cell r="F45">
            <v>46</v>
          </cell>
          <cell r="G45">
            <v>386279.67959905346</v>
          </cell>
          <cell r="H45">
            <v>1.3616313663773998</v>
          </cell>
          <cell r="I45">
            <v>0.34825545758152476</v>
          </cell>
          <cell r="J45">
            <v>1223668.377857273</v>
          </cell>
          <cell r="K45">
            <v>442403.15994393162</v>
          </cell>
          <cell r="L45">
            <v>0.2494334123107767</v>
          </cell>
          <cell r="M45">
            <v>202149230572.18326</v>
          </cell>
          <cell r="N45">
            <v>-394256.17916915775</v>
          </cell>
          <cell r="O45">
            <v>155437934813.06302</v>
          </cell>
          <cell r="P45">
            <v>1223668.377857273</v>
          </cell>
          <cell r="Q45">
            <v>640329.64894110232</v>
          </cell>
          <cell r="R45">
            <v>1807007.1067734435</v>
          </cell>
          <cell r="S45">
            <v>0.47534408077522178</v>
          </cell>
          <cell r="T45">
            <v>0.47534408077522178</v>
          </cell>
          <cell r="U45">
            <v>614989.28339619539</v>
          </cell>
          <cell r="V45">
            <v>1213900.7351837051</v>
          </cell>
          <cell r="W45">
            <v>829412.19868811523</v>
          </cell>
          <cell r="X45">
            <v>99</v>
          </cell>
          <cell r="Y45">
            <v>630562.00626753445</v>
          </cell>
          <cell r="Z45">
            <v>1797239.4640998757</v>
          </cell>
        </row>
        <row r="46">
          <cell r="F46">
            <v>46</v>
          </cell>
          <cell r="G46">
            <v>392680.31668695982</v>
          </cell>
          <cell r="H46">
            <v>1.3409443680528415</v>
          </cell>
          <cell r="I46">
            <v>0.34985116659782922</v>
          </cell>
          <cell r="J46">
            <v>1101658.2834061906</v>
          </cell>
          <cell r="K46">
            <v>445423.49792080227</v>
          </cell>
          <cell r="L46">
            <v>0.2420637323863408</v>
          </cell>
          <cell r="M46">
            <v>204787007579.61816</v>
          </cell>
          <cell r="N46">
            <v>-169778.20371352322</v>
          </cell>
          <cell r="O46">
            <v>28824638456.19059</v>
          </cell>
          <cell r="P46">
            <v>1101658.2834061906</v>
          </cell>
          <cell r="Q46">
            <v>518319.55449001992</v>
          </cell>
          <cell r="R46">
            <v>1684997.0123223611</v>
          </cell>
          <cell r="S46">
            <v>0.18218889684766715</v>
          </cell>
          <cell r="T46">
            <v>0.18218889684766715</v>
          </cell>
          <cell r="U46">
            <v>528715.42146727804</v>
          </cell>
          <cell r="V46">
            <v>1098192.9421252008</v>
          </cell>
          <cell r="W46">
            <v>931880.07969266735</v>
          </cell>
          <cell r="X46" t="str">
            <v>00</v>
          </cell>
          <cell r="Y46">
            <v>514854.2132090301</v>
          </cell>
          <cell r="Z46">
            <v>1681531.6710413713</v>
          </cell>
        </row>
        <row r="47">
          <cell r="F47">
            <v>46</v>
          </cell>
          <cell r="G47">
            <v>399382.21754217881</v>
          </cell>
          <cell r="H47">
            <v>1.3070069845918919</v>
          </cell>
          <cell r="I47">
            <v>0.34993555693964667</v>
          </cell>
          <cell r="J47">
            <v>1281398.0136705698</v>
          </cell>
          <cell r="K47">
            <v>442613.80620264134</v>
          </cell>
          <cell r="L47">
            <v>0.23269615735714336</v>
          </cell>
          <cell r="M47">
            <v>202305813706.23438</v>
          </cell>
          <cell r="N47">
            <v>384606.21989069646</v>
          </cell>
          <cell r="O47">
            <v>147921944378.61075</v>
          </cell>
          <cell r="P47">
            <v>1281398.0136705698</v>
          </cell>
          <cell r="Q47">
            <v>698059.28475439909</v>
          </cell>
          <cell r="R47">
            <v>1864736.7425867403</v>
          </cell>
          <cell r="S47">
            <v>-0.23085548772499731</v>
          </cell>
          <cell r="T47">
            <v>0.23085548772499731</v>
          </cell>
          <cell r="U47">
            <v>674836.32951188635</v>
          </cell>
          <cell r="V47">
            <v>1294165.7131537721</v>
          </cell>
          <cell r="W47">
            <v>1666004.2335612662</v>
          </cell>
          <cell r="X47" t="str">
            <v>01</v>
          </cell>
          <cell r="Y47">
            <v>710826.9842376014</v>
          </cell>
          <cell r="Z47">
            <v>1877504.4420699426</v>
          </cell>
        </row>
        <row r="48">
          <cell r="F48">
            <v>46</v>
          </cell>
          <cell r="G48">
            <v>349970.45007685374</v>
          </cell>
          <cell r="H48">
            <v>1.4298252716259863</v>
          </cell>
          <cell r="I48">
            <v>0.36377779771523677</v>
          </cell>
          <cell r="J48">
            <v>1637288.9073035582</v>
          </cell>
          <cell r="K48">
            <v>442799.17103825597</v>
          </cell>
          <cell r="L48">
            <v>0.25140878673923006</v>
          </cell>
          <cell r="M48">
            <v>202235640662.08859</v>
          </cell>
          <cell r="N48">
            <v>-388960.47420992493</v>
          </cell>
          <cell r="O48">
            <v>151290250497.60968</v>
          </cell>
          <cell r="P48">
            <v>1637288.9073035582</v>
          </cell>
          <cell r="Q48">
            <v>1053950.1783873877</v>
          </cell>
          <cell r="R48">
            <v>2220627.6362197287</v>
          </cell>
          <cell r="S48">
            <v>0.31158504757117089</v>
          </cell>
          <cell r="T48">
            <v>0.31158504757117089</v>
          </cell>
          <cell r="U48">
            <v>900332.70692073856</v>
          </cell>
          <cell r="V48">
            <v>1596594.3698674745</v>
          </cell>
          <cell r="W48">
            <v>1248328.4330936333</v>
          </cell>
          <cell r="X48" t="str">
            <v>02</v>
          </cell>
          <cell r="Y48">
            <v>1013255.6409513039</v>
          </cell>
          <cell r="Z48">
            <v>2179933.0987836453</v>
          </cell>
        </row>
        <row r="49">
          <cell r="F49">
            <v>46</v>
          </cell>
          <cell r="G49">
            <v>391405.58410166646</v>
          </cell>
          <cell r="H49">
            <v>1.3303963512665864</v>
          </cell>
          <cell r="I49">
            <v>0.35108133545482412</v>
          </cell>
          <cell r="J49">
            <v>1236713.8783968291</v>
          </cell>
          <cell r="K49">
            <v>445449.98684816598</v>
          </cell>
          <cell r="L49">
            <v>0.23790262788366179</v>
          </cell>
          <cell r="M49">
            <v>204806095058.82507</v>
          </cell>
          <cell r="N49">
            <v>167058.19182027457</v>
          </cell>
          <cell r="O49">
            <v>27908439454.259655</v>
          </cell>
          <cell r="P49">
            <v>1236713.8783968291</v>
          </cell>
          <cell r="Q49">
            <v>653375.14948065847</v>
          </cell>
          <cell r="R49">
            <v>1820052.6073129997</v>
          </cell>
          <cell r="S49">
            <v>-0.11900663602349475</v>
          </cell>
          <cell r="T49">
            <v>0.11900663602349475</v>
          </cell>
          <cell r="U49">
            <v>635380.79722662957</v>
          </cell>
          <cell r="V49">
            <v>1241249.1928705247</v>
          </cell>
          <cell r="W49">
            <v>1403772.0702171037</v>
          </cell>
          <cell r="X49" t="str">
            <v>03</v>
          </cell>
          <cell r="Y49">
            <v>657910.46395435405</v>
          </cell>
          <cell r="Z49">
            <v>1824587.9217866953</v>
          </cell>
        </row>
        <row r="50">
          <cell r="F50">
            <v>46</v>
          </cell>
          <cell r="G50">
            <v>383903.02373799484</v>
          </cell>
          <cell r="H50">
            <v>1.3618942888813301</v>
          </cell>
          <cell r="I50">
            <v>0.35042325607417751</v>
          </cell>
          <cell r="J50">
            <v>1267618.5231673345</v>
          </cell>
          <cell r="K50">
            <v>444191.07866173313</v>
          </cell>
          <cell r="L50">
            <v>0.24718897429303902</v>
          </cell>
          <cell r="M50">
            <v>203699615532.37012</v>
          </cell>
          <cell r="N50">
            <v>-284639.1693426877</v>
          </cell>
          <cell r="O50">
            <v>81019456724.095245</v>
          </cell>
          <cell r="P50">
            <v>1267618.5231673345</v>
          </cell>
          <cell r="Q50">
            <v>684279.79425116384</v>
          </cell>
          <cell r="R50">
            <v>1850957.252083505</v>
          </cell>
          <cell r="S50">
            <v>0.28956780041736702</v>
          </cell>
          <cell r="T50">
            <v>0.28956780041736702</v>
          </cell>
          <cell r="U50">
            <v>648887</v>
          </cell>
          <cell r="V50">
            <v>1259363.2876909808</v>
          </cell>
          <cell r="W50">
            <v>982979.35382464679</v>
          </cell>
          <cell r="X50" t="str">
            <v>04</v>
          </cell>
          <cell r="Y50">
            <v>676024.55877481017</v>
          </cell>
          <cell r="Z50">
            <v>1842702.0166071514</v>
          </cell>
        </row>
        <row r="54">
          <cell r="A54">
            <v>2003</v>
          </cell>
          <cell r="B54">
            <v>2008</v>
          </cell>
          <cell r="C54">
            <v>653564</v>
          </cell>
          <cell r="D54">
            <v>794395.66023067036</v>
          </cell>
          <cell r="E54">
            <v>48</v>
          </cell>
          <cell r="F54">
            <v>46</v>
          </cell>
          <cell r="G54">
            <v>379491.35464233987</v>
          </cell>
          <cell r="H54">
            <v>1.3779329030533141</v>
          </cell>
          <cell r="I54">
            <v>0.34763605062343678</v>
          </cell>
        </row>
        <row r="55">
          <cell r="A55">
            <v>2004</v>
          </cell>
          <cell r="B55">
            <v>2009</v>
          </cell>
          <cell r="C55">
            <v>586275</v>
          </cell>
          <cell r="D55">
            <v>932763.60471029556</v>
          </cell>
          <cell r="E55">
            <v>48</v>
          </cell>
          <cell r="F55">
            <v>46</v>
          </cell>
          <cell r="G55">
            <v>389657.05807969312</v>
          </cell>
          <cell r="H55">
            <v>1.3496527728269432</v>
          </cell>
          <cell r="I55">
            <v>0.34957551176183632</v>
          </cell>
        </row>
        <row r="56">
          <cell r="A56">
            <v>2005</v>
          </cell>
          <cell r="B56">
            <v>2010</v>
          </cell>
          <cell r="C56">
            <v>633006.30056050722</v>
          </cell>
          <cell r="D56">
            <v>714642.19316651835</v>
          </cell>
          <cell r="E56">
            <v>48</v>
          </cell>
          <cell r="F56">
            <v>46</v>
          </cell>
          <cell r="G56">
            <v>382080.11690332415</v>
          </cell>
          <cell r="H56">
            <v>1.3750630338778616</v>
          </cell>
          <cell r="I56">
            <v>0.34610074909568006</v>
          </cell>
        </row>
        <row r="57">
          <cell r="A57">
            <v>2006</v>
          </cell>
          <cell r="B57">
            <v>2011</v>
          </cell>
          <cell r="C57">
            <v>777091</v>
          </cell>
          <cell r="D57">
            <v>1818669.0880703053</v>
          </cell>
          <cell r="E57">
            <v>48</v>
          </cell>
          <cell r="F57">
            <v>46</v>
          </cell>
          <cell r="G57">
            <v>413859.22416745103</v>
          </cell>
          <cell r="H57">
            <v>1.2787162155616174</v>
          </cell>
          <cell r="I57">
            <v>0.35415759820857695</v>
          </cell>
        </row>
        <row r="58">
          <cell r="A58">
            <v>2007</v>
          </cell>
          <cell r="B58">
            <v>2012</v>
          </cell>
          <cell r="C58">
            <v>786932</v>
          </cell>
          <cell r="D58">
            <v>2058531.7061345642</v>
          </cell>
          <cell r="E58">
            <v>48</v>
          </cell>
          <cell r="F58">
            <v>46</v>
          </cell>
          <cell r="G58">
            <v>430583.70242890751</v>
          </cell>
          <cell r="H58">
            <v>1.237881609392308</v>
          </cell>
          <cell r="I58">
            <v>0.3499239122949539</v>
          </cell>
        </row>
        <row r="59">
          <cell r="A59">
            <v>2008</v>
          </cell>
          <cell r="B59">
            <v>2013</v>
          </cell>
          <cell r="C59">
            <v>615240</v>
          </cell>
          <cell r="D59">
            <v>1435497.7006928134</v>
          </cell>
          <cell r="E59">
            <v>48</v>
          </cell>
          <cell r="F59">
            <v>46</v>
          </cell>
          <cell r="G59">
            <v>390736.05120054109</v>
          </cell>
          <cell r="H59">
            <v>1.3293575043835417</v>
          </cell>
          <cell r="I59">
            <v>0.35021552394337829</v>
          </cell>
        </row>
        <row r="60">
          <cell r="A60">
            <v>2009</v>
          </cell>
          <cell r="B60">
            <v>2014</v>
          </cell>
          <cell r="C60">
            <v>605329</v>
          </cell>
          <cell r="D60">
            <v>1847422.3857767002</v>
          </cell>
          <cell r="E60">
            <v>48</v>
          </cell>
          <cell r="F60">
            <v>46</v>
          </cell>
          <cell r="G60">
            <v>391732.77519282699</v>
          </cell>
          <cell r="H60">
            <v>1.3107425663751073</v>
          </cell>
          <cell r="I60">
            <v>0.34269903981840361</v>
          </cell>
        </row>
        <row r="61">
          <cell r="A61">
            <v>2010</v>
          </cell>
          <cell r="B61">
            <v>2015</v>
          </cell>
          <cell r="C61">
            <v>668239</v>
          </cell>
          <cell r="D61">
            <v>1727384.8137263055</v>
          </cell>
          <cell r="E61">
            <v>48</v>
          </cell>
          <cell r="F61">
            <v>46</v>
          </cell>
          <cell r="G61">
            <v>400323.68093528482</v>
          </cell>
          <cell r="H61">
            <v>1.3024617318102203</v>
          </cell>
          <cell r="I61">
            <v>0.34858405521109825</v>
          </cell>
        </row>
        <row r="63">
          <cell r="A63">
            <v>2011</v>
          </cell>
          <cell r="B63">
            <v>2016</v>
          </cell>
          <cell r="C63">
            <v>759798</v>
          </cell>
          <cell r="E63">
            <v>49</v>
          </cell>
          <cell r="F63">
            <v>47</v>
          </cell>
          <cell r="G63">
            <v>389096.43008566508</v>
          </cell>
          <cell r="H63">
            <v>1.3411685819030368</v>
          </cell>
          <cell r="I63">
            <v>0.34664383227068118</v>
          </cell>
        </row>
        <row r="65">
          <cell r="E65" t="str">
            <v>d.f. =</v>
          </cell>
          <cell r="F65">
            <v>46</v>
          </cell>
          <cell r="G65" t="str">
            <v>leave 1 out</v>
          </cell>
        </row>
        <row r="66">
          <cell r="C66" t="str">
            <v>Average:</v>
          </cell>
          <cell r="D66">
            <v>1101064.018344444</v>
          </cell>
          <cell r="E66" t="str">
            <v>d.f. =</v>
          </cell>
          <cell r="F66">
            <v>47</v>
          </cell>
          <cell r="G66" t="str">
            <v>regression</v>
          </cell>
        </row>
      </sheetData>
      <sheetData sheetId="20">
        <row r="1">
          <cell r="G1" t="str">
            <v>Model = Predict log returns per spawner aged 1.2 (ln(R_x001E_d1.2_x001F_/S) from brood year escapement (S)</v>
          </cell>
        </row>
        <row r="2">
          <cell r="G2" t="str">
            <v>X =</v>
          </cell>
          <cell r="H2" t="str">
            <v>S</v>
          </cell>
        </row>
        <row r="3">
          <cell r="G3" t="str">
            <v>Y=</v>
          </cell>
          <cell r="H3" t="str">
            <v>ln(R_x001E_d1.3/S)</v>
          </cell>
        </row>
        <row r="4">
          <cell r="G4" t="str">
            <v>Return Age</v>
          </cell>
          <cell r="H4">
            <v>5</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Z10" t="str">
            <v>Brood Yr.</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46</v>
          </cell>
          <cell r="G13">
            <v>1.2124612230436653</v>
          </cell>
          <cell r="H13">
            <v>-9.4741932720148981E-7</v>
          </cell>
          <cell r="I13">
            <v>3.28242361519872E-7</v>
          </cell>
          <cell r="J13">
            <v>0.81824650170827196</v>
          </cell>
          <cell r="K13">
            <v>0.4161754586051723</v>
          </cell>
          <cell r="L13">
            <v>0.15333730202959781</v>
          </cell>
          <cell r="M13">
            <v>0.17971526794054191</v>
          </cell>
          <cell r="N13">
            <v>-0.5197900248659677</v>
          </cell>
          <cell r="O13">
            <v>0.27018166995016335</v>
          </cell>
          <cell r="P13">
            <v>0.81824650170827196</v>
          </cell>
          <cell r="Q13">
            <v>0.2629131454609317</v>
          </cell>
          <cell r="R13">
            <v>1.3735798579556122</v>
          </cell>
          <cell r="S13">
            <v>-382283.58429448435</v>
          </cell>
          <cell r="T13">
            <v>146140738821.03812</v>
          </cell>
          <cell r="U13">
            <v>943084.35170918331</v>
          </cell>
          <cell r="V13">
            <v>541218.11776878487</v>
          </cell>
          <cell r="W13">
            <v>1643345.0123683717</v>
          </cell>
          <cell r="X13">
            <v>0.68167450279502673</v>
          </cell>
          <cell r="Y13">
            <v>0.68167450279502673</v>
          </cell>
          <cell r="Z13">
            <v>416093.18072477408</v>
          </cell>
          <cell r="AA13">
            <v>0.80341525462989483</v>
          </cell>
          <cell r="AB13">
            <v>0.2984564768423042</v>
          </cell>
          <cell r="AC13">
            <v>67</v>
          </cell>
          <cell r="AD13">
            <v>0.24808189838255457</v>
          </cell>
        </row>
        <row r="14">
          <cell r="F14">
            <v>46</v>
          </cell>
          <cell r="G14">
            <v>1.220491559072465</v>
          </cell>
          <cell r="H14">
            <v>-9.6861952148601047E-7</v>
          </cell>
          <cell r="I14">
            <v>3.3697352502400688E-7</v>
          </cell>
          <cell r="J14">
            <v>0.95798854643843567</v>
          </cell>
          <cell r="K14">
            <v>0.41980786335590126</v>
          </cell>
          <cell r="L14">
            <v>0.15227007315282312</v>
          </cell>
          <cell r="M14">
            <v>0.18261671283116135</v>
          </cell>
          <cell r="N14">
            <v>-0.36181806920112514</v>
          </cell>
          <cell r="O14">
            <v>0.13091231520043017</v>
          </cell>
          <cell r="P14">
            <v>0.95798854643843567</v>
          </cell>
          <cell r="Q14">
            <v>0.40265519019109541</v>
          </cell>
          <cell r="R14">
            <v>1.5133219026857758</v>
          </cell>
          <cell r="S14">
            <v>-214446.53260732052</v>
          </cell>
          <cell r="T14">
            <v>45987315347.302582</v>
          </cell>
          <cell r="U14">
            <v>706366.69451939617</v>
          </cell>
          <cell r="V14">
            <v>405370.37028500531</v>
          </cell>
          <cell r="W14">
            <v>1230859.3417310109</v>
          </cell>
          <cell r="X14">
            <v>0.43593767690629859</v>
          </cell>
          <cell r="Y14">
            <v>0.43593767690629859</v>
          </cell>
          <cell r="Z14">
            <v>271007.35305366298</v>
          </cell>
          <cell r="AA14">
            <v>0.93553320056237188</v>
          </cell>
          <cell r="AB14">
            <v>0.59617047723731054</v>
          </cell>
          <cell r="AC14">
            <v>68</v>
          </cell>
          <cell r="AD14">
            <v>0.38019984431503162</v>
          </cell>
        </row>
        <row r="15">
          <cell r="F15">
            <v>46</v>
          </cell>
          <cell r="G15">
            <v>1.1436346422406447</v>
          </cell>
          <cell r="H15">
            <v>-8.5039261839784709E-7</v>
          </cell>
          <cell r="I15">
            <v>3.3975597262655601E-7</v>
          </cell>
          <cell r="J15">
            <v>0.94465110400423336</v>
          </cell>
          <cell r="K15">
            <v>0.42039588185437543</v>
          </cell>
          <cell r="L15">
            <v>0.11986593131128362</v>
          </cell>
          <cell r="M15">
            <v>0.18309097242646341</v>
          </cell>
          <cell r="N15">
            <v>0.32885841121359793</v>
          </cell>
          <cell r="O15">
            <v>0.10814785462593188</v>
          </cell>
          <cell r="P15">
            <v>0.94465110400423336</v>
          </cell>
          <cell r="Q15">
            <v>0.3893177477568931</v>
          </cell>
          <cell r="R15">
            <v>1.4999844602515737</v>
          </cell>
          <cell r="S15">
            <v>234330.77022218879</v>
          </cell>
          <cell r="T15">
            <v>54910909872.92424</v>
          </cell>
          <cell r="U15">
            <v>601803.11181120353</v>
          </cell>
          <cell r="V15">
            <v>345363.32497890346</v>
          </cell>
          <cell r="W15">
            <v>1048655.0226714748</v>
          </cell>
          <cell r="X15">
            <v>-0.28025508265772014</v>
          </cell>
          <cell r="Y15">
            <v>0.28025508265772014</v>
          </cell>
          <cell r="Z15">
            <v>233990.19926972012</v>
          </cell>
          <cell r="AA15">
            <v>0.96924173295802063</v>
          </cell>
          <cell r="AB15">
            <v>1.2735095152178313</v>
          </cell>
          <cell r="AC15">
            <v>69</v>
          </cell>
          <cell r="AD15">
            <v>0.41390837671068037</v>
          </cell>
        </row>
        <row r="16">
          <cell r="F16">
            <v>46</v>
          </cell>
          <cell r="G16">
            <v>1.1627815242587483</v>
          </cell>
          <cell r="H16">
            <v>-8.8426079510143657E-7</v>
          </cell>
          <cell r="I16">
            <v>3.3338704603316481E-7</v>
          </cell>
          <cell r="J16">
            <v>0.83245421429515409</v>
          </cell>
          <cell r="K16">
            <v>0.42114258865348925</v>
          </cell>
          <cell r="L16">
            <v>0.13264803842178188</v>
          </cell>
          <cell r="M16">
            <v>0.18380681305238844</v>
          </cell>
          <cell r="N16">
            <v>0.27163855503504819</v>
          </cell>
          <cell r="O16">
            <v>7.3787504581528898E-2</v>
          </cell>
          <cell r="P16">
            <v>0.83245421429515409</v>
          </cell>
          <cell r="Q16">
            <v>0.27712085804781383</v>
          </cell>
          <cell r="R16">
            <v>1.3877875705424945</v>
          </cell>
          <cell r="S16">
            <v>268043.79967576102</v>
          </cell>
          <cell r="T16">
            <v>71847478544.619507</v>
          </cell>
          <cell r="U16">
            <v>858804.639541602</v>
          </cell>
          <cell r="V16">
            <v>492851.59880071372</v>
          </cell>
          <cell r="W16">
            <v>1496485.7792749295</v>
          </cell>
          <cell r="X16">
            <v>-0.23787032075220971</v>
          </cell>
          <cell r="Y16">
            <v>0.23787032075220971</v>
          </cell>
          <cell r="Z16">
            <v>373563.22002911044</v>
          </cell>
          <cell r="AA16">
            <v>0.84214385505830791</v>
          </cell>
          <cell r="AB16">
            <v>1.1040927693302023</v>
          </cell>
          <cell r="AC16">
            <v>70</v>
          </cell>
          <cell r="AD16">
            <v>0.28681049881096765</v>
          </cell>
        </row>
        <row r="17">
          <cell r="F17">
            <v>46</v>
          </cell>
          <cell r="G17">
            <v>1.1808204217804863</v>
          </cell>
          <cell r="H17">
            <v>-9.0860314576543132E-7</v>
          </cell>
          <cell r="I17">
            <v>3.3479186236307609E-7</v>
          </cell>
          <cell r="J17">
            <v>0.84039126033622713</v>
          </cell>
          <cell r="K17">
            <v>0.42296424939407729</v>
          </cell>
          <cell r="L17">
            <v>0.13801890978286202</v>
          </cell>
          <cell r="M17">
            <v>0.18533493107357432</v>
          </cell>
          <cell r="N17">
            <v>2.0924616235613702E-2</v>
          </cell>
          <cell r="O17">
            <v>4.3783956460770855E-4</v>
          </cell>
          <cell r="P17">
            <v>0.84039126033622713</v>
          </cell>
          <cell r="Q17">
            <v>0.28505790408888687</v>
          </cell>
          <cell r="R17">
            <v>1.3957246165835673</v>
          </cell>
          <cell r="S17">
            <v>18358.574371787952</v>
          </cell>
          <cell r="T17">
            <v>337037252.96446943</v>
          </cell>
          <cell r="U17">
            <v>868220.04012745759</v>
          </cell>
          <cell r="V17">
            <v>498254.91757477738</v>
          </cell>
          <cell r="W17">
            <v>1512892.3197547649</v>
          </cell>
          <cell r="X17">
            <v>-2.0707215436453069E-2</v>
          </cell>
          <cell r="Y17">
            <v>2.0707215436453069E-2</v>
          </cell>
          <cell r="Z17">
            <v>374673.10456808144</v>
          </cell>
          <cell r="AA17">
            <v>0.841133172844443</v>
          </cell>
          <cell r="AB17">
            <v>0.86131587657184083</v>
          </cell>
          <cell r="AC17">
            <v>71</v>
          </cell>
          <cell r="AD17">
            <v>0.28579981659710274</v>
          </cell>
        </row>
        <row r="18">
          <cell r="F18">
            <v>46</v>
          </cell>
          <cell r="G18">
            <v>1.1027347490077442</v>
          </cell>
          <cell r="H18">
            <v>-7.8190567960508311E-7</v>
          </cell>
          <cell r="I18">
            <v>3.425037493088127E-7</v>
          </cell>
          <cell r="J18">
            <v>0.98347989769353383</v>
          </cell>
          <cell r="K18">
            <v>0.41595106094740741</v>
          </cell>
          <cell r="L18">
            <v>0.10176747953614608</v>
          </cell>
          <cell r="M18">
            <v>0.17900813890731535</v>
          </cell>
          <cell r="N18">
            <v>0.55147426371956854</v>
          </cell>
          <cell r="O18">
            <v>0.30412386354504023</v>
          </cell>
          <cell r="P18">
            <v>0.98347989769353383</v>
          </cell>
          <cell r="Q18">
            <v>0.42814654144619357</v>
          </cell>
          <cell r="R18">
            <v>1.5388132539408741</v>
          </cell>
          <cell r="S18">
            <v>300059.49144545203</v>
          </cell>
          <cell r="T18">
            <v>90035698406.503296</v>
          </cell>
          <cell r="U18">
            <v>407794.70287608792</v>
          </cell>
          <cell r="V18">
            <v>234025.60028345769</v>
          </cell>
          <cell r="W18">
            <v>710591.14683339885</v>
          </cell>
          <cell r="X18">
            <v>-0.42390013911417357</v>
          </cell>
          <cell r="Y18">
            <v>0.42390013911417357</v>
          </cell>
          <cell r="Z18">
            <v>152518.20574374442</v>
          </cell>
          <cell r="AA18">
            <v>1.0434316976737765</v>
          </cell>
          <cell r="AB18">
            <v>1.5349541614131024</v>
          </cell>
          <cell r="AC18">
            <v>72</v>
          </cell>
          <cell r="AD18">
            <v>0.48809834142643627</v>
          </cell>
        </row>
        <row r="19">
          <cell r="F19">
            <v>46</v>
          </cell>
          <cell r="G19">
            <v>1.1876120397521119</v>
          </cell>
          <cell r="H19">
            <v>-9.1885867612399771E-7</v>
          </cell>
          <cell r="I19">
            <v>3.4175328049876729E-7</v>
          </cell>
          <cell r="J19">
            <v>0.97195428363082959</v>
          </cell>
          <cell r="K19">
            <v>0.42292672815557858</v>
          </cell>
          <cell r="L19">
            <v>0.13580776032885802</v>
          </cell>
          <cell r="M19">
            <v>0.18530168070189559</v>
          </cell>
          <cell r="N19">
            <v>-4.5098308229762352E-2</v>
          </cell>
          <cell r="O19">
            <v>2.0338574051866508E-3</v>
          </cell>
          <cell r="P19">
            <v>0.97195428363082959</v>
          </cell>
          <cell r="Q19">
            <v>0.41662092738348933</v>
          </cell>
          <cell r="R19">
            <v>1.5272876398781698</v>
          </cell>
          <cell r="S19">
            <v>-27354.880653610686</v>
          </cell>
          <cell r="T19">
            <v>748289495.57328415</v>
          </cell>
          <cell r="U19">
            <v>620341.36847871507</v>
          </cell>
          <cell r="V19">
            <v>356002.07681708375</v>
          </cell>
          <cell r="W19">
            <v>1080958.3384643276</v>
          </cell>
          <cell r="X19">
            <v>4.6130698110744717E-2</v>
          </cell>
          <cell r="Y19">
            <v>4.6130698110744717E-2</v>
          </cell>
          <cell r="Z19">
            <v>234701.76831870052</v>
          </cell>
          <cell r="AA19">
            <v>0.96859376449239265</v>
          </cell>
          <cell r="AB19">
            <v>0.92685597540106723</v>
          </cell>
          <cell r="AC19">
            <v>73</v>
          </cell>
          <cell r="AD19">
            <v>0.41326040824505239</v>
          </cell>
        </row>
        <row r="20">
          <cell r="F20">
            <v>46</v>
          </cell>
          <cell r="G20">
            <v>1.1934891310353415</v>
          </cell>
          <cell r="H20">
            <v>-9.1159616774260866E-7</v>
          </cell>
          <cell r="I20">
            <v>3.2678818799143689E-7</v>
          </cell>
          <cell r="J20">
            <v>0.71232827896326811</v>
          </cell>
          <cell r="K20">
            <v>0.41605957009770667</v>
          </cell>
          <cell r="L20">
            <v>0.14468985252118371</v>
          </cell>
          <cell r="M20">
            <v>0.17966756817875121</v>
          </cell>
          <cell r="N20">
            <v>-0.52198779537084727</v>
          </cell>
          <cell r="O20">
            <v>0.27247125851611753</v>
          </cell>
          <cell r="P20">
            <v>0.71232827896326811</v>
          </cell>
          <cell r="Q20">
            <v>0.15699492271592785</v>
          </cell>
          <cell r="R20">
            <v>1.2676616352106085</v>
          </cell>
          <cell r="S20">
            <v>-437602.26319492597</v>
          </cell>
          <cell r="T20">
            <v>191495740753.32126</v>
          </cell>
          <cell r="U20">
            <v>1076088.6119647473</v>
          </cell>
          <cell r="V20">
            <v>617546.72534273763</v>
          </cell>
          <cell r="W20">
            <v>1875107.8311645917</v>
          </cell>
          <cell r="X20">
            <v>0.68537450180110981</v>
          </cell>
          <cell r="Y20">
            <v>0.68537450180110981</v>
          </cell>
          <cell r="Z20">
            <v>527822.37255732983</v>
          </cell>
          <cell r="AA20">
            <v>0.70167250302858042</v>
          </cell>
          <cell r="AB20">
            <v>0.19034048359242081</v>
          </cell>
          <cell r="AC20">
            <v>74</v>
          </cell>
          <cell r="AD20">
            <v>0.14633914678124016</v>
          </cell>
        </row>
        <row r="21">
          <cell r="F21">
            <v>46</v>
          </cell>
          <cell r="G21">
            <v>1.2575201858126874</v>
          </cell>
          <cell r="H21">
            <v>-1.0187718101374232E-6</v>
          </cell>
          <cell r="I21">
            <v>3.2136103993262189E-7</v>
          </cell>
          <cell r="J21">
            <v>0.92160107697374916</v>
          </cell>
          <cell r="K21">
            <v>0.40390585887239466</v>
          </cell>
          <cell r="L21">
            <v>0.17930464289355644</v>
          </cell>
          <cell r="M21">
            <v>0.16951500168065392</v>
          </cell>
          <cell r="N21">
            <v>-0.87166188996926341</v>
          </cell>
          <cell r="O21">
            <v>0.75979445042478833</v>
          </cell>
          <cell r="P21">
            <v>0.92160107697374916</v>
          </cell>
          <cell r="Q21">
            <v>0.3662677207264089</v>
          </cell>
          <cell r="R21">
            <v>1.4769344332210894</v>
          </cell>
          <cell r="S21">
            <v>-482098.8079585362</v>
          </cell>
          <cell r="T21">
            <v>232419260635.04156</v>
          </cell>
          <cell r="U21">
            <v>828712.81058020983</v>
          </cell>
          <cell r="V21">
            <v>475582.47223617177</v>
          </cell>
          <cell r="W21">
            <v>1444050.1122562543</v>
          </cell>
          <cell r="X21">
            <v>1.3908809347346049</v>
          </cell>
          <cell r="Y21">
            <v>1.3908809347346049</v>
          </cell>
          <cell r="Z21">
            <v>329729.48946597357</v>
          </cell>
          <cell r="AA21">
            <v>0.8820596934108117</v>
          </cell>
          <cell r="AB21">
            <v>4.9939187004485797E-2</v>
          </cell>
          <cell r="AC21">
            <v>75</v>
          </cell>
          <cell r="AD21">
            <v>0.32672633716347144</v>
          </cell>
        </row>
        <row r="22">
          <cell r="F22">
            <v>46</v>
          </cell>
          <cell r="G22">
            <v>1.1827723842087892</v>
          </cell>
          <cell r="H22">
            <v>-9.0460756842913952E-7</v>
          </cell>
          <cell r="I22">
            <v>3.3189953044657434E-7</v>
          </cell>
          <cell r="J22">
            <v>0.65321321512711716</v>
          </cell>
          <cell r="K22">
            <v>0.42217237619488429</v>
          </cell>
          <cell r="L22">
            <v>0.13903794426887542</v>
          </cell>
          <cell r="M22">
            <v>0.18467910771073617</v>
          </cell>
          <cell r="N22">
            <v>-0.1786543057998885</v>
          </cell>
          <cell r="O22">
            <v>3.1917360980840075E-2</v>
          </cell>
          <cell r="P22">
            <v>0.65321321512711716</v>
          </cell>
          <cell r="Q22">
            <v>9.7879858879776904E-2</v>
          </cell>
          <cell r="R22">
            <v>1.2085465713744574</v>
          </cell>
          <cell r="S22">
            <v>-184050.82920923131</v>
          </cell>
          <cell r="T22">
            <v>33874707732.605633</v>
          </cell>
          <cell r="U22">
            <v>1124970.5927202043</v>
          </cell>
          <cell r="V22">
            <v>645599.16155306343</v>
          </cell>
          <cell r="W22">
            <v>1960285.7467175133</v>
          </cell>
          <cell r="X22">
            <v>0.195607358190096</v>
          </cell>
          <cell r="Y22">
            <v>0.195607358190096</v>
          </cell>
          <cell r="Z22">
            <v>585402.09872581216</v>
          </cell>
          <cell r="AA22">
            <v>0.64923929662347879</v>
          </cell>
          <cell r="AB22">
            <v>0.47455890932722866</v>
          </cell>
          <cell r="AC22">
            <v>76</v>
          </cell>
          <cell r="AD22">
            <v>9.390594037613853E-2</v>
          </cell>
        </row>
        <row r="23">
          <cell r="F23">
            <v>46</v>
          </cell>
          <cell r="G23">
            <v>1.187650790697337</v>
          </cell>
          <cell r="H23">
            <v>-9.1727815952159162E-7</v>
          </cell>
          <cell r="I23">
            <v>3.3364732303346225E-7</v>
          </cell>
          <cell r="J23">
            <v>0.81308140484066316</v>
          </cell>
          <cell r="K23">
            <v>0.42278147669216998</v>
          </cell>
          <cell r="L23">
            <v>0.14112360219324596</v>
          </cell>
          <cell r="M23">
            <v>0.18518231792183562</v>
          </cell>
          <cell r="N23">
            <v>-8.8109425421264653E-2</v>
          </cell>
          <cell r="O23">
            <v>7.7632708480653984E-3</v>
          </cell>
          <cell r="P23">
            <v>0.81308140484066316</v>
          </cell>
          <cell r="Q23">
            <v>0.2577480485933229</v>
          </cell>
          <cell r="R23">
            <v>1.3684147610880033</v>
          </cell>
          <cell r="S23">
            <v>-77656.554170373827</v>
          </cell>
          <cell r="T23">
            <v>6030540405.6162043</v>
          </cell>
          <cell r="U23">
            <v>920763.28428391856</v>
          </cell>
          <cell r="V23">
            <v>528408.48300324357</v>
          </cell>
          <cell r="W23">
            <v>1604450.0664840841</v>
          </cell>
          <cell r="X23">
            <v>9.2107619826395523E-2</v>
          </cell>
          <cell r="Y23">
            <v>9.2107619826395523E-2</v>
          </cell>
          <cell r="Z23">
            <v>408348.74565424217</v>
          </cell>
          <cell r="AA23">
            <v>0.81046748619758113</v>
          </cell>
          <cell r="AB23">
            <v>0.7249719794193985</v>
          </cell>
          <cell r="AC23">
            <v>77</v>
          </cell>
          <cell r="AD23">
            <v>0.25513412995024087</v>
          </cell>
        </row>
        <row r="24">
          <cell r="F24">
            <v>46</v>
          </cell>
          <cell r="G24">
            <v>1.2454285535269745</v>
          </cell>
          <cell r="H24">
            <v>-9.8346776689698582E-7</v>
          </cell>
          <cell r="I24">
            <v>3.0366185241659018E-7</v>
          </cell>
          <cell r="J24">
            <v>0.82032963300731765</v>
          </cell>
          <cell r="K24">
            <v>0.38543113013895719</v>
          </cell>
          <cell r="L24">
            <v>0.18568415328745602</v>
          </cell>
          <cell r="M24">
            <v>0.15546897435990228</v>
          </cell>
          <cell r="N24">
            <v>-1.1974989610938565</v>
          </cell>
          <cell r="O24">
            <v>1.4340037618208654</v>
          </cell>
          <cell r="P24">
            <v>0.82032963300731765</v>
          </cell>
          <cell r="Q24">
            <v>0.26499627675997739</v>
          </cell>
          <cell r="R24">
            <v>1.3756629892546579</v>
          </cell>
          <cell r="S24">
            <v>-685301.99860148679</v>
          </cell>
          <cell r="T24">
            <v>469638829287.1922</v>
          </cell>
          <cell r="U24">
            <v>981735.52039036853</v>
          </cell>
          <cell r="V24">
            <v>563399.28610784514</v>
          </cell>
          <cell r="W24">
            <v>1710695.5151726224</v>
          </cell>
          <cell r="X24">
            <v>2.3118235564787271</v>
          </cell>
          <cell r="Y24">
            <v>2.3118235564787271</v>
          </cell>
          <cell r="Z24">
            <v>432244.89386258059</v>
          </cell>
          <cell r="AA24">
            <v>0.78870719390948518</v>
          </cell>
          <cell r="AB24">
            <v>-0.37716932808653891</v>
          </cell>
          <cell r="AC24">
            <v>78</v>
          </cell>
          <cell r="AD24">
            <v>0.23337383766214492</v>
          </cell>
        </row>
        <row r="25">
          <cell r="F25">
            <v>46</v>
          </cell>
          <cell r="G25">
            <v>1.2161897951447647</v>
          </cell>
          <cell r="H25">
            <v>-9.6405310161272461E-7</v>
          </cell>
          <cell r="I25">
            <v>3.4215948608644763E-7</v>
          </cell>
          <cell r="J25">
            <v>1.0138982111253039</v>
          </cell>
          <cell r="K25">
            <v>0.42125794782505488</v>
          </cell>
          <cell r="L25">
            <v>0.14717869623834084</v>
          </cell>
          <cell r="M25">
            <v>0.18382740431298039</v>
          </cell>
          <cell r="N25">
            <v>-0.26981312805924906</v>
          </cell>
          <cell r="O25">
            <v>7.2799124073116728E-2</v>
          </cell>
          <cell r="P25">
            <v>1.0138982111253039</v>
          </cell>
          <cell r="Q25">
            <v>0.45856485487796361</v>
          </cell>
          <cell r="R25">
            <v>1.5692315673726442</v>
          </cell>
          <cell r="S25">
            <v>-136772.15935928485</v>
          </cell>
          <cell r="T25">
            <v>18706623575.801609</v>
          </cell>
          <cell r="U25">
            <v>578371.99647695862</v>
          </cell>
          <cell r="V25">
            <v>331916.65489532024</v>
          </cell>
          <cell r="W25">
            <v>1007825.7941417313</v>
          </cell>
          <cell r="X25">
            <v>0.30971967800531358</v>
          </cell>
          <cell r="Y25">
            <v>0.30971967800531358</v>
          </cell>
          <cell r="Z25">
            <v>209834.48285271373</v>
          </cell>
          <cell r="AA25">
            <v>0.99123839305067118</v>
          </cell>
          <cell r="AB25">
            <v>0.74408508306605481</v>
          </cell>
          <cell r="AC25">
            <v>79</v>
          </cell>
          <cell r="AD25">
            <v>0.43590503680333093</v>
          </cell>
        </row>
        <row r="26">
          <cell r="F26">
            <v>46</v>
          </cell>
          <cell r="G26">
            <v>1.2069543514923933</v>
          </cell>
          <cell r="H26">
            <v>-9.5015216778737477E-7</v>
          </cell>
          <cell r="I26">
            <v>3.4591228412851632E-7</v>
          </cell>
          <cell r="J26">
            <v>1.0429709778759015</v>
          </cell>
          <cell r="K26">
            <v>0.4222341733040042</v>
          </cell>
          <cell r="L26">
            <v>0.14090815313045105</v>
          </cell>
          <cell r="M26">
            <v>0.18467752495846337</v>
          </cell>
          <cell r="N26">
            <v>-0.17886680264915544</v>
          </cell>
          <cell r="O26">
            <v>3.1993333089931922E-2</v>
          </cell>
          <cell r="P26">
            <v>1.0429709778759015</v>
          </cell>
          <cell r="Q26">
            <v>0.48763762162856128</v>
          </cell>
          <cell r="R26">
            <v>1.5983043341232417</v>
          </cell>
          <cell r="S26">
            <v>-80210.512140129518</v>
          </cell>
          <cell r="T26">
            <v>6433726257.7818651</v>
          </cell>
          <cell r="U26">
            <v>489737.3126739196</v>
          </cell>
          <cell r="V26">
            <v>281050.90078756382</v>
          </cell>
          <cell r="W26">
            <v>853377.92817238043</v>
          </cell>
          <cell r="X26">
            <v>0.19586144798235577</v>
          </cell>
          <cell r="Y26">
            <v>0.19586144798235577</v>
          </cell>
          <cell r="Z26">
            <v>172586.43317981472</v>
          </cell>
          <cell r="AA26">
            <v>1.025157183684928</v>
          </cell>
          <cell r="AB26">
            <v>0.8641041752267461</v>
          </cell>
          <cell r="AC26">
            <v>80</v>
          </cell>
          <cell r="AD26">
            <v>0.46982382743758777</v>
          </cell>
        </row>
        <row r="27">
          <cell r="F27">
            <v>46</v>
          </cell>
          <cell r="G27">
            <v>1.1427026882676319</v>
          </cell>
          <cell r="H27">
            <v>-8.4948653858807852E-7</v>
          </cell>
          <cell r="I27">
            <v>3.3850517406053601E-7</v>
          </cell>
          <cell r="J27">
            <v>0.93160828289164677</v>
          </cell>
          <cell r="K27">
            <v>0.42001985362147481</v>
          </cell>
          <cell r="L27">
            <v>0.12042030999538469</v>
          </cell>
          <cell r="M27">
            <v>0.18277801962874465</v>
          </cell>
          <cell r="N27">
            <v>0.35095525201431421</v>
          </cell>
          <cell r="O27">
            <v>0.1231695889164308</v>
          </cell>
          <cell r="P27">
            <v>0.93160828289164677</v>
          </cell>
          <cell r="Q27">
            <v>0.37627492664430651</v>
          </cell>
          <cell r="R27">
            <v>1.4869416391389869</v>
          </cell>
          <cell r="S27">
            <v>265216.05707148602</v>
          </cell>
          <cell r="T27">
            <v>70339556928.545731</v>
          </cell>
          <cell r="U27">
            <v>630830.31970967201</v>
          </cell>
          <cell r="V27">
            <v>362021.48582572531</v>
          </cell>
          <cell r="W27">
            <v>1099235.5643128206</v>
          </cell>
          <cell r="X27">
            <v>-0.29598474358460569</v>
          </cell>
          <cell r="Y27">
            <v>0.29598474358460569</v>
          </cell>
          <cell r="Z27">
            <v>248496.46908689401</v>
          </cell>
          <cell r="AA27">
            <v>0.95603204458148372</v>
          </cell>
          <cell r="AB27">
            <v>1.282563534905961</v>
          </cell>
          <cell r="AC27">
            <v>81</v>
          </cell>
          <cell r="AD27">
            <v>0.40069868833414346</v>
          </cell>
        </row>
        <row r="28">
          <cell r="F28">
            <v>46</v>
          </cell>
          <cell r="G28">
            <v>1.1443232988266674</v>
          </cell>
          <cell r="H28">
            <v>-8.5794012596959909E-7</v>
          </cell>
          <cell r="I28">
            <v>3.3065967815280593E-7</v>
          </cell>
          <cell r="J28">
            <v>0.8379559470202097</v>
          </cell>
          <cell r="K28">
            <v>0.41696833936913896</v>
          </cell>
          <cell r="L28">
            <v>0.1276663077186117</v>
          </cell>
          <cell r="M28">
            <v>0.18031253361409685</v>
          </cell>
          <cell r="N28">
            <v>0.49143963781885402</v>
          </cell>
          <cell r="O28">
            <v>0.24151291761952642</v>
          </cell>
          <cell r="P28">
            <v>0.8379559470202097</v>
          </cell>
          <cell r="Q28">
            <v>0.28262259077286944</v>
          </cell>
          <cell r="R28">
            <v>1.39328930326755</v>
          </cell>
          <cell r="S28">
            <v>523903.92203506595</v>
          </cell>
          <cell r="T28">
            <v>274475319523.72446</v>
          </cell>
          <cell r="U28">
            <v>825477.32124605845</v>
          </cell>
          <cell r="V28">
            <v>473725.68663229991</v>
          </cell>
          <cell r="W28">
            <v>1438412.201659803</v>
          </cell>
          <cell r="X28">
            <v>-0.38825493139444656</v>
          </cell>
          <cell r="Y28">
            <v>0.38825493139444656</v>
          </cell>
          <cell r="Z28">
            <v>357096.4249518197</v>
          </cell>
          <cell r="AA28">
            <v>0.85713883545456249</v>
          </cell>
          <cell r="AB28">
            <v>1.3293955848390637</v>
          </cell>
          <cell r="AC28">
            <v>82</v>
          </cell>
          <cell r="AD28">
            <v>0.30180547920722223</v>
          </cell>
        </row>
        <row r="29">
          <cell r="F29">
            <v>46</v>
          </cell>
          <cell r="G29">
            <v>1.146778679110299</v>
          </cell>
          <cell r="H29">
            <v>-8.5530070977748055E-7</v>
          </cell>
          <cell r="I29">
            <v>3.4005049253779727E-7</v>
          </cell>
          <cell r="J29">
            <v>0.94630157645063684</v>
          </cell>
          <cell r="K29">
            <v>0.42079388692496794</v>
          </cell>
          <cell r="L29">
            <v>0.12090122263821354</v>
          </cell>
          <cell r="M29">
            <v>0.18343805518508385</v>
          </cell>
          <cell r="N29">
            <v>0.30246963849641517</v>
          </cell>
          <cell r="O29">
            <v>9.148788221215208E-2</v>
          </cell>
          <cell r="P29">
            <v>0.94630157645063684</v>
          </cell>
          <cell r="Q29">
            <v>0.39096822020329658</v>
          </cell>
          <cell r="R29">
            <v>1.5016349326979772</v>
          </cell>
          <cell r="S29">
            <v>213273.06013557373</v>
          </cell>
          <cell r="T29">
            <v>45485398179.592049</v>
          </cell>
          <cell r="U29">
            <v>603836.68965841108</v>
          </cell>
          <cell r="V29">
            <v>346530.35650986596</v>
          </cell>
          <cell r="W29">
            <v>1052198.5763381377</v>
          </cell>
          <cell r="X29">
            <v>-0.2610090752060486</v>
          </cell>
          <cell r="Y29">
            <v>0.2610090752060486</v>
          </cell>
          <cell r="Z29">
            <v>234393.70547443983</v>
          </cell>
          <cell r="AA29">
            <v>0.96887429244508905</v>
          </cell>
          <cell r="AB29">
            <v>1.248771214947052</v>
          </cell>
          <cell r="AC29">
            <v>83</v>
          </cell>
          <cell r="AD29">
            <v>0.41354093619774879</v>
          </cell>
        </row>
        <row r="30">
          <cell r="F30">
            <v>46</v>
          </cell>
          <cell r="G30">
            <v>1.1734102747598665</v>
          </cell>
          <cell r="H30">
            <v>-9.060738773921898E-7</v>
          </cell>
          <cell r="I30">
            <v>3.3026696298749123E-7</v>
          </cell>
          <cell r="J30">
            <v>0.71339371539840424</v>
          </cell>
          <cell r="K30">
            <v>0.42041890649549885</v>
          </cell>
          <cell r="L30">
            <v>0.1406136754760515</v>
          </cell>
          <cell r="M30">
            <v>0.18323424598078844</v>
          </cell>
          <cell r="N30">
            <v>0.31823061452086909</v>
          </cell>
          <cell r="O30">
            <v>0.10127072401832998</v>
          </cell>
          <cell r="P30">
            <v>0.71339371539840424</v>
          </cell>
          <cell r="Q30">
            <v>0.15806035915106398</v>
          </cell>
          <cell r="R30">
            <v>1.2687270716457446</v>
          </cell>
          <cell r="S30">
            <v>388247.5090010541</v>
          </cell>
          <cell r="T30">
            <v>150736128245.52359</v>
          </cell>
          <cell r="U30">
            <v>1036174.284273145</v>
          </cell>
          <cell r="V30">
            <v>594640.65414549562</v>
          </cell>
          <cell r="W30">
            <v>1805556.2462876344</v>
          </cell>
          <cell r="X30">
            <v>-0.27256498800725454</v>
          </cell>
          <cell r="Y30">
            <v>0.27256498800725454</v>
          </cell>
          <cell r="Z30">
            <v>507703.14743589744</v>
          </cell>
          <cell r="AA30">
            <v>0.71999345649084623</v>
          </cell>
          <cell r="AB30">
            <v>1.0316243299192733</v>
          </cell>
          <cell r="AC30">
            <v>84</v>
          </cell>
          <cell r="AD30">
            <v>0.16466010024350597</v>
          </cell>
        </row>
        <row r="31">
          <cell r="F31">
            <v>46</v>
          </cell>
          <cell r="G31">
            <v>1.1818383281376121</v>
          </cell>
          <cell r="H31">
            <v>-9.0621486708983265E-7</v>
          </cell>
          <cell r="I31">
            <v>3.3269988708704531E-7</v>
          </cell>
          <cell r="J31">
            <v>0.6297308354616844</v>
          </cell>
          <cell r="K31">
            <v>0.42276704678011312</v>
          </cell>
          <cell r="L31">
            <v>0.13888638742989098</v>
          </cell>
          <cell r="M31">
            <v>0.18517124139525007</v>
          </cell>
          <cell r="N31">
            <v>-9.1076583841137371E-2</v>
          </cell>
          <cell r="O31">
            <v>8.2949441241717253E-3</v>
          </cell>
          <cell r="P31">
            <v>0.6297308354616844</v>
          </cell>
          <cell r="Q31">
            <v>7.4397479214344142E-2</v>
          </cell>
          <cell r="R31">
            <v>1.1850641917090248</v>
          </cell>
          <cell r="S31">
            <v>-99554.496519452194</v>
          </cell>
          <cell r="T31">
            <v>9911097777.2416191</v>
          </cell>
          <cell r="U31">
            <v>1143618.2707055649</v>
          </cell>
          <cell r="V31">
            <v>656300.70819807402</v>
          </cell>
          <cell r="W31">
            <v>1992779.7315386545</v>
          </cell>
          <cell r="X31">
            <v>9.5352888377971637E-2</v>
          </cell>
          <cell r="Y31">
            <v>9.5352888377971637E-2</v>
          </cell>
          <cell r="Z31">
            <v>609245.6797237664</v>
          </cell>
          <cell r="AA31">
            <v>0.62752687304848054</v>
          </cell>
          <cell r="AB31">
            <v>0.53865425162054703</v>
          </cell>
          <cell r="AC31">
            <v>85</v>
          </cell>
          <cell r="AD31">
            <v>7.2193516801140278E-2</v>
          </cell>
        </row>
        <row r="32">
          <cell r="F32">
            <v>46</v>
          </cell>
          <cell r="G32">
            <v>1.1474366147457815</v>
          </cell>
          <cell r="H32">
            <v>-8.229177064157216E-7</v>
          </cell>
          <cell r="I32">
            <v>3.3246768033054292E-7</v>
          </cell>
          <cell r="J32">
            <v>0.50610061154294406</v>
          </cell>
          <cell r="K32">
            <v>0.41498030764602606</v>
          </cell>
          <cell r="L32">
            <v>0.11753175048899919</v>
          </cell>
          <cell r="M32">
            <v>0.17852499464847624</v>
          </cell>
          <cell r="N32">
            <v>-0.5721143137252529</v>
          </cell>
          <cell r="O32">
            <v>0.32731478796931712</v>
          </cell>
          <cell r="P32">
            <v>0.50610061154294406</v>
          </cell>
          <cell r="Q32">
            <v>-4.9232744704396203E-2</v>
          </cell>
          <cell r="R32">
            <v>1.0614339677902844</v>
          </cell>
          <cell r="S32">
            <v>-563225.84083249362</v>
          </cell>
          <cell r="T32">
            <v>317223347781.46942</v>
          </cell>
          <cell r="U32">
            <v>1292783.8463480773</v>
          </cell>
          <cell r="V32">
            <v>741903.98635535245</v>
          </cell>
          <cell r="W32">
            <v>2252703.9942039419</v>
          </cell>
          <cell r="X32">
            <v>0.77200967787949637</v>
          </cell>
          <cell r="Y32">
            <v>0.77200967787949637</v>
          </cell>
          <cell r="Z32">
            <v>779344.03185492684</v>
          </cell>
          <cell r="AA32">
            <v>0.4726320411355297</v>
          </cell>
          <cell r="AB32">
            <v>-6.6013702182308787E-2</v>
          </cell>
          <cell r="AC32">
            <v>86</v>
          </cell>
          <cell r="AD32">
            <v>-8.2701315111810558E-2</v>
          </cell>
        </row>
        <row r="33">
          <cell r="F33">
            <v>46</v>
          </cell>
          <cell r="G33">
            <v>1.1832687955276795</v>
          </cell>
          <cell r="H33">
            <v>-9.1935160572308676E-7</v>
          </cell>
          <cell r="I33">
            <v>3.3221998269232691E-7</v>
          </cell>
          <cell r="J33">
            <v>0.62314539031351013</v>
          </cell>
          <cell r="K33">
            <v>0.4221569421566469</v>
          </cell>
          <cell r="L33">
            <v>0.14271768947450875</v>
          </cell>
          <cell r="M33">
            <v>0.18466497619866393</v>
          </cell>
          <cell r="N33">
            <v>0.18054271948851452</v>
          </cell>
          <cell r="O33">
            <v>3.2595673560308444E-2</v>
          </cell>
          <cell r="P33">
            <v>0.62314539031351013</v>
          </cell>
          <cell r="Q33">
            <v>6.7812034066169868E-2</v>
          </cell>
          <cell r="R33">
            <v>1.1784787465608504</v>
          </cell>
          <cell r="S33">
            <v>224804.34316386865</v>
          </cell>
          <cell r="T33">
            <v>50536992705.338417</v>
          </cell>
          <cell r="U33">
            <v>1136136.9538920033</v>
          </cell>
          <cell r="V33">
            <v>652007.32320347673</v>
          </cell>
          <cell r="W33">
            <v>1979743.3741341101</v>
          </cell>
          <cell r="X33">
            <v>-0.16518298302078752</v>
          </cell>
          <cell r="Y33">
            <v>0.16518298302078752</v>
          </cell>
          <cell r="Z33">
            <v>609259.17976030742</v>
          </cell>
          <cell r="AA33">
            <v>0.62751457965548385</v>
          </cell>
          <cell r="AB33">
            <v>0.80368810980202465</v>
          </cell>
          <cell r="AC33">
            <v>87</v>
          </cell>
          <cell r="AD33">
            <v>7.2181223408143591E-2</v>
          </cell>
        </row>
        <row r="34">
          <cell r="F34">
            <v>46</v>
          </cell>
          <cell r="G34">
            <v>1.1556562500379544</v>
          </cell>
          <cell r="H34">
            <v>-8.280403119079494E-7</v>
          </cell>
          <cell r="I34">
            <v>3.2070313776401086E-7</v>
          </cell>
          <cell r="J34">
            <v>0.58438720786118292</v>
          </cell>
          <cell r="K34">
            <v>0.4050479880494316</v>
          </cell>
          <cell r="L34">
            <v>0.12657917309905947</v>
          </cell>
          <cell r="M34">
            <v>0.17058703580277831</v>
          </cell>
          <cell r="N34">
            <v>-0.84162747849794894</v>
          </cell>
          <cell r="O34">
            <v>0.70833681256281555</v>
          </cell>
          <cell r="P34">
            <v>0.58438720786118292</v>
          </cell>
          <cell r="Q34">
            <v>2.9053851613842663E-2</v>
          </cell>
          <cell r="R34">
            <v>1.1397205641085231</v>
          </cell>
          <cell r="S34">
            <v>-704192.07202076539</v>
          </cell>
          <cell r="T34">
            <v>495886474296.89886</v>
          </cell>
          <cell r="U34">
            <v>1237614.386421619</v>
          </cell>
          <cell r="V34">
            <v>710243.28579807538</v>
          </cell>
          <cell r="W34">
            <v>2156570.0093266699</v>
          </cell>
          <cell r="X34">
            <v>1.3201398835587193</v>
          </cell>
          <cell r="Y34">
            <v>1.3201398835587193</v>
          </cell>
          <cell r="Z34">
            <v>689904.86811018642</v>
          </cell>
          <cell r="AA34">
            <v>0.55407706433007597</v>
          </cell>
          <cell r="AB34">
            <v>-0.25724027063676608</v>
          </cell>
          <cell r="AC34">
            <v>88</v>
          </cell>
          <cell r="AD34">
            <v>-1.256291917264285E-3</v>
          </cell>
        </row>
        <row r="35">
          <cell r="F35">
            <v>46</v>
          </cell>
          <cell r="G35">
            <v>1.1620712546948839</v>
          </cell>
          <cell r="H35">
            <v>-8.6275118448610001E-7</v>
          </cell>
          <cell r="I35">
            <v>3.4128256236055543E-7</v>
          </cell>
          <cell r="J35">
            <v>0.43954152235576016</v>
          </cell>
          <cell r="K35">
            <v>0.42145566475661511</v>
          </cell>
          <cell r="L35">
            <v>0.1219802166959902</v>
          </cell>
          <cell r="M35">
            <v>0.18400984470415613</v>
          </cell>
          <cell r="N35">
            <v>-0.25306517993726907</v>
          </cell>
          <cell r="O35">
            <v>6.4041985296682369E-2</v>
          </cell>
          <cell r="P35">
            <v>0.43954152235576016</v>
          </cell>
          <cell r="Q35">
            <v>-0.1157918338915801</v>
          </cell>
          <cell r="R35">
            <v>0.99487487860310042</v>
          </cell>
          <cell r="S35">
            <v>-290602.17796494369</v>
          </cell>
          <cell r="T35">
            <v>84449625837.968811</v>
          </cell>
          <cell r="U35">
            <v>1299752.3659942241</v>
          </cell>
          <cell r="V35">
            <v>745903.08683845052</v>
          </cell>
          <cell r="W35">
            <v>2264846.7913814499</v>
          </cell>
          <cell r="X35">
            <v>0.28796722372162098</v>
          </cell>
          <cell r="Y35">
            <v>0.28796722372162098</v>
          </cell>
          <cell r="Z35">
            <v>837471.73615241167</v>
          </cell>
          <cell r="AA35">
            <v>0.41969983530380006</v>
          </cell>
          <cell r="AB35">
            <v>0.18647634241849112</v>
          </cell>
          <cell r="AC35">
            <v>89</v>
          </cell>
          <cell r="AD35">
            <v>-0.1356335209435402</v>
          </cell>
        </row>
        <row r="36">
          <cell r="F36">
            <v>46</v>
          </cell>
          <cell r="G36">
            <v>1.1722438539712012</v>
          </cell>
          <cell r="H36">
            <v>-8.6840844526988476E-7</v>
          </cell>
          <cell r="I36">
            <v>3.2629597071614624E-7</v>
          </cell>
          <cell r="J36">
            <v>0.61292697033315036</v>
          </cell>
          <cell r="K36">
            <v>0.41375399946352515</v>
          </cell>
          <cell r="L36">
            <v>0.13343452270879044</v>
          </cell>
          <cell r="M36">
            <v>0.17773450176604108</v>
          </cell>
          <cell r="N36">
            <v>-0.6043661525318943</v>
          </cell>
          <cell r="O36">
            <v>0.36525844632620491</v>
          </cell>
          <cell r="P36">
            <v>0.61292697033315036</v>
          </cell>
          <cell r="Q36">
            <v>5.7593614085810096E-2</v>
          </cell>
          <cell r="R36">
            <v>1.1682603265804907</v>
          </cell>
          <cell r="S36">
            <v>-539234.85038296657</v>
          </cell>
          <cell r="T36">
            <v>290774223867.54034</v>
          </cell>
          <cell r="U36">
            <v>1188843.5117826143</v>
          </cell>
          <cell r="V36">
            <v>682254.61126835644</v>
          </cell>
          <cell r="W36">
            <v>2071585.6986002782</v>
          </cell>
          <cell r="X36">
            <v>0.83009184209633291</v>
          </cell>
          <cell r="Y36">
            <v>0.83009184209633291</v>
          </cell>
          <cell r="Z36">
            <v>644071.2163551402</v>
          </cell>
          <cell r="AA36">
            <v>0.59581406939571213</v>
          </cell>
          <cell r="AB36">
            <v>8.5608178012561084E-3</v>
          </cell>
          <cell r="AC36">
            <v>90</v>
          </cell>
          <cell r="AD36">
            <v>4.0480713148371872E-2</v>
          </cell>
        </row>
        <row r="37">
          <cell r="F37">
            <v>46</v>
          </cell>
          <cell r="G37">
            <v>1.1767703666004361</v>
          </cell>
          <cell r="H37">
            <v>-9.0820973164511732E-7</v>
          </cell>
          <cell r="I37">
            <v>3.3138953657859271E-7</v>
          </cell>
          <cell r="J37">
            <v>0.71160259297383255</v>
          </cell>
          <cell r="K37">
            <v>0.42187279250699272</v>
          </cell>
          <cell r="L37">
            <v>0.14036281806196377</v>
          </cell>
          <cell r="M37">
            <v>0.18443277876319586</v>
          </cell>
          <cell r="N37">
            <v>0.20914385112351208</v>
          </cell>
          <cell r="O37">
            <v>4.3741150462773784E-2</v>
          </cell>
          <cell r="P37">
            <v>0.71160259297383255</v>
          </cell>
          <cell r="Q37">
            <v>0.15626923672649229</v>
          </cell>
          <cell r="R37">
            <v>1.2669359492211729</v>
          </cell>
          <cell r="S37">
            <v>242728.00872338086</v>
          </cell>
          <cell r="T37">
            <v>58916886218.817657</v>
          </cell>
          <cell r="U37">
            <v>1043442.5626796462</v>
          </cell>
          <cell r="V37">
            <v>598811.78046251787</v>
          </cell>
          <cell r="W37">
            <v>1818221.3796303535</v>
          </cell>
          <cell r="X37">
            <v>-0.18872147607809089</v>
          </cell>
          <cell r="Y37">
            <v>0.18872147607809089</v>
          </cell>
          <cell r="Z37">
            <v>512181.00557456672</v>
          </cell>
          <cell r="AA37">
            <v>0.71591583272183756</v>
          </cell>
          <cell r="AB37">
            <v>0.92074644409734463</v>
          </cell>
          <cell r="AC37">
            <v>91</v>
          </cell>
          <cell r="AD37">
            <v>0.1605824764744973</v>
          </cell>
        </row>
        <row r="38">
          <cell r="F38">
            <v>46</v>
          </cell>
          <cell r="G38">
            <v>1.1813837368423425</v>
          </cell>
          <cell r="H38">
            <v>-9.101175661868604E-7</v>
          </cell>
          <cell r="I38">
            <v>3.322624294900227E-7</v>
          </cell>
          <cell r="J38">
            <v>0.72086516402782441</v>
          </cell>
          <cell r="K38">
            <v>0.42294816902083121</v>
          </cell>
          <cell r="L38">
            <v>0.1402344536364265</v>
          </cell>
          <cell r="M38">
            <v>0.18532175512985205</v>
          </cell>
          <cell r="N38">
            <v>3.2715208440061816E-2</v>
          </cell>
          <cell r="O38">
            <v>1.0702848632766918E-3</v>
          </cell>
          <cell r="P38">
            <v>0.72086516402782441</v>
          </cell>
          <cell r="Q38">
            <v>0.16553180778048415</v>
          </cell>
          <cell r="R38">
            <v>1.2761985202751647</v>
          </cell>
          <cell r="S38">
            <v>34601.14675401547</v>
          </cell>
          <cell r="T38">
            <v>1197239356.6929152</v>
          </cell>
          <cell r="U38">
            <v>1040440.9003680816</v>
          </cell>
          <cell r="V38">
            <v>597089.1837260772</v>
          </cell>
          <cell r="W38">
            <v>1812990.9177108186</v>
          </cell>
          <cell r="X38">
            <v>-3.2185854354853591E-2</v>
          </cell>
          <cell r="Y38">
            <v>3.2185854354853591E-2</v>
          </cell>
          <cell r="Z38">
            <v>505998.99389258347</v>
          </cell>
          <cell r="AA38">
            <v>0.72154529149299806</v>
          </cell>
          <cell r="AB38">
            <v>0.75358037246788623</v>
          </cell>
          <cell r="AC38">
            <v>92</v>
          </cell>
          <cell r="AD38">
            <v>0.1662119352456578</v>
          </cell>
        </row>
        <row r="39">
          <cell r="F39">
            <v>46</v>
          </cell>
          <cell r="G39">
            <v>1.1739795495564624</v>
          </cell>
          <cell r="H39">
            <v>-9.0496236857731213E-7</v>
          </cell>
          <cell r="I39">
            <v>3.3099421098903659E-7</v>
          </cell>
          <cell r="J39">
            <v>0.72531732822227379</v>
          </cell>
          <cell r="K39">
            <v>0.42125251641914607</v>
          </cell>
          <cell r="L39">
            <v>0.13978745114134036</v>
          </cell>
          <cell r="M39">
            <v>0.18392025444710272</v>
          </cell>
          <cell r="N39">
            <v>0.26142363633620558</v>
          </cell>
          <cell r="O39">
            <v>6.8342317635244662E-2</v>
          </cell>
          <cell r="P39">
            <v>0.72531732822227379</v>
          </cell>
          <cell r="Q39">
            <v>0.16998397197493353</v>
          </cell>
          <cell r="R39">
            <v>1.2806506844696139</v>
          </cell>
          <cell r="S39">
            <v>305941.61852478434</v>
          </cell>
          <cell r="T39">
            <v>93600273945.564667</v>
          </cell>
          <cell r="U39">
            <v>1023977.2204172713</v>
          </cell>
          <cell r="V39">
            <v>587640.99188790645</v>
          </cell>
          <cell r="W39">
            <v>1784302.5970072041</v>
          </cell>
          <cell r="X39">
            <v>-0.23004533026102519</v>
          </cell>
          <cell r="Y39">
            <v>0.23004533026102519</v>
          </cell>
          <cell r="Z39">
            <v>495779.97595582763</v>
          </cell>
          <cell r="AA39">
            <v>0.73085092582629652</v>
          </cell>
          <cell r="AB39">
            <v>0.98674096455847937</v>
          </cell>
          <cell r="AC39">
            <v>93</v>
          </cell>
          <cell r="AD39">
            <v>0.17551756957895626</v>
          </cell>
        </row>
        <row r="40">
          <cell r="F40">
            <v>46</v>
          </cell>
          <cell r="G40">
            <v>1.1816032402176941</v>
          </cell>
          <cell r="H40">
            <v>-9.1620147708435842E-7</v>
          </cell>
          <cell r="I40">
            <v>3.3184073524622057E-7</v>
          </cell>
          <cell r="J40">
            <v>0.64922844981923822</v>
          </cell>
          <cell r="K40">
            <v>0.4221580517445192</v>
          </cell>
          <cell r="L40">
            <v>0.14215821068322687</v>
          </cell>
          <cell r="M40">
            <v>0.18466744725038375</v>
          </cell>
          <cell r="N40">
            <v>0.18021393696868571</v>
          </cell>
          <cell r="O40">
            <v>3.2477063077753422E-2</v>
          </cell>
          <cell r="P40">
            <v>0.64922844981923822</v>
          </cell>
          <cell r="Q40">
            <v>9.3895093571897958E-2</v>
          </cell>
          <cell r="R40">
            <v>1.2045618060665784</v>
          </cell>
          <cell r="S40">
            <v>219630.01661269343</v>
          </cell>
          <cell r="T40">
            <v>48237344197.291992</v>
          </cell>
          <cell r="U40">
            <v>1112199.8386687536</v>
          </cell>
          <cell r="V40">
            <v>638270.26943679852</v>
          </cell>
          <cell r="W40">
            <v>1938032.4297829254</v>
          </cell>
          <cell r="X40">
            <v>-0.16490846465240144</v>
          </cell>
          <cell r="Y40">
            <v>0.16490846465240144</v>
          </cell>
          <cell r="Z40">
            <v>581067.37842492911</v>
          </cell>
          <cell r="AA40">
            <v>0.65318657632362076</v>
          </cell>
          <cell r="AB40">
            <v>0.82944238678792392</v>
          </cell>
          <cell r="AC40">
            <v>94</v>
          </cell>
          <cell r="AD40">
            <v>9.78532200762805E-2</v>
          </cell>
        </row>
        <row r="41">
          <cell r="F41">
            <v>46</v>
          </cell>
          <cell r="G41">
            <v>1.1815975242790595</v>
          </cell>
          <cell r="H41">
            <v>-9.0607166073970487E-7</v>
          </cell>
          <cell r="I41">
            <v>3.3291122111977937E-7</v>
          </cell>
          <cell r="J41">
            <v>0.62013389243697925</v>
          </cell>
          <cell r="K41">
            <v>0.42280249908991796</v>
          </cell>
          <cell r="L41">
            <v>0.13869680404503559</v>
          </cell>
          <cell r="M41">
            <v>0.18520052404255391</v>
          </cell>
          <cell r="N41">
            <v>-8.3002271376070413E-2</v>
          </cell>
          <cell r="O41">
            <v>6.8893770535868376E-3</v>
          </cell>
          <cell r="P41">
            <v>0.62013389243697925</v>
          </cell>
          <cell r="Q41">
            <v>6.4800536189638991E-2</v>
          </cell>
          <cell r="R41">
            <v>1.1754672486843196</v>
          </cell>
          <cell r="S41">
            <v>-91763.66148084146</v>
          </cell>
          <cell r="T41">
            <v>8420569568.3704662</v>
          </cell>
          <cell r="U41">
            <v>1152072.5021812676</v>
          </cell>
          <cell r="V41">
            <v>661152.43035650975</v>
          </cell>
          <cell r="W41">
            <v>2007511.4139208558</v>
          </cell>
          <cell r="X41">
            <v>8.6544276496104272E-2</v>
          </cell>
          <cell r="Y41">
            <v>8.6544276496104272E-2</v>
          </cell>
          <cell r="Z41">
            <v>619668.01983819774</v>
          </cell>
          <cell r="AA41">
            <v>0.61803608962854695</v>
          </cell>
          <cell r="AB41">
            <v>0.53713162106090884</v>
          </cell>
          <cell r="AC41">
            <v>95</v>
          </cell>
          <cell r="AD41">
            <v>6.2702733381206688E-2</v>
          </cell>
        </row>
        <row r="42">
          <cell r="F42">
            <v>46</v>
          </cell>
          <cell r="G42">
            <v>1.1772834119465021</v>
          </cell>
          <cell r="H42">
            <v>-9.2405666224087287E-7</v>
          </cell>
          <cell r="I42">
            <v>3.252573296542134E-7</v>
          </cell>
          <cell r="J42">
            <v>0.6529829743546538</v>
          </cell>
          <cell r="K42">
            <v>0.41393763770531411</v>
          </cell>
          <cell r="L42">
            <v>0.14927128781949128</v>
          </cell>
          <cell r="M42">
            <v>0.17793839874634554</v>
          </cell>
          <cell r="N42">
            <v>0.59621421592544088</v>
          </cell>
          <cell r="O42">
            <v>0.35547139127158822</v>
          </cell>
          <cell r="P42">
            <v>0.6529829743546538</v>
          </cell>
          <cell r="Q42">
            <v>9.7649618107313541E-2</v>
          </cell>
          <cell r="R42">
            <v>1.2083163306019942</v>
          </cell>
          <cell r="S42">
            <v>888690.71077338187</v>
          </cell>
          <cell r="T42">
            <v>789771179414.89868</v>
          </cell>
          <cell r="U42">
            <v>1090105.4732627105</v>
          </cell>
          <cell r="V42">
            <v>625590.73463518429</v>
          </cell>
          <cell r="W42">
            <v>1899532.5171020909</v>
          </cell>
          <cell r="X42">
            <v>-0.44910674375808912</v>
          </cell>
          <cell r="Y42">
            <v>0.44910674375808912</v>
          </cell>
          <cell r="Z42">
            <v>567389.92208594619</v>
          </cell>
          <cell r="AA42">
            <v>0.66564153120166614</v>
          </cell>
          <cell r="AB42">
            <v>1.2491971902800947</v>
          </cell>
          <cell r="AC42">
            <v>96</v>
          </cell>
          <cell r="AD42">
            <v>0.11030817495432588</v>
          </cell>
        </row>
        <row r="43">
          <cell r="F43">
            <v>46</v>
          </cell>
          <cell r="G43">
            <v>1.1734157942020826</v>
          </cell>
          <cell r="H43">
            <v>-9.2384241324300831E-7</v>
          </cell>
          <cell r="I43">
            <v>3.2004063351185647E-7</v>
          </cell>
          <cell r="J43">
            <v>0.65760589829861293</v>
          </cell>
          <cell r="K43">
            <v>0.40737304810276986</v>
          </cell>
          <cell r="L43">
            <v>0.15336430582213689</v>
          </cell>
          <cell r="M43">
            <v>0.17266403257975949</v>
          </cell>
          <cell r="N43">
            <v>0.78015445090553681</v>
          </cell>
          <cell r="O43">
            <v>0.60864096726771966</v>
          </cell>
          <cell r="P43">
            <v>0.65760589829861293</v>
          </cell>
          <cell r="Q43">
            <v>0.10227254205127267</v>
          </cell>
          <cell r="R43">
            <v>1.2129392545459532</v>
          </cell>
          <cell r="S43">
            <v>1273602.082965024</v>
          </cell>
          <cell r="T43">
            <v>1622062265732.8479</v>
          </cell>
          <cell r="U43">
            <v>1077671.4713163173</v>
          </cell>
          <cell r="V43">
            <v>618455.09812762891</v>
          </cell>
          <cell r="W43">
            <v>1877865.9980411481</v>
          </cell>
          <cell r="X43">
            <v>-0.5416647844509509</v>
          </cell>
          <cell r="Y43">
            <v>0.5416647844509509</v>
          </cell>
          <cell r="Z43">
            <v>558331.04056437232</v>
          </cell>
          <cell r="AA43">
            <v>0.67389072299584385</v>
          </cell>
          <cell r="AB43">
            <v>1.4377603492041497</v>
          </cell>
          <cell r="AC43">
            <v>97</v>
          </cell>
          <cell r="AD43">
            <v>0.11855736674850359</v>
          </cell>
        </row>
        <row r="44">
          <cell r="F44">
            <v>46</v>
          </cell>
          <cell r="G44">
            <v>1.1801277926016276</v>
          </cell>
          <cell r="H44">
            <v>-9.0217687017387974E-7</v>
          </cell>
          <cell r="I44">
            <v>3.335352098817156E-7</v>
          </cell>
          <cell r="J44">
            <v>0.59125790622577801</v>
          </cell>
          <cell r="K44">
            <v>0.42266050426955826</v>
          </cell>
          <cell r="L44">
            <v>0.13722676757454885</v>
          </cell>
          <cell r="M44">
            <v>0.18508133379828726</v>
          </cell>
          <cell r="N44">
            <v>-0.11229652166646092</v>
          </cell>
          <cell r="O44">
            <v>1.2610508778385928E-2</v>
          </cell>
          <cell r="P44">
            <v>0.59125790622577801</v>
          </cell>
          <cell r="Q44">
            <v>3.5924549978437748E-2</v>
          </cell>
          <cell r="R44">
            <v>1.1465912624731183</v>
          </cell>
          <cell r="S44">
            <v>-125232.57161371061</v>
          </cell>
          <cell r="T44">
            <v>15683196992.983156</v>
          </cell>
          <cell r="U44">
            <v>1178983.4356711081</v>
          </cell>
          <cell r="V44">
            <v>676596.10169341217</v>
          </cell>
          <cell r="W44">
            <v>2054404.3013370847</v>
          </cell>
          <cell r="X44">
            <v>0.11884457311997917</v>
          </cell>
          <cell r="Y44">
            <v>0.11884457311997917</v>
          </cell>
          <cell r="Z44">
            <v>652721.10807092034</v>
          </cell>
          <cell r="AA44">
            <v>0.58793731158710105</v>
          </cell>
          <cell r="AB44">
            <v>0.47896138455931708</v>
          </cell>
          <cell r="AC44">
            <v>98</v>
          </cell>
          <cell r="AD44">
            <v>3.2603955339760793E-2</v>
          </cell>
        </row>
        <row r="45">
          <cell r="F45">
            <v>46</v>
          </cell>
          <cell r="G45">
            <v>1.179950072978353</v>
          </cell>
          <cell r="H45">
            <v>-8.9341911825702049E-7</v>
          </cell>
          <cell r="I45">
            <v>3.3078821575843923E-7</v>
          </cell>
          <cell r="J45">
            <v>0.63050688966900714</v>
          </cell>
          <cell r="K45">
            <v>0.42021380781804607</v>
          </cell>
          <cell r="L45">
            <v>0.13687558659706953</v>
          </cell>
          <cell r="M45">
            <v>0.18305608816890076</v>
          </cell>
          <cell r="N45">
            <v>-0.33139447640076475</v>
          </cell>
          <cell r="O45">
            <v>0.10982229898893703</v>
          </cell>
          <cell r="P45">
            <v>0.63050688966900714</v>
          </cell>
          <cell r="Q45">
            <v>7.5173533421666883E-2</v>
          </cell>
          <cell r="R45">
            <v>1.1858402459163475</v>
          </cell>
          <cell r="S45">
            <v>-325883.64508450497</v>
          </cell>
          <cell r="T45">
            <v>106200150133.5636</v>
          </cell>
          <cell r="U45">
            <v>1155295.8437726202</v>
          </cell>
          <cell r="V45">
            <v>663002.24460253771</v>
          </cell>
          <cell r="W45">
            <v>2013128.1568110425</v>
          </cell>
          <cell r="X45">
            <v>0.39290915373556901</v>
          </cell>
          <cell r="Y45">
            <v>0.39290915373556901</v>
          </cell>
          <cell r="Z45">
            <v>614989.28339619539</v>
          </cell>
          <cell r="AA45">
            <v>0.62229663704519766</v>
          </cell>
          <cell r="AB45">
            <v>0.29911241326824239</v>
          </cell>
          <cell r="AC45">
            <v>99</v>
          </cell>
          <cell r="AD45">
            <v>6.6963280797857405E-2</v>
          </cell>
        </row>
        <row r="46">
          <cell r="F46">
            <v>46</v>
          </cell>
          <cell r="G46">
            <v>1.1852075575014682</v>
          </cell>
          <cell r="H46">
            <v>-9.1080003226439354E-7</v>
          </cell>
          <cell r="I46">
            <v>3.3184864751534227E-7</v>
          </cell>
          <cell r="J46">
            <v>0.70365353457038893</v>
          </cell>
          <cell r="K46">
            <v>0.42250305120888587</v>
          </cell>
          <cell r="L46">
            <v>0.14071638503098272</v>
          </cell>
          <cell r="M46">
            <v>0.18495360406586406</v>
          </cell>
          <cell r="N46">
            <v>-0.13689972949096119</v>
          </cell>
          <cell r="O46">
            <v>1.8741535934698347E-2</v>
          </cell>
          <cell r="P46">
            <v>0.70365353457038893</v>
          </cell>
          <cell r="Q46">
            <v>0.14832017832304867</v>
          </cell>
          <cell r="R46">
            <v>1.2589868908177291</v>
          </cell>
          <cell r="S46">
            <v>-136719.07239125646</v>
          </cell>
          <cell r="T46">
            <v>18692104755.525623</v>
          </cell>
          <cell r="U46">
            <v>1068599.1520839238</v>
          </cell>
          <cell r="V46">
            <v>613248.66719718801</v>
          </cell>
          <cell r="W46">
            <v>1862057.2842880806</v>
          </cell>
          <cell r="X46">
            <v>0.14671316124317862</v>
          </cell>
          <cell r="Y46">
            <v>0.14671316124317862</v>
          </cell>
          <cell r="Z46">
            <v>528715.42146727804</v>
          </cell>
          <cell r="AA46">
            <v>0.70085927551012794</v>
          </cell>
          <cell r="AB46">
            <v>0.56675380507942774</v>
          </cell>
          <cell r="AC46" t="str">
            <v>00</v>
          </cell>
          <cell r="AD46">
            <v>0.14552591926278768</v>
          </cell>
        </row>
        <row r="47">
          <cell r="F47">
            <v>46</v>
          </cell>
          <cell r="G47">
            <v>1.1916097657669529</v>
          </cell>
          <cell r="H47">
            <v>-9.4148041153521735E-7</v>
          </cell>
          <cell r="I47">
            <v>3.320292419059463E-7</v>
          </cell>
          <cell r="J47">
            <v>0.55626458053918659</v>
          </cell>
          <cell r="K47">
            <v>0.41996511533669245</v>
          </cell>
          <cell r="L47">
            <v>0.14878272436461268</v>
          </cell>
          <cell r="M47">
            <v>0.1828290417452576</v>
          </cell>
          <cell r="N47">
            <v>0.34744859666403594</v>
          </cell>
          <cell r="O47">
            <v>0.12072052732380792</v>
          </cell>
          <cell r="P47">
            <v>0.55626458053918659</v>
          </cell>
          <cell r="Q47">
            <v>9.3122429184633315E-4</v>
          </cell>
          <cell r="R47">
            <v>1.1115979367865267</v>
          </cell>
          <cell r="S47">
            <v>488991.68673033779</v>
          </cell>
          <cell r="T47">
            <v>239112869691.38083</v>
          </cell>
          <cell r="U47">
            <v>1177012.5468309287</v>
          </cell>
          <cell r="V47">
            <v>675465.04618763458</v>
          </cell>
          <cell r="W47">
            <v>2050969.9846298131</v>
          </cell>
          <cell r="X47">
            <v>-0.2935116711468761</v>
          </cell>
          <cell r="Y47">
            <v>0.2935116711468761</v>
          </cell>
          <cell r="Z47">
            <v>674836.32951188635</v>
          </cell>
          <cell r="AA47">
            <v>0.56779876547599739</v>
          </cell>
          <cell r="AB47">
            <v>0.90371317720322253</v>
          </cell>
          <cell r="AC47" t="str">
            <v>01</v>
          </cell>
          <cell r="AD47">
            <v>1.2465409228657132E-2</v>
          </cell>
        </row>
        <row r="48">
          <cell r="F48">
            <v>46</v>
          </cell>
          <cell r="G48">
            <v>1.1783113578361148</v>
          </cell>
          <cell r="H48">
            <v>-9.0154112925180847E-7</v>
          </cell>
          <cell r="I48">
            <v>3.4746152000721786E-7</v>
          </cell>
          <cell r="J48">
            <v>0.36662439253645474</v>
          </cell>
          <cell r="K48">
            <v>0.42293860151225021</v>
          </cell>
          <cell r="L48">
            <v>0.12766789129119979</v>
          </cell>
          <cell r="M48">
            <v>0.1853110053153196</v>
          </cell>
          <cell r="N48">
            <v>-3.9828080054567117E-2</v>
          </cell>
          <cell r="O48">
            <v>1.586275960833007E-3</v>
          </cell>
          <cell r="P48">
            <v>0.36662439253645474</v>
          </cell>
          <cell r="Q48">
            <v>-0.18870896371088552</v>
          </cell>
          <cell r="R48">
            <v>0.92195774878379499</v>
          </cell>
          <cell r="S48">
            <v>-50721.897940126481</v>
          </cell>
          <cell r="T48">
            <v>2572710930.6486068</v>
          </cell>
          <cell r="U48">
            <v>1299050.3310337598</v>
          </cell>
          <cell r="V48">
            <v>745500.2023677011</v>
          </cell>
          <cell r="W48">
            <v>2263623.4801806048</v>
          </cell>
          <cell r="X48">
            <v>4.0631853441346705E-2</v>
          </cell>
          <cell r="Y48">
            <v>4.0631853441346705E-2</v>
          </cell>
          <cell r="Z48">
            <v>900332.70692073856</v>
          </cell>
          <cell r="AA48">
            <v>0.3624574259620742</v>
          </cell>
          <cell r="AB48">
            <v>0.32679631248188762</v>
          </cell>
          <cell r="AC48" t="str">
            <v>02</v>
          </cell>
          <cell r="AD48">
            <v>-0.19287593028526606</v>
          </cell>
        </row>
        <row r="49">
          <cell r="F49">
            <v>46</v>
          </cell>
          <cell r="G49">
            <v>1.1850025726308127</v>
          </cell>
          <cell r="H49">
            <v>-9.231441540725385E-7</v>
          </cell>
          <cell r="I49">
            <v>3.326235207534901E-7</v>
          </cell>
          <cell r="J49">
            <v>0.59845450406110057</v>
          </cell>
          <cell r="K49">
            <v>0.42203081731212805</v>
          </cell>
          <cell r="L49">
            <v>0.14342948090992089</v>
          </cell>
          <cell r="M49">
            <v>0.18455803447527744</v>
          </cell>
          <cell r="N49">
            <v>0.19423922436742125</v>
          </cell>
          <cell r="O49">
            <v>3.7728876282857413E-2</v>
          </cell>
          <cell r="P49">
            <v>0.59845450406110057</v>
          </cell>
          <cell r="Q49">
            <v>4.3121147813760308E-2</v>
          </cell>
          <cell r="R49">
            <v>1.1537878603084408</v>
          </cell>
          <cell r="S49">
            <v>247820.67361214827</v>
          </cell>
          <cell r="T49">
            <v>61415086269.578918</v>
          </cell>
          <cell r="U49">
            <v>1155951.3966049554</v>
          </cell>
          <cell r="V49">
            <v>663378.45386671578</v>
          </cell>
          <cell r="W49">
            <v>2014270.4718917767</v>
          </cell>
          <cell r="X49">
            <v>-0.17653911120615257</v>
          </cell>
          <cell r="Y49">
            <v>0.17653911120615257</v>
          </cell>
          <cell r="Z49">
            <v>635380.79722662957</v>
          </cell>
          <cell r="AA49">
            <v>0.60372773224604814</v>
          </cell>
          <cell r="AB49">
            <v>0.79269372842852182</v>
          </cell>
          <cell r="AC49" t="str">
            <v>03</v>
          </cell>
          <cell r="AD49">
            <v>4.8394375998707884E-2</v>
          </cell>
        </row>
        <row r="50">
          <cell r="F50">
            <v>46</v>
          </cell>
          <cell r="G50">
            <v>1.1790087092001149</v>
          </cell>
          <cell r="H50">
            <v>-8.9741376659559634E-7</v>
          </cell>
          <cell r="I50">
            <v>3.3303783301173484E-7</v>
          </cell>
          <cell r="J50">
            <v>0.59668858243519818</v>
          </cell>
          <cell r="K50">
            <v>0.42215358631715466</v>
          </cell>
          <cell r="L50">
            <v>0.13632915380818983</v>
          </cell>
          <cell r="M50">
            <v>0.1846588213520034</v>
          </cell>
          <cell r="N50">
            <v>-0.18135905326178275</v>
          </cell>
          <cell r="O50">
            <v>3.2891106200010151E-2</v>
          </cell>
          <cell r="P50">
            <v>0.59668858243519818</v>
          </cell>
          <cell r="Q50">
            <v>4.1355226187857919E-2</v>
          </cell>
          <cell r="R50">
            <v>1.1520219386825383</v>
          </cell>
          <cell r="S50">
            <v>-195461.07165648229</v>
          </cell>
          <cell r="T50">
            <v>38205030533.10051</v>
          </cell>
          <cell r="U50">
            <v>1178440.425481129</v>
          </cell>
          <cell r="V50">
            <v>676284.47850465181</v>
          </cell>
          <cell r="W50">
            <v>2053458.0942605385</v>
          </cell>
          <cell r="X50">
            <v>0.19884555143093119</v>
          </cell>
          <cell r="Y50">
            <v>0.19884555143093119</v>
          </cell>
          <cell r="Z50">
            <v>648887</v>
          </cell>
          <cell r="AA50">
            <v>0.59142872415953651</v>
          </cell>
          <cell r="AB50">
            <v>0.41532952917341542</v>
          </cell>
          <cell r="AC50" t="str">
            <v>04</v>
          </cell>
          <cell r="AD50">
            <v>3.6095367912196252E-2</v>
          </cell>
        </row>
        <row r="54">
          <cell r="A54">
            <v>2003</v>
          </cell>
          <cell r="B54">
            <v>2008</v>
          </cell>
          <cell r="C54">
            <v>653564</v>
          </cell>
          <cell r="D54">
            <v>0.19514118729421751</v>
          </cell>
          <cell r="E54">
            <v>48</v>
          </cell>
          <cell r="F54">
            <v>46</v>
          </cell>
          <cell r="G54">
            <v>1.1743271706049419</v>
          </cell>
          <cell r="H54">
            <v>-8.8003470438575568E-7</v>
          </cell>
          <cell r="I54">
            <v>3.3057752640238524E-7</v>
          </cell>
        </row>
        <row r="55">
          <cell r="A55">
            <v>2004</v>
          </cell>
          <cell r="B55">
            <v>2009</v>
          </cell>
          <cell r="C55">
            <v>586275</v>
          </cell>
          <cell r="D55">
            <v>0.46436283481170598</v>
          </cell>
          <cell r="E55">
            <v>48</v>
          </cell>
          <cell r="F55">
            <v>46</v>
          </cell>
          <cell r="G55">
            <v>1.182743060616769</v>
          </cell>
          <cell r="H55">
            <v>-9.0418225137130171E-7</v>
          </cell>
          <cell r="I55">
            <v>3.3183970645087953E-7</v>
          </cell>
        </row>
        <row r="56">
          <cell r="A56">
            <v>2005</v>
          </cell>
          <cell r="B56">
            <v>2010</v>
          </cell>
          <cell r="C56">
            <v>633006.30056050722</v>
          </cell>
          <cell r="D56">
            <v>0.12130161271306733</v>
          </cell>
          <cell r="E56">
            <v>48</v>
          </cell>
          <cell r="F56">
            <v>46</v>
          </cell>
          <cell r="G56">
            <v>1.1758219547167206</v>
          </cell>
          <cell r="H56">
            <v>-8.7923950087461934E-7</v>
          </cell>
          <cell r="I56">
            <v>3.2839299091371465E-7</v>
          </cell>
        </row>
        <row r="57">
          <cell r="A57">
            <v>2006</v>
          </cell>
          <cell r="B57">
            <v>2011</v>
          </cell>
          <cell r="C57">
            <v>777091</v>
          </cell>
          <cell r="D57">
            <v>0.85030278164416828</v>
          </cell>
          <cell r="E57">
            <v>48</v>
          </cell>
          <cell r="F57">
            <v>46</v>
          </cell>
          <cell r="G57">
            <v>1.2063297791842822</v>
          </cell>
          <cell r="H57">
            <v>-9.7117825844623456E-7</v>
          </cell>
          <cell r="I57">
            <v>3.3565310148491979E-7</v>
          </cell>
        </row>
        <row r="58">
          <cell r="A58">
            <v>2007</v>
          </cell>
          <cell r="B58">
            <v>2012</v>
          </cell>
          <cell r="C58">
            <v>786932</v>
          </cell>
          <cell r="D58">
            <v>0.96160640301596045</v>
          </cell>
          <cell r="E58">
            <v>48</v>
          </cell>
          <cell r="F58">
            <v>46</v>
          </cell>
          <cell r="G58">
            <v>1.2158225654569017</v>
          </cell>
          <cell r="H58">
            <v>-9.9403313602082797E-7</v>
          </cell>
          <cell r="I58">
            <v>3.3385752280499662E-7</v>
          </cell>
        </row>
        <row r="59">
          <cell r="A59">
            <v>2008</v>
          </cell>
          <cell r="B59">
            <v>2013</v>
          </cell>
          <cell r="C59">
            <v>615240</v>
          </cell>
          <cell r="D59">
            <v>0.84725446222966649</v>
          </cell>
          <cell r="E59">
            <v>48</v>
          </cell>
          <cell r="F59">
            <v>46</v>
          </cell>
          <cell r="G59">
            <v>1.1839864199529315</v>
          </cell>
          <cell r="H59">
            <v>-9.2263985830727817E-7</v>
          </cell>
          <cell r="I59">
            <v>3.3191276625096505E-7</v>
          </cell>
        </row>
        <row r="60">
          <cell r="A60">
            <v>2009</v>
          </cell>
          <cell r="B60">
            <v>2014</v>
          </cell>
          <cell r="C60">
            <v>605329</v>
          </cell>
          <cell r="D60">
            <v>1.1157745296576635</v>
          </cell>
          <cell r="E60">
            <v>48</v>
          </cell>
          <cell r="F60">
            <v>46</v>
          </cell>
          <cell r="G60">
            <v>1.184294246124826</v>
          </cell>
          <cell r="H60">
            <v>-9.3343040877516984E-7</v>
          </cell>
          <cell r="I60">
            <v>3.2789875125087913E-7</v>
          </cell>
        </row>
        <row r="61">
          <cell r="A61">
            <v>2010</v>
          </cell>
          <cell r="B61">
            <v>2015</v>
          </cell>
          <cell r="C61">
            <v>668239</v>
          </cell>
          <cell r="D61">
            <v>0.94971798142394048</v>
          </cell>
          <cell r="E61">
            <v>48</v>
          </cell>
          <cell r="F61">
            <v>46</v>
          </cell>
          <cell r="G61">
            <v>1.1918647949637688</v>
          </cell>
          <cell r="H61">
            <v>-9.4353358151157063E-7</v>
          </cell>
          <cell r="I61">
            <v>3.3123353544421102E-7</v>
          </cell>
        </row>
        <row r="63">
          <cell r="A63">
            <v>2011</v>
          </cell>
          <cell r="B63">
            <v>2016</v>
          </cell>
          <cell r="C63">
            <v>759798</v>
          </cell>
          <cell r="E63">
            <v>49</v>
          </cell>
          <cell r="F63">
            <v>47</v>
          </cell>
          <cell r="G63">
            <v>1.1823177100680988</v>
          </cell>
          <cell r="H63">
            <v>-9.106192386479653E-7</v>
          </cell>
          <cell r="I63">
            <v>3.2866568757386886E-7</v>
          </cell>
        </row>
        <row r="65">
          <cell r="E65" t="str">
            <v>d.f. =</v>
          </cell>
          <cell r="F65">
            <v>46</v>
          </cell>
          <cell r="G65" t="str">
            <v>leave 1 out</v>
          </cell>
        </row>
        <row r="66">
          <cell r="C66" t="str">
            <v>Average:</v>
          </cell>
          <cell r="D66">
            <v>0.69890988803107013</v>
          </cell>
          <cell r="E66" t="str">
            <v>d.f. =</v>
          </cell>
          <cell r="F66">
            <v>47</v>
          </cell>
          <cell r="G66" t="str">
            <v>regression</v>
          </cell>
        </row>
        <row r="69">
          <cell r="B69" t="str">
            <v>Pct Errof Obs-Avg</v>
          </cell>
          <cell r="D69" t="str">
            <v>Pct Error of LN(Obs-Avg)</v>
          </cell>
        </row>
        <row r="70">
          <cell r="A70">
            <v>1962</v>
          </cell>
          <cell r="B70">
            <v>0.49142629070085375</v>
          </cell>
          <cell r="D70">
            <v>-0.57296858729084643</v>
          </cell>
        </row>
        <row r="71">
          <cell r="A71">
            <v>1963</v>
          </cell>
          <cell r="B71">
            <v>0.55389208439213766</v>
          </cell>
          <cell r="D71">
            <v>-0.14699950959799885</v>
          </cell>
        </row>
        <row r="72">
          <cell r="A72">
            <v>1964</v>
          </cell>
          <cell r="B72">
            <v>0.24173479323724734</v>
          </cell>
          <cell r="D72">
            <v>0.82213692641477876</v>
          </cell>
        </row>
        <row r="73">
          <cell r="A73">
            <v>1965</v>
          </cell>
          <cell r="B73">
            <v>-2.190568174979806E-2</v>
          </cell>
          <cell r="D73">
            <v>0.57973551131261103</v>
          </cell>
        </row>
      </sheetData>
      <sheetData sheetId="21">
        <row r="1">
          <cell r="G1" t="str">
            <v>Model = Predict log returns aged 1.3 (ln(R_x001E_d1.3_x001F_)) from log returns aged 1.2 (ln(R_x001E_d1.2_x001F_)).</v>
          </cell>
        </row>
        <row r="2">
          <cell r="G2" t="str">
            <v>X =</v>
          </cell>
          <cell r="H2" t="str">
            <v>ln (1.2)</v>
          </cell>
        </row>
        <row r="3">
          <cell r="G3" t="str">
            <v>Y=</v>
          </cell>
          <cell r="H3" t="str">
            <v>ln (1.3)</v>
          </cell>
        </row>
        <row r="4">
          <cell r="G4" t="str">
            <v>ReturnAge</v>
          </cell>
          <cell r="H4">
            <v>5</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46</v>
          </cell>
          <cell r="G13">
            <v>8.1245434542237831</v>
          </cell>
          <cell r="H13">
            <v>0.46309768760214254</v>
          </cell>
          <cell r="I13">
            <v>7.4755359057474199E-2</v>
          </cell>
          <cell r="J13">
            <v>13.467143207019676</v>
          </cell>
          <cell r="K13">
            <v>0.3611136520131315</v>
          </cell>
          <cell r="L13">
            <v>0.45482176481784681</v>
          </cell>
          <cell r="M13">
            <v>0.13900332291722642</v>
          </cell>
          <cell r="N13">
            <v>-0.23002222388960192</v>
          </cell>
          <cell r="O13">
            <v>5.2910223483118149E-2</v>
          </cell>
          <cell r="P13">
            <v>13.467143207019676</v>
          </cell>
          <cell r="Q13">
            <v>12.980174236637122</v>
          </cell>
          <cell r="R13">
            <v>13.95411217740223</v>
          </cell>
          <cell r="S13">
            <v>-145038.77034755761</v>
          </cell>
          <cell r="T13">
            <v>21036244903.931557</v>
          </cell>
          <cell r="U13">
            <v>705839.53776225657</v>
          </cell>
          <cell r="V13">
            <v>433728.58472704014</v>
          </cell>
          <cell r="W13">
            <v>1148666.4024737403</v>
          </cell>
          <cell r="X13">
            <v>0.25862798122796588</v>
          </cell>
          <cell r="Y13">
            <v>0.25862798122796588</v>
          </cell>
          <cell r="Z13">
            <v>11.536658238263195</v>
          </cell>
          <cell r="AA13">
            <v>13.457217700915461</v>
          </cell>
          <cell r="AB13">
            <v>13.237120983130074</v>
          </cell>
          <cell r="AC13">
            <v>67</v>
          </cell>
          <cell r="AD13">
            <v>12.970248730532907</v>
          </cell>
        </row>
        <row r="14">
          <cell r="F14">
            <v>46</v>
          </cell>
          <cell r="G14">
            <v>8.1787234215979367</v>
          </cell>
          <cell r="H14">
            <v>0.45887364868898894</v>
          </cell>
          <cell r="I14">
            <v>7.4484080947483239E-2</v>
          </cell>
          <cell r="J14">
            <v>13.450518854452586</v>
          </cell>
          <cell r="K14">
            <v>0.35922645384334767</v>
          </cell>
          <cell r="L14">
            <v>0.45208190361420514</v>
          </cell>
          <cell r="M14">
            <v>0.1376338726672974</v>
          </cell>
          <cell r="N14">
            <v>-0.34444714468218507</v>
          </cell>
          <cell r="O14">
            <v>0.11864383547971014</v>
          </cell>
          <cell r="P14">
            <v>13.450518854452586</v>
          </cell>
          <cell r="Q14">
            <v>12.963549884070032</v>
          </cell>
          <cell r="R14">
            <v>13.93748782483514</v>
          </cell>
          <cell r="S14">
            <v>-202282.2483841948</v>
          </cell>
          <cell r="T14">
            <v>40918108011.365082</v>
          </cell>
          <cell r="U14">
            <v>694202.41029627027</v>
          </cell>
          <cell r="V14">
            <v>426577.73165622441</v>
          </cell>
          <cell r="W14">
            <v>1129728.4192263563</v>
          </cell>
          <cell r="X14">
            <v>0.41120950927876421</v>
          </cell>
          <cell r="Y14">
            <v>0.41120950927876421</v>
          </cell>
          <cell r="Z14">
            <v>11.488555614200711</v>
          </cell>
          <cell r="AA14">
            <v>13.434600096766736</v>
          </cell>
          <cell r="AB14">
            <v>13.106071709770401</v>
          </cell>
          <cell r="AC14">
            <v>68</v>
          </cell>
          <cell r="AD14">
            <v>12.947631126384183</v>
          </cell>
        </row>
        <row r="15">
          <cell r="F15">
            <v>46</v>
          </cell>
          <cell r="G15">
            <v>7.9890302880338879</v>
          </cell>
          <cell r="H15">
            <v>0.47428664335373077</v>
          </cell>
          <cell r="I15">
            <v>7.3730009579091885E-2</v>
          </cell>
          <cell r="J15">
            <v>13.955608698483495</v>
          </cell>
          <cell r="K15">
            <v>0.35964486272136986</v>
          </cell>
          <cell r="L15">
            <v>0.47356530700925742</v>
          </cell>
          <cell r="M15">
            <v>0.13798473870383002</v>
          </cell>
          <cell r="N15">
            <v>-0.31906467326569654</v>
          </cell>
          <cell r="O15">
            <v>0.10180226572614569</v>
          </cell>
          <cell r="P15">
            <v>13.955608698483495</v>
          </cell>
          <cell r="Q15">
            <v>13.468639728100941</v>
          </cell>
          <cell r="R15">
            <v>14.442577668866049</v>
          </cell>
          <cell r="S15">
            <v>-314252.81083134864</v>
          </cell>
          <cell r="T15">
            <v>98754829115.403397</v>
          </cell>
          <cell r="U15">
            <v>1150386.6928647407</v>
          </cell>
          <cell r="V15">
            <v>706896.63229534787</v>
          </cell>
          <cell r="W15">
            <v>1872111.8232281394</v>
          </cell>
          <cell r="X15">
            <v>0.37584030211419966</v>
          </cell>
          <cell r="Y15">
            <v>0.37584030211419966</v>
          </cell>
          <cell r="Z15">
            <v>12.580110559849002</v>
          </cell>
          <cell r="AA15">
            <v>13.94784356629528</v>
          </cell>
          <cell r="AB15">
            <v>13.636544025217798</v>
          </cell>
          <cell r="AC15">
            <v>69</v>
          </cell>
          <cell r="AD15">
            <v>13.460874595912726</v>
          </cell>
        </row>
        <row r="16">
          <cell r="F16">
            <v>46</v>
          </cell>
          <cell r="G16">
            <v>7.9897082637995771</v>
          </cell>
          <cell r="H16">
            <v>0.47395358815364569</v>
          </cell>
          <cell r="I16">
            <v>7.461541357647429E-2</v>
          </cell>
          <cell r="J16">
            <v>14.086916937648081</v>
          </cell>
          <cell r="K16">
            <v>0.36196561327880006</v>
          </cell>
          <cell r="L16">
            <v>0.46726768061830987</v>
          </cell>
          <cell r="M16">
            <v>0.13962440220928149</v>
          </cell>
          <cell r="N16">
            <v>-0.15198163528687658</v>
          </cell>
          <cell r="O16">
            <v>2.3098417464473168E-2</v>
          </cell>
          <cell r="P16">
            <v>14.086916937648081</v>
          </cell>
          <cell r="Q16">
            <v>13.599947967265527</v>
          </cell>
          <cell r="R16">
            <v>14.573885908030634</v>
          </cell>
          <cell r="S16">
            <v>-184959.61500527733</v>
          </cell>
          <cell r="T16">
            <v>34210059182.90041</v>
          </cell>
          <cell r="U16">
            <v>1311808.054222641</v>
          </cell>
          <cell r="V16">
            <v>806087.81507952372</v>
          </cell>
          <cell r="W16">
            <v>2134805.0906260423</v>
          </cell>
          <cell r="X16">
            <v>0.16413885715965348</v>
          </cell>
          <cell r="Y16">
            <v>0.16413885715965348</v>
          </cell>
          <cell r="Z16">
            <v>12.864569076480791</v>
          </cell>
          <cell r="AA16">
            <v>14.08159448428167</v>
          </cell>
          <cell r="AB16">
            <v>13.934935302361204</v>
          </cell>
          <cell r="AC16">
            <v>70</v>
          </cell>
          <cell r="AD16">
            <v>13.594625513899116</v>
          </cell>
        </row>
        <row r="17">
          <cell r="F17">
            <v>46</v>
          </cell>
          <cell r="G17">
            <v>7.9891546008901315</v>
          </cell>
          <cell r="H17">
            <v>0.47420810911536837</v>
          </cell>
          <cell r="I17">
            <v>7.3918711840084209E-2</v>
          </cell>
          <cell r="J17">
            <v>13.973049542418993</v>
          </cell>
          <cell r="K17">
            <v>0.36037080775919267</v>
          </cell>
          <cell r="L17">
            <v>0.47220846116864446</v>
          </cell>
          <cell r="M17">
            <v>0.13849641076691269</v>
          </cell>
          <cell r="N17">
            <v>-0.27792446221622136</v>
          </cell>
          <cell r="O17">
            <v>7.7242006698175852E-2</v>
          </cell>
          <cell r="P17">
            <v>13.973049542418993</v>
          </cell>
          <cell r="Q17">
            <v>13.486080572036439</v>
          </cell>
          <cell r="R17">
            <v>14.460018512801547</v>
          </cell>
          <cell r="S17">
            <v>-284047.77882453124</v>
          </cell>
          <cell r="T17">
            <v>80683140655.149811</v>
          </cell>
          <cell r="U17">
            <v>1170626.3933237765</v>
          </cell>
          <cell r="V17">
            <v>719333.64689391758</v>
          </cell>
          <cell r="W17">
            <v>1905049.4282638854</v>
          </cell>
          <cell r="X17">
            <v>0.32038645437547153</v>
          </cell>
          <cell r="Y17">
            <v>0.32038645437547153</v>
          </cell>
          <cell r="Z17">
            <v>12.618710702125638</v>
          </cell>
          <cell r="AA17">
            <v>13.965993152832667</v>
          </cell>
          <cell r="AB17">
            <v>13.695125080202772</v>
          </cell>
          <cell r="AC17">
            <v>71</v>
          </cell>
          <cell r="AD17">
            <v>13.479024182450113</v>
          </cell>
        </row>
        <row r="18">
          <cell r="F18">
            <v>46</v>
          </cell>
          <cell r="G18">
            <v>8.01637523313806</v>
          </cell>
          <cell r="H18">
            <v>0.47146420483592033</v>
          </cell>
          <cell r="I18">
            <v>7.5189123353128245E-2</v>
          </cell>
          <cell r="J18">
            <v>13.431508132148618</v>
          </cell>
          <cell r="K18">
            <v>0.36259199570210326</v>
          </cell>
          <cell r="L18">
            <v>0.46083832530176266</v>
          </cell>
          <cell r="M18">
            <v>0.14007476264172875</v>
          </cell>
          <cell r="N18">
            <v>3.8485279094825131E-2</v>
          </cell>
          <cell r="O18">
            <v>1.4811167070065843E-3</v>
          </cell>
          <cell r="P18">
            <v>13.431508132148618</v>
          </cell>
          <cell r="Q18">
            <v>12.944539161766064</v>
          </cell>
          <cell r="R18">
            <v>13.918477102531172</v>
          </cell>
          <cell r="S18">
            <v>26724.419439268415</v>
          </cell>
          <cell r="T18">
            <v>714194594.36594748</v>
          </cell>
          <cell r="U18">
            <v>681129.77488227154</v>
          </cell>
          <cell r="V18">
            <v>418544.77890503395</v>
          </cell>
          <cell r="W18">
            <v>1108454.3246361683</v>
          </cell>
          <cell r="X18">
            <v>-3.7754130234239951E-2</v>
          </cell>
          <cell r="Y18">
            <v>3.7754130234239951E-2</v>
          </cell>
          <cell r="Z18">
            <v>11.485777379207695</v>
          </cell>
          <cell r="AA18">
            <v>13.433293785093955</v>
          </cell>
          <cell r="AB18">
            <v>13.469993411243443</v>
          </cell>
          <cell r="AC18">
            <v>72</v>
          </cell>
          <cell r="AD18">
            <v>12.946324814711401</v>
          </cell>
        </row>
        <row r="19">
          <cell r="F19">
            <v>46</v>
          </cell>
          <cell r="G19">
            <v>8.1065538716199974</v>
          </cell>
          <cell r="H19">
            <v>0.46474576724285266</v>
          </cell>
          <cell r="I19">
            <v>7.3733172376093892E-2</v>
          </cell>
          <cell r="J19">
            <v>13.632636699723381</v>
          </cell>
          <cell r="K19">
            <v>0.35925133717842295</v>
          </cell>
          <cell r="L19">
            <v>0.46342396383860468</v>
          </cell>
          <cell r="M19">
            <v>0.13770139520350758</v>
          </cell>
          <cell r="N19">
            <v>-0.33970980813279894</v>
          </cell>
          <cell r="O19">
            <v>0.11540275374162307</v>
          </cell>
          <cell r="P19">
            <v>13.632636699723381</v>
          </cell>
          <cell r="Q19">
            <v>13.145667729340827</v>
          </cell>
          <cell r="R19">
            <v>14.119605670105935</v>
          </cell>
          <cell r="S19">
            <v>-239886.72137775493</v>
          </cell>
          <cell r="T19">
            <v>57545639093.368629</v>
          </cell>
          <cell r="U19">
            <v>832873.2092028592</v>
          </cell>
          <cell r="V19">
            <v>511789.01004876639</v>
          </cell>
          <cell r="W19">
            <v>1355397.9647624162</v>
          </cell>
          <cell r="X19">
            <v>0.40453994534949206</v>
          </cell>
          <cell r="Y19">
            <v>0.40453994534949206</v>
          </cell>
          <cell r="Z19">
            <v>11.890550097717687</v>
          </cell>
          <cell r="AA19">
            <v>13.623615816290641</v>
          </cell>
          <cell r="AB19">
            <v>13.292926891590582</v>
          </cell>
          <cell r="AC19">
            <v>73</v>
          </cell>
          <cell r="AD19">
            <v>13.136646845908087</v>
          </cell>
        </row>
        <row r="20">
          <cell r="F20">
            <v>46</v>
          </cell>
          <cell r="G20">
            <v>8.0691478489959962</v>
          </cell>
          <cell r="H20">
            <v>0.46737855964102715</v>
          </cell>
          <cell r="I20">
            <v>7.5043041935688753E-2</v>
          </cell>
          <cell r="J20">
            <v>13.45706682404904</v>
          </cell>
          <cell r="K20">
            <v>0.36240098580428887</v>
          </cell>
          <cell r="L20">
            <v>0.45748144023770254</v>
          </cell>
          <cell r="M20">
            <v>0.13993607612264738</v>
          </cell>
          <cell r="N20">
            <v>-9.0211249979764929E-2</v>
          </cell>
          <cell r="O20">
            <v>8.1380696229116384E-3</v>
          </cell>
          <cell r="P20">
            <v>13.45706682404904</v>
          </cell>
          <cell r="Q20">
            <v>12.970097853666486</v>
          </cell>
          <cell r="R20">
            <v>13.944035794431594</v>
          </cell>
          <cell r="S20">
            <v>-60276.592617588351</v>
          </cell>
          <cell r="T20">
            <v>3633267617.5867066</v>
          </cell>
          <cell r="U20">
            <v>698762.94138740946</v>
          </cell>
          <cell r="V20">
            <v>429380.11461997061</v>
          </cell>
          <cell r="W20">
            <v>1137150.1185809099</v>
          </cell>
          <cell r="X20">
            <v>9.4405452416835456E-2</v>
          </cell>
          <cell r="Y20">
            <v>9.4405452416835456E-2</v>
          </cell>
          <cell r="Z20">
            <v>11.527954939121013</v>
          </cell>
          <cell r="AA20">
            <v>13.453125454834872</v>
          </cell>
          <cell r="AB20">
            <v>13.366855574069275</v>
          </cell>
          <cell r="AC20">
            <v>74</v>
          </cell>
          <cell r="AD20">
            <v>12.966156484452318</v>
          </cell>
        </row>
        <row r="21">
          <cell r="F21">
            <v>46</v>
          </cell>
          <cell r="G21">
            <v>8.3558294891107572</v>
          </cell>
          <cell r="H21">
            <v>0.44494294467868228</v>
          </cell>
          <cell r="I21">
            <v>7.313310173895482E-2</v>
          </cell>
          <cell r="J21">
            <v>13.400499853758495</v>
          </cell>
          <cell r="K21">
            <v>0.35069672995703643</v>
          </cell>
          <cell r="L21">
            <v>0.44588492917318245</v>
          </cell>
          <cell r="M21">
            <v>0.13145098323631954</v>
          </cell>
          <cell r="N21">
            <v>-0.64453279836378208</v>
          </cell>
          <cell r="O21">
            <v>0.41542252816664776</v>
          </cell>
          <cell r="P21">
            <v>13.400499853758495</v>
          </cell>
          <cell r="Q21">
            <v>12.913530883375941</v>
          </cell>
          <cell r="R21">
            <v>13.887468824141049</v>
          </cell>
          <cell r="S21">
            <v>-313719.20970289083</v>
          </cell>
          <cell r="T21">
            <v>98419742536.6064</v>
          </cell>
          <cell r="U21">
            <v>660333.21232456469</v>
          </cell>
          <cell r="V21">
            <v>405765.58028726018</v>
          </cell>
          <cell r="W21">
            <v>1074610.4955235135</v>
          </cell>
          <cell r="X21">
            <v>0.90509675699776215</v>
          </cell>
          <cell r="Y21">
            <v>0.90509675699776215</v>
          </cell>
          <cell r="Z21">
            <v>11.337791564019003</v>
          </cell>
          <cell r="AA21">
            <v>13.363711622939631</v>
          </cell>
          <cell r="AB21">
            <v>12.755967055394713</v>
          </cell>
          <cell r="AC21">
            <v>75</v>
          </cell>
          <cell r="AD21">
            <v>12.876742652557077</v>
          </cell>
        </row>
        <row r="22">
          <cell r="F22">
            <v>46</v>
          </cell>
          <cell r="G22">
            <v>7.457479098865317</v>
          </cell>
          <cell r="H22">
            <v>0.51584511018043655</v>
          </cell>
          <cell r="I22">
            <v>7.483608099494439E-2</v>
          </cell>
          <cell r="J22">
            <v>13.021487165216344</v>
          </cell>
          <cell r="K22">
            <v>0.34805196139562472</v>
          </cell>
          <cell r="L22">
            <v>0.50809214995162921</v>
          </cell>
          <cell r="M22">
            <v>0.12890825036154643</v>
          </cell>
          <cell r="N22">
            <v>0.73312598245851213</v>
          </cell>
          <cell r="O22">
            <v>0.53747370615575862</v>
          </cell>
          <cell r="P22">
            <v>13.021487165216344</v>
          </cell>
          <cell r="Q22">
            <v>12.53451819483379</v>
          </cell>
          <cell r="R22">
            <v>13.508456135598898</v>
          </cell>
          <cell r="S22">
            <v>488897.29565888725</v>
          </cell>
          <cell r="T22">
            <v>239020565702.57343</v>
          </cell>
          <cell r="U22">
            <v>452022.46785208653</v>
          </cell>
          <cell r="V22">
            <v>277761.52334547386</v>
          </cell>
          <cell r="W22">
            <v>735610.56615086459</v>
          </cell>
          <cell r="X22">
            <v>-0.51959509685990912</v>
          </cell>
          <cell r="Y22">
            <v>0.51959509685990912</v>
          </cell>
          <cell r="Z22">
            <v>10.786199106171235</v>
          </cell>
          <cell r="AA22">
            <v>13.104355712400993</v>
          </cell>
          <cell r="AB22">
            <v>13.754613147674856</v>
          </cell>
          <cell r="AC22">
            <v>76</v>
          </cell>
          <cell r="AD22">
            <v>12.617386742018439</v>
          </cell>
        </row>
        <row r="23">
          <cell r="F23">
            <v>46</v>
          </cell>
          <cell r="G23">
            <v>8.0228239358616484</v>
          </cell>
          <cell r="H23">
            <v>0.47093358985773698</v>
          </cell>
          <cell r="I23">
            <v>7.4470004431526807E-2</v>
          </cell>
          <cell r="J23">
            <v>13.603231048270594</v>
          </cell>
          <cell r="K23">
            <v>0.36258386398811776</v>
          </cell>
          <cell r="L23">
            <v>0.46505703912974722</v>
          </cell>
          <cell r="M23">
            <v>0.14006953506700551</v>
          </cell>
          <cell r="N23">
            <v>4.1617788188723637E-2</v>
          </cell>
          <cell r="O23">
            <v>1.7320402937214647E-3</v>
          </cell>
          <cell r="P23">
            <v>13.603231048270594</v>
          </cell>
          <cell r="Q23">
            <v>13.11626207788804</v>
          </cell>
          <cell r="R23">
            <v>14.090200018653148</v>
          </cell>
          <cell r="S23">
            <v>34368.11442434974</v>
          </cell>
          <cell r="T23">
            <v>1181167289.0851967</v>
          </cell>
          <cell r="U23">
            <v>808738.61568919488</v>
          </cell>
          <cell r="V23">
            <v>496958.63780746266</v>
          </cell>
          <cell r="W23">
            <v>1316121.9038117975</v>
          </cell>
          <cell r="X23">
            <v>-4.0763658024318278E-2</v>
          </cell>
          <cell r="Y23">
            <v>4.0763658024318278E-2</v>
          </cell>
          <cell r="Z23">
            <v>11.849668897253039</v>
          </cell>
          <cell r="AA23">
            <v>13.6043936880335</v>
          </cell>
          <cell r="AB23">
            <v>13.644848836459317</v>
          </cell>
          <cell r="AC23">
            <v>77</v>
          </cell>
          <cell r="AD23">
            <v>13.117424717650946</v>
          </cell>
        </row>
        <row r="24">
          <cell r="F24">
            <v>46</v>
          </cell>
          <cell r="G24">
            <v>8.3882471494726687</v>
          </cell>
          <cell r="H24">
            <v>0.44180610667914877</v>
          </cell>
          <cell r="I24">
            <v>8.0470301668542035E-2</v>
          </cell>
          <cell r="J24">
            <v>12.946040104059685</v>
          </cell>
          <cell r="K24">
            <v>0.35967482659640837</v>
          </cell>
          <cell r="L24">
            <v>0.39587669065034276</v>
          </cell>
          <cell r="M24">
            <v>0.13760487324640264</v>
          </cell>
          <cell r="N24">
            <v>-0.34646184159682036</v>
          </cell>
          <cell r="O24">
            <v>0.12003580768266024</v>
          </cell>
          <cell r="P24">
            <v>12.946040104059685</v>
          </cell>
          <cell r="Q24">
            <v>12.459071133677131</v>
          </cell>
          <cell r="R24">
            <v>13.433009074442239</v>
          </cell>
          <cell r="S24">
            <v>-122739.94036719896</v>
          </cell>
          <cell r="T24">
            <v>15065092961.343555</v>
          </cell>
          <cell r="U24">
            <v>419173.46215608093</v>
          </cell>
          <cell r="V24">
            <v>257576.2659491704</v>
          </cell>
          <cell r="W24">
            <v>682152.87898687436</v>
          </cell>
          <cell r="X24">
            <v>0.41405553469966039</v>
          </cell>
          <cell r="Y24">
            <v>0.41405553469966039</v>
          </cell>
          <cell r="Z24">
            <v>10.316274233613086</v>
          </cell>
          <cell r="AA24">
            <v>12.883399476555018</v>
          </cell>
          <cell r="AB24">
            <v>12.599578262462865</v>
          </cell>
          <cell r="AC24">
            <v>78</v>
          </cell>
          <cell r="AD24">
            <v>12.396430506172464</v>
          </cell>
        </row>
        <row r="25">
          <cell r="F25">
            <v>46</v>
          </cell>
          <cell r="G25">
            <v>8.1592583070282245</v>
          </cell>
          <cell r="H25">
            <v>0.46099671271853782</v>
          </cell>
          <cell r="I25">
            <v>7.1645882207127448E-2</v>
          </cell>
          <cell r="J25">
            <v>13.665655029994417</v>
          </cell>
          <cell r="K25">
            <v>0.3493699906395436</v>
          </cell>
          <cell r="L25">
            <v>0.4736915851025561</v>
          </cell>
          <cell r="M25">
            <v>0.13082331904699182</v>
          </cell>
          <cell r="N25">
            <v>-0.66749562489530945</v>
          </cell>
          <cell r="O25">
            <v>0.44555040925437966</v>
          </cell>
          <cell r="P25">
            <v>13.665655029994417</v>
          </cell>
          <cell r="Q25">
            <v>13.178686059611863</v>
          </cell>
          <cell r="R25">
            <v>14.152624000376971</v>
          </cell>
          <cell r="S25">
            <v>-419232.4965189512</v>
          </cell>
          <cell r="T25">
            <v>175755886137.51242</v>
          </cell>
          <cell r="U25">
            <v>860832.33363662509</v>
          </cell>
          <cell r="V25">
            <v>528969.50337917684</v>
          </cell>
          <cell r="W25">
            <v>1400897.9759710073</v>
          </cell>
          <cell r="X25">
            <v>0.94934930061407063</v>
          </cell>
          <cell r="Y25">
            <v>0.94934930061407063</v>
          </cell>
          <cell r="Z25">
            <v>11.944546611828294</v>
          </cell>
          <cell r="AA25">
            <v>13.64900469694668</v>
          </cell>
          <cell r="AB25">
            <v>12.998159405099107</v>
          </cell>
          <cell r="AC25">
            <v>79</v>
          </cell>
          <cell r="AD25">
            <v>13.162035726564126</v>
          </cell>
        </row>
        <row r="26">
          <cell r="F26">
            <v>46</v>
          </cell>
          <cell r="G26">
            <v>8.2589057004977242</v>
          </cell>
          <cell r="H26">
            <v>0.45238933075607574</v>
          </cell>
          <cell r="I26">
            <v>7.5518319540890735E-2</v>
          </cell>
          <cell r="J26">
            <v>13.296380933437268</v>
          </cell>
          <cell r="K26">
            <v>0.35874165939014657</v>
          </cell>
          <cell r="L26">
            <v>0.43824058876445809</v>
          </cell>
          <cell r="M26">
            <v>0.13719740309319972</v>
          </cell>
          <cell r="N26">
            <v>-0.37362330633460417</v>
          </cell>
          <cell r="O26">
            <v>0.13959437503640146</v>
          </cell>
          <cell r="P26">
            <v>13.296380933437268</v>
          </cell>
          <cell r="Q26">
            <v>12.809411963054714</v>
          </cell>
          <cell r="R26">
            <v>13.783349903819822</v>
          </cell>
          <cell r="S26">
            <v>-185511.42879544647</v>
          </cell>
          <cell r="T26">
            <v>34414490213.728004</v>
          </cell>
          <cell r="U26">
            <v>595038.22932923643</v>
          </cell>
          <cell r="V26">
            <v>365642.720842287</v>
          </cell>
          <cell r="W26">
            <v>968350.99998064642</v>
          </cell>
          <cell r="X26">
            <v>0.45298971533400278</v>
          </cell>
          <cell r="Y26">
            <v>0.45298971533400278</v>
          </cell>
          <cell r="Z26">
            <v>11.135265335547237</v>
          </cell>
          <cell r="AA26">
            <v>13.26848484156158</v>
          </cell>
          <cell r="AB26">
            <v>12.922757627102664</v>
          </cell>
          <cell r="AC26">
            <v>80</v>
          </cell>
          <cell r="AD26">
            <v>12.781515871179026</v>
          </cell>
        </row>
        <row r="27">
          <cell r="F27">
            <v>46</v>
          </cell>
          <cell r="G27">
            <v>8.0325403523625063</v>
          </cell>
          <cell r="H27">
            <v>0.47020856651166509</v>
          </cell>
          <cell r="I27">
            <v>7.4264796487775953E-2</v>
          </cell>
          <cell r="J27">
            <v>13.704195336406086</v>
          </cell>
          <cell r="K27">
            <v>0.36263426257089992</v>
          </cell>
          <cell r="L27">
            <v>0.46566344001104387</v>
          </cell>
          <cell r="M27">
            <v>0.14010556905108504</v>
          </cell>
          <cell r="N27">
            <v>1.5521140118899268E-3</v>
          </cell>
          <cell r="O27">
            <v>2.4090579059050437E-6</v>
          </cell>
          <cell r="P27">
            <v>13.704195336406086</v>
          </cell>
          <cell r="Q27">
            <v>13.217226366023532</v>
          </cell>
          <cell r="R27">
            <v>14.191164306788639</v>
          </cell>
          <cell r="S27">
            <v>1389.6873810907127</v>
          </cell>
          <cell r="T27">
            <v>1931231.0171627637</v>
          </cell>
          <cell r="U27">
            <v>894656.6894000679</v>
          </cell>
          <cell r="V27">
            <v>549754.09983447404</v>
          </cell>
          <cell r="W27">
            <v>1455942.924535326</v>
          </cell>
          <cell r="X27">
            <v>-1.5509101058840797E-3</v>
          </cell>
          <cell r="Y27">
            <v>1.5509101058840797E-3</v>
          </cell>
          <cell r="Z27">
            <v>12.061998415128565</v>
          </cell>
          <cell r="AA27">
            <v>13.704229925203435</v>
          </cell>
          <cell r="AB27">
            <v>13.705747450417975</v>
          </cell>
          <cell r="AC27">
            <v>81</v>
          </cell>
          <cell r="AD27">
            <v>13.217260954820881</v>
          </cell>
        </row>
        <row r="28">
          <cell r="F28">
            <v>46</v>
          </cell>
          <cell r="G28">
            <v>7.8928730892575976</v>
          </cell>
          <cell r="H28">
            <v>0.48068605285781618</v>
          </cell>
          <cell r="I28">
            <v>7.2741584274645554E-2</v>
          </cell>
          <cell r="J28">
            <v>13.57120908032134</v>
          </cell>
          <cell r="K28">
            <v>0.35392080540995985</v>
          </cell>
          <cell r="L28">
            <v>0.48699315651086639</v>
          </cell>
          <cell r="M28">
            <v>0.13394147297713171</v>
          </cell>
          <cell r="N28">
            <v>0.54394762671388364</v>
          </cell>
          <cell r="O28">
            <v>0.29587902060766652</v>
          </cell>
          <cell r="P28">
            <v>13.57120908032134</v>
          </cell>
          <cell r="Q28">
            <v>13.084240109938786</v>
          </cell>
          <cell r="R28">
            <v>14.058178050703894</v>
          </cell>
          <cell r="S28">
            <v>566129.77742197062</v>
          </cell>
          <cell r="T28">
            <v>320502924883.84998</v>
          </cell>
          <cell r="U28">
            <v>783251.46585915284</v>
          </cell>
          <cell r="V28">
            <v>481297.13851038925</v>
          </cell>
          <cell r="W28">
            <v>1274644.7250221267</v>
          </cell>
          <cell r="X28">
            <v>-0.41954768546017646</v>
          </cell>
          <cell r="Y28">
            <v>0.41954768546017646</v>
          </cell>
          <cell r="Z28">
            <v>11.812982626195227</v>
          </cell>
          <cell r="AA28">
            <v>13.587143993808905</v>
          </cell>
          <cell r="AB28">
            <v>14.115156707035224</v>
          </cell>
          <cell r="AC28">
            <v>82</v>
          </cell>
          <cell r="AD28">
            <v>13.100175023426351</v>
          </cell>
        </row>
        <row r="29">
          <cell r="F29">
            <v>46</v>
          </cell>
          <cell r="G29">
            <v>7.9219086954363735</v>
          </cell>
          <cell r="H29">
            <v>0.47997151085982132</v>
          </cell>
          <cell r="I29">
            <v>7.3411913827118563E-2</v>
          </cell>
          <cell r="J29">
            <v>14.062590662050411</v>
          </cell>
          <cell r="K29">
            <v>0.35673368989486604</v>
          </cell>
          <cell r="L29">
            <v>0.4816681283909765</v>
          </cell>
          <cell r="M29">
            <v>0.13590443907288055</v>
          </cell>
          <cell r="N29">
            <v>-0.44906196455692005</v>
          </cell>
          <cell r="O29">
            <v>0.20165664801172051</v>
          </cell>
          <cell r="P29">
            <v>14.062590662050411</v>
          </cell>
          <cell r="Q29">
            <v>13.575621691667857</v>
          </cell>
          <cell r="R29">
            <v>14.549559632432965</v>
          </cell>
          <cell r="S29">
            <v>-463171.91466955491</v>
          </cell>
          <cell r="T29">
            <v>214528222538.66147</v>
          </cell>
          <cell r="U29">
            <v>1280281.6644635403</v>
          </cell>
          <cell r="V29">
            <v>786715.28679197771</v>
          </cell>
          <cell r="W29">
            <v>2083499.7970427743</v>
          </cell>
          <cell r="X29">
            <v>0.56684174284584488</v>
          </cell>
          <cell r="Y29">
            <v>0.56684174284584488</v>
          </cell>
          <cell r="Z29">
            <v>12.793846775642196</v>
          </cell>
          <cell r="AA29">
            <v>14.04834122552438</v>
          </cell>
          <cell r="AB29">
            <v>13.613528697493491</v>
          </cell>
          <cell r="AC29">
            <v>83</v>
          </cell>
          <cell r="AD29">
            <v>13.561372255141826</v>
          </cell>
        </row>
        <row r="30">
          <cell r="F30">
            <v>46</v>
          </cell>
          <cell r="G30">
            <v>8.0652760695948</v>
          </cell>
          <cell r="H30">
            <v>0.46730588616899682</v>
          </cell>
          <cell r="I30">
            <v>7.4441831671989589E-2</v>
          </cell>
          <cell r="J30">
            <v>14.026063791786434</v>
          </cell>
          <cell r="K30">
            <v>0.3620376031303299</v>
          </cell>
          <cell r="L30">
            <v>0.46139961597075169</v>
          </cell>
          <cell r="M30">
            <v>0.13967832989699172</v>
          </cell>
          <cell r="N30">
            <v>0.14321273845012783</v>
          </cell>
          <cell r="O30">
            <v>2.0509888454384721E-2</v>
          </cell>
          <cell r="P30">
            <v>14.026063791786434</v>
          </cell>
          <cell r="Q30">
            <v>13.53909482140388</v>
          </cell>
          <cell r="R30">
            <v>14.513032762168988</v>
          </cell>
          <cell r="S30">
            <v>190061.03205973073</v>
          </cell>
          <cell r="T30">
            <v>36123195907.609993</v>
          </cell>
          <cell r="U30">
            <v>1234360.7612144689</v>
          </cell>
          <cell r="V30">
            <v>758497.53004977072</v>
          </cell>
          <cell r="W30">
            <v>2008769.2160658517</v>
          </cell>
          <cell r="X30">
            <v>-0.13343030340953524</v>
          </cell>
          <cell r="Y30">
            <v>0.13343030340953524</v>
          </cell>
          <cell r="Z30">
            <v>12.755644426092186</v>
          </cell>
          <cell r="AA30">
            <v>14.030378679062238</v>
          </cell>
          <cell r="AB30">
            <v>14.169276530236562</v>
          </cell>
          <cell r="AC30">
            <v>84</v>
          </cell>
          <cell r="AD30">
            <v>13.543409708679684</v>
          </cell>
        </row>
        <row r="31">
          <cell r="F31">
            <v>46</v>
          </cell>
          <cell r="G31">
            <v>8.0290202307996097</v>
          </cell>
          <cell r="H31">
            <v>0.47036452343767954</v>
          </cell>
          <cell r="I31">
            <v>7.4158992460032588E-2</v>
          </cell>
          <cell r="J31">
            <v>13.778387641901517</v>
          </cell>
          <cell r="K31">
            <v>0.36244524084876906</v>
          </cell>
          <cell r="L31">
            <v>0.46653806242581547</v>
          </cell>
          <cell r="M31">
            <v>0.13997147303782831</v>
          </cell>
          <cell r="N31">
            <v>8.0243490042672505E-2</v>
          </cell>
          <cell r="O31">
            <v>6.4390176942284811E-3</v>
          </cell>
          <cell r="P31">
            <v>13.778387641901517</v>
          </cell>
          <cell r="Q31">
            <v>13.291418671518963</v>
          </cell>
          <cell r="R31">
            <v>14.265356612284071</v>
          </cell>
          <cell r="S31">
            <v>80506.082833905588</v>
          </cell>
          <cell r="T31">
            <v>6481229373.2596684</v>
          </cell>
          <cell r="U31">
            <v>963557.69135220756</v>
          </cell>
          <cell r="V31">
            <v>592092.80780444655</v>
          </cell>
          <cell r="W31">
            <v>1568070.7691869782</v>
          </cell>
          <cell r="X31">
            <v>-7.710839588957398E-2</v>
          </cell>
          <cell r="Y31">
            <v>7.710839588957398E-2</v>
          </cell>
          <cell r="Z31">
            <v>12.223216515315409</v>
          </cell>
          <cell r="AA31">
            <v>13.780033839079298</v>
          </cell>
          <cell r="AB31">
            <v>13.85863113194419</v>
          </cell>
          <cell r="AC31">
            <v>85</v>
          </cell>
          <cell r="AD31">
            <v>13.293064868696744</v>
          </cell>
        </row>
        <row r="32">
          <cell r="F32">
            <v>46</v>
          </cell>
          <cell r="G32">
            <v>8.0618126169309026</v>
          </cell>
          <cell r="H32">
            <v>0.4680957764566876</v>
          </cell>
          <cell r="I32">
            <v>7.4187989023989778E-2</v>
          </cell>
          <cell r="J32">
            <v>13.662322819243235</v>
          </cell>
          <cell r="K32">
            <v>0.36186486597562412</v>
          </cell>
          <cell r="L32">
            <v>0.46393770897797043</v>
          </cell>
          <cell r="M32">
            <v>0.13955800043055763</v>
          </cell>
          <cell r="N32">
            <v>-0.16212866138725168</v>
          </cell>
          <cell r="O32">
            <v>2.6285702843222115E-2</v>
          </cell>
          <cell r="P32">
            <v>13.662322819243235</v>
          </cell>
          <cell r="Q32">
            <v>13.175353848860681</v>
          </cell>
          <cell r="R32">
            <v>14.149291789625789</v>
          </cell>
          <cell r="S32">
            <v>-128410.62724115106</v>
          </cell>
          <cell r="T32">
            <v>16489289188.465847</v>
          </cell>
          <cell r="U32">
            <v>857968.63275673473</v>
          </cell>
          <cell r="V32">
            <v>527209.79899416293</v>
          </cell>
          <cell r="W32">
            <v>1396237.6575679136</v>
          </cell>
          <cell r="X32">
            <v>0.17601153886372939</v>
          </cell>
          <cell r="Y32">
            <v>0.17601153886372939</v>
          </cell>
          <cell r="Z32">
            <v>11.964453609699556</v>
          </cell>
          <cell r="AA32">
            <v>13.658364864014839</v>
          </cell>
          <cell r="AB32">
            <v>13.500194157855983</v>
          </cell>
          <cell r="AC32">
            <v>86</v>
          </cell>
          <cell r="AD32">
            <v>13.171395893632285</v>
          </cell>
        </row>
        <row r="33">
          <cell r="F33">
            <v>46</v>
          </cell>
          <cell r="G33">
            <v>8.0575593432113077</v>
          </cell>
          <cell r="H33">
            <v>0.46787694829453419</v>
          </cell>
          <cell r="I33">
            <v>7.415776151596809E-2</v>
          </cell>
          <cell r="J33">
            <v>13.945799215020699</v>
          </cell>
          <cell r="K33">
            <v>0.36170785616918727</v>
          </cell>
          <cell r="L33">
            <v>0.46390783165104832</v>
          </cell>
          <cell r="M33">
            <v>0.13944636680492623</v>
          </cell>
          <cell r="N33">
            <v>0.17788793346804077</v>
          </cell>
          <cell r="O33">
            <v>3.1644116873530102E-2</v>
          </cell>
          <cell r="P33">
            <v>13.945799215020699</v>
          </cell>
          <cell r="Q33">
            <v>13.458830244638145</v>
          </cell>
          <cell r="R33">
            <v>14.432768185403253</v>
          </cell>
          <cell r="S33">
            <v>221784.1354325409</v>
          </cell>
          <cell r="T33">
            <v>49188202729.559647</v>
          </cell>
          <cell r="U33">
            <v>1139157.1616233306</v>
          </cell>
          <cell r="V33">
            <v>699996.24143891304</v>
          </cell>
          <cell r="W33">
            <v>1853837.1523398648</v>
          </cell>
          <cell r="X33">
            <v>-0.16296377802064441</v>
          </cell>
          <cell r="Y33">
            <v>0.16296377802064441</v>
          </cell>
          <cell r="Z33">
            <v>12.58501811912878</v>
          </cell>
          <cell r="AA33">
            <v>13.950151075195048</v>
          </cell>
          <cell r="AB33">
            <v>14.12368714848874</v>
          </cell>
          <cell r="AC33">
            <v>87</v>
          </cell>
          <cell r="AD33">
            <v>13.463182104812494</v>
          </cell>
        </row>
        <row r="34">
          <cell r="F34">
            <v>46</v>
          </cell>
          <cell r="G34">
            <v>8.1472677030563752</v>
          </cell>
          <cell r="H34">
            <v>0.46141649695269726</v>
          </cell>
          <cell r="I34">
            <v>7.4171587366375274E-2</v>
          </cell>
          <cell r="J34">
            <v>13.519488605615912</v>
          </cell>
          <cell r="K34">
            <v>0.35943075197134444</v>
          </cell>
          <cell r="L34">
            <v>0.45690680008481577</v>
          </cell>
          <cell r="M34">
            <v>0.13780347387293987</v>
          </cell>
          <cell r="N34">
            <v>-0.3324198814885726</v>
          </cell>
          <cell r="O34">
            <v>0.11050297760887665</v>
          </cell>
          <cell r="P34">
            <v>13.519488605615912</v>
          </cell>
          <cell r="Q34">
            <v>13.032519635233358</v>
          </cell>
          <cell r="R34">
            <v>14.006457575998466</v>
          </cell>
          <cell r="S34">
            <v>-210348.7859178147</v>
          </cell>
          <cell r="T34">
            <v>44246611737.09864</v>
          </cell>
          <cell r="U34">
            <v>743771.10031866876</v>
          </cell>
          <cell r="V34">
            <v>457037.0026661033</v>
          </cell>
          <cell r="W34">
            <v>1210395.3212589007</v>
          </cell>
          <cell r="X34">
            <v>0.39433818241008689</v>
          </cell>
          <cell r="Y34">
            <v>0.39433818241008689</v>
          </cell>
          <cell r="Z34">
            <v>11.642888665747632</v>
          </cell>
          <cell r="AA34">
            <v>13.507166696510211</v>
          </cell>
          <cell r="AB34">
            <v>13.187068724127339</v>
          </cell>
          <cell r="AC34">
            <v>88</v>
          </cell>
          <cell r="AD34">
            <v>13.020197726127657</v>
          </cell>
        </row>
        <row r="35">
          <cell r="F35">
            <v>46</v>
          </cell>
          <cell r="G35">
            <v>7.9992485728137863</v>
          </cell>
          <cell r="H35">
            <v>0.47321693473308529</v>
          </cell>
          <cell r="I35">
            <v>7.4273988433560575E-2</v>
          </cell>
          <cell r="J35">
            <v>14.001042696971471</v>
          </cell>
          <cell r="K35">
            <v>0.3617258289649451</v>
          </cell>
          <cell r="L35">
            <v>0.46877688980653565</v>
          </cell>
          <cell r="M35">
            <v>0.13945717605988386</v>
          </cell>
          <cell r="N35">
            <v>-0.17642356031881157</v>
          </cell>
          <cell r="O35">
            <v>3.1125272635565342E-2</v>
          </cell>
          <cell r="P35">
            <v>14.001042696971471</v>
          </cell>
          <cell r="Q35">
            <v>13.514073726588917</v>
          </cell>
          <cell r="R35">
            <v>14.488011667354025</v>
          </cell>
          <cell r="S35">
            <v>-194708.70195364777</v>
          </cell>
          <cell r="T35">
            <v>37911478616.474442</v>
          </cell>
          <cell r="U35">
            <v>1203858.8899829276</v>
          </cell>
          <cell r="V35">
            <v>739754.55415651773</v>
          </cell>
          <cell r="W35">
            <v>1959131.1994603653</v>
          </cell>
          <cell r="X35">
            <v>0.19294323507374547</v>
          </cell>
          <cell r="Y35">
            <v>0.19294323507374547</v>
          </cell>
          <cell r="Z35">
            <v>12.682965641419734</v>
          </cell>
          <cell r="AA35">
            <v>13.996205491761755</v>
          </cell>
          <cell r="AB35">
            <v>13.824619136652659</v>
          </cell>
          <cell r="AC35">
            <v>89</v>
          </cell>
          <cell r="AD35">
            <v>13.509236521379201</v>
          </cell>
        </row>
        <row r="36">
          <cell r="F36">
            <v>46</v>
          </cell>
          <cell r="G36">
            <v>8.0098599181911503</v>
          </cell>
          <cell r="H36">
            <v>0.47287600190636653</v>
          </cell>
          <cell r="I36">
            <v>7.2756410982247846E-2</v>
          </cell>
          <cell r="J36">
            <v>13.875463324501526</v>
          </cell>
          <cell r="K36">
            <v>0.35548050509497597</v>
          </cell>
          <cell r="L36">
            <v>0.4787106184612076</v>
          </cell>
          <cell r="M36">
            <v>0.13507618267942251</v>
          </cell>
          <cell r="N36">
            <v>-0.49133792332539272</v>
          </cell>
          <cell r="O36">
            <v>0.2414129548977095</v>
          </cell>
          <cell r="P36">
            <v>13.875463324501526</v>
          </cell>
          <cell r="Q36">
            <v>13.388494354118972</v>
          </cell>
          <cell r="R36">
            <v>14.36243229488408</v>
          </cell>
          <cell r="S36">
            <v>-412177.73211320676</v>
          </cell>
          <cell r="T36">
            <v>169890482849.98642</v>
          </cell>
          <cell r="U36">
            <v>1061786.3935128539</v>
          </cell>
          <cell r="V36">
            <v>652452.97989509138</v>
          </cell>
          <cell r="W36">
            <v>1727925.8125701367</v>
          </cell>
          <cell r="X36">
            <v>0.63450159550694474</v>
          </cell>
          <cell r="Y36">
            <v>0.63450159550694474</v>
          </cell>
          <cell r="Z36">
            <v>12.404104633484478</v>
          </cell>
          <cell r="AA36">
            <v>13.865086493309583</v>
          </cell>
          <cell r="AB36">
            <v>13.384125401176133</v>
          </cell>
          <cell r="AC36">
            <v>90</v>
          </cell>
          <cell r="AD36">
            <v>13.378117522927029</v>
          </cell>
        </row>
        <row r="37">
          <cell r="F37">
            <v>46</v>
          </cell>
          <cell r="G37">
            <v>8.049496704319635</v>
          </cell>
          <cell r="H37">
            <v>0.46862641978770925</v>
          </cell>
          <cell r="I37">
            <v>7.4253471182302355E-2</v>
          </cell>
          <cell r="J37">
            <v>13.944964749917034</v>
          </cell>
          <cell r="K37">
            <v>0.36219726222169907</v>
          </cell>
          <cell r="L37">
            <v>0.46406241750680516</v>
          </cell>
          <cell r="M37">
            <v>0.13979444170983138</v>
          </cell>
          <cell r="N37">
            <v>0.12221506223900747</v>
          </cell>
          <cell r="O37">
            <v>1.4936521438084469E-2</v>
          </cell>
          <cell r="P37">
            <v>13.944964749917034</v>
          </cell>
          <cell r="Q37">
            <v>13.45799577953448</v>
          </cell>
          <cell r="R37">
            <v>14.431933720299588</v>
          </cell>
          <cell r="S37">
            <v>147963.60017316113</v>
          </cell>
          <cell r="T37">
            <v>21893226976.203091</v>
          </cell>
          <cell r="U37">
            <v>1138206.9712298657</v>
          </cell>
          <cell r="V37">
            <v>699412.36264985369</v>
          </cell>
          <cell r="W37">
            <v>1852290.8351919381</v>
          </cell>
          <cell r="X37">
            <v>-0.11504197301898625</v>
          </cell>
          <cell r="Y37">
            <v>0.11504197301898625</v>
          </cell>
          <cell r="Z37">
            <v>12.580315143708891</v>
          </cell>
          <cell r="AA37">
            <v>13.947939760564271</v>
          </cell>
          <cell r="AB37">
            <v>14.067179812156041</v>
          </cell>
          <cell r="AC37">
            <v>91</v>
          </cell>
          <cell r="AD37">
            <v>13.460970790181717</v>
          </cell>
        </row>
        <row r="38">
          <cell r="F38">
            <v>46</v>
          </cell>
          <cell r="G38">
            <v>8.0339343026979257</v>
          </cell>
          <cell r="H38">
            <v>0.47004186712951962</v>
          </cell>
          <cell r="I38">
            <v>7.4205752529790239E-2</v>
          </cell>
          <cell r="J38">
            <v>13.854366547502361</v>
          </cell>
          <cell r="K38">
            <v>0.36260138926227609</v>
          </cell>
          <cell r="L38">
            <v>0.46588279604879962</v>
          </cell>
          <cell r="M38">
            <v>0.1400822337481</v>
          </cell>
          <cell r="N38">
            <v>3.3503784878574194E-2</v>
          </cell>
          <cell r="O38">
            <v>1.1225036011897767E-3</v>
          </cell>
          <cell r="P38">
            <v>13.854366547502361</v>
          </cell>
          <cell r="Q38">
            <v>13.367397577119807</v>
          </cell>
          <cell r="R38">
            <v>14.341335517884914</v>
          </cell>
          <cell r="S38">
            <v>35421.29051818524</v>
          </cell>
          <cell r="T38">
            <v>1254667821.9736795</v>
          </cell>
          <cell r="U38">
            <v>1039620.7566039126</v>
          </cell>
          <cell r="V38">
            <v>638832.50411873055</v>
          </cell>
          <cell r="W38">
            <v>1691853.9845630911</v>
          </cell>
          <cell r="X38">
            <v>-3.2948748947083994E-2</v>
          </cell>
          <cell r="Y38">
            <v>3.2948748947083994E-2</v>
          </cell>
          <cell r="Z38">
            <v>12.382795346186938</v>
          </cell>
          <cell r="AA38">
            <v>13.855066977032028</v>
          </cell>
          <cell r="AB38">
            <v>13.887870332380935</v>
          </cell>
          <cell r="AC38">
            <v>92</v>
          </cell>
          <cell r="AD38">
            <v>13.368098006649474</v>
          </cell>
        </row>
        <row r="39">
          <cell r="F39">
            <v>46</v>
          </cell>
          <cell r="G39">
            <v>8.041270956132621</v>
          </cell>
          <cell r="H39">
            <v>0.46907995154536586</v>
          </cell>
          <cell r="I39">
            <v>7.3827313759069341E-2</v>
          </cell>
          <cell r="J39">
            <v>13.848111814653347</v>
          </cell>
          <cell r="K39">
            <v>0.36075809941573089</v>
          </cell>
          <cell r="L39">
            <v>0.46740815789009499</v>
          </cell>
          <cell r="M39">
            <v>0.13877718874511238</v>
          </cell>
          <cell r="N39">
            <v>0.25251666033075182</v>
          </cell>
          <cell r="O39">
            <v>6.3764663744596287E-2</v>
          </cell>
          <cell r="P39">
            <v>13.848111814653347</v>
          </cell>
          <cell r="Q39">
            <v>13.361142844270793</v>
          </cell>
          <cell r="R39">
            <v>14.335080785035901</v>
          </cell>
          <cell r="S39">
            <v>296780.3389103798</v>
          </cell>
          <cell r="T39">
            <v>88078569563.759888</v>
          </cell>
          <cell r="U39">
            <v>1033138.5000316765</v>
          </cell>
          <cell r="V39">
            <v>634849.24755899317</v>
          </cell>
          <cell r="W39">
            <v>1681304.9150672844</v>
          </cell>
          <cell r="X39">
            <v>-0.22315672973432504</v>
          </cell>
          <cell r="Y39">
            <v>0.22315672973432504</v>
          </cell>
          <cell r="Z39">
            <v>12.379213478193456</v>
          </cell>
          <cell r="AA39">
            <v>13.853382801293833</v>
          </cell>
          <cell r="AB39">
            <v>14.100628474984099</v>
          </cell>
          <cell r="AC39">
            <v>93</v>
          </cell>
          <cell r="AD39">
            <v>13.366413830911279</v>
          </cell>
        </row>
        <row r="40">
          <cell r="F40">
            <v>46</v>
          </cell>
          <cell r="G40">
            <v>8.04638934281164</v>
          </cell>
          <cell r="H40">
            <v>0.46869989226782066</v>
          </cell>
          <cell r="I40">
            <v>7.3912676418686971E-2</v>
          </cell>
          <cell r="J40">
            <v>13.87177594143183</v>
          </cell>
          <cell r="K40">
            <v>0.36107542457165198</v>
          </cell>
          <cell r="L40">
            <v>0.4664293960724008</v>
          </cell>
          <cell r="M40">
            <v>0.13900076991604884</v>
          </cell>
          <cell r="N40">
            <v>0.23028844421647854</v>
          </cell>
          <cell r="O40">
            <v>5.3032767539646149E-2</v>
          </cell>
          <cell r="P40">
            <v>13.87177594143183</v>
          </cell>
          <cell r="Q40">
            <v>13.384806971049276</v>
          </cell>
          <cell r="R40">
            <v>14.358744911814384</v>
          </cell>
          <cell r="S40">
            <v>273951.46535850316</v>
          </cell>
          <cell r="T40">
            <v>75049405372.071152</v>
          </cell>
          <cell r="U40">
            <v>1057878.3899229432</v>
          </cell>
          <cell r="V40">
            <v>650051.56601066398</v>
          </cell>
          <cell r="W40">
            <v>1721566.0208833339</v>
          </cell>
          <cell r="X40">
            <v>-0.20569554306965954</v>
          </cell>
          <cell r="Y40">
            <v>0.20569554306965954</v>
          </cell>
          <cell r="Z40">
            <v>12.428820007689472</v>
          </cell>
          <cell r="AA40">
            <v>13.876707533971109</v>
          </cell>
          <cell r="AB40">
            <v>14.102064385648308</v>
          </cell>
          <cell r="AC40">
            <v>94</v>
          </cell>
          <cell r="AD40">
            <v>13.389738563588555</v>
          </cell>
        </row>
        <row r="41">
          <cell r="F41">
            <v>46</v>
          </cell>
          <cell r="G41">
            <v>8.0304811208333717</v>
          </cell>
          <cell r="H41">
            <v>0.4702470649235444</v>
          </cell>
          <cell r="I41">
            <v>7.4156240037567933E-2</v>
          </cell>
          <cell r="J41">
            <v>13.794769783516479</v>
          </cell>
          <cell r="K41">
            <v>0.36244963961543514</v>
          </cell>
          <cell r="L41">
            <v>0.46643222340686219</v>
          </cell>
          <cell r="M41">
            <v>0.13997460572962889</v>
          </cell>
          <cell r="N41">
            <v>7.9300999286282092E-2</v>
          </cell>
          <cell r="O41">
            <v>6.2886484878029126E-3</v>
          </cell>
          <cell r="P41">
            <v>13.794769783516479</v>
          </cell>
          <cell r="Q41">
            <v>13.307800813133925</v>
          </cell>
          <cell r="R41">
            <v>14.281738753899033</v>
          </cell>
          <cell r="S41">
            <v>80836.004650581395</v>
          </cell>
          <cell r="T41">
            <v>6534459647.8688173</v>
          </cell>
          <cell r="U41">
            <v>979472.83604984521</v>
          </cell>
          <cell r="V41">
            <v>601872.44299931917</v>
          </cell>
          <cell r="W41">
            <v>1593970.6954827504</v>
          </cell>
          <cell r="X41">
            <v>-7.6238169057594729E-2</v>
          </cell>
          <cell r="Y41">
            <v>7.6238169057594729E-2</v>
          </cell>
          <cell r="Z41">
            <v>12.258000299524037</v>
          </cell>
          <cell r="AA41">
            <v>13.79638899386261</v>
          </cell>
          <cell r="AB41">
            <v>13.874070782802761</v>
          </cell>
          <cell r="AC41">
            <v>95</v>
          </cell>
          <cell r="AD41">
            <v>13.309420023480056</v>
          </cell>
        </row>
        <row r="42">
          <cell r="F42">
            <v>46</v>
          </cell>
          <cell r="G42">
            <v>8.1627471137487717</v>
          </cell>
          <cell r="H42">
            <v>0.45899239595857488</v>
          </cell>
          <cell r="I42">
            <v>7.4247229131235312E-2</v>
          </cell>
          <cell r="J42">
            <v>14.13102348564164</v>
          </cell>
          <cell r="K42">
            <v>0.35874914056226714</v>
          </cell>
          <cell r="L42">
            <v>0.45378850134204413</v>
          </cell>
          <cell r="M42">
            <v>0.13729996930475499</v>
          </cell>
          <cell r="N42">
            <v>0.36697574426895052</v>
          </cell>
          <cell r="O42">
            <v>0.13467119688175017</v>
          </cell>
          <cell r="P42">
            <v>14.13102348564164</v>
          </cell>
          <cell r="Q42">
            <v>13.644054515259086</v>
          </cell>
          <cell r="R42">
            <v>14.617992456024194</v>
          </cell>
          <cell r="S42">
            <v>607833.84886846226</v>
          </cell>
          <cell r="T42">
            <v>369461987830.2486</v>
          </cell>
          <cell r="U42">
            <v>1370962.3351676285</v>
          </cell>
          <cell r="V42">
            <v>842437.29847082822</v>
          </cell>
          <cell r="W42">
            <v>2231071.3543428909</v>
          </cell>
          <cell r="X42">
            <v>-0.30717355014738401</v>
          </cell>
          <cell r="Y42">
            <v>0.30717355014738401</v>
          </cell>
          <cell r="Z42">
            <v>13.002996181295167</v>
          </cell>
          <cell r="AA42">
            <v>14.146682190434223</v>
          </cell>
          <cell r="AB42">
            <v>14.49799922991059</v>
          </cell>
          <cell r="AC42">
            <v>96</v>
          </cell>
          <cell r="AD42">
            <v>13.659713220051669</v>
          </cell>
        </row>
        <row r="43">
          <cell r="F43">
            <v>46</v>
          </cell>
          <cell r="G43">
            <v>8.2378457275796535</v>
          </cell>
          <cell r="H43">
            <v>0.45266995036598678</v>
          </cell>
          <cell r="I43">
            <v>7.3950282272942605E-2</v>
          </cell>
          <cell r="J43">
            <v>14.180920696134994</v>
          </cell>
          <cell r="K43">
            <v>0.35575211066929024</v>
          </cell>
          <cell r="L43">
            <v>0.44890377843362705</v>
          </cell>
          <cell r="M43">
            <v>0.13511278076511526</v>
          </cell>
          <cell r="N43">
            <v>0.48954698118204831</v>
          </cell>
          <cell r="O43">
            <v>0.23965624678445677</v>
          </cell>
          <cell r="P43">
            <v>14.180920696134994</v>
          </cell>
          <cell r="Q43">
            <v>13.69395172575244</v>
          </cell>
          <cell r="R43">
            <v>14.667889666517548</v>
          </cell>
          <cell r="S43">
            <v>910168.61517853988</v>
          </cell>
          <cell r="T43">
            <v>828406908056.021</v>
          </cell>
          <cell r="U43">
            <v>1441104.939102802</v>
          </cell>
          <cell r="V43">
            <v>885538.95360100479</v>
          </cell>
          <cell r="W43">
            <v>2345219.7524020178</v>
          </cell>
          <cell r="X43">
            <v>-0.38709601165770335</v>
          </cell>
          <cell r="Y43">
            <v>0.38709601165770335</v>
          </cell>
          <cell r="Z43">
            <v>13.128936355837896</v>
          </cell>
          <cell r="AA43">
            <v>14.20589860678874</v>
          </cell>
          <cell r="AB43">
            <v>14.670467677317042</v>
          </cell>
          <cell r="AC43">
            <v>97</v>
          </cell>
          <cell r="AD43">
            <v>13.718929636406186</v>
          </cell>
        </row>
        <row r="44">
          <cell r="F44">
            <v>46</v>
          </cell>
          <cell r="G44">
            <v>8.0186174808678352</v>
          </cell>
          <cell r="H44">
            <v>0.47150212003321768</v>
          </cell>
          <cell r="I44">
            <v>7.4315352110842225E-2</v>
          </cell>
          <cell r="J44">
            <v>13.962054174551152</v>
          </cell>
          <cell r="K44">
            <v>0.36237498350890879</v>
          </cell>
          <cell r="L44">
            <v>0.4666920747319428</v>
          </cell>
          <cell r="M44">
            <v>0.13992080053896094</v>
          </cell>
          <cell r="N44">
            <v>-9.4187566269990697E-2</v>
          </cell>
          <cell r="O44">
            <v>8.8712976398638895E-3</v>
          </cell>
          <cell r="P44">
            <v>13.962054174551152</v>
          </cell>
          <cell r="Q44">
            <v>13.475085204168598</v>
          </cell>
          <cell r="R44">
            <v>14.449023144933706</v>
          </cell>
          <cell r="S44">
            <v>-104074.56605320959</v>
          </cell>
          <cell r="T44">
            <v>10831515299.163887</v>
          </cell>
          <cell r="U44">
            <v>1157825.4301106073</v>
          </cell>
          <cell r="V44">
            <v>711467.63293387089</v>
          </cell>
          <cell r="W44">
            <v>1884217.4465235504</v>
          </cell>
          <cell r="X44">
            <v>9.8765817996558869E-2</v>
          </cell>
          <cell r="Y44">
            <v>9.8765817996558869E-2</v>
          </cell>
          <cell r="Z44">
            <v>12.605323372171895</v>
          </cell>
          <cell r="AA44">
            <v>13.959698499777797</v>
          </cell>
          <cell r="AB44">
            <v>13.867866608281162</v>
          </cell>
          <cell r="AC44">
            <v>98</v>
          </cell>
          <cell r="AD44">
            <v>13.472729529395243</v>
          </cell>
        </row>
        <row r="45">
          <cell r="F45">
            <v>46</v>
          </cell>
          <cell r="G45">
            <v>7.9606541070223233</v>
          </cell>
          <cell r="H45">
            <v>0.47669762737280696</v>
          </cell>
          <cell r="I45">
            <v>7.3598812217780391E-2</v>
          </cell>
          <cell r="J45">
            <v>14.007102363742158</v>
          </cell>
          <cell r="K45">
            <v>0.3584308713930856</v>
          </cell>
          <cell r="L45">
            <v>0.47698267980067766</v>
          </cell>
          <cell r="M45">
            <v>0.13711894116548037</v>
          </cell>
          <cell r="N45">
            <v>-0.37862982920912458</v>
          </cell>
          <cell r="O45">
            <v>0.14336054756693084</v>
          </cell>
          <cell r="P45">
            <v>14.007102363742158</v>
          </cell>
          <cell r="Q45">
            <v>13.520133393359604</v>
          </cell>
          <cell r="R45">
            <v>14.494071334124712</v>
          </cell>
          <cell r="S45">
            <v>-381763.82230471761</v>
          </cell>
          <cell r="T45">
            <v>145743616020.70801</v>
          </cell>
          <cell r="U45">
            <v>1211176.0209928325</v>
          </cell>
          <cell r="V45">
            <v>744250.82945337892</v>
          </cell>
          <cell r="W45">
            <v>1971038.9236723343</v>
          </cell>
          <cell r="X45">
            <v>0.46028238179828462</v>
          </cell>
          <cell r="Y45">
            <v>0.46028238179828462</v>
          </cell>
          <cell r="Z45">
            <v>12.684032622614962</v>
          </cell>
          <cell r="AA45">
            <v>13.996707180781391</v>
          </cell>
          <cell r="AB45">
            <v>13.628472534533033</v>
          </cell>
          <cell r="AC45">
            <v>99</v>
          </cell>
          <cell r="AD45">
            <v>13.509738210398837</v>
          </cell>
        </row>
        <row r="46">
          <cell r="F46">
            <v>46</v>
          </cell>
          <cell r="G46">
            <v>7.8333914248261065</v>
          </cell>
          <cell r="H46">
            <v>0.48723657688032812</v>
          </cell>
          <cell r="I46">
            <v>7.3974668438554408E-2</v>
          </cell>
          <cell r="J46">
            <v>14.225982963615362</v>
          </cell>
          <cell r="K46">
            <v>0.35598744467452653</v>
          </cell>
          <cell r="L46">
            <v>0.48535737553436331</v>
          </cell>
          <cell r="M46">
            <v>0.13528512645205634</v>
          </cell>
          <cell r="N46">
            <v>-0.48102354808396264</v>
          </cell>
          <cell r="O46">
            <v>0.23138365381128431</v>
          </cell>
          <cell r="P46">
            <v>14.225982963615362</v>
          </cell>
          <cell r="Q46">
            <v>13.739013993232808</v>
          </cell>
          <cell r="R46">
            <v>14.712951933997916</v>
          </cell>
          <cell r="S46">
            <v>-575649.70281958894</v>
          </cell>
          <cell r="T46">
            <v>331372580356.28107</v>
          </cell>
          <cell r="U46">
            <v>1507529.7825122566</v>
          </cell>
          <cell r="V46">
            <v>926356.09656530572</v>
          </cell>
          <cell r="W46">
            <v>2453317.9557924313</v>
          </cell>
          <cell r="X46">
            <v>0.61772937888042112</v>
          </cell>
          <cell r="Y46">
            <v>0.61772937888042112</v>
          </cell>
          <cell r="Z46">
            <v>13.120097796679502</v>
          </cell>
          <cell r="AA46">
            <v>14.201742762150619</v>
          </cell>
          <cell r="AB46">
            <v>13.744959415531399</v>
          </cell>
          <cell r="AC46" t="str">
            <v>00</v>
          </cell>
          <cell r="AD46">
            <v>13.714773791768065</v>
          </cell>
        </row>
        <row r="47">
          <cell r="F47">
            <v>46</v>
          </cell>
          <cell r="G47">
            <v>7.3871007076231994</v>
          </cell>
          <cell r="H47">
            <v>0.52094824290297315</v>
          </cell>
          <cell r="I47">
            <v>6.852423084513698E-2</v>
          </cell>
          <cell r="J47">
            <v>13.213363741101524</v>
          </cell>
          <cell r="K47">
            <v>0.32631486497172835</v>
          </cell>
          <cell r="L47">
            <v>0.55682472276969319</v>
          </cell>
          <cell r="M47">
            <v>0.11431764190603157</v>
          </cell>
          <cell r="N47">
            <v>1.1125749017573927</v>
          </cell>
          <cell r="O47">
            <v>1.237822912020472</v>
          </cell>
          <cell r="P47">
            <v>13.213363741101524</v>
          </cell>
          <cell r="Q47">
            <v>12.72639477071897</v>
          </cell>
          <cell r="R47">
            <v>13.700332711484078</v>
          </cell>
          <cell r="S47">
            <v>1118369.5317588639</v>
          </cell>
          <cell r="T47">
            <v>1250750409566.5405</v>
          </cell>
          <cell r="U47">
            <v>547634.70180240169</v>
          </cell>
          <cell r="V47">
            <v>336513.91208999447</v>
          </cell>
          <cell r="W47">
            <v>891207.63167141122</v>
          </cell>
          <cell r="X47">
            <v>-0.67128852930236982</v>
          </cell>
          <cell r="Y47">
            <v>0.67128852930236982</v>
          </cell>
          <cell r="Z47">
            <v>11.1839575482808</v>
          </cell>
          <cell r="AA47">
            <v>13.29137966724308</v>
          </cell>
          <cell r="AB47">
            <v>14.325938642858917</v>
          </cell>
          <cell r="AC47" t="str">
            <v>01</v>
          </cell>
          <cell r="AD47">
            <v>12.804410696860526</v>
          </cell>
        </row>
        <row r="48">
          <cell r="F48">
            <v>46</v>
          </cell>
          <cell r="G48">
            <v>7.7960896859987994</v>
          </cell>
          <cell r="H48">
            <v>0.48847683966924832</v>
          </cell>
          <cell r="I48">
            <v>7.2869922919487767E-2</v>
          </cell>
          <cell r="J48">
            <v>13.43646493076144</v>
          </cell>
          <cell r="K48">
            <v>0.35212086549799004</v>
          </cell>
          <cell r="L48">
            <v>0.49414796078504264</v>
          </cell>
          <cell r="M48">
            <v>0.13258432839944076</v>
          </cell>
          <cell r="N48">
            <v>0.60085103007054208</v>
          </cell>
          <cell r="O48">
            <v>0.36102196033683148</v>
          </cell>
          <cell r="P48">
            <v>13.43646493076144</v>
          </cell>
          <cell r="Q48">
            <v>12.949495960378886</v>
          </cell>
          <cell r="R48">
            <v>13.923433901143994</v>
          </cell>
          <cell r="S48">
            <v>563814.05361632688</v>
          </cell>
          <cell r="T48">
            <v>317886287055.27435</v>
          </cell>
          <cell r="U48">
            <v>684514.37947730708</v>
          </cell>
          <cell r="V48">
            <v>420624.57138239994</v>
          </cell>
          <cell r="W48">
            <v>1113962.3493018043</v>
          </cell>
          <cell r="X48">
            <v>-0.45165522042870637</v>
          </cell>
          <cell r="Y48">
            <v>0.45165522042870637</v>
          </cell>
          <cell r="Z48">
            <v>11.546863201501601</v>
          </cell>
          <cell r="AA48">
            <v>13.462016021659434</v>
          </cell>
          <cell r="AB48">
            <v>14.037315960831982</v>
          </cell>
          <cell r="AC48" t="str">
            <v>02</v>
          </cell>
          <cell r="AD48">
            <v>12.97504705127688</v>
          </cell>
        </row>
        <row r="49">
          <cell r="F49">
            <v>46</v>
          </cell>
          <cell r="G49">
            <v>8.0606396213356177</v>
          </cell>
          <cell r="H49">
            <v>0.46772837096862779</v>
          </cell>
          <cell r="I49">
            <v>7.452296103407173E-2</v>
          </cell>
          <cell r="J49">
            <v>14.038362811485914</v>
          </cell>
          <cell r="K49">
            <v>0.36224125924074524</v>
          </cell>
          <cell r="L49">
            <v>0.46130738804231308</v>
          </cell>
          <cell r="M49">
            <v>0.13982378219923983</v>
          </cell>
          <cell r="N49">
            <v>0.11631069575269315</v>
          </cell>
          <cell r="O49">
            <v>1.3528177946475553E-2</v>
          </cell>
          <cell r="P49">
            <v>14.038362811485914</v>
          </cell>
          <cell r="Q49">
            <v>13.55139384110336</v>
          </cell>
          <cell r="R49">
            <v>14.525331781868468</v>
          </cell>
          <cell r="S49">
            <v>154136.13942896319</v>
          </cell>
          <cell r="T49">
            <v>23757949478.064781</v>
          </cell>
          <cell r="U49">
            <v>1249635.9307881412</v>
          </cell>
          <cell r="V49">
            <v>767883.9094266739</v>
          </cell>
          <cell r="W49">
            <v>2033627.6621327775</v>
          </cell>
          <cell r="X49">
            <v>-0.10980140059712459</v>
          </cell>
          <cell r="Y49">
            <v>0.10980140059712459</v>
          </cell>
          <cell r="Z49">
            <v>12.780330553331439</v>
          </cell>
          <cell r="AA49">
            <v>14.041985967952282</v>
          </cell>
          <cell r="AB49">
            <v>14.154673507238607</v>
          </cell>
          <cell r="AC49" t="str">
            <v>03</v>
          </cell>
          <cell r="AD49">
            <v>13.555016997569728</v>
          </cell>
        </row>
        <row r="50">
          <cell r="F50">
            <v>46</v>
          </cell>
          <cell r="G50">
            <v>8.0231933058598948</v>
          </cell>
          <cell r="H50">
            <v>0.47115173129066074</v>
          </cell>
          <cell r="I50">
            <v>7.4195577805780677E-2</v>
          </cell>
          <cell r="J50">
            <v>13.906017911858392</v>
          </cell>
          <cell r="K50">
            <v>0.36229441017318748</v>
          </cell>
          <cell r="L50">
            <v>0.46712496741895171</v>
          </cell>
          <cell r="M50">
            <v>0.1398640817099043</v>
          </cell>
          <cell r="N50">
            <v>-0.10767451617992663</v>
          </cell>
          <cell r="O50">
            <v>1.1593801434581281E-2</v>
          </cell>
          <cell r="P50">
            <v>13.906017911858392</v>
          </cell>
          <cell r="Q50">
            <v>13.419048941475838</v>
          </cell>
          <cell r="R50">
            <v>14.392986882240946</v>
          </cell>
          <cell r="S50">
            <v>-111750.20431265619</v>
          </cell>
          <cell r="T50">
            <v>12488108163.920403</v>
          </cell>
          <cell r="U50">
            <v>1094729.5581373032</v>
          </cell>
          <cell r="V50">
            <v>672696.09664410667</v>
          </cell>
          <cell r="W50">
            <v>1781536.7317249833</v>
          </cell>
          <cell r="X50">
            <v>0.11368519987510463</v>
          </cell>
          <cell r="Y50">
            <v>0.11368519987510463</v>
          </cell>
          <cell r="Z50">
            <v>12.486051128122231</v>
          </cell>
          <cell r="AA50">
            <v>13.903617309730009</v>
          </cell>
          <cell r="AB50">
            <v>13.798343395678465</v>
          </cell>
          <cell r="AC50" t="str">
            <v>04</v>
          </cell>
          <cell r="AD50">
            <v>13.416648339347455</v>
          </cell>
        </row>
        <row r="54">
          <cell r="A54">
            <v>2003</v>
          </cell>
          <cell r="B54">
            <v>2008</v>
          </cell>
          <cell r="C54">
            <v>11.880007112994084</v>
          </cell>
          <cell r="D54">
            <v>13.58533692874585</v>
          </cell>
          <cell r="E54">
            <v>48</v>
          </cell>
          <cell r="F54">
            <v>46</v>
          </cell>
          <cell r="G54">
            <v>8.0403666967570224</v>
          </cell>
          <cell r="H54">
            <v>0.4696304348915803</v>
          </cell>
          <cell r="I54">
            <v>7.4433592816924118E-2</v>
          </cell>
        </row>
        <row r="55">
          <cell r="A55">
            <v>2004</v>
          </cell>
          <cell r="B55">
            <v>2009</v>
          </cell>
          <cell r="C55">
            <v>11.543970493765777</v>
          </cell>
          <cell r="D55">
            <v>13.745907076568347</v>
          </cell>
          <cell r="E55">
            <v>48</v>
          </cell>
          <cell r="F55">
            <v>46</v>
          </cell>
          <cell r="G55">
            <v>7.9149375572321583</v>
          </cell>
          <cell r="H55">
            <v>0.4792973467947525</v>
          </cell>
          <cell r="I55">
            <v>7.4523401246307186E-2</v>
          </cell>
        </row>
        <row r="56">
          <cell r="A56">
            <v>2005</v>
          </cell>
          <cell r="B56">
            <v>2010</v>
          </cell>
          <cell r="C56">
            <v>12.756705852259349</v>
          </cell>
          <cell r="D56">
            <v>13.479537267281957</v>
          </cell>
          <cell r="E56">
            <v>48</v>
          </cell>
          <cell r="F56">
            <v>46</v>
          </cell>
          <cell r="G56">
            <v>7.9032801237118395</v>
          </cell>
          <cell r="H56">
            <v>0.48168785308150547</v>
          </cell>
          <cell r="I56">
            <v>7.2608688769705554E-2</v>
          </cell>
        </row>
        <row r="57">
          <cell r="A57">
            <v>2006</v>
          </cell>
          <cell r="B57">
            <v>2011</v>
          </cell>
          <cell r="C57">
            <v>12.914653454906349</v>
          </cell>
          <cell r="D57">
            <v>14.413615521253396</v>
          </cell>
          <cell r="E57">
            <v>48</v>
          </cell>
          <cell r="F57">
            <v>46</v>
          </cell>
          <cell r="G57">
            <v>8.1317429872947464</v>
          </cell>
          <cell r="H57">
            <v>0.46159568649094285</v>
          </cell>
          <cell r="I57">
            <v>7.423923292702013E-2</v>
          </cell>
        </row>
        <row r="58">
          <cell r="A58">
            <v>2007</v>
          </cell>
          <cell r="B58">
            <v>2012</v>
          </cell>
          <cell r="C58">
            <v>12.994531246869743</v>
          </cell>
          <cell r="D58">
            <v>14.537503522616381</v>
          </cell>
          <cell r="E58">
            <v>48</v>
          </cell>
          <cell r="F58">
            <v>46</v>
          </cell>
          <cell r="G58">
            <v>8.1769677515231418</v>
          </cell>
          <cell r="H58">
            <v>0.45775861451279676</v>
          </cell>
          <cell r="I58">
            <v>7.4015098199995535E-2</v>
          </cell>
        </row>
        <row r="59">
          <cell r="A59">
            <v>2008</v>
          </cell>
          <cell r="B59">
            <v>2013</v>
          </cell>
          <cell r="C59">
            <v>13.021024365187404</v>
          </cell>
          <cell r="D59">
            <v>14.177022176795413</v>
          </cell>
          <cell r="E59">
            <v>48</v>
          </cell>
          <cell r="F59">
            <v>46</v>
          </cell>
          <cell r="G59">
            <v>8.0410526594800729</v>
          </cell>
          <cell r="H59">
            <v>0.469479591613368</v>
          </cell>
          <cell r="I59">
            <v>7.5091926871959258E-2</v>
          </cell>
        </row>
        <row r="60">
          <cell r="A60">
            <v>2009</v>
          </cell>
          <cell r="B60">
            <v>2014</v>
          </cell>
          <cell r="C60">
            <v>13.391832272784152</v>
          </cell>
          <cell r="D60">
            <v>14.429301920516998</v>
          </cell>
          <cell r="E60">
            <v>48</v>
          </cell>
          <cell r="F60">
            <v>46</v>
          </cell>
          <cell r="G60">
            <v>8.0923658833430956</v>
          </cell>
          <cell r="H60">
            <v>0.46515793402390426</v>
          </cell>
          <cell r="I60">
            <v>7.6190729238662519E-2</v>
          </cell>
        </row>
        <row r="61">
          <cell r="A61">
            <v>2010</v>
          </cell>
          <cell r="B61">
            <v>2015</v>
          </cell>
          <cell r="C61">
            <v>13.482330279860818</v>
          </cell>
          <cell r="D61">
            <v>14.362119154384274</v>
          </cell>
          <cell r="E61">
            <v>48</v>
          </cell>
          <cell r="F61">
            <v>46</v>
          </cell>
          <cell r="G61">
            <v>8.0262392950236752</v>
          </cell>
          <cell r="H61">
            <v>0.47074252583142384</v>
          </cell>
          <cell r="I61">
            <v>7.6622806550833658E-2</v>
          </cell>
        </row>
        <row r="63">
          <cell r="A63">
            <v>2011</v>
          </cell>
          <cell r="B63">
            <v>2016</v>
          </cell>
          <cell r="C63">
            <v>13.237368029643422</v>
          </cell>
          <cell r="E63">
            <v>49</v>
          </cell>
          <cell r="F63">
            <v>47</v>
          </cell>
          <cell r="G63">
            <v>8.0327408804154778</v>
          </cell>
          <cell r="H63">
            <v>0.47019480931738339</v>
          </cell>
          <cell r="I63">
            <v>7.3400097390405067E-2</v>
          </cell>
        </row>
        <row r="65">
          <cell r="E65" t="str">
            <v>d.f. =</v>
          </cell>
          <cell r="F65">
            <v>46</v>
          </cell>
        </row>
        <row r="66">
          <cell r="E66" t="str">
            <v>d.f. =</v>
          </cell>
          <cell r="F66">
            <v>47</v>
          </cell>
        </row>
        <row r="68">
          <cell r="D68">
            <v>0.501</v>
          </cell>
          <cell r="G68">
            <v>7.6748000000000003</v>
          </cell>
        </row>
        <row r="72">
          <cell r="A72" t="str">
            <v xml:space="preserve">Method to attempt to adjust forecast to account for 5 of 6 previous years with &gt;400,000 age 2 fish </v>
          </cell>
        </row>
        <row r="73">
          <cell r="A73" t="str">
            <v>producing runs much larger than the regression mean</v>
          </cell>
        </row>
      </sheetData>
      <sheetData sheetId="22">
        <row r="1">
          <cell r="G1" t="str">
            <v>Model = Predict log returns aged 1.3 (ln(R_x001E_d1.3_x001F_)) from log returns aged 1.2 (ln(R_x001E_d1.2_x001F_)).</v>
          </cell>
        </row>
        <row r="2">
          <cell r="G2" t="str">
            <v>X =</v>
          </cell>
          <cell r="H2" t="str">
            <v>ln (0.3)</v>
          </cell>
        </row>
        <row r="3">
          <cell r="G3" t="str">
            <v>Y=</v>
          </cell>
          <cell r="H3" t="str">
            <v>ln (1.3)</v>
          </cell>
        </row>
        <row r="4">
          <cell r="G4" t="str">
            <v>ReturnAge</v>
          </cell>
          <cell r="H4">
            <v>5</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46</v>
          </cell>
          <cell r="G13">
            <v>12.578873069991417</v>
          </cell>
          <cell r="H13">
            <v>0.11710443867340356</v>
          </cell>
          <cell r="I13">
            <v>4.4447275170338897E-2</v>
          </cell>
          <cell r="J13">
            <v>13.840387441931574</v>
          </cell>
          <cell r="K13">
            <v>0.45588493836313387</v>
          </cell>
          <cell r="L13">
            <v>0.13111723461924102</v>
          </cell>
          <cell r="M13">
            <v>0.21809225870172663</v>
          </cell>
          <cell r="N13">
            <v>-0.60326645880149954</v>
          </cell>
          <cell r="O13">
            <v>0.36393042031490136</v>
          </cell>
          <cell r="P13">
            <v>13.840387441931574</v>
          </cell>
          <cell r="Q13">
            <v>13.236628116095805</v>
          </cell>
          <cell r="R13">
            <v>14.444146767767343</v>
          </cell>
          <cell r="S13">
            <v>-464388.12815014087</v>
          </cell>
          <cell r="T13">
            <v>215656333566.79166</v>
          </cell>
          <cell r="U13">
            <v>1025188.8955648398</v>
          </cell>
          <cell r="V13">
            <v>560524.43530673417</v>
          </cell>
          <cell r="W13">
            <v>1875051.6576753936</v>
          </cell>
          <cell r="X13">
            <v>0.82808040775510705</v>
          </cell>
          <cell r="Y13">
            <v>0.82808040775510705</v>
          </cell>
          <cell r="Z13">
            <v>10.772558121886703</v>
          </cell>
          <cell r="AA13">
            <v>13.827829367957907</v>
          </cell>
          <cell r="AB13">
            <v>13.237120983130074</v>
          </cell>
          <cell r="AC13">
            <v>67</v>
          </cell>
          <cell r="AD13">
            <v>13.224070042122138</v>
          </cell>
        </row>
        <row r="14">
          <cell r="F14">
            <v>46</v>
          </cell>
          <cell r="G14">
            <v>12.693834526868237</v>
          </cell>
          <cell r="H14">
            <v>0.10597119902630286</v>
          </cell>
          <cell r="I14">
            <v>4.5884079969214397E-2</v>
          </cell>
          <cell r="J14">
            <v>13.578841133885353</v>
          </cell>
          <cell r="K14">
            <v>0.45939569686456466</v>
          </cell>
          <cell r="L14">
            <v>0.10390744755183531</v>
          </cell>
          <cell r="M14">
            <v>0.22101766478374571</v>
          </cell>
          <cell r="N14">
            <v>-0.47276942411495249</v>
          </cell>
          <cell r="O14">
            <v>0.22351092837798381</v>
          </cell>
          <cell r="P14">
            <v>13.578841133885353</v>
          </cell>
          <cell r="Q14">
            <v>12.975081808049584</v>
          </cell>
          <cell r="R14">
            <v>14.182600459721122</v>
          </cell>
          <cell r="S14">
            <v>-297331.99074270227</v>
          </cell>
          <cell r="T14">
            <v>88406312719.018387</v>
          </cell>
          <cell r="U14">
            <v>789252.15265477775</v>
          </cell>
          <cell r="V14">
            <v>431525.46725323331</v>
          </cell>
          <cell r="W14">
            <v>1443527.6889571184</v>
          </cell>
          <cell r="X14">
            <v>0.6044313971335995</v>
          </cell>
          <cell r="Y14">
            <v>0.6044313971335995</v>
          </cell>
          <cell r="Z14">
            <v>8.3513880672186342</v>
          </cell>
          <cell r="AA14">
            <v>13.547177666250347</v>
          </cell>
          <cell r="AB14">
            <v>13.106071709770401</v>
          </cell>
          <cell r="AC14">
            <v>68</v>
          </cell>
          <cell r="AD14">
            <v>12.943418340414578</v>
          </cell>
        </row>
        <row r="15">
          <cell r="F15">
            <v>46</v>
          </cell>
          <cell r="G15">
            <v>12.57013279413443</v>
          </cell>
          <cell r="H15">
            <v>0.11668039738180358</v>
          </cell>
          <cell r="I15">
            <v>4.5988656617181913E-2</v>
          </cell>
          <cell r="J15">
            <v>13.592013446752169</v>
          </cell>
          <cell r="K15">
            <v>0.46425965216901016</v>
          </cell>
          <cell r="L15">
            <v>0.12275952064744017</v>
          </cell>
          <cell r="M15">
            <v>0.22563283053290195</v>
          </cell>
          <cell r="N15">
            <v>4.4530578465629134E-2</v>
          </cell>
          <cell r="O15">
            <v>1.9829724184835533E-3</v>
          </cell>
          <cell r="P15">
            <v>13.592013446752169</v>
          </cell>
          <cell r="Q15">
            <v>12.9882541209164</v>
          </cell>
          <cell r="R15">
            <v>14.195772772587938</v>
          </cell>
          <cell r="S15">
            <v>36416.679955760017</v>
          </cell>
          <cell r="T15">
            <v>1326174579.0002534</v>
          </cell>
          <cell r="U15">
            <v>799717.20207763207</v>
          </cell>
          <cell r="V15">
            <v>437247.257592145</v>
          </cell>
          <cell r="W15">
            <v>1462668.0721127188</v>
          </cell>
          <cell r="X15">
            <v>-4.3553647015473616E-2</v>
          </cell>
          <cell r="Y15">
            <v>4.3553647015473616E-2</v>
          </cell>
          <cell r="Z15">
            <v>8.7579462835897282</v>
          </cell>
          <cell r="AA15">
            <v>13.59430415992548</v>
          </cell>
          <cell r="AB15">
            <v>13.636544025217798</v>
          </cell>
          <cell r="AC15">
            <v>69</v>
          </cell>
          <cell r="AD15">
            <v>12.990544834089711</v>
          </cell>
        </row>
        <row r="16">
          <cell r="F16">
            <v>46</v>
          </cell>
          <cell r="G16">
            <v>12.16211039242333</v>
          </cell>
          <cell r="H16">
            <v>0.15372477094983564</v>
          </cell>
          <cell r="I16">
            <v>4.9351293383342841E-2</v>
          </cell>
          <cell r="J16">
            <v>13.074947173495325</v>
          </cell>
          <cell r="K16">
            <v>0.45066492274943487</v>
          </cell>
          <cell r="L16">
            <v>0.1741865943888885</v>
          </cell>
          <cell r="M16">
            <v>0.21026623450432377</v>
          </cell>
          <cell r="N16">
            <v>0.85998812886587928</v>
          </cell>
          <cell r="O16">
            <v>0.7395795817902362</v>
          </cell>
          <cell r="P16">
            <v>13.074947173495325</v>
          </cell>
          <cell r="Q16">
            <v>12.471187847659555</v>
          </cell>
          <cell r="R16">
            <v>13.678706499331094</v>
          </cell>
          <cell r="S16">
            <v>650003.2465620013</v>
          </cell>
          <cell r="T16">
            <v>422504220541.14185</v>
          </cell>
          <cell r="U16">
            <v>476845.19265536242</v>
          </cell>
          <cell r="V16">
            <v>260716.22849037495</v>
          </cell>
          <cell r="W16">
            <v>872141.09790992201</v>
          </cell>
          <cell r="X16">
            <v>-0.57683289423860018</v>
          </cell>
          <cell r="Y16">
            <v>0.57683289423860018</v>
          </cell>
          <cell r="Z16">
            <v>5.9381241906021609</v>
          </cell>
          <cell r="AA16">
            <v>13.267442414967203</v>
          </cell>
          <cell r="AB16">
            <v>13.934935302361204</v>
          </cell>
          <cell r="AC16">
            <v>70</v>
          </cell>
          <cell r="AD16">
            <v>12.663683089131434</v>
          </cell>
        </row>
        <row r="17">
          <cell r="F17">
            <v>46</v>
          </cell>
          <cell r="G17">
            <v>12.54005223451299</v>
          </cell>
          <cell r="H17">
            <v>0.11930412234113794</v>
          </cell>
          <cell r="I17">
            <v>4.6331244825620885E-2</v>
          </cell>
          <cell r="J17">
            <v>13.534933055533056</v>
          </cell>
          <cell r="K17">
            <v>0.46374315076469408</v>
          </cell>
          <cell r="L17">
            <v>0.12598631250589928</v>
          </cell>
          <cell r="M17">
            <v>0.22513952819229155</v>
          </cell>
          <cell r="N17">
            <v>0.16019202466971549</v>
          </cell>
          <cell r="O17">
            <v>2.5661484767782738E-2</v>
          </cell>
          <cell r="P17">
            <v>13.534933055533056</v>
          </cell>
          <cell r="Q17">
            <v>12.931173729697287</v>
          </cell>
          <cell r="R17">
            <v>14.138692381368825</v>
          </cell>
          <cell r="S17">
            <v>131231.21398558118</v>
          </cell>
          <cell r="T17">
            <v>17221631524.129398</v>
          </cell>
          <cell r="U17">
            <v>755347.40051366412</v>
          </cell>
          <cell r="V17">
            <v>412987.96442782297</v>
          </cell>
          <cell r="W17">
            <v>1381516.5201078479</v>
          </cell>
          <cell r="X17">
            <v>-0.14801982795366975</v>
          </cell>
          <cell r="Y17">
            <v>0.14801982795366975</v>
          </cell>
          <cell r="Z17">
            <v>8.3390313888342202</v>
          </cell>
          <cell r="AA17">
            <v>13.545745332817447</v>
          </cell>
          <cell r="AB17">
            <v>13.695125080202772</v>
          </cell>
          <cell r="AC17">
            <v>71</v>
          </cell>
          <cell r="AD17">
            <v>12.941986006981677</v>
          </cell>
        </row>
        <row r="18">
          <cell r="F18">
            <v>46</v>
          </cell>
          <cell r="G18">
            <v>12.581651488803578</v>
          </cell>
          <cell r="H18">
            <v>0.11569230263961729</v>
          </cell>
          <cell r="I18">
            <v>4.7104229789499234E-2</v>
          </cell>
          <cell r="J18">
            <v>13.478348413409034</v>
          </cell>
          <cell r="K18">
            <v>0.46430221069093097</v>
          </cell>
          <cell r="L18">
            <v>0.1159352160067818</v>
          </cell>
          <cell r="M18">
            <v>0.22567268816534561</v>
          </cell>
          <cell r="N18">
            <v>-8.355002165590264E-3</v>
          </cell>
          <cell r="O18">
            <v>6.9806061187018006E-5</v>
          </cell>
          <cell r="P18">
            <v>13.478348413409034</v>
          </cell>
          <cell r="Q18">
            <v>12.874589087573264</v>
          </cell>
          <cell r="R18">
            <v>14.082107739244803</v>
          </cell>
          <cell r="S18">
            <v>-5938.8985339822248</v>
          </cell>
          <cell r="T18">
            <v>35270515.796936221</v>
          </cell>
          <cell r="U18">
            <v>713793.09285552218</v>
          </cell>
          <cell r="V18">
            <v>390268.04916595394</v>
          </cell>
          <cell r="W18">
            <v>1305514.4547372283</v>
          </cell>
          <cell r="X18">
            <v>8.3900026045257894E-3</v>
          </cell>
          <cell r="Y18">
            <v>8.3900026045257894E-3</v>
          </cell>
          <cell r="Z18">
            <v>7.7507051389466719</v>
          </cell>
          <cell r="AA18">
            <v>13.477549064293548</v>
          </cell>
          <cell r="AB18">
            <v>13.469993411243443</v>
          </cell>
          <cell r="AC18">
            <v>72</v>
          </cell>
          <cell r="AD18">
            <v>12.873789738457779</v>
          </cell>
        </row>
        <row r="19">
          <cell r="F19">
            <v>46</v>
          </cell>
          <cell r="G19">
            <v>12.622093971336009</v>
          </cell>
          <cell r="H19">
            <v>0.11267986046333898</v>
          </cell>
          <cell r="I19">
            <v>4.4981662442318104E-2</v>
          </cell>
          <cell r="J19">
            <v>13.723441094487725</v>
          </cell>
          <cell r="K19">
            <v>0.46005968719739343</v>
          </cell>
          <cell r="L19">
            <v>0.12004017252450799</v>
          </cell>
          <cell r="M19">
            <v>0.22181284081461697</v>
          </cell>
          <cell r="N19">
            <v>-0.43051420289714315</v>
          </cell>
          <cell r="O19">
            <v>0.18534247889616254</v>
          </cell>
          <cell r="P19">
            <v>13.723441094487725</v>
          </cell>
          <cell r="Q19">
            <v>13.119681768651956</v>
          </cell>
          <cell r="R19">
            <v>14.327200420323495</v>
          </cell>
          <cell r="S19">
            <v>-319055.30592580314</v>
          </cell>
          <cell r="T19">
            <v>101796288239.40784</v>
          </cell>
          <cell r="U19">
            <v>912041.79375090741</v>
          </cell>
          <cell r="V19">
            <v>498660.99177430593</v>
          </cell>
          <cell r="W19">
            <v>1668107.6869250177</v>
          </cell>
          <cell r="X19">
            <v>0.53804818908437835</v>
          </cell>
          <cell r="Y19">
            <v>0.53804818908437835</v>
          </cell>
          <cell r="Z19">
            <v>9.7741257277297162</v>
          </cell>
          <cell r="AA19">
            <v>13.712095345095754</v>
          </cell>
          <cell r="AB19">
            <v>13.292926891590582</v>
          </cell>
          <cell r="AC19">
            <v>73</v>
          </cell>
          <cell r="AD19">
            <v>13.108336019259985</v>
          </cell>
        </row>
        <row r="20">
          <cell r="F20">
            <v>46</v>
          </cell>
          <cell r="G20">
            <v>12.603947951693021</v>
          </cell>
          <cell r="H20">
            <v>0.1143327855721003</v>
          </cell>
          <cell r="I20">
            <v>4.4943803698646326E-2</v>
          </cell>
          <cell r="J20">
            <v>13.763923788594488</v>
          </cell>
          <cell r="K20">
            <v>0.46068008002637789</v>
          </cell>
          <cell r="L20">
            <v>0.12333286331151479</v>
          </cell>
          <cell r="M20">
            <v>0.2223894931460737</v>
          </cell>
          <cell r="N20">
            <v>-0.39706821452521268</v>
          </cell>
          <cell r="O20">
            <v>0.15766316698624033</v>
          </cell>
          <cell r="P20">
            <v>13.763923788594488</v>
          </cell>
          <cell r="Q20">
            <v>13.160164462758718</v>
          </cell>
          <cell r="R20">
            <v>14.367683114430257</v>
          </cell>
          <cell r="S20">
            <v>-311234.89090364648</v>
          </cell>
          <cell r="T20">
            <v>96867157315.804718</v>
          </cell>
          <cell r="U20">
            <v>949721.23967346759</v>
          </cell>
          <cell r="V20">
            <v>519262.31728591048</v>
          </cell>
          <cell r="W20">
            <v>1737022.7013609288</v>
          </cell>
          <cell r="X20">
            <v>0.48745739279047434</v>
          </cell>
          <cell r="Y20">
            <v>0.48745739279047434</v>
          </cell>
          <cell r="Z20">
            <v>10.145609862448119</v>
          </cell>
          <cell r="AA20">
            <v>13.755156200885322</v>
          </cell>
          <cell r="AB20">
            <v>13.366855574069275</v>
          </cell>
          <cell r="AC20">
            <v>74</v>
          </cell>
          <cell r="AD20">
            <v>13.151396875049553</v>
          </cell>
        </row>
        <row r="21">
          <cell r="F21">
            <v>46</v>
          </cell>
          <cell r="G21">
            <v>12.749844490545801</v>
          </cell>
          <cell r="H21">
            <v>0.10148260178690965</v>
          </cell>
          <cell r="I21">
            <v>4.4111974361242416E-2</v>
          </cell>
          <cell r="J21">
            <v>13.649506027481506</v>
          </cell>
          <cell r="K21">
            <v>0.44615240285651431</v>
          </cell>
          <cell r="L21">
            <v>0.10318471379396338</v>
          </cell>
          <cell r="M21">
            <v>0.20904056131999696</v>
          </cell>
          <cell r="N21">
            <v>-0.89353897208679278</v>
          </cell>
          <cell r="O21">
            <v>0.79841189463792228</v>
          </cell>
          <cell r="P21">
            <v>13.649506027481506</v>
          </cell>
          <cell r="Q21">
            <v>13.045746701645736</v>
          </cell>
          <cell r="R21">
            <v>14.253265353317275</v>
          </cell>
          <cell r="S21">
            <v>-500428.39404805063</v>
          </cell>
          <cell r="T21">
            <v>250428577569.51105</v>
          </cell>
          <cell r="U21">
            <v>847042.39666972449</v>
          </cell>
          <cell r="V21">
            <v>463122.41883245343</v>
          </cell>
          <cell r="W21">
            <v>1549224.983676634</v>
          </cell>
          <cell r="X21">
            <v>1.4437627743339148</v>
          </cell>
          <cell r="Y21">
            <v>1.4437627743339148</v>
          </cell>
          <cell r="Z21">
            <v>8.8651800515007348</v>
          </cell>
          <cell r="AA21">
            <v>13.606734240739801</v>
          </cell>
          <cell r="AB21">
            <v>12.755967055394713</v>
          </cell>
          <cell r="AC21">
            <v>75</v>
          </cell>
          <cell r="AD21">
            <v>13.002974914904032</v>
          </cell>
        </row>
        <row r="22">
          <cell r="F22">
            <v>46</v>
          </cell>
          <cell r="G22">
            <v>12.50996822835142</v>
          </cell>
          <cell r="H22">
            <v>0.12196357653289532</v>
          </cell>
          <cell r="I22">
            <v>4.6518186738755005E-2</v>
          </cell>
          <cell r="J22">
            <v>13.497087596135836</v>
          </cell>
          <cell r="K22">
            <v>0.46287071230226279</v>
          </cell>
          <cell r="L22">
            <v>0.13000854623559185</v>
          </cell>
          <cell r="M22">
            <v>0.22429248808963123</v>
          </cell>
          <cell r="N22">
            <v>0.25752555153902001</v>
          </cell>
          <cell r="O22">
            <v>6.631940969547645E-2</v>
          </cell>
          <cell r="P22">
            <v>13.497087596135836</v>
          </cell>
          <cell r="Q22">
            <v>12.893328270300067</v>
          </cell>
          <cell r="R22">
            <v>14.100846921971605</v>
          </cell>
          <cell r="S22">
            <v>213624.65822844557</v>
          </cell>
          <cell r="T22">
            <v>45635494603.220177</v>
          </cell>
          <cell r="U22">
            <v>727295.10528252821</v>
          </cell>
          <cell r="V22">
            <v>397650.30615673243</v>
          </cell>
          <cell r="W22">
            <v>1330209.3874396184</v>
          </cell>
          <cell r="X22">
            <v>-0.22703812430437284</v>
          </cell>
          <cell r="Y22">
            <v>0.22703812430437284</v>
          </cell>
          <cell r="Z22">
            <v>8.0935587151970356</v>
          </cell>
          <cell r="AA22">
            <v>13.517291187910875</v>
          </cell>
          <cell r="AB22">
            <v>13.754613147674856</v>
          </cell>
          <cell r="AC22">
            <v>76</v>
          </cell>
          <cell r="AD22">
            <v>12.913531862075105</v>
          </cell>
        </row>
        <row r="23">
          <cell r="F23">
            <v>46</v>
          </cell>
          <cell r="G23">
            <v>12.582911088950056</v>
          </cell>
          <cell r="H23">
            <v>0.11561140898606512</v>
          </cell>
          <cell r="I23">
            <v>4.5542748027858002E-2</v>
          </cell>
          <cell r="J23">
            <v>13.673046108112741</v>
          </cell>
          <cell r="K23">
            <v>0.46428568289967198</v>
          </cell>
          <cell r="L23">
            <v>0.12287575710009699</v>
          </cell>
          <cell r="M23">
            <v>0.22565757816393917</v>
          </cell>
          <cell r="N23">
            <v>-2.8197271653423783E-2</v>
          </cell>
          <cell r="O23">
            <v>7.9508612869697644E-4</v>
          </cell>
          <cell r="P23">
            <v>13.673046108112741</v>
          </cell>
          <cell r="Q23">
            <v>13.069286782276972</v>
          </cell>
          <cell r="R23">
            <v>14.27680543394851</v>
          </cell>
          <cell r="S23">
            <v>-24111.653373002191</v>
          </cell>
          <cell r="T23">
            <v>581371828.37980795</v>
          </cell>
          <cell r="U23">
            <v>867218.38348654681</v>
          </cell>
          <cell r="V23">
            <v>474153.68698818644</v>
          </cell>
          <cell r="W23">
            <v>1586126.4929397402</v>
          </cell>
          <cell r="X23">
            <v>2.8598577750357866E-2</v>
          </cell>
          <cell r="Y23">
            <v>2.8598577750357866E-2</v>
          </cell>
          <cell r="Z23">
            <v>9.4293031174291908</v>
          </cell>
          <cell r="AA23">
            <v>13.672124979453118</v>
          </cell>
          <cell r="AB23">
            <v>13.644848836459317</v>
          </cell>
          <cell r="AC23">
            <v>77</v>
          </cell>
          <cell r="AD23">
            <v>13.068365653617349</v>
          </cell>
        </row>
        <row r="24">
          <cell r="F24">
            <v>46</v>
          </cell>
          <cell r="G24">
            <v>12.645345025452993</v>
          </cell>
          <cell r="H24">
            <v>0.11194452052465209</v>
          </cell>
          <cell r="I24">
            <v>4.2008108417323713E-2</v>
          </cell>
          <cell r="J24">
            <v>13.788713237336044</v>
          </cell>
          <cell r="K24">
            <v>0.43069862052115521</v>
          </cell>
          <cell r="L24">
            <v>0.1337316076875012</v>
          </cell>
          <cell r="M24">
            <v>0.19621493436523207</v>
          </cell>
          <cell r="N24">
            <v>-1.1891349748731788</v>
          </cell>
          <cell r="O24">
            <v>1.4140419884666355</v>
          </cell>
          <cell r="P24">
            <v>13.788713237336044</v>
          </cell>
          <cell r="Q24">
            <v>13.184953911500275</v>
          </cell>
          <cell r="R24">
            <v>14.392472563171813</v>
          </cell>
          <cell r="S24">
            <v>-677125.01997406059</v>
          </cell>
          <cell r="T24">
            <v>458498292674.87195</v>
          </cell>
          <cell r="U24">
            <v>973558.54176294256</v>
          </cell>
          <cell r="V24">
            <v>532295.41816199583</v>
          </cell>
          <cell r="W24">
            <v>1780620.68900081</v>
          </cell>
          <cell r="X24">
            <v>2.2842390289999139</v>
          </cell>
          <cell r="Y24">
            <v>2.2842390289999139</v>
          </cell>
          <cell r="Z24">
            <v>10.213704132407806</v>
          </cell>
          <cell r="AA24">
            <v>13.763049398103698</v>
          </cell>
          <cell r="AB24">
            <v>12.599578262462865</v>
          </cell>
          <cell r="AC24">
            <v>78</v>
          </cell>
          <cell r="AD24">
            <v>13.159290072267929</v>
          </cell>
        </row>
        <row r="25">
          <cell r="F25">
            <v>46</v>
          </cell>
          <cell r="G25">
            <v>12.700799950714819</v>
          </cell>
          <cell r="H25">
            <v>0.10563524550561024</v>
          </cell>
          <cell r="I25">
            <v>4.4986651963627125E-2</v>
          </cell>
          <cell r="J25">
            <v>13.638313564598862</v>
          </cell>
          <cell r="K25">
            <v>0.45507460302035796</v>
          </cell>
          <cell r="L25">
            <v>0.1070352504465352</v>
          </cell>
          <cell r="M25">
            <v>0.21713669770985289</v>
          </cell>
          <cell r="N25">
            <v>-0.64015415949975463</v>
          </cell>
          <cell r="O25">
            <v>0.4097973479248373</v>
          </cell>
          <cell r="P25">
            <v>13.638313564598862</v>
          </cell>
          <cell r="Q25">
            <v>13.034554238763093</v>
          </cell>
          <cell r="R25">
            <v>14.242072890434631</v>
          </cell>
          <cell r="S25">
            <v>-396014.92660062813</v>
          </cell>
          <cell r="T25">
            <v>156827822090.50089</v>
          </cell>
          <cell r="U25">
            <v>837614.76371830201</v>
          </cell>
          <cell r="V25">
            <v>457967.83838465827</v>
          </cell>
          <cell r="W25">
            <v>1531982.0161903538</v>
          </cell>
          <cell r="X25">
            <v>0.8967732623848349</v>
          </cell>
          <cell r="Y25">
            <v>0.8967732623848349</v>
          </cell>
          <cell r="Z25">
            <v>8.8750076681011958</v>
          </cell>
          <cell r="AA25">
            <v>13.607873416122105</v>
          </cell>
          <cell r="AB25">
            <v>12.998159405099107</v>
          </cell>
          <cell r="AC25">
            <v>79</v>
          </cell>
          <cell r="AD25">
            <v>13.004114090286336</v>
          </cell>
        </row>
        <row r="26">
          <cell r="F26">
            <v>46</v>
          </cell>
          <cell r="G26">
            <v>12.694085142805715</v>
          </cell>
          <cell r="H26">
            <v>0.10649656086679636</v>
          </cell>
          <cell r="I26">
            <v>4.4351206357577826E-2</v>
          </cell>
          <cell r="J26">
            <v>13.679783765872928</v>
          </cell>
          <cell r="K26">
            <v>0.45119475763914285</v>
          </cell>
          <cell r="L26">
            <v>0.11138258217594359</v>
          </cell>
          <cell r="M26">
            <v>0.21373479715034074</v>
          </cell>
          <cell r="N26">
            <v>-0.75702613877026437</v>
          </cell>
          <cell r="O26">
            <v>0.57308857478141562</v>
          </cell>
          <cell r="P26">
            <v>13.679783765872928</v>
          </cell>
          <cell r="Q26">
            <v>13.076024440037159</v>
          </cell>
          <cell r="R26">
            <v>14.283543091708697</v>
          </cell>
          <cell r="S26">
            <v>-463554.33204370743</v>
          </cell>
          <cell r="T26">
            <v>214882618756.48776</v>
          </cell>
          <cell r="U26">
            <v>873081.1325774974</v>
          </cell>
          <cell r="V26">
            <v>477359.15881661425</v>
          </cell>
          <cell r="W26">
            <v>1596849.3533307174</v>
          </cell>
          <cell r="X26">
            <v>1.1319267296779998</v>
          </cell>
          <cell r="Y26">
            <v>1.1319267296779998</v>
          </cell>
          <cell r="Z26">
            <v>9.2556850197266449</v>
          </cell>
          <cell r="AA26">
            <v>13.651999910388472</v>
          </cell>
          <cell r="AB26">
            <v>12.922757627102664</v>
          </cell>
          <cell r="AC26">
            <v>80</v>
          </cell>
          <cell r="AD26">
            <v>13.048240584552703</v>
          </cell>
        </row>
        <row r="27">
          <cell r="F27">
            <v>46</v>
          </cell>
          <cell r="G27">
            <v>12.548479197698644</v>
          </cell>
          <cell r="H27">
            <v>0.11854607491647275</v>
          </cell>
          <cell r="I27">
            <v>4.610306091783252E-2</v>
          </cell>
          <cell r="J27">
            <v>13.566040218848336</v>
          </cell>
          <cell r="K27">
            <v>0.46387293226478438</v>
          </cell>
          <cell r="L27">
            <v>0.12567019493096496</v>
          </cell>
          <cell r="M27">
            <v>0.22526751515510249</v>
          </cell>
          <cell r="N27">
            <v>0.13970723156963949</v>
          </cell>
          <cell r="O27">
            <v>1.9518110552852873E-2</v>
          </cell>
          <cell r="P27">
            <v>13.566040218848336</v>
          </cell>
          <cell r="Q27">
            <v>12.962280893012567</v>
          </cell>
          <cell r="R27">
            <v>14.169799544684105</v>
          </cell>
          <cell r="S27">
            <v>116832.98413655453</v>
          </cell>
          <cell r="T27">
            <v>13649946182.252401</v>
          </cell>
          <cell r="U27">
            <v>779213.39264460409</v>
          </cell>
          <cell r="V27">
            <v>426036.7516514298</v>
          </cell>
          <cell r="W27">
            <v>1425166.9813065438</v>
          </cell>
          <cell r="X27">
            <v>-0.13038720669375425</v>
          </cell>
          <cell r="Y27">
            <v>0.13038720669375425</v>
          </cell>
          <cell r="Z27">
            <v>8.5836753504210321</v>
          </cell>
          <cell r="AA27">
            <v>13.57410341695922</v>
          </cell>
          <cell r="AB27">
            <v>13.705747450417975</v>
          </cell>
          <cell r="AC27">
            <v>81</v>
          </cell>
          <cell r="AD27">
            <v>12.970344091123451</v>
          </cell>
        </row>
        <row r="28">
          <cell r="F28">
            <v>46</v>
          </cell>
          <cell r="G28">
            <v>12.597306206677548</v>
          </cell>
          <cell r="H28">
            <v>0.1139561921834723</v>
          </cell>
          <cell r="I28">
            <v>4.5851538190428316E-2</v>
          </cell>
          <cell r="J28">
            <v>13.99181937766072</v>
          </cell>
          <cell r="K28">
            <v>0.46396417057549499</v>
          </cell>
          <cell r="L28">
            <v>0.11838319744060775</v>
          </cell>
          <cell r="M28">
            <v>0.22535722377459455</v>
          </cell>
          <cell r="N28">
            <v>0.12333732937450392</v>
          </cell>
          <cell r="O28">
            <v>1.5212096817234868E-2</v>
          </cell>
          <cell r="P28">
            <v>13.99181937766072</v>
          </cell>
          <cell r="Q28">
            <v>13.388060051824951</v>
          </cell>
          <cell r="R28">
            <v>14.595578703496489</v>
          </cell>
          <cell r="S28">
            <v>156574.87940412387</v>
          </cell>
          <cell r="T28">
            <v>24515692860.415936</v>
          </cell>
          <cell r="U28">
            <v>1192806.3638769996</v>
          </cell>
          <cell r="V28">
            <v>652169.67959262058</v>
          </cell>
          <cell r="W28">
            <v>2181620.9281520364</v>
          </cell>
          <cell r="X28">
            <v>-0.11603457524235337</v>
          </cell>
          <cell r="Y28">
            <v>0.11603457524235337</v>
          </cell>
          <cell r="Z28">
            <v>12.237274203914879</v>
          </cell>
          <cell r="AA28">
            <v>13.997613006305439</v>
          </cell>
          <cell r="AB28">
            <v>14.115156707035224</v>
          </cell>
          <cell r="AC28">
            <v>82</v>
          </cell>
          <cell r="AD28">
            <v>13.39385368046967</v>
          </cell>
        </row>
        <row r="29">
          <cell r="F29">
            <v>46</v>
          </cell>
          <cell r="G29">
            <v>12.57824648798468</v>
          </cell>
          <cell r="H29">
            <v>0.11642925935135874</v>
          </cell>
          <cell r="I29">
            <v>4.5160230918343834E-2</v>
          </cell>
          <cell r="J29">
            <v>13.836556532570976</v>
          </cell>
          <cell r="K29">
            <v>0.46316223020555591</v>
          </cell>
          <cell r="L29">
            <v>0.12625252273402257</v>
          </cell>
          <cell r="M29">
            <v>0.22463786297455049</v>
          </cell>
          <cell r="N29">
            <v>-0.22302783507748458</v>
          </cell>
          <cell r="O29">
            <v>4.9741415219349661E-2</v>
          </cell>
          <cell r="P29">
            <v>13.836556532570976</v>
          </cell>
          <cell r="Q29">
            <v>13.232797206735206</v>
          </cell>
          <cell r="R29">
            <v>14.440315858406745</v>
          </cell>
          <cell r="S29">
            <v>-204159.25320499914</v>
          </cell>
          <cell r="T29">
            <v>41681000669.222954</v>
          </cell>
          <cell r="U29">
            <v>1021269.0029989845</v>
          </cell>
          <cell r="V29">
            <v>558381.22484430671</v>
          </cell>
          <cell r="W29">
            <v>1867882.2461793134</v>
          </cell>
          <cell r="X29">
            <v>0.24985536307267536</v>
          </cell>
          <cell r="Y29">
            <v>0.24985536307267536</v>
          </cell>
          <cell r="Z29">
            <v>10.807507078516954</v>
          </cell>
          <cell r="AA29">
            <v>13.831880501884775</v>
          </cell>
          <cell r="AB29">
            <v>13.613528697493491</v>
          </cell>
          <cell r="AC29">
            <v>83</v>
          </cell>
          <cell r="AD29">
            <v>13.228121176049006</v>
          </cell>
        </row>
        <row r="30">
          <cell r="F30">
            <v>46</v>
          </cell>
          <cell r="G30">
            <v>12.594591751538085</v>
          </cell>
          <cell r="H30">
            <v>0.11389691348871551</v>
          </cell>
          <cell r="I30">
            <v>4.5195330203147074E-2</v>
          </cell>
          <cell r="J30">
            <v>13.88224269010129</v>
          </cell>
          <cell r="K30">
            <v>0.4624205221871116</v>
          </cell>
          <cell r="L30">
            <v>0.12131442597601974</v>
          </cell>
          <cell r="M30">
            <v>0.22395771692947861</v>
          </cell>
          <cell r="N30">
            <v>0.28703384013527256</v>
          </cell>
          <cell r="O30">
            <v>8.2388425382801209E-2</v>
          </cell>
          <cell r="P30">
            <v>13.88224269010129</v>
          </cell>
          <cell r="Q30">
            <v>13.27848336426552</v>
          </cell>
          <cell r="R30">
            <v>14.486002015937059</v>
          </cell>
          <cell r="S30">
            <v>355412.70663498016</v>
          </cell>
          <cell r="T30">
            <v>126318192037.60248</v>
          </cell>
          <cell r="U30">
            <v>1069009.0866392194</v>
          </cell>
          <cell r="V30">
            <v>584483.22764564946</v>
          </cell>
          <cell r="W30">
            <v>1955197.9821909338</v>
          </cell>
          <cell r="X30">
            <v>-0.24951366815163831</v>
          </cell>
          <cell r="Y30">
            <v>0.24951366815163831</v>
          </cell>
          <cell r="Z30">
            <v>11.305406785152099</v>
          </cell>
          <cell r="AA30">
            <v>13.889594911361067</v>
          </cell>
          <cell r="AB30">
            <v>14.169276530236562</v>
          </cell>
          <cell r="AC30">
            <v>84</v>
          </cell>
          <cell r="AD30">
            <v>13.285835585525298</v>
          </cell>
        </row>
        <row r="31">
          <cell r="F31">
            <v>46</v>
          </cell>
          <cell r="G31">
            <v>12.563305785952451</v>
          </cell>
          <cell r="H31">
            <v>0.11711514428354793</v>
          </cell>
          <cell r="I31">
            <v>4.5353992467943374E-2</v>
          </cell>
          <cell r="J31">
            <v>13.704642900142998</v>
          </cell>
          <cell r="K31">
            <v>0.46376312950615606</v>
          </cell>
          <cell r="L31">
            <v>0.1266042566548666</v>
          </cell>
          <cell r="M31">
            <v>0.22518013463467743</v>
          </cell>
          <cell r="N31">
            <v>0.15398823180119159</v>
          </cell>
          <cell r="O31">
            <v>2.3712375533257512E-2</v>
          </cell>
          <cell r="P31">
            <v>13.704642900142998</v>
          </cell>
          <cell r="Q31">
            <v>13.100883574307229</v>
          </cell>
          <cell r="R31">
            <v>14.308402225978767</v>
          </cell>
          <cell r="S31">
            <v>149006.57927569759</v>
          </cell>
          <cell r="T31">
            <v>22202960667.444748</v>
          </cell>
          <cell r="U31">
            <v>895057.19491041556</v>
          </cell>
          <cell r="V31">
            <v>489374.62248649501</v>
          </cell>
          <cell r="W31">
            <v>1637043.1676460907</v>
          </cell>
          <cell r="X31">
            <v>-0.14271789038160412</v>
          </cell>
          <cell r="Y31">
            <v>0.14271789038160412</v>
          </cell>
          <cell r="Z31">
            <v>9.7454272133008857</v>
          </cell>
          <cell r="AA31">
            <v>13.708768735758504</v>
          </cell>
          <cell r="AB31">
            <v>13.85863113194419</v>
          </cell>
          <cell r="AC31">
            <v>85</v>
          </cell>
          <cell r="AD31">
            <v>13.105009409922735</v>
          </cell>
        </row>
        <row r="32">
          <cell r="F32">
            <v>46</v>
          </cell>
          <cell r="G32">
            <v>12.538382533863162</v>
          </cell>
          <cell r="H32">
            <v>0.12063466401340611</v>
          </cell>
          <cell r="I32">
            <v>4.5086523270230848E-2</v>
          </cell>
          <cell r="J32">
            <v>13.946999889962335</v>
          </cell>
          <cell r="K32">
            <v>0.45975812533686661</v>
          </cell>
          <cell r="L32">
            <v>0.13467102297838807</v>
          </cell>
          <cell r="M32">
            <v>0.22151507241155585</v>
          </cell>
          <cell r="N32">
            <v>-0.44680573210635188</v>
          </cell>
          <cell r="O32">
            <v>0.19963536224309308</v>
          </cell>
          <cell r="P32">
            <v>13.946999889962335</v>
          </cell>
          <cell r="Q32">
            <v>13.343240564126566</v>
          </cell>
          <cell r="R32">
            <v>14.550759215798104</v>
          </cell>
          <cell r="S32">
            <v>-410967.73501107621</v>
          </cell>
          <cell r="T32">
            <v>168894479220.13416</v>
          </cell>
          <cell r="U32">
            <v>1140525.7405266599</v>
          </cell>
          <cell r="V32">
            <v>623585.12604574708</v>
          </cell>
          <cell r="W32">
            <v>2086000.6284185445</v>
          </cell>
          <cell r="X32">
            <v>0.56331056873352037</v>
          </cell>
          <cell r="Y32">
            <v>0.56331056873352037</v>
          </cell>
          <cell r="Z32">
            <v>11.676721343896919</v>
          </cell>
          <cell r="AA32">
            <v>13.93263611062735</v>
          </cell>
          <cell r="AB32">
            <v>13.500194157855983</v>
          </cell>
          <cell r="AC32">
            <v>86</v>
          </cell>
          <cell r="AD32">
            <v>13.32887678479158</v>
          </cell>
        </row>
        <row r="33">
          <cell r="F33">
            <v>46</v>
          </cell>
          <cell r="G33">
            <v>12.597932913122737</v>
          </cell>
          <cell r="H33">
            <v>0.11377621046941347</v>
          </cell>
          <cell r="I33">
            <v>4.5507799795047828E-2</v>
          </cell>
          <cell r="J33">
            <v>13.937883029047052</v>
          </cell>
          <cell r="K33">
            <v>0.46352260034278181</v>
          </cell>
          <cell r="L33">
            <v>0.11962964890056556</v>
          </cell>
          <cell r="M33">
            <v>0.22495490973325569</v>
          </cell>
          <cell r="N33">
            <v>0.18580411944168773</v>
          </cell>
          <cell r="O33">
            <v>3.4523170801500962E-2</v>
          </cell>
          <cell r="P33">
            <v>13.937883029047052</v>
          </cell>
          <cell r="Q33">
            <v>13.334123703211283</v>
          </cell>
          <cell r="R33">
            <v>14.541642354882821</v>
          </cell>
          <cell r="S33">
            <v>230766.31616420648</v>
          </cell>
          <cell r="T33">
            <v>53253092675.998505</v>
          </cell>
          <cell r="U33">
            <v>1130174.980891665</v>
          </cell>
          <cell r="V33">
            <v>617925.82391664572</v>
          </cell>
          <cell r="W33">
            <v>2067069.2791854811</v>
          </cell>
          <cell r="X33">
            <v>-0.16956375463322626</v>
          </cell>
          <cell r="Y33">
            <v>0.16956375463322626</v>
          </cell>
          <cell r="Z33">
            <v>11.777067546862398</v>
          </cell>
          <cell r="AA33">
            <v>13.944267814302131</v>
          </cell>
          <cell r="AB33">
            <v>14.12368714848874</v>
          </cell>
          <cell r="AC33">
            <v>87</v>
          </cell>
          <cell r="AD33">
            <v>13.340508488466362</v>
          </cell>
        </row>
        <row r="34">
          <cell r="F34">
            <v>46</v>
          </cell>
          <cell r="G34">
            <v>12.505943851068016</v>
          </cell>
          <cell r="H34">
            <v>0.12433855805158384</v>
          </cell>
          <cell r="I34">
            <v>4.4195241492898232E-2</v>
          </cell>
          <cell r="J34">
            <v>13.961861739967137</v>
          </cell>
          <cell r="K34">
            <v>0.45050690015336847</v>
          </cell>
          <cell r="L34">
            <v>0.14680795708610386</v>
          </cell>
          <cell r="M34">
            <v>0.21316780459590925</v>
          </cell>
          <cell r="N34">
            <v>-0.77479301583979776</v>
          </cell>
          <cell r="O34">
            <v>0.60030421739412909</v>
          </cell>
          <cell r="P34">
            <v>13.961861739967137</v>
          </cell>
          <cell r="Q34">
            <v>13.358102414131368</v>
          </cell>
          <cell r="R34">
            <v>14.565621065802906</v>
          </cell>
          <cell r="S34">
            <v>-624180.33149112947</v>
          </cell>
          <cell r="T34">
            <v>389601086220.37628</v>
          </cell>
          <cell r="U34">
            <v>1157602.6458919835</v>
          </cell>
          <cell r="V34">
            <v>632921.9641427017</v>
          </cell>
          <cell r="W34">
            <v>2117233.9746357547</v>
          </cell>
          <cell r="X34">
            <v>1.1701428954883821</v>
          </cell>
          <cell r="Y34">
            <v>1.1701428954883821</v>
          </cell>
          <cell r="Z34">
            <v>11.709303306341301</v>
          </cell>
          <cell r="AA34">
            <v>13.936412872688056</v>
          </cell>
          <cell r="AB34">
            <v>13.187068724127339</v>
          </cell>
          <cell r="AC34">
            <v>88</v>
          </cell>
          <cell r="AD34">
            <v>13.332653546852287</v>
          </cell>
        </row>
        <row r="35">
          <cell r="F35">
            <v>46</v>
          </cell>
          <cell r="G35">
            <v>12.575607798295454</v>
          </cell>
          <cell r="H35">
            <v>0.11637556508769045</v>
          </cell>
          <cell r="I35">
            <v>4.5367653120586458E-2</v>
          </cell>
          <cell r="J35">
            <v>13.890553993022209</v>
          </cell>
          <cell r="K35">
            <v>0.4642045011668407</v>
          </cell>
          <cell r="L35">
            <v>0.1251439215827384</v>
          </cell>
          <cell r="M35">
            <v>0.22558357151486044</v>
          </cell>
          <cell r="N35">
            <v>-6.5934856369549877E-2</v>
          </cell>
          <cell r="O35">
            <v>4.3474052844731719E-3</v>
          </cell>
          <cell r="P35">
            <v>13.890553993022209</v>
          </cell>
          <cell r="Q35">
            <v>13.28679466718644</v>
          </cell>
          <cell r="R35">
            <v>14.494313318857978</v>
          </cell>
          <cell r="S35">
            <v>-68780.781832677661</v>
          </cell>
          <cell r="T35">
            <v>4730795949.5144014</v>
          </cell>
          <cell r="U35">
            <v>1077930.9698619575</v>
          </cell>
          <cell r="V35">
            <v>589361.28824202623</v>
          </cell>
          <cell r="W35">
            <v>1971515.9427138718</v>
          </cell>
          <cell r="X35">
            <v>6.8157131266056936E-2</v>
          </cell>
          <cell r="Y35">
            <v>6.8157131266056936E-2</v>
          </cell>
          <cell r="Z35">
            <v>11.299160556049088</v>
          </cell>
          <cell r="AA35">
            <v>13.88887087513584</v>
          </cell>
          <cell r="AB35">
            <v>13.824619136652659</v>
          </cell>
          <cell r="AC35">
            <v>89</v>
          </cell>
          <cell r="AD35">
            <v>13.285111549300071</v>
          </cell>
        </row>
        <row r="36">
          <cell r="F36">
            <v>46</v>
          </cell>
          <cell r="G36">
            <v>12.570095859599324</v>
          </cell>
          <cell r="H36">
            <v>0.11768849226080196</v>
          </cell>
          <cell r="I36">
            <v>4.4784468976756725E-2</v>
          </cell>
          <cell r="J36">
            <v>13.85966943418482</v>
          </cell>
          <cell r="K36">
            <v>0.45909617888902349</v>
          </cell>
          <cell r="L36">
            <v>0.13052988818139138</v>
          </cell>
          <cell r="M36">
            <v>0.22096284813890851</v>
          </cell>
          <cell r="N36">
            <v>-0.47554403300868664</v>
          </cell>
          <cell r="O36">
            <v>0.22614212733016684</v>
          </cell>
          <cell r="P36">
            <v>13.85966943418482</v>
          </cell>
          <cell r="Q36">
            <v>13.255910108349051</v>
          </cell>
          <cell r="R36">
            <v>14.463428760020589</v>
          </cell>
          <cell r="S36">
            <v>-395539.72952511802</v>
          </cell>
          <cell r="T36">
            <v>156451677632.80353</v>
          </cell>
          <cell r="U36">
            <v>1045148.3909247651</v>
          </cell>
          <cell r="V36">
            <v>571437.33625018969</v>
          </cell>
          <cell r="W36">
            <v>1911557.2080406975</v>
          </cell>
          <cell r="X36">
            <v>0.60888924829433144</v>
          </cell>
          <cell r="Y36">
            <v>0.60888924829433144</v>
          </cell>
          <cell r="Z36">
            <v>10.957516319673411</v>
          </cell>
          <cell r="AA36">
            <v>13.849268933036585</v>
          </cell>
          <cell r="AB36">
            <v>13.384125401176133</v>
          </cell>
          <cell r="AC36">
            <v>90</v>
          </cell>
          <cell r="AD36">
            <v>13.245509607200816</v>
          </cell>
        </row>
        <row r="37">
          <cell r="F37">
            <v>46</v>
          </cell>
          <cell r="G37">
            <v>12.588954386465748</v>
          </cell>
          <cell r="H37">
            <v>0.11486295272589488</v>
          </cell>
          <cell r="I37">
            <v>4.5941022974439583E-2</v>
          </cell>
          <cell r="J37">
            <v>14.004027544857081</v>
          </cell>
          <cell r="K37">
            <v>0.46421495044024708</v>
          </cell>
          <cell r="L37">
            <v>0.11963628832755757</v>
          </cell>
          <cell r="M37">
            <v>0.2255910547735995</v>
          </cell>
          <cell r="N37">
            <v>6.3152267298960396E-2</v>
          </cell>
          <cell r="O37">
            <v>3.988208864999343E-3</v>
          </cell>
          <cell r="P37">
            <v>14.004027544857081</v>
          </cell>
          <cell r="Q37">
            <v>13.400268219021312</v>
          </cell>
          <cell r="R37">
            <v>14.60778687069285</v>
          </cell>
          <cell r="S37">
            <v>78712.977637905395</v>
          </cell>
          <cell r="T37">
            <v>6195732848.6253948</v>
          </cell>
          <cell r="U37">
            <v>1207457.5937651214</v>
          </cell>
          <cell r="V37">
            <v>660180.27392808103</v>
          </cell>
          <cell r="W37">
            <v>2208417.7584801395</v>
          </cell>
          <cell r="X37">
            <v>-6.1199485813177079E-2</v>
          </cell>
          <cell r="Y37">
            <v>6.1199485813177079E-2</v>
          </cell>
          <cell r="Z37">
            <v>12.319665521469023</v>
          </cell>
          <cell r="AA37">
            <v>14.00716345627607</v>
          </cell>
          <cell r="AB37">
            <v>14.067179812156041</v>
          </cell>
          <cell r="AC37">
            <v>91</v>
          </cell>
          <cell r="AD37">
            <v>13.4034041304403</v>
          </cell>
        </row>
        <row r="38">
          <cell r="F38">
            <v>46</v>
          </cell>
          <cell r="G38">
            <v>12.569725976962456</v>
          </cell>
          <cell r="H38">
            <v>0.11695812715124719</v>
          </cell>
          <cell r="I38">
            <v>4.5670576948400377E-2</v>
          </cell>
          <cell r="J38">
            <v>13.967184674304507</v>
          </cell>
          <cell r="K38">
            <v>0.46416207988402353</v>
          </cell>
          <cell r="L38">
            <v>0.12478056202174487</v>
          </cell>
          <cell r="M38">
            <v>0.22554308485756261</v>
          </cell>
          <cell r="N38">
            <v>-7.9314341923572229E-2</v>
          </cell>
          <cell r="O38">
            <v>6.2907648347693274E-3</v>
          </cell>
          <cell r="P38">
            <v>13.967184674304507</v>
          </cell>
          <cell r="Q38">
            <v>13.363425348468738</v>
          </cell>
          <cell r="R38">
            <v>14.570944000140276</v>
          </cell>
          <cell r="S38">
            <v>-88738.870321897557</v>
          </cell>
          <cell r="T38">
            <v>7874587106.0065508</v>
          </cell>
          <cell r="U38">
            <v>1163780.9174439954</v>
          </cell>
          <cell r="V38">
            <v>636299.94861741178</v>
          </cell>
          <cell r="W38">
            <v>2128533.919811991</v>
          </cell>
          <cell r="X38">
            <v>8.2544557730976867E-2</v>
          </cell>
          <cell r="Y38">
            <v>8.2544557730976867E-2</v>
          </cell>
          <cell r="Z38">
            <v>11.948367602833569</v>
          </cell>
          <cell r="AA38">
            <v>13.964124185860262</v>
          </cell>
          <cell r="AB38">
            <v>13.887870332380935</v>
          </cell>
          <cell r="AC38">
            <v>92</v>
          </cell>
          <cell r="AD38">
            <v>13.360364860024493</v>
          </cell>
        </row>
        <row r="39">
          <cell r="F39">
            <v>46</v>
          </cell>
          <cell r="G39">
            <v>12.592009249627907</v>
          </cell>
          <cell r="H39">
            <v>0.11429614642761296</v>
          </cell>
          <cell r="I39">
            <v>4.531288062751352E-2</v>
          </cell>
          <cell r="J39">
            <v>13.893732432741803</v>
          </cell>
          <cell r="K39">
            <v>0.46332746851443452</v>
          </cell>
          <cell r="L39">
            <v>0.12150675607052562</v>
          </cell>
          <cell r="M39">
            <v>0.22478235136879687</v>
          </cell>
          <cell r="N39">
            <v>0.20689604224229541</v>
          </cell>
          <cell r="O39">
            <v>4.2805972295525685E-2</v>
          </cell>
          <cell r="P39">
            <v>13.893732432741803</v>
          </cell>
          <cell r="Q39">
            <v>13.289973106906034</v>
          </cell>
          <cell r="R39">
            <v>14.497491758577572</v>
          </cell>
          <cell r="S39">
            <v>248556.27980965236</v>
          </cell>
          <cell r="T39">
            <v>61780224232.814201</v>
          </cell>
          <cell r="U39">
            <v>1081362.5591324039</v>
          </cell>
          <cell r="V39">
            <v>591237.51773138472</v>
          </cell>
          <cell r="W39">
            <v>1977792.256452587</v>
          </cell>
          <cell r="X39">
            <v>-0.18689582591925505</v>
          </cell>
          <cell r="Y39">
            <v>0.18689582591925505</v>
          </cell>
          <cell r="Z39">
            <v>11.389038246694652</v>
          </cell>
          <cell r="AA39">
            <v>13.899289113531193</v>
          </cell>
          <cell r="AB39">
            <v>14.100628474984099</v>
          </cell>
          <cell r="AC39">
            <v>93</v>
          </cell>
          <cell r="AD39">
            <v>13.295529787695424</v>
          </cell>
        </row>
        <row r="40">
          <cell r="F40">
            <v>46</v>
          </cell>
          <cell r="G40">
            <v>12.594025719394313</v>
          </cell>
          <cell r="H40">
            <v>0.11432796089547358</v>
          </cell>
          <cell r="I40">
            <v>4.5988517347928644E-2</v>
          </cell>
          <cell r="J40">
            <v>14.010445512671009</v>
          </cell>
          <cell r="K40">
            <v>0.4641173650308022</v>
          </cell>
          <cell r="L40">
            <v>0.11844041941983331</v>
          </cell>
          <cell r="M40">
            <v>0.2254992670856697</v>
          </cell>
          <cell r="N40">
            <v>9.1618872977299759E-2</v>
          </cell>
          <cell r="O40">
            <v>8.3940178856305881E-3</v>
          </cell>
          <cell r="P40">
            <v>14.010445512671009</v>
          </cell>
          <cell r="Q40">
            <v>13.406686186835239</v>
          </cell>
          <cell r="R40">
            <v>14.497414483053563</v>
          </cell>
          <cell r="S40">
            <v>116597.91648037266</v>
          </cell>
          <cell r="T40">
            <v>13595074127.563959</v>
          </cell>
          <cell r="U40">
            <v>1215231.9388010737</v>
          </cell>
          <cell r="V40">
            <v>664430.91532695794</v>
          </cell>
          <cell r="W40">
            <v>1977639.4274246343</v>
          </cell>
          <cell r="X40">
            <v>-8.7547156281259988E-2</v>
          </cell>
          <cell r="Y40">
            <v>8.7547156281259988E-2</v>
          </cell>
          <cell r="Z40">
            <v>12.389093465698059</v>
          </cell>
          <cell r="AA40">
            <v>14.015211247325016</v>
          </cell>
          <cell r="AB40">
            <v>14.102064385648308</v>
          </cell>
          <cell r="AC40">
            <v>94</v>
          </cell>
          <cell r="AD40">
            <v>13.411451921489247</v>
          </cell>
        </row>
        <row r="41">
          <cell r="F41">
            <v>46</v>
          </cell>
          <cell r="G41">
            <v>12.564807185800721</v>
          </cell>
          <cell r="H41">
            <v>0.11748144300747269</v>
          </cell>
          <cell r="I41">
            <v>4.5740401259944399E-2</v>
          </cell>
          <cell r="J41">
            <v>13.983281698281701</v>
          </cell>
          <cell r="K41">
            <v>0.46403613253897519</v>
          </cell>
          <cell r="L41">
            <v>0.12542341420925862</v>
          </cell>
          <cell r="M41">
            <v>0.22542566279037557</v>
          </cell>
          <cell r="N41">
            <v>-0.1092109154789398</v>
          </cell>
          <cell r="O41">
            <v>1.1927024059748131E-2</v>
          </cell>
          <cell r="P41">
            <v>13.983281698281701</v>
          </cell>
          <cell r="Q41">
            <v>13.379522372445932</v>
          </cell>
          <cell r="R41">
            <v>14.470250668664255</v>
          </cell>
          <cell r="S41">
            <v>-122357.07442699396</v>
          </cell>
          <cell r="T41">
            <v>14971253662.332939</v>
          </cell>
          <cell r="U41">
            <v>1182665.9151274206</v>
          </cell>
          <cell r="V41">
            <v>646625.3654338303</v>
          </cell>
          <cell r="W41">
            <v>1924642.2584438717</v>
          </cell>
          <cell r="X41">
            <v>0.11539758014859748</v>
          </cell>
          <cell r="Y41">
            <v>0.11539758014859748</v>
          </cell>
          <cell r="Z41">
            <v>12.074030384447648</v>
          </cell>
          <cell r="AA41">
            <v>13.978690479307225</v>
          </cell>
          <cell r="AB41">
            <v>13.874070782802761</v>
          </cell>
          <cell r="AC41">
            <v>95</v>
          </cell>
          <cell r="AD41">
            <v>13.374931153471456</v>
          </cell>
        </row>
        <row r="42">
          <cell r="F42">
            <v>46</v>
          </cell>
          <cell r="G42">
            <v>12.620277677971547</v>
          </cell>
          <cell r="H42">
            <v>0.11084271574460343</v>
          </cell>
          <cell r="I42">
            <v>4.4592792235001968E-2</v>
          </cell>
          <cell r="J42">
            <v>13.888436745765706</v>
          </cell>
          <cell r="K42">
            <v>0.45576760853669313</v>
          </cell>
          <cell r="L42">
            <v>0.11841130372953965</v>
          </cell>
          <cell r="M42">
            <v>0.21793317533168524</v>
          </cell>
          <cell r="N42">
            <v>0.60956248414488456</v>
          </cell>
          <cell r="O42">
            <v>0.37156642207688262</v>
          </cell>
          <cell r="P42">
            <v>13.888436745765706</v>
          </cell>
          <cell r="Q42">
            <v>13.284677419929936</v>
          </cell>
          <cell r="R42">
            <v>14.37540571614826</v>
          </cell>
          <cell r="S42">
            <v>903145.04622703674</v>
          </cell>
          <cell r="T42">
            <v>815670974524.43628</v>
          </cell>
          <cell r="U42">
            <v>1075651.137809054</v>
          </cell>
          <cell r="V42">
            <v>588114.78471513826</v>
          </cell>
          <cell r="W42">
            <v>1750488.9662331138</v>
          </cell>
          <cell r="X42">
            <v>-0.45641135429365903</v>
          </cell>
          <cell r="Y42">
            <v>0.45641135429365903</v>
          </cell>
          <cell r="Z42">
            <v>11.441068177327669</v>
          </cell>
          <cell r="AA42">
            <v>13.905320201080674</v>
          </cell>
          <cell r="AB42">
            <v>14.49799922991059</v>
          </cell>
          <cell r="AC42">
            <v>96</v>
          </cell>
          <cell r="AD42">
            <v>13.301560875244904</v>
          </cell>
        </row>
        <row r="43">
          <cell r="F43">
            <v>46</v>
          </cell>
          <cell r="G43">
            <v>12.645426164684299</v>
          </cell>
          <cell r="H43">
            <v>0.10815783086030575</v>
          </cell>
          <cell r="I43">
            <v>4.4181283328103796E-2</v>
          </cell>
          <cell r="J43">
            <v>13.903232956830527</v>
          </cell>
          <cell r="K43">
            <v>0.45075498029245675</v>
          </cell>
          <cell r="L43">
            <v>0.11526434398942756</v>
          </cell>
          <cell r="M43">
            <v>0.21341061920161994</v>
          </cell>
          <cell r="N43">
            <v>0.76723472048651509</v>
          </cell>
          <cell r="O43">
            <v>0.58864911632002093</v>
          </cell>
          <cell r="P43">
            <v>13.903232956830527</v>
          </cell>
          <cell r="Q43">
            <v>13.299473630994758</v>
          </cell>
          <cell r="R43">
            <v>14.390201927213081</v>
          </cell>
          <cell r="S43">
            <v>1259588.527322144</v>
          </cell>
          <cell r="T43">
            <v>1586563258161.5676</v>
          </cell>
          <cell r="U43">
            <v>1091685.0269591978</v>
          </cell>
          <cell r="V43">
            <v>596881.35124793649</v>
          </cell>
          <cell r="W43">
            <v>1776582.1344142959</v>
          </cell>
          <cell r="X43">
            <v>-0.5357047992261933</v>
          </cell>
          <cell r="Y43">
            <v>0.5357047992261933</v>
          </cell>
          <cell r="Z43">
            <v>11.629364070464606</v>
          </cell>
          <cell r="AA43">
            <v>13.927146657562545</v>
          </cell>
          <cell r="AB43">
            <v>14.670467677317042</v>
          </cell>
          <cell r="AC43">
            <v>97</v>
          </cell>
          <cell r="AD43">
            <v>13.323387331726776</v>
          </cell>
        </row>
        <row r="44">
          <cell r="F44">
            <v>46</v>
          </cell>
          <cell r="G44">
            <v>12.487962396068971</v>
          </cell>
          <cell r="H44">
            <v>0.12516487160095391</v>
          </cell>
          <cell r="I44">
            <v>4.7195068721474671E-2</v>
          </cell>
          <cell r="J44">
            <v>14.189345677274762</v>
          </cell>
          <cell r="K44">
            <v>0.46213934969512144</v>
          </cell>
          <cell r="L44">
            <v>0.13262376637083143</v>
          </cell>
          <cell r="M44">
            <v>0.22352104262909969</v>
          </cell>
          <cell r="N44">
            <v>-0.32147906899360024</v>
          </cell>
          <cell r="O44">
            <v>0.10334879180099198</v>
          </cell>
          <cell r="P44">
            <v>14.189345677274762</v>
          </cell>
          <cell r="Q44">
            <v>13.585586351438993</v>
          </cell>
          <cell r="R44">
            <v>14.676314647657316</v>
          </cell>
          <cell r="S44">
            <v>-399546.6459484403</v>
          </cell>
          <cell r="T44">
            <v>159637522288.64832</v>
          </cell>
          <cell r="U44">
            <v>1453297.510005838</v>
          </cell>
          <cell r="V44">
            <v>794593.82524806517</v>
          </cell>
          <cell r="W44">
            <v>2365061.6510302774</v>
          </cell>
          <cell r="X44">
            <v>0.37916613838873875</v>
          </cell>
          <cell r="Y44">
            <v>0.37916613838873875</v>
          </cell>
          <cell r="Z44">
            <v>13.593137271215189</v>
          </cell>
          <cell r="AA44">
            <v>14.154778867656896</v>
          </cell>
          <cell r="AB44">
            <v>13.867866608281162</v>
          </cell>
          <cell r="AC44">
            <v>98</v>
          </cell>
          <cell r="AD44">
            <v>13.551019541821127</v>
          </cell>
        </row>
        <row r="45">
          <cell r="F45">
            <v>46</v>
          </cell>
          <cell r="G45">
            <v>12.552525278339999</v>
          </cell>
          <cell r="H45">
            <v>0.11902819360465079</v>
          </cell>
          <cell r="I45">
            <v>4.5297162483742104E-2</v>
          </cell>
          <cell r="J45">
            <v>13.93661307904989</v>
          </cell>
          <cell r="K45">
            <v>0.46214506526803983</v>
          </cell>
          <cell r="L45">
            <v>0.13051539842872376</v>
          </cell>
          <cell r="M45">
            <v>0.22369600505880483</v>
          </cell>
          <cell r="N45">
            <v>-0.30814054451685635</v>
          </cell>
          <cell r="O45">
            <v>9.4950595175144731E-2</v>
          </cell>
          <cell r="P45">
            <v>13.93661307904989</v>
          </cell>
          <cell r="Q45">
            <v>13.33285375321412</v>
          </cell>
          <cell r="R45">
            <v>14.423582049432444</v>
          </cell>
          <cell r="S45">
            <v>-299328.42746194766</v>
          </cell>
          <cell r="T45">
            <v>89597507486.842468</v>
          </cell>
          <cell r="U45">
            <v>1128740.6261500625</v>
          </cell>
          <cell r="V45">
            <v>617141.58709449088</v>
          </cell>
          <cell r="W45">
            <v>1836885.5313436079</v>
          </cell>
          <cell r="X45">
            <v>0.3608922414396567</v>
          </cell>
          <cell r="Y45">
            <v>0.3608922414396567</v>
          </cell>
          <cell r="Z45">
            <v>11.628234948327483</v>
          </cell>
          <cell r="AA45">
            <v>13.927015774542326</v>
          </cell>
          <cell r="AB45">
            <v>13.628472534533033</v>
          </cell>
          <cell r="AC45">
            <v>99</v>
          </cell>
          <cell r="AD45">
            <v>13.323256448706557</v>
          </cell>
        </row>
        <row r="46">
          <cell r="F46">
            <v>46</v>
          </cell>
          <cell r="G46">
            <v>12.565745952006466</v>
          </cell>
          <cell r="H46">
            <v>0.11752066032054909</v>
          </cell>
          <cell r="I46">
            <v>4.5394701909119053E-2</v>
          </cell>
          <cell r="J46">
            <v>13.92047243239668</v>
          </cell>
          <cell r="K46">
            <v>0.46360306856803579</v>
          </cell>
          <cell r="L46">
            <v>0.12717134712263925</v>
          </cell>
          <cell r="M46">
            <v>0.2250323753939297</v>
          </cell>
          <cell r="N46">
            <v>-0.1755130168652812</v>
          </cell>
          <cell r="O46">
            <v>3.0804819089152485E-2</v>
          </cell>
          <cell r="P46">
            <v>13.92047243239668</v>
          </cell>
          <cell r="Q46">
            <v>13.316713106560911</v>
          </cell>
          <cell r="R46">
            <v>14.407441402779234</v>
          </cell>
          <cell r="S46">
            <v>-178788.18499781669</v>
          </cell>
          <cell r="T46">
            <v>31965215094.813522</v>
          </cell>
          <cell r="U46">
            <v>1110668.2646904844</v>
          </cell>
          <cell r="V46">
            <v>607260.48104114446</v>
          </cell>
          <cell r="W46">
            <v>1807475.0020216154</v>
          </cell>
          <cell r="X46">
            <v>0.19185750279883726</v>
          </cell>
          <cell r="Y46">
            <v>0.19185750279883726</v>
          </cell>
          <cell r="Z46">
            <v>11.527560147254663</v>
          </cell>
          <cell r="AA46">
            <v>13.915345981177056</v>
          </cell>
          <cell r="AB46">
            <v>13.744959415531399</v>
          </cell>
          <cell r="AC46" t="str">
            <v>00</v>
          </cell>
          <cell r="AD46">
            <v>13.311586655341287</v>
          </cell>
        </row>
        <row r="47">
          <cell r="F47">
            <v>46</v>
          </cell>
          <cell r="G47">
            <v>12.594622274480205</v>
          </cell>
          <cell r="H47">
            <v>0.11353769377217758</v>
          </cell>
          <cell r="I47">
            <v>4.4821571198818994E-2</v>
          </cell>
          <cell r="J47">
            <v>13.854434629951191</v>
          </cell>
          <cell r="K47">
            <v>0.4591911673110502</v>
          </cell>
          <cell r="L47">
            <v>0.12241566957350604</v>
          </cell>
          <cell r="M47">
            <v>0.22104255841270182</v>
          </cell>
          <cell r="N47">
            <v>0.47150401290772592</v>
          </cell>
          <cell r="O47">
            <v>0.22231603418808898</v>
          </cell>
          <cell r="P47">
            <v>13.854434629951191</v>
          </cell>
          <cell r="Q47">
            <v>13.250675304115422</v>
          </cell>
          <cell r="R47">
            <v>14.341403600333745</v>
          </cell>
          <cell r="S47">
            <v>626312.69462089834</v>
          </cell>
          <cell r="T47">
            <v>392267591443.29065</v>
          </cell>
          <cell r="U47">
            <v>1039691.5389403674</v>
          </cell>
          <cell r="V47">
            <v>568453.7896176232</v>
          </cell>
          <cell r="W47">
            <v>1691969.1740465704</v>
          </cell>
          <cell r="X47">
            <v>-0.37593703665571526</v>
          </cell>
          <cell r="Y47">
            <v>0.37593703665571526</v>
          </cell>
          <cell r="Z47">
            <v>11.095983312809755</v>
          </cell>
          <cell r="AA47">
            <v>13.865319436048184</v>
          </cell>
          <cell r="AB47">
            <v>14.325938642858917</v>
          </cell>
          <cell r="AC47" t="str">
            <v>01</v>
          </cell>
          <cell r="AD47">
            <v>13.261560110212415</v>
          </cell>
        </row>
        <row r="48">
          <cell r="F48">
            <v>46</v>
          </cell>
          <cell r="G48">
            <v>12.587881967414575</v>
          </cell>
          <cell r="H48">
            <v>0.11494794098652727</v>
          </cell>
          <cell r="I48">
            <v>4.569677396933295E-2</v>
          </cell>
          <cell r="J48">
            <v>13.965613050150344</v>
          </cell>
          <cell r="K48">
            <v>0.4641880777617633</v>
          </cell>
          <cell r="L48">
            <v>0.12092091516737165</v>
          </cell>
          <cell r="M48">
            <v>0.22556703188744912</v>
          </cell>
          <cell r="N48">
            <v>7.1702910681638699E-2</v>
          </cell>
          <cell r="O48">
            <v>5.141307400219057E-3</v>
          </cell>
          <cell r="P48">
            <v>13.965613050150344</v>
          </cell>
          <cell r="Q48">
            <v>13.361853724314575</v>
          </cell>
          <cell r="R48">
            <v>14.452582020532898</v>
          </cell>
          <cell r="S48">
            <v>86375.105331424624</v>
          </cell>
          <cell r="T48">
            <v>7460658821.014698</v>
          </cell>
          <cell r="U48">
            <v>1161953.3277622093</v>
          </cell>
          <cell r="V48">
            <v>635300.70966858254</v>
          </cell>
          <cell r="W48">
            <v>1890935.0885534626</v>
          </cell>
          <cell r="X48">
            <v>-6.9192612329888228E-2</v>
          </cell>
          <cell r="Y48">
            <v>6.9192612329888228E-2</v>
          </cell>
          <cell r="Z48">
            <v>11.985696054331669</v>
          </cell>
          <cell r="AA48">
            <v>13.968451140679008</v>
          </cell>
          <cell r="AB48">
            <v>14.037315960831982</v>
          </cell>
          <cell r="AC48" t="str">
            <v>02</v>
          </cell>
          <cell r="AD48">
            <v>13.364691814843239</v>
          </cell>
        </row>
        <row r="49">
          <cell r="F49">
            <v>46</v>
          </cell>
          <cell r="G49">
            <v>12.584707939364119</v>
          </cell>
          <cell r="H49">
            <v>0.11478115634723522</v>
          </cell>
          <cell r="I49">
            <v>4.5070311383860501E-2</v>
          </cell>
          <cell r="J49">
            <v>13.841099859137691</v>
          </cell>
          <cell r="K49">
            <v>0.46204643674838952</v>
          </cell>
          <cell r="L49">
            <v>0.1235716036701713</v>
          </cell>
          <cell r="M49">
            <v>0.22362563344196787</v>
          </cell>
          <cell r="N49">
            <v>0.31357364810091681</v>
          </cell>
          <cell r="O49">
            <v>9.8328432783317612E-2</v>
          </cell>
          <cell r="P49">
            <v>13.841099859137691</v>
          </cell>
          <cell r="Q49">
            <v>13.237340533301921</v>
          </cell>
          <cell r="R49">
            <v>14.328068829520245</v>
          </cell>
          <cell r="S49">
            <v>377852.55222045013</v>
          </cell>
          <cell r="T49">
            <v>142772551219.508</v>
          </cell>
          <cell r="U49">
            <v>1025919.5179966543</v>
          </cell>
          <cell r="V49">
            <v>560923.9048364833</v>
          </cell>
          <cell r="W49">
            <v>1669556.9161524309</v>
          </cell>
          <cell r="X49">
            <v>-0.2691694472607738</v>
          </cell>
          <cell r="Y49">
            <v>0.2691694472607738</v>
          </cell>
          <cell r="Z49">
            <v>10.945977194834521</v>
          </cell>
          <cell r="AA49">
            <v>13.847931366922214</v>
          </cell>
          <cell r="AB49">
            <v>14.154673507238607</v>
          </cell>
          <cell r="AC49" t="str">
            <v>03</v>
          </cell>
          <cell r="AD49">
            <v>13.244172041086445</v>
          </cell>
        </row>
        <row r="50">
          <cell r="F50">
            <v>46</v>
          </cell>
          <cell r="G50">
            <v>12.576030581241529</v>
          </cell>
          <cell r="H50">
            <v>0.11635714832203503</v>
          </cell>
          <cell r="I50">
            <v>4.5325227994847138E-2</v>
          </cell>
          <cell r="J50">
            <v>13.875460372197129</v>
          </cell>
          <cell r="K50">
            <v>0.4641677673016073</v>
          </cell>
          <cell r="L50">
            <v>0.125314225690352</v>
          </cell>
          <cell r="M50">
            <v>0.22555024604021659</v>
          </cell>
          <cell r="N50">
            <v>-7.7116976518663449E-2</v>
          </cell>
          <cell r="O50">
            <v>5.9470280673800894E-3</v>
          </cell>
          <cell r="P50">
            <v>13.875460372197129</v>
          </cell>
          <cell r="Q50">
            <v>13.271701046361359</v>
          </cell>
          <cell r="R50">
            <v>14.362429342579683</v>
          </cell>
          <cell r="S50">
            <v>-78803.904976195307</v>
          </cell>
          <cell r="T50">
            <v>6210055439.4972191</v>
          </cell>
          <cell r="U50">
            <v>1061783.2588008423</v>
          </cell>
          <cell r="V50">
            <v>580532.48931220465</v>
          </cell>
          <cell r="W50">
            <v>1727920.7112146921</v>
          </cell>
          <cell r="X50">
            <v>8.0168423344375836E-2</v>
          </cell>
          <cell r="Y50">
            <v>8.0168423344375836E-2</v>
          </cell>
          <cell r="Z50">
            <v>11.167597433371631</v>
          </cell>
          <cell r="AA50">
            <v>13.873620639329312</v>
          </cell>
          <cell r="AB50">
            <v>13.798343395678465</v>
          </cell>
          <cell r="AC50" t="str">
            <v>04</v>
          </cell>
          <cell r="AD50">
            <v>13.269861313493543</v>
          </cell>
        </row>
        <row r="54">
          <cell r="A54">
            <v>2003</v>
          </cell>
          <cell r="B54">
            <v>2008</v>
          </cell>
          <cell r="C54">
            <v>11.368403246570365</v>
          </cell>
          <cell r="D54">
            <v>13.58533692874585</v>
          </cell>
          <cell r="E54">
            <v>48</v>
          </cell>
          <cell r="F54">
            <v>46</v>
          </cell>
          <cell r="G54">
            <v>12.55984521025213</v>
          </cell>
          <cell r="H54">
            <v>0.1183583704643478</v>
          </cell>
          <cell r="I54">
            <v>4.5172071810301757E-2</v>
          </cell>
        </row>
        <row r="55">
          <cell r="A55">
            <v>2004</v>
          </cell>
          <cell r="B55">
            <v>2009</v>
          </cell>
          <cell r="C55">
            <v>9.6414106439106622</v>
          </cell>
          <cell r="D55">
            <v>13.745907076568347</v>
          </cell>
          <cell r="E55">
            <v>48</v>
          </cell>
          <cell r="F55">
            <v>46</v>
          </cell>
          <cell r="G55">
            <v>12.573390936870823</v>
          </cell>
          <cell r="H55">
            <v>0.1163602119952028</v>
          </cell>
          <cell r="I55">
            <v>4.5441400154438878E-2</v>
          </cell>
        </row>
        <row r="56">
          <cell r="A56">
            <v>2005</v>
          </cell>
          <cell r="B56">
            <v>2010</v>
          </cell>
          <cell r="C56">
            <v>10.686834856672217</v>
          </cell>
          <cell r="D56">
            <v>13.479537267281957</v>
          </cell>
          <cell r="E56">
            <v>48</v>
          </cell>
          <cell r="F56">
            <v>46</v>
          </cell>
          <cell r="G56">
            <v>12.581951559236348</v>
          </cell>
          <cell r="H56">
            <v>0.11631505623656156</v>
          </cell>
          <cell r="I56">
            <v>4.499434135303066E-2</v>
          </cell>
        </row>
        <row r="57">
          <cell r="A57">
            <v>2006</v>
          </cell>
          <cell r="B57">
            <v>2011</v>
          </cell>
          <cell r="C57">
            <v>9.8601552134810948</v>
          </cell>
          <cell r="D57">
            <v>14.413615521253396</v>
          </cell>
          <cell r="E57">
            <v>48</v>
          </cell>
          <cell r="F57">
            <v>46</v>
          </cell>
          <cell r="G57">
            <v>12.514437440225571</v>
          </cell>
          <cell r="H57">
            <v>0.12066775021931396</v>
          </cell>
          <cell r="I57">
            <v>4.4231731903078858E-2</v>
          </cell>
        </row>
        <row r="58">
          <cell r="A58">
            <v>2007</v>
          </cell>
          <cell r="B58">
            <v>2012</v>
          </cell>
          <cell r="C58">
            <v>11.381524309834402</v>
          </cell>
          <cell r="D58">
            <v>14.537503522616381</v>
          </cell>
          <cell r="E58">
            <v>48</v>
          </cell>
          <cell r="F58">
            <v>46</v>
          </cell>
          <cell r="G58">
            <v>12.619531581549538</v>
          </cell>
          <cell r="H58">
            <v>0.11082238902089439</v>
          </cell>
          <cell r="I58">
            <v>4.4434495316225994E-2</v>
          </cell>
        </row>
        <row r="59">
          <cell r="A59">
            <v>2008</v>
          </cell>
          <cell r="B59">
            <v>2013</v>
          </cell>
          <cell r="C59">
            <v>11.100216624341432</v>
          </cell>
          <cell r="D59">
            <v>14.177022176795413</v>
          </cell>
          <cell r="E59">
            <v>48</v>
          </cell>
          <cell r="F59">
            <v>46</v>
          </cell>
          <cell r="G59">
            <v>12.589729906728817</v>
          </cell>
          <cell r="H59">
            <v>0.11429615345278202</v>
          </cell>
          <cell r="I59">
            <v>4.5094466219920339E-2</v>
          </cell>
        </row>
        <row r="60">
          <cell r="A60">
            <v>2009</v>
          </cell>
          <cell r="B60">
            <v>2014</v>
          </cell>
          <cell r="C60">
            <v>9.9902407103800552</v>
          </cell>
          <cell r="D60">
            <v>14.429301920516998</v>
          </cell>
          <cell r="E60">
            <v>48</v>
          </cell>
          <cell r="F60">
            <v>46</v>
          </cell>
          <cell r="G60">
            <v>12.523742243839255</v>
          </cell>
          <cell r="H60">
            <v>0.11978806384130919</v>
          </cell>
          <cell r="I60">
            <v>4.4195730190443427E-2</v>
          </cell>
        </row>
        <row r="61">
          <cell r="A61">
            <v>2010</v>
          </cell>
          <cell r="B61">
            <v>2015</v>
          </cell>
          <cell r="C61">
            <v>9.5019834148517965</v>
          </cell>
          <cell r="D61">
            <v>14.362119154384274</v>
          </cell>
          <cell r="E61">
            <v>48</v>
          </cell>
          <cell r="F61">
            <v>46</v>
          </cell>
          <cell r="G61">
            <v>12.48968069117077</v>
          </cell>
          <cell r="H61">
            <v>0.12302237429840597</v>
          </cell>
          <cell r="I61">
            <v>4.4394988793787935E-2</v>
          </cell>
        </row>
        <row r="63">
          <cell r="A63">
            <v>2011</v>
          </cell>
          <cell r="B63">
            <v>2016</v>
          </cell>
          <cell r="C63">
            <v>12.348953351536537</v>
          </cell>
          <cell r="E63">
            <v>49</v>
          </cell>
          <cell r="F63">
            <v>47</v>
          </cell>
          <cell r="G63">
            <v>12.579120396515759</v>
          </cell>
          <cell r="H63">
            <v>0.11591573304256626</v>
          </cell>
          <cell r="I63">
            <v>4.4774569379375684E-2</v>
          </cell>
        </row>
        <row r="65">
          <cell r="E65" t="str">
            <v>d.f. =</v>
          </cell>
          <cell r="F65">
            <v>46</v>
          </cell>
        </row>
        <row r="66">
          <cell r="E66" t="str">
            <v>d.f. =</v>
          </cell>
          <cell r="F66">
            <v>47</v>
          </cell>
        </row>
      </sheetData>
      <sheetData sheetId="23">
        <row r="1">
          <cell r="G1" t="str">
            <v>Model = Predict log returns aged 1.3 (ln(R_x001E_d1.3_x001F_)) from log returns aged 1.2 (ln(R_x001E_d1.2_x001F_)).</v>
          </cell>
        </row>
        <row r="2">
          <cell r="G2" t="str">
            <v>X =</v>
          </cell>
          <cell r="H2" t="str">
            <v>1.2 (untransformed)</v>
          </cell>
        </row>
        <row r="3">
          <cell r="G3" t="str">
            <v>Y=</v>
          </cell>
          <cell r="H3" t="str">
            <v>1.3 (untransformed)</v>
          </cell>
        </row>
        <row r="4">
          <cell r="G4" t="str">
            <v>ReturnAge</v>
          </cell>
          <cell r="H4">
            <v>5</v>
          </cell>
        </row>
        <row r="8">
          <cell r="W8" t="str">
            <v>Graphics Section</v>
          </cell>
        </row>
        <row r="9">
          <cell r="H9" t="str">
            <v xml:space="preserve">          Regression Data</v>
          </cell>
          <cell r="N9" t="str">
            <v xml:space="preserve">       Confidence Intervals (transformed if applicable)</v>
          </cell>
          <cell r="S9" t="str">
            <v>Percent</v>
          </cell>
          <cell r="T9" t="str">
            <v>Absolute</v>
          </cell>
          <cell r="V9" t="str">
            <v>X</v>
          </cell>
          <cell r="W9" t="str">
            <v>(A)</v>
          </cell>
          <cell r="X9" t="str">
            <v>(B)</v>
          </cell>
          <cell r="Y9" t="str">
            <v>Confidence Bounds</v>
          </cell>
          <cell r="AB9" t="str">
            <v>Labels(B)</v>
          </cell>
        </row>
        <row r="10">
          <cell r="I10" t="str">
            <v>Std Err</v>
          </cell>
          <cell r="J10" t="str">
            <v>Y est</v>
          </cell>
          <cell r="K10" t="str">
            <v>Std Err</v>
          </cell>
          <cell r="M10" t="str">
            <v>Leave 1 out</v>
          </cell>
          <cell r="P10" t="str">
            <v>Point</v>
          </cell>
          <cell r="Q10" t="str">
            <v>Lower</v>
          </cell>
          <cell r="R10" t="str">
            <v>Upper</v>
          </cell>
          <cell r="S10" t="str">
            <v>Error</v>
          </cell>
          <cell r="T10" t="str">
            <v>Percentage</v>
          </cell>
          <cell r="U10" t="str">
            <v>Brood</v>
          </cell>
          <cell r="V10" t="str">
            <v>Age</v>
          </cell>
          <cell r="W10" t="str">
            <v>Predicted</v>
          </cell>
          <cell r="X10" t="str">
            <v>Actual</v>
          </cell>
          <cell r="Y10" t="str">
            <v>(C)</v>
          </cell>
          <cell r="Z10" t="str">
            <v>(D)</v>
          </cell>
          <cell r="AB10" t="str">
            <v>Return</v>
          </cell>
          <cell r="AC10" t="str">
            <v>Mean</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Error</v>
          </cell>
          <cell r="U11" t="str">
            <v>Year</v>
          </cell>
          <cell r="V11">
            <v>1.2</v>
          </cell>
          <cell r="W11" t="str">
            <v>Y</v>
          </cell>
          <cell r="X11" t="str">
            <v>Y</v>
          </cell>
          <cell r="Y11" t="str">
            <v>Lower</v>
          </cell>
          <cell r="Z11" t="str">
            <v>Upper</v>
          </cell>
          <cell r="AA11" t="str">
            <v>Forecast</v>
          </cell>
          <cell r="AB11" t="str">
            <v>Y</v>
          </cell>
          <cell r="AC11" t="str">
            <v>Return</v>
          </cell>
        </row>
        <row r="13">
          <cell r="F13">
            <v>46</v>
          </cell>
          <cell r="G13">
            <v>551764.09507105732</v>
          </cell>
          <cell r="H13">
            <v>2.0950933087821504</v>
          </cell>
          <cell r="I13">
            <v>0.34370784523343167</v>
          </cell>
          <cell r="J13">
            <v>766305.13544073165</v>
          </cell>
          <cell r="K13">
            <v>376259.77005560754</v>
          </cell>
          <cell r="L13">
            <v>0.44682221018914298</v>
          </cell>
          <cell r="M13">
            <v>149225413520.55862</v>
          </cell>
          <cell r="N13">
            <v>-205504.36802603269</v>
          </cell>
          <cell r="O13">
            <v>42232045277.779091</v>
          </cell>
          <cell r="P13">
            <v>766305.13544073165</v>
          </cell>
          <cell r="Q13">
            <v>268195.57016554242</v>
          </cell>
          <cell r="R13">
            <v>1264414.7007159209</v>
          </cell>
          <cell r="S13">
            <v>0.36644808632022974</v>
          </cell>
          <cell r="T13">
            <v>0.36644808632022974</v>
          </cell>
          <cell r="U13">
            <v>1962</v>
          </cell>
          <cell r="V13">
            <v>102401.66367310109</v>
          </cell>
          <cell r="W13">
            <v>757720.61308451195</v>
          </cell>
          <cell r="X13">
            <v>560800.76741469896</v>
          </cell>
          <cell r="Y13">
            <v>259611.04780932271</v>
          </cell>
          <cell r="Z13">
            <v>1255830.1783597013</v>
          </cell>
          <cell r="AB13">
            <v>67</v>
          </cell>
          <cell r="AC13">
            <v>1101064.018344444</v>
          </cell>
        </row>
        <row r="14">
          <cell r="F14">
            <v>46</v>
          </cell>
          <cell r="G14">
            <v>555446.84816498391</v>
          </cell>
          <cell r="H14">
            <v>2.0859111995727737</v>
          </cell>
          <cell r="I14">
            <v>0.34320435958345785</v>
          </cell>
          <cell r="J14">
            <v>759016.07360220153</v>
          </cell>
          <cell r="K14">
            <v>375455.80371908343</v>
          </cell>
          <cell r="L14">
            <v>0.44537603218107202</v>
          </cell>
          <cell r="M14">
            <v>148618993087.97946</v>
          </cell>
          <cell r="N14">
            <v>-267095.91169012588</v>
          </cell>
          <cell r="O14">
            <v>71340226041.579529</v>
          </cell>
          <cell r="P14">
            <v>759016.07360220153</v>
          </cell>
          <cell r="Q14">
            <v>260906.5083270123</v>
          </cell>
          <cell r="R14">
            <v>1257125.6388773909</v>
          </cell>
          <cell r="S14">
            <v>0.5429659777552801</v>
          </cell>
          <cell r="T14">
            <v>0.5429659777552801</v>
          </cell>
          <cell r="U14">
            <v>1963</v>
          </cell>
          <cell r="V14">
            <v>97592.469650151805</v>
          </cell>
          <cell r="W14">
            <v>747514.38923714799</v>
          </cell>
          <cell r="X14">
            <v>491920.16191207565</v>
          </cell>
          <cell r="Y14">
            <v>249404.82396195875</v>
          </cell>
          <cell r="Z14">
            <v>1245623.9545123372</v>
          </cell>
          <cell r="AB14">
            <v>68</v>
          </cell>
          <cell r="AC14">
            <v>1101064.018344444</v>
          </cell>
        </row>
        <row r="15">
          <cell r="F15">
            <v>46</v>
          </cell>
          <cell r="G15">
            <v>545219.5696548766</v>
          </cell>
          <cell r="H15">
            <v>2.1293379862598267</v>
          </cell>
          <cell r="I15">
            <v>0.33833920062999778</v>
          </cell>
          <cell r="J15">
            <v>1164257.413389653</v>
          </cell>
          <cell r="K15">
            <v>374379.10976098914</v>
          </cell>
          <cell r="L15">
            <v>0.46266798634596329</v>
          </cell>
          <cell r="M15">
            <v>147862225884.06021</v>
          </cell>
          <cell r="N15">
            <v>-328123.53135626076</v>
          </cell>
          <cell r="O15">
            <v>107665051829.70303</v>
          </cell>
          <cell r="P15">
            <v>1164257.413389653</v>
          </cell>
          <cell r="Q15">
            <v>666147.84811446373</v>
          </cell>
          <cell r="R15">
            <v>1662366.9786648422</v>
          </cell>
          <cell r="S15">
            <v>0.39242941639716578</v>
          </cell>
          <cell r="T15">
            <v>0.39242941639716578</v>
          </cell>
          <cell r="U15">
            <v>1964</v>
          </cell>
          <cell r="V15">
            <v>290718.45227450889</v>
          </cell>
          <cell r="W15">
            <v>1157372.465247463</v>
          </cell>
          <cell r="X15">
            <v>836133.8820333922</v>
          </cell>
          <cell r="Y15">
            <v>659262.89997227374</v>
          </cell>
          <cell r="Z15">
            <v>1655482.0305226522</v>
          </cell>
          <cell r="AB15">
            <v>69</v>
          </cell>
          <cell r="AC15">
            <v>1101064.018344444</v>
          </cell>
        </row>
        <row r="16">
          <cell r="F16">
            <v>46</v>
          </cell>
          <cell r="G16">
            <v>538966.24908040406</v>
          </cell>
          <cell r="H16">
            <v>2.1463090052297149</v>
          </cell>
          <cell r="I16">
            <v>0.34165557909368327</v>
          </cell>
          <cell r="J16">
            <v>1368250.8666514959</v>
          </cell>
          <cell r="K16">
            <v>375799.93898791599</v>
          </cell>
          <cell r="L16">
            <v>0.46176531660780873</v>
          </cell>
          <cell r="M16">
            <v>148891182547.78128</v>
          </cell>
          <cell r="N16">
            <v>-241402.4274341329</v>
          </cell>
          <cell r="O16">
            <v>58275131971.091797</v>
          </cell>
          <cell r="P16">
            <v>1368250.8666514959</v>
          </cell>
          <cell r="Q16">
            <v>870141.30137630668</v>
          </cell>
          <cell r="R16">
            <v>1866360.4319266852</v>
          </cell>
          <cell r="S16">
            <v>0.21422794675191245</v>
          </cell>
          <cell r="T16">
            <v>0.21422794675191245</v>
          </cell>
          <cell r="U16">
            <v>1965</v>
          </cell>
          <cell r="V16">
            <v>386377.08528941998</v>
          </cell>
          <cell r="W16">
            <v>1360382.2454360118</v>
          </cell>
          <cell r="X16">
            <v>1126848.439217363</v>
          </cell>
          <cell r="Y16">
            <v>862272.68016082258</v>
          </cell>
          <cell r="Z16">
            <v>1858491.810711201</v>
          </cell>
          <cell r="AB16">
            <v>70</v>
          </cell>
          <cell r="AC16">
            <v>1101064.018344444</v>
          </cell>
        </row>
        <row r="17">
          <cell r="F17">
            <v>46</v>
          </cell>
          <cell r="G17">
            <v>544085.7285053432</v>
          </cell>
          <cell r="H17">
            <v>2.1315796917197813</v>
          </cell>
          <cell r="I17">
            <v>0.33887393685596995</v>
          </cell>
          <cell r="J17">
            <v>1188163.0396699482</v>
          </cell>
          <cell r="K17">
            <v>374855.42245933309</v>
          </cell>
          <cell r="L17">
            <v>0.46240596123855521</v>
          </cell>
          <cell r="M17">
            <v>148210390182.48022</v>
          </cell>
          <cell r="N17">
            <v>-301584.42517070263</v>
          </cell>
          <cell r="O17">
            <v>90953165505.543137</v>
          </cell>
          <cell r="P17">
            <v>1188163.0396699482</v>
          </cell>
          <cell r="Q17">
            <v>690053.47439475893</v>
          </cell>
          <cell r="R17">
            <v>1686272.6049451374</v>
          </cell>
          <cell r="S17">
            <v>0.34016659125151871</v>
          </cell>
          <cell r="T17">
            <v>0.34016659125151871</v>
          </cell>
          <cell r="U17">
            <v>1966</v>
          </cell>
          <cell r="V17">
            <v>302159.62071066489</v>
          </cell>
          <cell r="W17">
            <v>1181653.2752080457</v>
          </cell>
          <cell r="X17">
            <v>886578.61449924554</v>
          </cell>
          <cell r="Y17">
            <v>683543.70993285649</v>
          </cell>
          <cell r="Z17">
            <v>1679762.840483235</v>
          </cell>
          <cell r="AB17">
            <v>71</v>
          </cell>
          <cell r="AC17">
            <v>1101064.018344444</v>
          </cell>
        </row>
        <row r="18">
          <cell r="F18">
            <v>46</v>
          </cell>
          <cell r="G18">
            <v>542704.00699811941</v>
          </cell>
          <cell r="H18">
            <v>2.1166680694259457</v>
          </cell>
          <cell r="I18">
            <v>0.34497749638796293</v>
          </cell>
          <cell r="J18">
            <v>748701.76539930794</v>
          </cell>
          <cell r="K18">
            <v>377381.03242549539</v>
          </cell>
          <cell r="L18">
            <v>0.45006629543702403</v>
          </cell>
          <cell r="M18">
            <v>150070486879.20084</v>
          </cell>
          <cell r="N18">
            <v>-40847.571077767876</v>
          </cell>
          <cell r="O18">
            <v>1668524062.9532986</v>
          </cell>
          <cell r="P18">
            <v>748701.76539930794</v>
          </cell>
          <cell r="Q18">
            <v>250592.20012411871</v>
          </cell>
          <cell r="R18">
            <v>1246811.3306744972</v>
          </cell>
          <cell r="S18">
            <v>5.770619345827175E-2</v>
          </cell>
          <cell r="T18">
            <v>5.770619345827175E-2</v>
          </cell>
          <cell r="U18">
            <v>1967</v>
          </cell>
          <cell r="V18">
            <v>97321.711125474932</v>
          </cell>
          <cell r="W18">
            <v>746939.7769220185</v>
          </cell>
          <cell r="X18">
            <v>707854.19432154007</v>
          </cell>
          <cell r="Y18">
            <v>248830.21164682927</v>
          </cell>
          <cell r="Z18">
            <v>1245049.3421972077</v>
          </cell>
          <cell r="AB18">
            <v>72</v>
          </cell>
          <cell r="AC18">
            <v>1101064.018344444</v>
          </cell>
        </row>
        <row r="19">
          <cell r="F19">
            <v>46</v>
          </cell>
          <cell r="G19">
            <v>552590.33899079938</v>
          </cell>
          <cell r="H19">
            <v>2.0965972234019445</v>
          </cell>
          <cell r="I19">
            <v>0.34120930550004275</v>
          </cell>
          <cell r="J19">
            <v>858445.1389615119</v>
          </cell>
          <cell r="K19">
            <v>375457.05011820124</v>
          </cell>
          <cell r="L19">
            <v>0.45078692744623794</v>
          </cell>
          <cell r="M19">
            <v>148637158308.36316</v>
          </cell>
          <cell r="N19">
            <v>-265458.65113640751</v>
          </cell>
          <cell r="O19">
            <v>70468295463.160904</v>
          </cell>
          <cell r="P19">
            <v>858445.1389615119</v>
          </cell>
          <cell r="Q19">
            <v>360335.57368632266</v>
          </cell>
          <cell r="R19">
            <v>1356554.7042367011</v>
          </cell>
          <cell r="S19">
            <v>0.44766391239373732</v>
          </cell>
          <cell r="T19">
            <v>0.44766391239373732</v>
          </cell>
          <cell r="U19">
            <v>1968</v>
          </cell>
          <cell r="V19">
            <v>145881.52486171454</v>
          </cell>
          <cell r="W19">
            <v>849994.95136773959</v>
          </cell>
          <cell r="X19">
            <v>592986.48782510438</v>
          </cell>
          <cell r="Y19">
            <v>351885.38609255035</v>
          </cell>
          <cell r="Z19">
            <v>1348104.5166429288</v>
          </cell>
          <cell r="AB19">
            <v>73</v>
          </cell>
          <cell r="AC19">
            <v>1101064.018344444</v>
          </cell>
        </row>
        <row r="20">
          <cell r="F20">
            <v>46</v>
          </cell>
          <cell r="G20">
            <v>547197.56903447176</v>
          </cell>
          <cell r="H20">
            <v>2.1059663247835232</v>
          </cell>
          <cell r="I20">
            <v>0.34443796322484149</v>
          </cell>
          <cell r="J20">
            <v>760983.26308624493</v>
          </cell>
          <cell r="K20">
            <v>377012.79572228342</v>
          </cell>
          <cell r="L20">
            <v>0.44833259409302822</v>
          </cell>
          <cell r="M20">
            <v>149792633338.49057</v>
          </cell>
          <cell r="N20">
            <v>-122496.91431642359</v>
          </cell>
          <cell r="O20">
            <v>15005494017.045221</v>
          </cell>
          <cell r="P20">
            <v>760983.26308624493</v>
          </cell>
          <cell r="Q20">
            <v>262873.6978110557</v>
          </cell>
          <cell r="R20">
            <v>1259092.8283614342</v>
          </cell>
          <cell r="S20">
            <v>0.19185518148107589</v>
          </cell>
          <cell r="T20">
            <v>0.19185518148107589</v>
          </cell>
          <cell r="U20">
            <v>1969</v>
          </cell>
          <cell r="V20">
            <v>101514.29846521815</v>
          </cell>
          <cell r="W20">
            <v>755837.41854031221</v>
          </cell>
          <cell r="X20">
            <v>638486.34876982134</v>
          </cell>
          <cell r="Y20">
            <v>257727.85326512298</v>
          </cell>
          <cell r="Z20">
            <v>1253946.9838155014</v>
          </cell>
          <cell r="AB20">
            <v>74</v>
          </cell>
          <cell r="AC20">
            <v>1101064.018344444</v>
          </cell>
        </row>
        <row r="21">
          <cell r="F21">
            <v>46</v>
          </cell>
          <cell r="G21">
            <v>563532.54948192567</v>
          </cell>
          <cell r="H21">
            <v>2.0648169363317064</v>
          </cell>
          <cell r="I21">
            <v>0.34185560206355042</v>
          </cell>
          <cell r="J21">
            <v>736841.84902880085</v>
          </cell>
          <cell r="K21">
            <v>373223.95059413376</v>
          </cell>
          <cell r="L21">
            <v>0.44230203260652423</v>
          </cell>
          <cell r="M21">
            <v>146932794211.52182</v>
          </cell>
          <cell r="N21">
            <v>-390227.84640712722</v>
          </cell>
          <cell r="O21">
            <v>152277772111.54446</v>
          </cell>
          <cell r="P21">
            <v>736841.84902880085</v>
          </cell>
          <cell r="Q21">
            <v>238732.28375361161</v>
          </cell>
          <cell r="R21">
            <v>1234951.4143039901</v>
          </cell>
          <cell r="S21">
            <v>1.1258282800336192</v>
          </cell>
          <cell r="T21">
            <v>1.1258282800336192</v>
          </cell>
          <cell r="U21">
            <v>1970</v>
          </cell>
          <cell r="V21">
            <v>83934.462420078504</v>
          </cell>
          <cell r="W21">
            <v>718528.93378788827</v>
          </cell>
          <cell r="X21">
            <v>346614.00262167363</v>
          </cell>
          <cell r="Y21">
            <v>220419.36851269903</v>
          </cell>
          <cell r="Z21">
            <v>1216638.4990630774</v>
          </cell>
          <cell r="AB21">
            <v>75</v>
          </cell>
          <cell r="AC21">
            <v>1101064.018344444</v>
          </cell>
        </row>
        <row r="22">
          <cell r="F22">
            <v>46</v>
          </cell>
          <cell r="G22">
            <v>519216.956519556</v>
          </cell>
          <cell r="H22">
            <v>2.1779744759116788</v>
          </cell>
          <cell r="I22">
            <v>0.34530047558378762</v>
          </cell>
          <cell r="J22">
            <v>624519.6641798577</v>
          </cell>
          <cell r="K22">
            <v>374702.59796144901</v>
          </cell>
          <cell r="L22">
            <v>0.46377105510431588</v>
          </cell>
          <cell r="M22">
            <v>148019643154.33029</v>
          </cell>
          <cell r="N22">
            <v>316400.09933111526</v>
          </cell>
          <cell r="O22">
            <v>100109022856.73959</v>
          </cell>
          <cell r="P22">
            <v>624519.6641798577</v>
          </cell>
          <cell r="Q22">
            <v>126410.09890466847</v>
          </cell>
          <cell r="R22">
            <v>1122629.2294550468</v>
          </cell>
          <cell r="S22">
            <v>-0.33626682274213426</v>
          </cell>
          <cell r="T22">
            <v>0.33626682274213426</v>
          </cell>
          <cell r="U22">
            <v>1971</v>
          </cell>
          <cell r="V22">
            <v>48348.917227885802</v>
          </cell>
          <cell r="W22">
            <v>643008.16290011466</v>
          </cell>
          <cell r="X22">
            <v>940919.76351097296</v>
          </cell>
          <cell r="Y22">
            <v>144898.59762492543</v>
          </cell>
          <cell r="Z22">
            <v>1141117.7281753039</v>
          </cell>
          <cell r="AB22">
            <v>76</v>
          </cell>
          <cell r="AC22">
            <v>1101064.018344444</v>
          </cell>
        </row>
        <row r="23">
          <cell r="F23">
            <v>46</v>
          </cell>
          <cell r="G23">
            <v>540131.57684586535</v>
          </cell>
          <cell r="H23">
            <v>2.1228094089872602</v>
          </cell>
          <cell r="I23">
            <v>0.34320379097593012</v>
          </cell>
          <cell r="J23">
            <v>837405.50257221749</v>
          </cell>
          <cell r="K23">
            <v>377426.10928372381</v>
          </cell>
          <cell r="L23">
            <v>0.45405525905543392</v>
          </cell>
          <cell r="M23">
            <v>150104570630.60654</v>
          </cell>
          <cell r="N23">
            <v>5701.2275413272437</v>
          </cell>
          <cell r="O23">
            <v>32503995.477988288</v>
          </cell>
          <cell r="P23">
            <v>837405.50257221749</v>
          </cell>
          <cell r="Q23">
            <v>339295.93729702826</v>
          </cell>
          <cell r="R23">
            <v>1335515.0678474067</v>
          </cell>
          <cell r="S23">
            <v>-6.7621658536155147E-3</v>
          </cell>
          <cell r="T23">
            <v>6.7621658536155147E-3</v>
          </cell>
          <cell r="U23">
            <v>1972</v>
          </cell>
          <cell r="V23">
            <v>140037.97254138521</v>
          </cell>
          <cell r="W23">
            <v>837593.5795868421</v>
          </cell>
          <cell r="X23">
            <v>843106.73011354473</v>
          </cell>
          <cell r="Y23">
            <v>339484.01431165286</v>
          </cell>
          <cell r="Z23">
            <v>1335703.1448620313</v>
          </cell>
          <cell r="AB23">
            <v>77</v>
          </cell>
          <cell r="AC23">
            <v>1101064.018344444</v>
          </cell>
        </row>
        <row r="24">
          <cell r="F24">
            <v>46</v>
          </cell>
          <cell r="G24">
            <v>563753.04545362038</v>
          </cell>
          <cell r="H24">
            <v>2.0592951736412664</v>
          </cell>
          <cell r="I24">
            <v>0.34633218854727515</v>
          </cell>
          <cell r="J24">
            <v>625985.87894880143</v>
          </cell>
          <cell r="K24">
            <v>374491.46012306365</v>
          </cell>
          <cell r="L24">
            <v>0.43457722065471449</v>
          </cell>
          <cell r="M24">
            <v>147842648711.5611</v>
          </cell>
          <cell r="N24">
            <v>-329552.35715991969</v>
          </cell>
          <cell r="O24">
            <v>108604756109.65927</v>
          </cell>
          <cell r="P24">
            <v>625985.87894880143</v>
          </cell>
          <cell r="Q24">
            <v>127876.3136736122</v>
          </cell>
          <cell r="R24">
            <v>1124095.4442239907</v>
          </cell>
          <cell r="S24">
            <v>1.111724325815705</v>
          </cell>
          <cell r="T24">
            <v>1.111724325815705</v>
          </cell>
          <cell r="U24">
            <v>1973</v>
          </cell>
          <cell r="V24">
            <v>30220.453236502424</v>
          </cell>
          <cell r="W24">
            <v>604535.36254687223</v>
          </cell>
          <cell r="X24">
            <v>296433.52178888174</v>
          </cell>
          <cell r="Y24">
            <v>106425.797271683</v>
          </cell>
          <cell r="Z24">
            <v>1102644.9278220613</v>
          </cell>
          <cell r="AB24">
            <v>78</v>
          </cell>
          <cell r="AC24">
            <v>1101064.018344444</v>
          </cell>
        </row>
        <row r="25">
          <cell r="F25">
            <v>46</v>
          </cell>
          <cell r="G25">
            <v>559787.7869025832</v>
          </cell>
          <cell r="H25">
            <v>2.0827499902233249</v>
          </cell>
          <cell r="I25">
            <v>0.33781266049627007</v>
          </cell>
          <cell r="J25">
            <v>880479.5634024071</v>
          </cell>
          <cell r="K25">
            <v>372009.17965797283</v>
          </cell>
          <cell r="L25">
            <v>0.45246015233449638</v>
          </cell>
          <cell r="M25">
            <v>146092426669.18393</v>
          </cell>
          <cell r="N25">
            <v>-438879.72628473339</v>
          </cell>
          <cell r="O25">
            <v>192615414143.76251</v>
          </cell>
          <cell r="P25">
            <v>880479.5634024071</v>
          </cell>
          <cell r="Q25">
            <v>382369.99812721787</v>
          </cell>
          <cell r="R25">
            <v>1378589.1286775963</v>
          </cell>
          <cell r="S25">
            <v>0.99384032645778475</v>
          </cell>
          <cell r="T25">
            <v>0.99384032645778475</v>
          </cell>
          <cell r="U25">
            <v>1974</v>
          </cell>
          <cell r="V25">
            <v>153975.16648910774</v>
          </cell>
          <cell r="W25">
            <v>867171.53392925137</v>
          </cell>
          <cell r="X25">
            <v>441599.83711767371</v>
          </cell>
          <cell r="Y25">
            <v>369061.96865406213</v>
          </cell>
          <cell r="Z25">
            <v>1365281.0992044406</v>
          </cell>
          <cell r="AB25">
            <v>79</v>
          </cell>
          <cell r="AC25">
            <v>1101064.018344444</v>
          </cell>
        </row>
        <row r="26">
          <cell r="F26">
            <v>46</v>
          </cell>
          <cell r="G26">
            <v>558640.90825921379</v>
          </cell>
          <cell r="H26">
            <v>2.0756981311159302</v>
          </cell>
          <cell r="I26">
            <v>0.34442888072680905</v>
          </cell>
          <cell r="J26">
            <v>700922.42430506693</v>
          </cell>
          <cell r="K26">
            <v>375100.77604718698</v>
          </cell>
          <cell r="L26">
            <v>0.44119564578525822</v>
          </cell>
          <cell r="M26">
            <v>148336260098.15707</v>
          </cell>
          <cell r="N26">
            <v>-291395.62377127685</v>
          </cell>
          <cell r="O26">
            <v>84911409553.051529</v>
          </cell>
          <cell r="P26">
            <v>700922.42430506693</v>
          </cell>
          <cell r="Q26">
            <v>202812.8590298777</v>
          </cell>
          <cell r="R26">
            <v>1199031.9895802562</v>
          </cell>
          <cell r="S26">
            <v>0.71154225655430281</v>
          </cell>
          <cell r="T26">
            <v>0.71154225655430281</v>
          </cell>
          <cell r="U26">
            <v>1975</v>
          </cell>
          <cell r="V26">
            <v>68546.34299321752</v>
          </cell>
          <cell r="W26">
            <v>685871.77944746159</v>
          </cell>
          <cell r="X26">
            <v>409526.80053379008</v>
          </cell>
          <cell r="Y26">
            <v>187762.21417227236</v>
          </cell>
          <cell r="Z26">
            <v>1183981.3447226509</v>
          </cell>
          <cell r="AB26">
            <v>80</v>
          </cell>
          <cell r="AC26">
            <v>1101064.018344444</v>
          </cell>
        </row>
        <row r="27">
          <cell r="F27">
            <v>46</v>
          </cell>
          <cell r="G27">
            <v>540888.23101569188</v>
          </cell>
          <cell r="H27">
            <v>2.1213266796810157</v>
          </cell>
          <cell r="I27">
            <v>0.34217301405220424</v>
          </cell>
          <cell r="J27">
            <v>908227.11860384909</v>
          </cell>
          <cell r="K27">
            <v>377422.85762796347</v>
          </cell>
          <cell r="L27">
            <v>0.45520034908666712</v>
          </cell>
          <cell r="M27">
            <v>150102156745.69254</v>
          </cell>
          <cell r="N27">
            <v>-12180.741822691052</v>
          </cell>
          <cell r="O27">
            <v>148370471.35105494</v>
          </cell>
          <cell r="P27">
            <v>908227.11860384909</v>
          </cell>
          <cell r="Q27">
            <v>410117.55332865985</v>
          </cell>
          <cell r="R27">
            <v>1406336.6838790383</v>
          </cell>
          <cell r="S27">
            <v>1.3593874310889561E-2</v>
          </cell>
          <cell r="T27">
            <v>1.3593874310889561E-2</v>
          </cell>
          <cell r="U27">
            <v>1976</v>
          </cell>
          <cell r="V27">
            <v>173164.6950498893</v>
          </cell>
          <cell r="W27">
            <v>907896.15911220689</v>
          </cell>
          <cell r="X27">
            <v>896046.37678115803</v>
          </cell>
          <cell r="Y27">
            <v>409786.59383701766</v>
          </cell>
          <cell r="Z27">
            <v>1406005.7243873961</v>
          </cell>
          <cell r="AB27">
            <v>81</v>
          </cell>
          <cell r="AC27">
            <v>1101064.018344444</v>
          </cell>
        </row>
        <row r="28">
          <cell r="F28">
            <v>46</v>
          </cell>
          <cell r="G28">
            <v>514292.56961762311</v>
          </cell>
          <cell r="H28">
            <v>2.1792718099688959</v>
          </cell>
          <cell r="I28">
            <v>0.33590314283242279</v>
          </cell>
          <cell r="J28">
            <v>808480.30994749488</v>
          </cell>
          <cell r="K28">
            <v>369198.19139586849</v>
          </cell>
          <cell r="L28">
            <v>0.4778158323856953</v>
          </cell>
          <cell r="M28">
            <v>144009959887.15417</v>
          </cell>
          <cell r="N28">
            <v>540900.93333362951</v>
          </cell>
          <cell r="O28">
            <v>292573819681.19153</v>
          </cell>
          <cell r="P28">
            <v>808480.30994749488</v>
          </cell>
          <cell r="Q28">
            <v>310370.74467230565</v>
          </cell>
          <cell r="R28">
            <v>1306589.8752226841</v>
          </cell>
          <cell r="S28">
            <v>-0.40085108343316472</v>
          </cell>
          <cell r="T28">
            <v>0.40085108343316472</v>
          </cell>
          <cell r="U28">
            <v>1977</v>
          </cell>
          <cell r="V28">
            <v>134993.59693643294</v>
          </cell>
          <cell r="W28">
            <v>826888.24593869969</v>
          </cell>
          <cell r="X28">
            <v>1349381.2432811244</v>
          </cell>
          <cell r="Y28">
            <v>328778.68066351046</v>
          </cell>
          <cell r="Z28">
            <v>1324997.8112138889</v>
          </cell>
          <cell r="AB28">
            <v>82</v>
          </cell>
          <cell r="AC28">
            <v>1101064.018344444</v>
          </cell>
        </row>
        <row r="29">
          <cell r="F29">
            <v>46</v>
          </cell>
          <cell r="G29">
            <v>540273.95926385839</v>
          </cell>
          <cell r="H29">
            <v>2.1614336694874079</v>
          </cell>
          <cell r="I29">
            <v>0.33586478307498024</v>
          </cell>
          <cell r="J29">
            <v>1318380.326818207</v>
          </cell>
          <cell r="K29">
            <v>370325.69416611537</v>
          </cell>
          <cell r="L29">
            <v>0.47377292907789009</v>
          </cell>
          <cell r="M29">
            <v>144870410476.5499</v>
          </cell>
          <cell r="N29">
            <v>-501270.57702422212</v>
          </cell>
          <cell r="O29">
            <v>251272191390.19659</v>
          </cell>
          <cell r="P29">
            <v>1318380.326818207</v>
          </cell>
          <cell r="Q29">
            <v>820270.76154301781</v>
          </cell>
          <cell r="R29">
            <v>1816489.8920933963</v>
          </cell>
          <cell r="S29">
            <v>0.6134678690966614</v>
          </cell>
          <cell r="T29">
            <v>0.6134678690966614</v>
          </cell>
          <cell r="U29">
            <v>1978</v>
          </cell>
          <cell r="V29">
            <v>359995.48750384717</v>
          </cell>
          <cell r="W29">
            <v>1304394.3831942736</v>
          </cell>
          <cell r="X29">
            <v>817109.74979398493</v>
          </cell>
          <cell r="Y29">
            <v>806284.81791908434</v>
          </cell>
          <cell r="Z29">
            <v>1802503.9484694628</v>
          </cell>
          <cell r="AB29">
            <v>83</v>
          </cell>
          <cell r="AC29">
            <v>1101064.018344444</v>
          </cell>
        </row>
        <row r="30">
          <cell r="F30">
            <v>46</v>
          </cell>
          <cell r="G30">
            <v>539995.01506050862</v>
          </cell>
          <cell r="H30">
            <v>2.1119767855771676</v>
          </cell>
          <cell r="I30">
            <v>0.34136784585325131</v>
          </cell>
          <cell r="J30">
            <v>1271799.6024591047</v>
          </cell>
          <cell r="K30">
            <v>376773.0154720188</v>
          </cell>
          <cell r="L30">
            <v>0.45417809614360322</v>
          </cell>
          <cell r="M30">
            <v>149619965856.98734</v>
          </cell>
          <cell r="N30">
            <v>152622.19081509463</v>
          </cell>
          <cell r="O30">
            <v>23293533129.199154</v>
          </cell>
          <cell r="P30">
            <v>1271799.6024591047</v>
          </cell>
          <cell r="Q30">
            <v>773690.0371839155</v>
          </cell>
          <cell r="R30">
            <v>1769909.167734294</v>
          </cell>
          <cell r="S30">
            <v>-0.10714676757667035</v>
          </cell>
          <cell r="T30">
            <v>0.10714676757667035</v>
          </cell>
          <cell r="U30">
            <v>1979</v>
          </cell>
          <cell r="V30">
            <v>346502.19282529014</v>
          </cell>
          <cell r="W30">
            <v>1275758.4859377637</v>
          </cell>
          <cell r="X30">
            <v>1424421.7932741994</v>
          </cell>
          <cell r="Y30">
            <v>777648.92066257447</v>
          </cell>
          <cell r="Z30">
            <v>1773868.0512129529</v>
          </cell>
          <cell r="AB30">
            <v>84</v>
          </cell>
          <cell r="AC30">
            <v>1101064.018344444</v>
          </cell>
        </row>
        <row r="31">
          <cell r="F31">
            <v>46</v>
          </cell>
          <cell r="G31">
            <v>537934.65479445271</v>
          </cell>
          <cell r="H31">
            <v>2.1258800134760292</v>
          </cell>
          <cell r="I31">
            <v>0.34138088506289327</v>
          </cell>
          <cell r="J31">
            <v>970462.6603359615</v>
          </cell>
          <cell r="K31">
            <v>377274.62879740779</v>
          </cell>
          <cell r="L31">
            <v>0.45741422688582467</v>
          </cell>
          <cell r="M31">
            <v>149992391048.01266</v>
          </cell>
          <cell r="N31">
            <v>73601.113850151189</v>
          </cell>
          <cell r="O31">
            <v>5417123959.9829168</v>
          </cell>
          <cell r="P31">
            <v>970462.6603359615</v>
          </cell>
          <cell r="Q31">
            <v>472353.09506077226</v>
          </cell>
          <cell r="R31">
            <v>1468572.2256111507</v>
          </cell>
          <cell r="S31">
            <v>-7.0494844922213737E-2</v>
          </cell>
          <cell r="T31">
            <v>7.0494844922213737E-2</v>
          </cell>
          <cell r="U31">
            <v>1980</v>
          </cell>
          <cell r="V31">
            <v>203458.33386630402</v>
          </cell>
          <cell r="W31">
            <v>972186.27871148044</v>
          </cell>
          <cell r="X31">
            <v>1044063.7741861127</v>
          </cell>
          <cell r="Y31">
            <v>474076.7134362912</v>
          </cell>
          <cell r="Z31">
            <v>1470295.8439866696</v>
          </cell>
          <cell r="AB31">
            <v>85</v>
          </cell>
          <cell r="AC31">
            <v>1101064.018344444</v>
          </cell>
        </row>
        <row r="32">
          <cell r="F32">
            <v>46</v>
          </cell>
          <cell r="G32">
            <v>546866.02406690386</v>
          </cell>
          <cell r="H32">
            <v>2.1092383820620912</v>
          </cell>
          <cell r="I32">
            <v>0.34207480043355809</v>
          </cell>
          <cell r="J32">
            <v>878166.33793087793</v>
          </cell>
          <cell r="K32">
            <v>376809.43325595517</v>
          </cell>
          <cell r="L32">
            <v>0.45250962640131842</v>
          </cell>
          <cell r="M32">
            <v>149645155370.86118</v>
          </cell>
          <cell r="N32">
            <v>-148608.33241529425</v>
          </cell>
          <cell r="O32">
            <v>22084436463.254597</v>
          </cell>
          <cell r="P32">
            <v>878166.33793087793</v>
          </cell>
          <cell r="Q32">
            <v>380056.77265568869</v>
          </cell>
          <cell r="R32">
            <v>1376275.9032060672</v>
          </cell>
          <cell r="S32">
            <v>0.2036963905430271</v>
          </cell>
          <cell r="T32">
            <v>0.2036963905430271</v>
          </cell>
          <cell r="U32">
            <v>1981</v>
          </cell>
          <cell r="V32">
            <v>157071.06256054342</v>
          </cell>
          <cell r="W32">
            <v>873741.74260922265</v>
          </cell>
          <cell r="X32">
            <v>729558.00551558367</v>
          </cell>
          <cell r="Y32">
            <v>375632.17733403342</v>
          </cell>
          <cell r="Z32">
            <v>1371851.3078844119</v>
          </cell>
          <cell r="AB32">
            <v>86</v>
          </cell>
          <cell r="AC32">
            <v>1101064.018344444</v>
          </cell>
        </row>
        <row r="33">
          <cell r="F33">
            <v>46</v>
          </cell>
          <cell r="G33">
            <v>537455.26947860455</v>
          </cell>
          <cell r="H33">
            <v>2.1175561082674155</v>
          </cell>
          <cell r="I33">
            <v>0.34003393042106184</v>
          </cell>
          <cell r="J33">
            <v>1156096.4847669648</v>
          </cell>
          <cell r="K33">
            <v>376242.1369411897</v>
          </cell>
          <cell r="L33">
            <v>0.45742922478873771</v>
          </cell>
          <cell r="M33">
            <v>149231052023.81073</v>
          </cell>
          <cell r="N33">
            <v>204844.81228890712</v>
          </cell>
          <cell r="O33">
            <v>41961397121.677597</v>
          </cell>
          <cell r="P33">
            <v>1156096.4847669648</v>
          </cell>
          <cell r="Q33">
            <v>657986.91949177557</v>
          </cell>
          <cell r="R33">
            <v>1654206.050042154</v>
          </cell>
          <cell r="S33">
            <v>-0.15051700814138602</v>
          </cell>
          <cell r="T33">
            <v>0.15051700814138602</v>
          </cell>
          <cell r="U33">
            <v>1982</v>
          </cell>
          <cell r="V33">
            <v>292148.6768983574</v>
          </cell>
          <cell r="W33">
            <v>1160407.7332348539</v>
          </cell>
          <cell r="X33">
            <v>1360941.2970558719</v>
          </cell>
          <cell r="Y33">
            <v>662298.16795966472</v>
          </cell>
          <cell r="Z33">
            <v>1658517.2985100432</v>
          </cell>
          <cell r="AB33">
            <v>87</v>
          </cell>
          <cell r="AC33">
            <v>1101064.018344444</v>
          </cell>
        </row>
        <row r="34">
          <cell r="F34">
            <v>46</v>
          </cell>
          <cell r="G34">
            <v>554065.62354219402</v>
          </cell>
          <cell r="H34">
            <v>2.0904912883135212</v>
          </cell>
          <cell r="I34">
            <v>0.34255540502687704</v>
          </cell>
          <cell r="J34">
            <v>792127.94429509807</v>
          </cell>
          <cell r="K34">
            <v>375569.84180910891</v>
          </cell>
          <cell r="L34">
            <v>0.44739552798247129</v>
          </cell>
          <cell r="M34">
            <v>148710901902.61697</v>
          </cell>
          <cell r="N34">
            <v>-258705.62989424448</v>
          </cell>
          <cell r="O34">
            <v>66928602938.977806</v>
          </cell>
          <cell r="P34">
            <v>792127.94429509807</v>
          </cell>
          <cell r="Q34">
            <v>294018.37901990884</v>
          </cell>
          <cell r="R34">
            <v>1290237.5095702873</v>
          </cell>
          <cell r="S34">
            <v>0.48499214020475651</v>
          </cell>
          <cell r="T34">
            <v>0.48499214020475651</v>
          </cell>
          <cell r="U34">
            <v>1983</v>
          </cell>
          <cell r="V34">
            <v>113878.64760965257</v>
          </cell>
          <cell r="W34">
            <v>782077.4318341969</v>
          </cell>
          <cell r="X34">
            <v>533422.31440085359</v>
          </cell>
          <cell r="Y34">
            <v>283967.86655900767</v>
          </cell>
          <cell r="Z34">
            <v>1280186.9971093861</v>
          </cell>
          <cell r="AB34">
            <v>88</v>
          </cell>
          <cell r="AC34">
            <v>1101064.018344444</v>
          </cell>
        </row>
        <row r="35">
          <cell r="F35">
            <v>46</v>
          </cell>
          <cell r="G35">
            <v>542138.73622500314</v>
          </cell>
          <cell r="H35">
            <v>2.1326592974125389</v>
          </cell>
          <cell r="I35">
            <v>0.34023710855779615</v>
          </cell>
          <cell r="J35">
            <v>1229307.5993508026</v>
          </cell>
          <cell r="K35">
            <v>376060.99337766372</v>
          </cell>
          <cell r="L35">
            <v>0.46066223037067966</v>
          </cell>
          <cell r="M35">
            <v>149095471010.51663</v>
          </cell>
          <cell r="N35">
            <v>-220157.41132152209</v>
          </cell>
          <cell r="O35">
            <v>48469285759.793861</v>
          </cell>
          <cell r="P35">
            <v>1229307.5993508026</v>
          </cell>
          <cell r="Q35">
            <v>731198.03407561337</v>
          </cell>
          <cell r="R35">
            <v>1727417.1646259918</v>
          </cell>
          <cell r="S35">
            <v>0.21816119536325571</v>
          </cell>
          <cell r="T35">
            <v>0.21816119536325571</v>
          </cell>
          <cell r="U35">
            <v>1984</v>
          </cell>
          <cell r="V35">
            <v>322212.20893534704</v>
          </cell>
          <cell r="W35">
            <v>1224209.5129400825</v>
          </cell>
          <cell r="X35">
            <v>1009150.1880292805</v>
          </cell>
          <cell r="Y35">
            <v>726099.94766489323</v>
          </cell>
          <cell r="Z35">
            <v>1722319.0782152717</v>
          </cell>
          <cell r="AB35">
            <v>89</v>
          </cell>
          <cell r="AC35">
            <v>1101064.018344444</v>
          </cell>
        </row>
        <row r="36">
          <cell r="F36">
            <v>46</v>
          </cell>
          <cell r="G36">
            <v>550739.95040090149</v>
          </cell>
          <cell r="H36">
            <v>2.1152955137420877</v>
          </cell>
          <cell r="I36">
            <v>0.33659561511286012</v>
          </cell>
          <cell r="J36">
            <v>1066449.5832474767</v>
          </cell>
          <cell r="K36">
            <v>372494.57516627299</v>
          </cell>
          <cell r="L36">
            <v>0.46194715053662633</v>
          </cell>
          <cell r="M36">
            <v>146485323752.86758</v>
          </cell>
          <cell r="N36">
            <v>-416840.92184782901</v>
          </cell>
          <cell r="O36">
            <v>173756354126.94791</v>
          </cell>
          <cell r="P36">
            <v>1066449.5832474767</v>
          </cell>
          <cell r="Q36">
            <v>568340.01797228749</v>
          </cell>
          <cell r="R36">
            <v>1564559.148522666</v>
          </cell>
          <cell r="S36">
            <v>0.64168005541937045</v>
          </cell>
          <cell r="T36">
            <v>0.64168005541937045</v>
          </cell>
          <cell r="U36">
            <v>1985</v>
          </cell>
          <cell r="V36">
            <v>243800.27731172802</v>
          </cell>
          <cell r="W36">
            <v>1057801.2285922484</v>
          </cell>
          <cell r="X36">
            <v>649608.66139964771</v>
          </cell>
          <cell r="Y36">
            <v>559691.66331705917</v>
          </cell>
          <cell r="Z36">
            <v>1555910.7938674376</v>
          </cell>
          <cell r="AB36">
            <v>90</v>
          </cell>
          <cell r="AC36">
            <v>1101064.018344444</v>
          </cell>
        </row>
        <row r="37">
          <cell r="F37">
            <v>46</v>
          </cell>
          <cell r="G37">
            <v>538471.9896875011</v>
          </cell>
          <cell r="H37">
            <v>2.1193788471516051</v>
          </cell>
          <cell r="I37">
            <v>0.34065371352709567</v>
          </cell>
          <cell r="J37">
            <v>1154740.5936285255</v>
          </cell>
          <cell r="K37">
            <v>376939.66813955089</v>
          </cell>
          <cell r="L37">
            <v>0.45695242286014592</v>
          </cell>
          <cell r="M37">
            <v>149745376150.14139</v>
          </cell>
          <cell r="N37">
            <v>131429.97777450155</v>
          </cell>
          <cell r="O37">
            <v>17273839057.805969</v>
          </cell>
          <cell r="P37">
            <v>1154740.5936285255</v>
          </cell>
          <cell r="Q37">
            <v>656631.02835333627</v>
          </cell>
          <cell r="R37">
            <v>1652850.1589037147</v>
          </cell>
          <cell r="S37">
            <v>-0.1021870509998766</v>
          </cell>
          <cell r="T37">
            <v>0.1021870509998766</v>
          </cell>
          <cell r="U37">
            <v>1986</v>
          </cell>
          <cell r="V37">
            <v>290777.93466197647</v>
          </cell>
          <cell r="W37">
            <v>1157498.7006537644</v>
          </cell>
          <cell r="X37">
            <v>1286170.571403027</v>
          </cell>
          <cell r="Y37">
            <v>659389.13537857519</v>
          </cell>
          <cell r="Z37">
            <v>1655608.2659289537</v>
          </cell>
          <cell r="AB37">
            <v>91</v>
          </cell>
          <cell r="AC37">
            <v>1101064.018344444</v>
          </cell>
        </row>
        <row r="38">
          <cell r="F38">
            <v>46</v>
          </cell>
          <cell r="G38">
            <v>539655.52831249568</v>
          </cell>
          <cell r="H38">
            <v>2.1228307243419144</v>
          </cell>
          <cell r="I38">
            <v>0.34106517827998017</v>
          </cell>
          <cell r="J38">
            <v>1046290.3709267771</v>
          </cell>
          <cell r="K38">
            <v>377403.70524380868</v>
          </cell>
          <cell r="L38">
            <v>0.45716100135712917</v>
          </cell>
          <cell r="M38">
            <v>150088025737.09482</v>
          </cell>
          <cell r="N38">
            <v>28751.676195319975</v>
          </cell>
          <cell r="O38">
            <v>826658884.04052925</v>
          </cell>
          <cell r="P38">
            <v>1046290.3709267771</v>
          </cell>
          <cell r="Q38">
            <v>548180.8056515879</v>
          </cell>
          <cell r="R38">
            <v>1544399.9362019664</v>
          </cell>
          <cell r="S38">
            <v>-2.6744699216452623E-2</v>
          </cell>
          <cell r="T38">
            <v>2.6744699216452623E-2</v>
          </cell>
          <cell r="U38">
            <v>1987</v>
          </cell>
          <cell r="V38">
            <v>238660.02917935918</v>
          </cell>
          <cell r="W38">
            <v>1046892.4312304449</v>
          </cell>
          <cell r="X38">
            <v>1075042.0471220971</v>
          </cell>
          <cell r="Y38">
            <v>548782.86595525569</v>
          </cell>
          <cell r="Z38">
            <v>1545001.9965056342</v>
          </cell>
          <cell r="AB38">
            <v>92</v>
          </cell>
          <cell r="AC38">
            <v>1101064.018344444</v>
          </cell>
        </row>
        <row r="39">
          <cell r="F39">
            <v>46</v>
          </cell>
          <cell r="G39">
            <v>532807.99997320573</v>
          </cell>
          <cell r="H39">
            <v>2.1284962182911893</v>
          </cell>
          <cell r="I39">
            <v>0.33892883270141777</v>
          </cell>
          <cell r="J39">
            <v>1038978.6820642092</v>
          </cell>
          <cell r="K39">
            <v>375032.81987242721</v>
          </cell>
          <cell r="L39">
            <v>0.46160581032213177</v>
          </cell>
          <cell r="M39">
            <v>148341785820.42682</v>
          </cell>
          <cell r="N39">
            <v>290940.15687784634</v>
          </cell>
          <cell r="O39">
            <v>84646174884.105835</v>
          </cell>
          <cell r="P39">
            <v>1038978.6820642092</v>
          </cell>
          <cell r="Q39">
            <v>540869.11678902002</v>
          </cell>
          <cell r="R39">
            <v>1537088.2473393986</v>
          </cell>
          <cell r="S39">
            <v>-0.21876534744728326</v>
          </cell>
          <cell r="T39">
            <v>0.21876534744728326</v>
          </cell>
          <cell r="U39">
            <v>1988</v>
          </cell>
          <cell r="V39">
            <v>237806.70961086798</v>
          </cell>
          <cell r="W39">
            <v>1045081.4894202794</v>
          </cell>
          <cell r="X39">
            <v>1329918.8389420556</v>
          </cell>
          <cell r="Y39">
            <v>546971.92414509016</v>
          </cell>
          <cell r="Z39">
            <v>1543191.0546954686</v>
          </cell>
          <cell r="AB39">
            <v>93</v>
          </cell>
          <cell r="AC39">
            <v>1101064.018344444</v>
          </cell>
        </row>
        <row r="40">
          <cell r="F40">
            <v>46</v>
          </cell>
          <cell r="G40">
            <v>534139.29876098142</v>
          </cell>
          <cell r="H40">
            <v>2.1253398476642587</v>
          </cell>
          <cell r="I40">
            <v>0.33920683157038423</v>
          </cell>
          <cell r="J40">
            <v>1065263.7932227238</v>
          </cell>
          <cell r="K40">
            <v>375417.37586604856</v>
          </cell>
          <cell r="L40">
            <v>0.46046085567073869</v>
          </cell>
          <cell r="M40">
            <v>148624883933.81454</v>
          </cell>
          <cell r="N40">
            <v>266566.0620587233</v>
          </cell>
          <cell r="O40">
            <v>71057465441.495117</v>
          </cell>
          <cell r="P40">
            <v>1065263.7932227238</v>
          </cell>
          <cell r="Q40">
            <v>567154.22794753453</v>
          </cell>
          <cell r="R40">
            <v>1065264.2801916942</v>
          </cell>
          <cell r="S40">
            <v>-0.20015023766109494</v>
          </cell>
          <cell r="T40">
            <v>0.20015023766109494</v>
          </cell>
          <cell r="U40">
            <v>1989</v>
          </cell>
          <cell r="V40">
            <v>249900.97232941186</v>
          </cell>
          <cell r="W40">
            <v>1070748.316748362</v>
          </cell>
          <cell r="X40">
            <v>1331829.8552814471</v>
          </cell>
          <cell r="Y40">
            <v>572638.7514731728</v>
          </cell>
          <cell r="Z40">
            <v>1568857.8820235513</v>
          </cell>
          <cell r="AB40">
            <v>94</v>
          </cell>
          <cell r="AC40">
            <v>1101064.018344444</v>
          </cell>
        </row>
        <row r="41">
          <cell r="F41">
            <v>46</v>
          </cell>
          <cell r="G41">
            <v>538019.13055032364</v>
          </cell>
          <cell r="H41">
            <v>2.1254881454656078</v>
          </cell>
          <cell r="I41">
            <v>0.34125994109666447</v>
          </cell>
          <cell r="J41">
            <v>985774.26676933793</v>
          </cell>
          <cell r="K41">
            <v>377270.63066223456</v>
          </cell>
          <cell r="L41">
            <v>0.4574986076842707</v>
          </cell>
          <cell r="M41">
            <v>149989510240.698</v>
          </cell>
          <cell r="N41">
            <v>74534.573931088205</v>
          </cell>
          <cell r="O41">
            <v>5555402711.0888538</v>
          </cell>
          <cell r="P41">
            <v>985774.26676933793</v>
          </cell>
          <cell r="Q41">
            <v>487664.7014941487</v>
          </cell>
          <cell r="R41">
            <v>985774.75373830833</v>
          </cell>
          <cell r="S41">
            <v>-7.0295154647443708E-2</v>
          </cell>
          <cell r="T41">
            <v>7.0295154647443708E-2</v>
          </cell>
          <cell r="U41">
            <v>1990</v>
          </cell>
          <cell r="V41">
            <v>210659.9075484043</v>
          </cell>
          <cell r="W41">
            <v>987469.6864305404</v>
          </cell>
          <cell r="X41">
            <v>1060308.8407004261</v>
          </cell>
          <cell r="Y41">
            <v>489360.12115535117</v>
          </cell>
          <cell r="Z41">
            <v>1485579.2517057296</v>
          </cell>
          <cell r="AB41">
            <v>95</v>
          </cell>
          <cell r="AC41">
            <v>1101064.018344444</v>
          </cell>
        </row>
        <row r="42">
          <cell r="F42">
            <v>46</v>
          </cell>
          <cell r="G42">
            <v>549941.30314201105</v>
          </cell>
          <cell r="H42">
            <v>2.0458695729019234</v>
          </cell>
          <cell r="I42">
            <v>0.33877413542573653</v>
          </cell>
          <cell r="J42">
            <v>1457777.3711413941</v>
          </cell>
          <cell r="K42">
            <v>369899.40358654072</v>
          </cell>
          <cell r="L42">
            <v>0.44222120495685835</v>
          </cell>
          <cell r="M42">
            <v>144449818559.88321</v>
          </cell>
          <cell r="N42">
            <v>521018.812894698</v>
          </cell>
          <cell r="O42">
            <v>271460603390.20032</v>
          </cell>
          <cell r="P42">
            <v>1457777.3711413941</v>
          </cell>
          <cell r="Q42">
            <v>959667.8058662049</v>
          </cell>
          <cell r="R42">
            <v>1457777.8581103645</v>
          </cell>
          <cell r="S42">
            <v>-0.26330089834314885</v>
          </cell>
          <cell r="T42">
            <v>0.26330089834314885</v>
          </cell>
          <cell r="U42">
            <v>1991</v>
          </cell>
          <cell r="V42">
            <v>443740.93051869422</v>
          </cell>
          <cell r="W42">
            <v>1482121.6143118939</v>
          </cell>
          <cell r="X42">
            <v>1978796.1840360921</v>
          </cell>
          <cell r="Y42">
            <v>984012.0490367047</v>
          </cell>
          <cell r="Z42">
            <v>1980231.1795870832</v>
          </cell>
          <cell r="AB42">
            <v>96</v>
          </cell>
          <cell r="AC42">
            <v>1101064.018344444</v>
          </cell>
        </row>
        <row r="43">
          <cell r="F43">
            <v>46</v>
          </cell>
          <cell r="G43">
            <v>565204.76020754618</v>
          </cell>
          <cell r="H43">
            <v>1.9668393526397172</v>
          </cell>
          <cell r="I43">
            <v>0.33327904836874594</v>
          </cell>
          <cell r="J43">
            <v>1555109.7233269326</v>
          </cell>
          <cell r="K43">
            <v>359993.80162508681</v>
          </cell>
          <cell r="L43">
            <v>0.43088645571958395</v>
          </cell>
          <cell r="M43">
            <v>136899480178.01237</v>
          </cell>
          <cell r="N43">
            <v>796163.83095440874</v>
          </cell>
          <cell r="O43">
            <v>633876845720.00037</v>
          </cell>
          <cell r="P43">
            <v>1555109.7233269326</v>
          </cell>
          <cell r="Q43">
            <v>1057000.1580517434</v>
          </cell>
          <cell r="R43">
            <v>1555110.210295903</v>
          </cell>
          <cell r="S43">
            <v>-0.33860961414068785</v>
          </cell>
          <cell r="T43">
            <v>0.33860961414068785</v>
          </cell>
          <cell r="U43">
            <v>1992</v>
          </cell>
          <cell r="V43">
            <v>503297.31393203203</v>
          </cell>
          <cell r="W43">
            <v>1608514.0571526987</v>
          </cell>
          <cell r="X43">
            <v>2351273.5542813414</v>
          </cell>
          <cell r="Y43">
            <v>1110404.4918775095</v>
          </cell>
          <cell r="Z43">
            <v>2106623.6224278882</v>
          </cell>
          <cell r="AB43">
            <v>97</v>
          </cell>
          <cell r="AC43">
            <v>1101064.018344444</v>
          </cell>
        </row>
        <row r="44">
          <cell r="F44">
            <v>46</v>
          </cell>
          <cell r="G44">
            <v>541996.76008062833</v>
          </cell>
          <cell r="H44">
            <v>2.1256125053974269</v>
          </cell>
          <cell r="I44">
            <v>0.3407782961702166</v>
          </cell>
          <cell r="J44">
            <v>1175729.9893523799</v>
          </cell>
          <cell r="K44">
            <v>377007.43002412014</v>
          </cell>
          <cell r="L44">
            <v>0.45822882290624706</v>
          </cell>
          <cell r="M44">
            <v>149795270567.85135</v>
          </cell>
          <cell r="N44">
            <v>-121979.12529498246</v>
          </cell>
          <cell r="O44">
            <v>14878907007.729029</v>
          </cell>
          <cell r="P44">
            <v>1175729.9893523799</v>
          </cell>
          <cell r="Q44">
            <v>677620.42407719069</v>
          </cell>
          <cell r="R44">
            <v>1175730.4763213503</v>
          </cell>
          <cell r="S44">
            <v>0.11575708211076569</v>
          </cell>
          <cell r="T44">
            <v>0.11575708211076569</v>
          </cell>
          <cell r="U44">
            <v>1993</v>
          </cell>
          <cell r="V44">
            <v>298141.46635972214</v>
          </cell>
          <cell r="W44">
            <v>1173125.8208023217</v>
          </cell>
          <cell r="X44">
            <v>1053750.8640573975</v>
          </cell>
          <cell r="Y44">
            <v>675016.25552713242</v>
          </cell>
          <cell r="Z44">
            <v>1671235.3860775109</v>
          </cell>
          <cell r="AB44">
            <v>98</v>
          </cell>
          <cell r="AC44">
            <v>1101064.018344444</v>
          </cell>
        </row>
        <row r="45">
          <cell r="F45">
            <v>46</v>
          </cell>
          <cell r="G45">
            <v>543567.406406314</v>
          </cell>
          <cell r="H45">
            <v>2.1415240219145191</v>
          </cell>
          <cell r="I45">
            <v>0.3372798606200883</v>
          </cell>
          <cell r="J45">
            <v>1234329.2288116878</v>
          </cell>
          <cell r="K45">
            <v>372786.13791548967</v>
          </cell>
          <cell r="L45">
            <v>0.4670673891038461</v>
          </cell>
          <cell r="M45">
            <v>146689460270.42709</v>
          </cell>
          <cell r="N45">
            <v>-404917.03012357256</v>
          </cell>
          <cell r="O45">
            <v>163957801284.09418</v>
          </cell>
          <cell r="P45">
            <v>1234329.2288116878</v>
          </cell>
          <cell r="Q45">
            <v>736219.66353649856</v>
          </cell>
          <cell r="R45">
            <v>1234329.7157806582</v>
          </cell>
          <cell r="S45">
            <v>0.48819758229265442</v>
          </cell>
          <cell r="T45">
            <v>0.48819758229265442</v>
          </cell>
          <cell r="U45">
            <v>1994</v>
          </cell>
          <cell r="V45">
            <v>322556.1867794664</v>
          </cell>
          <cell r="W45">
            <v>1224939.5136135556</v>
          </cell>
          <cell r="X45">
            <v>829412.19868811523</v>
          </cell>
          <cell r="Y45">
            <v>726829.94833836635</v>
          </cell>
          <cell r="Z45">
            <v>1723049.0788887448</v>
          </cell>
          <cell r="AB45">
            <v>99</v>
          </cell>
          <cell r="AC45">
            <v>1101064.018344444</v>
          </cell>
        </row>
        <row r="46">
          <cell r="F46">
            <v>46</v>
          </cell>
          <cell r="G46">
            <v>518841.11383969069</v>
          </cell>
          <cell r="H46">
            <v>2.2589869453135907</v>
          </cell>
          <cell r="I46">
            <v>0.33617040762252742</v>
          </cell>
          <cell r="J46">
            <v>1645778.5244318158</v>
          </cell>
          <cell r="K46">
            <v>363450.10230781737</v>
          </cell>
          <cell r="L46">
            <v>0.4953665537888447</v>
          </cell>
          <cell r="M46">
            <v>139487518851.32541</v>
          </cell>
          <cell r="N46">
            <v>-713898.44473914849</v>
          </cell>
          <cell r="O46">
            <v>509650989400.97504</v>
          </cell>
          <cell r="P46">
            <v>1645778.5244318158</v>
          </cell>
          <cell r="Q46">
            <v>1147668.9591566266</v>
          </cell>
          <cell r="R46">
            <v>1645779.0114007862</v>
          </cell>
          <cell r="S46">
            <v>0.76608402765148831</v>
          </cell>
          <cell r="T46">
            <v>0.76608402765148831</v>
          </cell>
          <cell r="U46">
            <v>1995</v>
          </cell>
          <cell r="V46">
            <v>498868.49188306596</v>
          </cell>
          <cell r="W46">
            <v>1599115.0707536913</v>
          </cell>
          <cell r="X46">
            <v>931880.07969266735</v>
          </cell>
          <cell r="Y46">
            <v>1101005.505478502</v>
          </cell>
          <cell r="Z46">
            <v>2097224.6360288803</v>
          </cell>
          <cell r="AB46" t="str">
            <v>00</v>
          </cell>
          <cell r="AC46">
            <v>1101064.018344444</v>
          </cell>
        </row>
        <row r="47">
          <cell r="F47">
            <v>46</v>
          </cell>
          <cell r="G47">
            <v>477014.3287530269</v>
          </cell>
          <cell r="H47">
            <v>2.2830056243646855</v>
          </cell>
          <cell r="I47">
            <v>0.31893376213874541</v>
          </cell>
          <cell r="J47">
            <v>641314.50543889741</v>
          </cell>
          <cell r="K47">
            <v>347533.51772622991</v>
          </cell>
          <cell r="L47">
            <v>0.52694585444024766</v>
          </cell>
          <cell r="M47">
            <v>128230476153.0229</v>
          </cell>
          <cell r="N47">
            <v>1024689.7281223688</v>
          </cell>
          <cell r="O47">
            <v>1049989038919.4941</v>
          </cell>
          <cell r="P47">
            <v>641314.50543889741</v>
          </cell>
          <cell r="Q47">
            <v>143204.94016370818</v>
          </cell>
          <cell r="R47">
            <v>641314.9924078678</v>
          </cell>
          <cell r="S47">
            <v>-0.61505829786037369</v>
          </cell>
          <cell r="T47">
            <v>0.61505829786037369</v>
          </cell>
          <cell r="U47">
            <v>1996</v>
          </cell>
          <cell r="V47">
            <v>71966.61056478649</v>
          </cell>
          <cell r="W47">
            <v>693130.37959682813</v>
          </cell>
          <cell r="X47">
            <v>1666004.2335612662</v>
          </cell>
          <cell r="Y47">
            <v>195020.8143216389</v>
          </cell>
          <cell r="Z47">
            <v>1191239.9448720175</v>
          </cell>
          <cell r="AB47" t="str">
            <v>01</v>
          </cell>
          <cell r="AC47">
            <v>1101064.018344444</v>
          </cell>
        </row>
        <row r="48">
          <cell r="F48">
            <v>46</v>
          </cell>
          <cell r="G48">
            <v>512341.51994136837</v>
          </cell>
          <cell r="H48">
            <v>2.1890809470159183</v>
          </cell>
          <cell r="I48">
            <v>0.33811559621991405</v>
          </cell>
          <cell r="J48">
            <v>738806.36408211617</v>
          </cell>
          <cell r="K48">
            <v>370191.29077647452</v>
          </cell>
          <cell r="L48">
            <v>0.47678098212622388</v>
          </cell>
          <cell r="M48">
            <v>144696649071.97534</v>
          </cell>
          <cell r="N48">
            <v>509522.0690115171</v>
          </cell>
          <cell r="O48">
            <v>259612738809.77719</v>
          </cell>
          <cell r="P48">
            <v>738806.36408211617</v>
          </cell>
          <cell r="Q48">
            <v>240696.79880692693</v>
          </cell>
          <cell r="R48">
            <v>738806.85105108656</v>
          </cell>
          <cell r="S48">
            <v>-0.40816347325263513</v>
          </cell>
          <cell r="T48">
            <v>0.40816347325263513</v>
          </cell>
          <cell r="U48">
            <v>1997</v>
          </cell>
          <cell r="V48">
            <v>103452.01919072802</v>
          </cell>
          <cell r="W48">
            <v>759949.71082543442</v>
          </cell>
          <cell r="X48">
            <v>1248328.4330936333</v>
          </cell>
          <cell r="Y48">
            <v>261840.14555024519</v>
          </cell>
          <cell r="Z48">
            <v>1258059.2761006237</v>
          </cell>
          <cell r="AB48" t="str">
            <v>02</v>
          </cell>
          <cell r="AC48">
            <v>1101064.018344444</v>
          </cell>
        </row>
        <row r="49">
          <cell r="F49">
            <v>46</v>
          </cell>
          <cell r="G49">
            <v>540311.56895228615</v>
          </cell>
          <cell r="H49">
            <v>2.1138628456779749</v>
          </cell>
          <cell r="I49">
            <v>0.34185287958532806</v>
          </cell>
          <cell r="J49">
            <v>1291076.264107151</v>
          </cell>
          <cell r="K49">
            <v>377071.0233871435</v>
          </cell>
          <cell r="L49">
            <v>0.45391671623941743</v>
          </cell>
          <cell r="M49">
            <v>149840657282.28793</v>
          </cell>
          <cell r="N49">
            <v>112695.80610995274</v>
          </cell>
          <cell r="O49">
            <v>12700344714.772062</v>
          </cell>
          <cell r="P49">
            <v>1291076.264107151</v>
          </cell>
          <cell r="Q49">
            <v>792966.69883196172</v>
          </cell>
          <cell r="R49">
            <v>1291076.7510761213</v>
          </cell>
          <cell r="S49">
            <v>-8.0280701191414575E-2</v>
          </cell>
          <cell r="T49">
            <v>8.0280701191414575E-2</v>
          </cell>
          <cell r="U49">
            <v>1998</v>
          </cell>
          <cell r="V49">
            <v>355162.44428529782</v>
          </cell>
          <cell r="W49">
            <v>1294137.5458287792</v>
          </cell>
          <cell r="X49">
            <v>1403772.0702171037</v>
          </cell>
          <cell r="Y49">
            <v>796027.98055358999</v>
          </cell>
          <cell r="Z49">
            <v>1792247.1111039685</v>
          </cell>
          <cell r="AB49" t="str">
            <v>03</v>
          </cell>
          <cell r="AC49">
            <v>1101064.018344444</v>
          </cell>
        </row>
        <row r="50">
          <cell r="F50">
            <v>46</v>
          </cell>
          <cell r="G50">
            <v>542868.48454047996</v>
          </cell>
          <cell r="H50">
            <v>2.1222747509047943</v>
          </cell>
          <cell r="I50">
            <v>0.34061728236291694</v>
          </cell>
          <cell r="J50">
            <v>1104465.3988791923</v>
          </cell>
          <cell r="K50">
            <v>377010.41683913348</v>
          </cell>
          <cell r="L50">
            <v>0.45768326324868447</v>
          </cell>
          <cell r="M50">
            <v>149797771565.03329</v>
          </cell>
          <cell r="N50">
            <v>-121486.04505454551</v>
          </cell>
          <cell r="O50">
            <v>14758859142.995062</v>
          </cell>
          <cell r="P50">
            <v>1104465.3988791923</v>
          </cell>
          <cell r="Q50">
            <v>606355.83360400307</v>
          </cell>
          <cell r="R50">
            <v>1104465.8858481627</v>
          </cell>
          <cell r="S50">
            <v>0.12358962025179762</v>
          </cell>
          <cell r="T50">
            <v>0.12358962025179762</v>
          </cell>
          <cell r="U50">
            <v>1999</v>
          </cell>
          <cell r="V50">
            <v>264620.26846396091</v>
          </cell>
          <cell r="W50">
            <v>1101986.0731183405</v>
          </cell>
          <cell r="X50">
            <v>982979.35382464679</v>
          </cell>
          <cell r="Y50">
            <v>603876.50784315122</v>
          </cell>
          <cell r="Z50">
            <v>1600095.6383935297</v>
          </cell>
          <cell r="AB50" t="str">
            <v>04</v>
          </cell>
          <cell r="AC50">
            <v>1101064.018344444</v>
          </cell>
        </row>
        <row r="54">
          <cell r="A54">
            <v>2003</v>
          </cell>
          <cell r="B54">
            <v>2008</v>
          </cell>
          <cell r="C54">
            <v>144351.57745141754</v>
          </cell>
          <cell r="D54">
            <v>794395.66023067036</v>
          </cell>
          <cell r="E54">
            <v>48</v>
          </cell>
          <cell r="F54">
            <v>46</v>
          </cell>
          <cell r="G54">
            <v>542902.21515311801</v>
          </cell>
          <cell r="H54">
            <v>2.1169408001935182</v>
          </cell>
          <cell r="I54">
            <v>0.34297813683863404</v>
          </cell>
        </row>
        <row r="55">
          <cell r="A55">
            <v>2004</v>
          </cell>
          <cell r="B55">
            <v>2009</v>
          </cell>
          <cell r="C55">
            <v>103153.19514821201</v>
          </cell>
          <cell r="D55">
            <v>932763.60471029556</v>
          </cell>
          <cell r="E55">
            <v>48</v>
          </cell>
          <cell r="F55">
            <v>46</v>
          </cell>
          <cell r="G55">
            <v>530422.89302391175</v>
          </cell>
          <cell r="H55">
            <v>2.1460193248870079</v>
          </cell>
          <cell r="I55">
            <v>0.34391180506748242</v>
          </cell>
        </row>
        <row r="56">
          <cell r="A56">
            <v>2005</v>
          </cell>
          <cell r="B56">
            <v>2010</v>
          </cell>
          <cell r="C56">
            <v>346870.17457791686</v>
          </cell>
          <cell r="D56">
            <v>714642.19316651835</v>
          </cell>
          <cell r="E56">
            <v>48</v>
          </cell>
          <cell r="F56">
            <v>46</v>
          </cell>
          <cell r="G56">
            <v>541887.68203553709</v>
          </cell>
          <cell r="H56">
            <v>2.1611669154517887</v>
          </cell>
          <cell r="I56">
            <v>0.33340351927878364</v>
          </cell>
        </row>
        <row r="57">
          <cell r="A57">
            <v>2006</v>
          </cell>
          <cell r="B57">
            <v>2011</v>
          </cell>
          <cell r="C57">
            <v>406221.33693756908</v>
          </cell>
          <cell r="D57">
            <v>1818669.0880703053</v>
          </cell>
          <cell r="E57">
            <v>48</v>
          </cell>
          <cell r="F57">
            <v>46</v>
          </cell>
          <cell r="G57">
            <v>544817.06152136624</v>
          </cell>
          <cell r="H57">
            <v>2.0721343135299604</v>
          </cell>
          <cell r="I57">
            <v>0.33914468610295101</v>
          </cell>
        </row>
        <row r="58">
          <cell r="A58">
            <v>2007</v>
          </cell>
          <cell r="B58">
            <v>2012</v>
          </cell>
          <cell r="C58">
            <v>440000.5460294701</v>
          </cell>
          <cell r="D58">
            <v>2058531.7061345642</v>
          </cell>
          <cell r="E58">
            <v>48</v>
          </cell>
          <cell r="F58">
            <v>46</v>
          </cell>
          <cell r="G58">
            <v>551118.81479396357</v>
          </cell>
          <cell r="H58">
            <v>2.0343615976470781</v>
          </cell>
          <cell r="I58">
            <v>0.33590771266513869</v>
          </cell>
        </row>
        <row r="59">
          <cell r="A59">
            <v>2008</v>
          </cell>
          <cell r="B59">
            <v>2013</v>
          </cell>
          <cell r="C59">
            <v>451813.320241376</v>
          </cell>
          <cell r="D59">
            <v>1435497.7006928134</v>
          </cell>
          <cell r="E59">
            <v>48</v>
          </cell>
          <cell r="F59">
            <v>46</v>
          </cell>
          <cell r="G59">
            <v>539056.03188343544</v>
          </cell>
          <cell r="H59">
            <v>2.1325005970869233</v>
          </cell>
          <cell r="I59">
            <v>0.34599491052000098</v>
          </cell>
        </row>
        <row r="60">
          <cell r="A60">
            <v>2009</v>
          </cell>
          <cell r="B60">
            <v>2014</v>
          </cell>
          <cell r="C60">
            <v>654634.45364035713</v>
          </cell>
          <cell r="D60">
            <v>1847422.3857767002</v>
          </cell>
          <cell r="E60">
            <v>48</v>
          </cell>
          <cell r="F60">
            <v>46</v>
          </cell>
          <cell r="G60">
            <v>534264.13142335752</v>
          </cell>
          <cell r="H60">
            <v>2.1528906013679365</v>
          </cell>
          <cell r="I60">
            <v>0.36474087249756432</v>
          </cell>
        </row>
        <row r="61">
          <cell r="A61">
            <v>2010</v>
          </cell>
          <cell r="B61">
            <v>2015</v>
          </cell>
          <cell r="C61">
            <v>716640.98783136881</v>
          </cell>
          <cell r="D61">
            <v>1727384.8137263055</v>
          </cell>
          <cell r="E61">
            <v>48</v>
          </cell>
          <cell r="F61">
            <v>46</v>
          </cell>
          <cell r="G61">
            <v>508691.27482751559</v>
          </cell>
          <cell r="H61">
            <v>2.274003776532302</v>
          </cell>
          <cell r="I61">
            <v>0.37047948356782628</v>
          </cell>
        </row>
        <row r="63">
          <cell r="A63">
            <v>2011</v>
          </cell>
          <cell r="B63">
            <v>2016</v>
          </cell>
          <cell r="C63">
            <v>560939.32840377162</v>
          </cell>
          <cell r="E63">
            <v>49</v>
          </cell>
          <cell r="F63">
            <v>47</v>
          </cell>
          <cell r="G63">
            <v>540400.55970284285</v>
          </cell>
          <cell r="H63">
            <v>2.1222316668157295</v>
          </cell>
          <cell r="I63">
            <v>0.33734654302606853</v>
          </cell>
        </row>
        <row r="65">
          <cell r="E65" t="str">
            <v>d.f. =</v>
          </cell>
          <cell r="F65">
            <v>46</v>
          </cell>
        </row>
        <row r="66">
          <cell r="E66" t="str">
            <v>d.f. =</v>
          </cell>
          <cell r="F66">
            <v>47</v>
          </cell>
        </row>
      </sheetData>
      <sheetData sheetId="24">
        <row r="1">
          <cell r="G1" t="str">
            <v>Model = Predict log returns aged 2.2 (ln(R_x001E_d2.2_x001F_) from log brood year escapement ln(BYE)</v>
          </cell>
        </row>
        <row r="2">
          <cell r="G2" t="str">
            <v>X =</v>
          </cell>
          <cell r="H2" t="str">
            <v>ln (BYE)</v>
          </cell>
        </row>
        <row r="3">
          <cell r="G3" t="str">
            <v>Y=</v>
          </cell>
          <cell r="H3" t="str">
            <v>ln (2.2)</v>
          </cell>
        </row>
        <row r="4">
          <cell r="G4" t="str">
            <v>Return Age</v>
          </cell>
          <cell r="H4">
            <v>5</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46</v>
          </cell>
          <cell r="G13">
            <v>5.0249739727738447</v>
          </cell>
          <cell r="H13">
            <v>0.3808711320743019</v>
          </cell>
          <cell r="I13">
            <v>0.23799952455696791</v>
          </cell>
          <cell r="J13">
            <v>9.9529377708132571</v>
          </cell>
          <cell r="K13">
            <v>0.70860277225614499</v>
          </cell>
          <cell r="L13">
            <v>5.2737144498413664E-2</v>
          </cell>
          <cell r="M13">
            <v>0.51951282833615287</v>
          </cell>
          <cell r="N13">
            <v>-0.76988196123746455</v>
          </cell>
          <cell r="O13">
            <v>0.59271823423884484</v>
          </cell>
          <cell r="P13">
            <v>9.9529377708132571</v>
          </cell>
          <cell r="Q13">
            <v>9.0194989928566702</v>
          </cell>
          <cell r="R13">
            <v>10.886376548769844</v>
          </cell>
          <cell r="S13">
            <v>-11283.022722632282</v>
          </cell>
          <cell r="T13">
            <v>127306601.7594364</v>
          </cell>
          <cell r="U13">
            <v>21013.865711818253</v>
          </cell>
          <cell r="V13">
            <v>8262.6364042326441</v>
          </cell>
          <cell r="W13">
            <v>53443.299517345862</v>
          </cell>
          <cell r="X13">
            <v>1.1595113326945334</v>
          </cell>
          <cell r="Y13">
            <v>1.1595113326945334</v>
          </cell>
          <cell r="Z13">
            <v>12.93866450628777</v>
          </cell>
          <cell r="AA13">
            <v>9.9348340176461001</v>
          </cell>
          <cell r="AB13">
            <v>9.1830558095757926</v>
          </cell>
          <cell r="AC13">
            <v>67</v>
          </cell>
          <cell r="AD13">
            <v>9.0013952396895132</v>
          </cell>
        </row>
        <row r="14">
          <cell r="F14">
            <v>46</v>
          </cell>
          <cell r="G14">
            <v>5.2059536012652634</v>
          </cell>
          <cell r="H14">
            <v>0.36653082523787389</v>
          </cell>
          <cell r="I14">
            <v>0.24472255501888904</v>
          </cell>
          <cell r="J14">
            <v>9.7912180236699129</v>
          </cell>
          <cell r="K14">
            <v>0.71479569850691582</v>
          </cell>
          <cell r="L14">
            <v>4.6498256888999286E-2</v>
          </cell>
          <cell r="M14">
            <v>0.52801958514049663</v>
          </cell>
          <cell r="N14">
            <v>-0.42941111726450387</v>
          </cell>
          <cell r="O14">
            <v>0.18439390763034949</v>
          </cell>
          <cell r="P14">
            <v>9.7912180236699129</v>
          </cell>
          <cell r="Q14">
            <v>8.857779245713326</v>
          </cell>
          <cell r="R14">
            <v>10.7246568016265</v>
          </cell>
          <cell r="S14">
            <v>-6240.6727582407857</v>
          </cell>
          <cell r="T14">
            <v>38945996.475448653</v>
          </cell>
          <cell r="U14">
            <v>17876.066384733083</v>
          </cell>
          <cell r="V14">
            <v>7028.8560372738184</v>
          </cell>
          <cell r="W14">
            <v>45463.123401133831</v>
          </cell>
          <cell r="X14">
            <v>0.53635252562763114</v>
          </cell>
          <cell r="Y14">
            <v>0.53635252562763114</v>
          </cell>
          <cell r="Z14">
            <v>12.509901232533091</v>
          </cell>
          <cell r="AA14">
            <v>9.7653605023706458</v>
          </cell>
          <cell r="AB14">
            <v>9.361806906405409</v>
          </cell>
          <cell r="AC14">
            <v>68</v>
          </cell>
          <cell r="AD14">
            <v>8.8319217244140589</v>
          </cell>
        </row>
        <row r="15">
          <cell r="F15">
            <v>46</v>
          </cell>
          <cell r="G15">
            <v>4.4114957309426623</v>
          </cell>
          <cell r="H15">
            <v>0.42591296163094094</v>
          </cell>
          <cell r="I15">
            <v>0.24790894965461563</v>
          </cell>
          <cell r="J15">
            <v>9.677072373842277</v>
          </cell>
          <cell r="K15">
            <v>0.71554645141458217</v>
          </cell>
          <cell r="L15">
            <v>6.0296266783039856E-2</v>
          </cell>
          <cell r="M15">
            <v>0.5290485382129706</v>
          </cell>
          <cell r="N15">
            <v>0.36742912262311656</v>
          </cell>
          <cell r="O15">
            <v>0.13500416015159322</v>
          </cell>
          <cell r="P15">
            <v>9.677072373842277</v>
          </cell>
          <cell r="Q15">
            <v>8.7436335958856901</v>
          </cell>
          <cell r="R15">
            <v>10.610511151798864</v>
          </cell>
          <cell r="S15">
            <v>7081.0745726241767</v>
          </cell>
          <cell r="T15">
            <v>50141617.103064664</v>
          </cell>
          <cell r="U15">
            <v>15947.739496986389</v>
          </cell>
          <cell r="V15">
            <v>6270.6393359557132</v>
          </cell>
          <cell r="W15">
            <v>40558.925723157859</v>
          </cell>
          <cell r="X15">
            <v>-0.30748759146779298</v>
          </cell>
          <cell r="Y15">
            <v>0.30748759146779298</v>
          </cell>
          <cell r="Z15">
            <v>12.363034509999967</v>
          </cell>
          <cell r="AA15">
            <v>9.7073097753885698</v>
          </cell>
          <cell r="AB15">
            <v>10.044501496465394</v>
          </cell>
          <cell r="AC15">
            <v>69</v>
          </cell>
          <cell r="AD15">
            <v>8.7738709974319828</v>
          </cell>
        </row>
        <row r="16">
          <cell r="F16">
            <v>46</v>
          </cell>
          <cell r="G16">
            <v>4.7084228857528672</v>
          </cell>
          <cell r="H16">
            <v>0.40341533787120015</v>
          </cell>
          <cell r="I16">
            <v>0.24127712080581459</v>
          </cell>
          <cell r="J16">
            <v>9.8845815613877335</v>
          </cell>
          <cell r="K16">
            <v>0.71639508652538053</v>
          </cell>
          <cell r="L16">
            <v>5.7291739636899743E-2</v>
          </cell>
          <cell r="M16">
            <v>0.53040247499507243</v>
          </cell>
          <cell r="N16">
            <v>0.26460384466349041</v>
          </cell>
          <cell r="O16">
            <v>7.0015194610700562E-2</v>
          </cell>
          <cell r="P16">
            <v>9.8845815613877335</v>
          </cell>
          <cell r="Q16">
            <v>8.9511427834311466</v>
          </cell>
          <cell r="R16">
            <v>10.81802033934432</v>
          </cell>
          <cell r="S16">
            <v>5944.8322155692949</v>
          </cell>
          <cell r="T16">
            <v>35341030.071270533</v>
          </cell>
          <cell r="U16">
            <v>19625.432122473441</v>
          </cell>
          <cell r="V16">
            <v>7716.7053472102389</v>
          </cell>
          <cell r="W16">
            <v>49912.179960720612</v>
          </cell>
          <cell r="X16">
            <v>-0.23249005708262221</v>
          </cell>
          <cell r="Y16">
            <v>0.23249005708262221</v>
          </cell>
          <cell r="Z16">
            <v>12.830842533031001</v>
          </cell>
          <cell r="AA16">
            <v>9.8922161677735012</v>
          </cell>
          <cell r="AB16">
            <v>10.149185406051224</v>
          </cell>
          <cell r="AC16">
            <v>70</v>
          </cell>
          <cell r="AD16">
            <v>8.9587773898169143</v>
          </cell>
        </row>
        <row r="17">
          <cell r="F17">
            <v>46</v>
          </cell>
          <cell r="G17">
            <v>4.954797899854996</v>
          </cell>
          <cell r="H17">
            <v>0.38552458449519961</v>
          </cell>
          <cell r="I17">
            <v>0.24109553437662304</v>
          </cell>
          <cell r="J17">
            <v>9.9025468605754803</v>
          </cell>
          <cell r="K17">
            <v>0.71592294479340612</v>
          </cell>
          <cell r="L17">
            <v>5.2659197244191255E-2</v>
          </cell>
          <cell r="M17">
            <v>0.52973553871149326</v>
          </cell>
          <cell r="N17">
            <v>-0.31941843438115214</v>
          </cell>
          <cell r="O17">
            <v>0.10202813622250639</v>
          </cell>
          <cell r="P17">
            <v>9.9025468605754803</v>
          </cell>
          <cell r="Q17">
            <v>8.9691080826188934</v>
          </cell>
          <cell r="R17">
            <v>10.835985638532067</v>
          </cell>
          <cell r="S17">
            <v>-5463.4289140836408</v>
          </cell>
          <cell r="T17">
            <v>29849055.499245152</v>
          </cell>
          <cell r="U17">
            <v>19981.195007026614</v>
          </cell>
          <cell r="V17">
            <v>7856.5910494173604</v>
          </cell>
          <cell r="W17">
            <v>50816.970286169249</v>
          </cell>
          <cell r="X17">
            <v>0.37632710701541</v>
          </cell>
          <cell r="Y17">
            <v>0.37632710701541</v>
          </cell>
          <cell r="Z17">
            <v>12.833809203630931</v>
          </cell>
          <cell r="AA17">
            <v>9.8933887777567033</v>
          </cell>
          <cell r="AB17">
            <v>9.5831284261943281</v>
          </cell>
          <cell r="AC17">
            <v>71</v>
          </cell>
          <cell r="AD17">
            <v>8.9599499998001164</v>
          </cell>
        </row>
        <row r="18">
          <cell r="F18">
            <v>46</v>
          </cell>
          <cell r="G18">
            <v>5.7544216356733955</v>
          </cell>
          <cell r="H18">
            <v>0.32484351276666096</v>
          </cell>
          <cell r="I18">
            <v>0.26073042077093478</v>
          </cell>
          <cell r="J18">
            <v>9.631441710596258</v>
          </cell>
          <cell r="K18">
            <v>0.7138324716682396</v>
          </cell>
          <cell r="L18">
            <v>3.2643281190367794E-2</v>
          </cell>
          <cell r="M18">
            <v>0.52589166373221818</v>
          </cell>
          <cell r="N18">
            <v>-0.53528883346069378</v>
          </cell>
          <cell r="O18">
            <v>0.28653413522771037</v>
          </cell>
          <cell r="P18">
            <v>9.631441710596258</v>
          </cell>
          <cell r="Q18">
            <v>8.6980029326396711</v>
          </cell>
          <cell r="R18">
            <v>10.564880488552845</v>
          </cell>
          <cell r="S18">
            <v>-6315.4799622466326</v>
          </cell>
          <cell r="T18">
            <v>39885287.153538726</v>
          </cell>
          <cell r="U18">
            <v>15236.386740262215</v>
          </cell>
          <cell r="V18">
            <v>5990.9359598817528</v>
          </cell>
          <cell r="W18">
            <v>38749.785084235868</v>
          </cell>
          <cell r="X18">
            <v>0.70794148166757154</v>
          </cell>
          <cell r="Y18">
            <v>0.70794148166757154</v>
          </cell>
          <cell r="Z18">
            <v>11.935039249830341</v>
          </cell>
          <cell r="AA18">
            <v>9.5381398261366197</v>
          </cell>
          <cell r="AB18">
            <v>9.0961528771355642</v>
          </cell>
          <cell r="AC18">
            <v>72</v>
          </cell>
          <cell r="AD18">
            <v>8.6047010481800328</v>
          </cell>
        </row>
        <row r="19">
          <cell r="F19">
            <v>46</v>
          </cell>
          <cell r="G19">
            <v>4.9822301519537895</v>
          </cell>
          <cell r="H19">
            <v>0.38316068861264746</v>
          </cell>
          <cell r="I19">
            <v>0.24838946488349634</v>
          </cell>
          <cell r="J19">
            <v>9.7204223996337973</v>
          </cell>
          <cell r="K19">
            <v>0.71713083016010271</v>
          </cell>
          <cell r="L19">
            <v>4.9185114529372249E-2</v>
          </cell>
          <cell r="M19">
            <v>0.53141917628413804</v>
          </cell>
          <cell r="N19">
            <v>-0.14564866197653892</v>
          </cell>
          <cell r="O19">
            <v>2.1213532735556092E-2</v>
          </cell>
          <cell r="P19">
            <v>9.7204223996337973</v>
          </cell>
          <cell r="Q19">
            <v>8.7869836216772104</v>
          </cell>
          <cell r="R19">
            <v>10.653861177590384</v>
          </cell>
          <cell r="S19">
            <v>-2257.2980579673567</v>
          </cell>
          <cell r="T19">
            <v>5095394.5225032</v>
          </cell>
          <cell r="U19">
            <v>16654.278004844935</v>
          </cell>
          <cell r="V19">
            <v>6548.4497529481941</v>
          </cell>
          <cell r="W19">
            <v>42355.822572783516</v>
          </cell>
          <cell r="X19">
            <v>0.15678969244219307</v>
          </cell>
          <cell r="Y19">
            <v>0.15678969244219307</v>
          </cell>
          <cell r="Z19">
            <v>12.366070916189516</v>
          </cell>
          <cell r="AA19">
            <v>9.7085099491493523</v>
          </cell>
          <cell r="AB19">
            <v>9.5747737376572584</v>
          </cell>
          <cell r="AC19">
            <v>73</v>
          </cell>
          <cell r="AD19">
            <v>8.7750711711927654</v>
          </cell>
        </row>
        <row r="20">
          <cell r="F20">
            <v>46</v>
          </cell>
          <cell r="G20">
            <v>4.8769729578436936</v>
          </cell>
          <cell r="H20">
            <v>0.38993634913020514</v>
          </cell>
          <cell r="I20">
            <v>0.23846742439615737</v>
          </cell>
          <cell r="J20">
            <v>10.014975146483293</v>
          </cell>
          <cell r="K20">
            <v>0.71091495736417898</v>
          </cell>
          <cell r="L20">
            <v>5.4933092030863669E-2</v>
          </cell>
          <cell r="M20">
            <v>0.52275758853978671</v>
          </cell>
          <cell r="N20">
            <v>0.66103687072993367</v>
          </cell>
          <cell r="O20">
            <v>0.43696974446442305</v>
          </cell>
          <cell r="P20">
            <v>10.014975146483293</v>
          </cell>
          <cell r="Q20">
            <v>9.0815363685267059</v>
          </cell>
          <cell r="R20">
            <v>10.94841392443988</v>
          </cell>
          <cell r="S20">
            <v>20945.7104102132</v>
          </cell>
          <cell r="T20">
            <v>438722784.58851361</v>
          </cell>
          <cell r="U20">
            <v>22358.797493966944</v>
          </cell>
          <cell r="V20">
            <v>8791.4625829467041</v>
          </cell>
          <cell r="W20">
            <v>56863.783546771541</v>
          </cell>
          <cell r="X20">
            <v>-0.48368429579109312</v>
          </cell>
          <cell r="Y20">
            <v>0.48368429579109312</v>
          </cell>
          <cell r="Z20">
            <v>13.176515090476855</v>
          </cell>
          <cell r="AA20">
            <v>10.028847141157954</v>
          </cell>
          <cell r="AB20">
            <v>10.676012017213226</v>
          </cell>
          <cell r="AC20">
            <v>74</v>
          </cell>
          <cell r="AD20">
            <v>9.0954083632013667</v>
          </cell>
        </row>
        <row r="21">
          <cell r="F21">
            <v>46</v>
          </cell>
          <cell r="G21">
            <v>4.9548479259627927</v>
          </cell>
          <cell r="H21">
            <v>0.3853668805421358</v>
          </cell>
          <cell r="I21">
            <v>0.24256777188870804</v>
          </cell>
          <cell r="J21">
            <v>9.8513302496857769</v>
          </cell>
          <cell r="K21">
            <v>0.71671657657670163</v>
          </cell>
          <cell r="L21">
            <v>5.2014728417399986E-2</v>
          </cell>
          <cell r="M21">
            <v>0.53084726723672493</v>
          </cell>
          <cell r="N21">
            <v>-0.22060182912066573</v>
          </cell>
          <cell r="O21">
            <v>4.8665167011383403E-2</v>
          </cell>
          <cell r="P21">
            <v>9.8513302496857769</v>
          </cell>
          <cell r="Q21">
            <v>8.9178914717291899</v>
          </cell>
          <cell r="R21">
            <v>10.784769027642364</v>
          </cell>
          <cell r="S21">
            <v>-3758.0682764426492</v>
          </cell>
          <cell r="T21">
            <v>14123077.170404624</v>
          </cell>
          <cell r="U21">
            <v>18983.590929015681</v>
          </cell>
          <cell r="V21">
            <v>7464.3338662305332</v>
          </cell>
          <cell r="W21">
            <v>48279.823895684836</v>
          </cell>
          <cell r="X21">
            <v>0.24682688155914015</v>
          </cell>
          <cell r="Y21">
            <v>0.24682688155914015</v>
          </cell>
          <cell r="Z21">
            <v>12.706027868390226</v>
          </cell>
          <cell r="AA21">
            <v>9.842881765156962</v>
          </cell>
          <cell r="AB21">
            <v>9.6307284205651111</v>
          </cell>
          <cell r="AC21">
            <v>75</v>
          </cell>
          <cell r="AD21">
            <v>8.9094429872003751</v>
          </cell>
        </row>
        <row r="22">
          <cell r="F22">
            <v>46</v>
          </cell>
          <cell r="G22">
            <v>4.6037994098489134</v>
          </cell>
          <cell r="H22">
            <v>0.4132316221821975</v>
          </cell>
          <cell r="I22">
            <v>0.23683467660379293</v>
          </cell>
          <cell r="J22">
            <v>10.091537765428871</v>
          </cell>
          <cell r="K22">
            <v>0.70501047410006701</v>
          </cell>
          <cell r="L22">
            <v>6.2073668357362825E-2</v>
          </cell>
          <cell r="M22">
            <v>0.51452299888266828</v>
          </cell>
          <cell r="N22">
            <v>-0.91226643476897884</v>
          </cell>
          <cell r="O22">
            <v>0.83223004800610356</v>
          </cell>
          <cell r="P22">
            <v>10.091537765428871</v>
          </cell>
          <cell r="Q22">
            <v>9.1580989874722842</v>
          </cell>
          <cell r="R22">
            <v>11.024976543385458</v>
          </cell>
          <cell r="S22">
            <v>-14443.795894289251</v>
          </cell>
          <cell r="T22">
            <v>208623239.83588701</v>
          </cell>
          <cell r="U22">
            <v>24137.882309458226</v>
          </cell>
          <cell r="V22">
            <v>9490.9974122013009</v>
          </cell>
          <cell r="W22">
            <v>61388.422847554233</v>
          </cell>
          <cell r="X22">
            <v>1.4899594738177797</v>
          </cell>
          <cell r="Y22">
            <v>1.4899594738177797</v>
          </cell>
          <cell r="Z22">
            <v>13.280054238347628</v>
          </cell>
          <cell r="AA22">
            <v>10.069772156037667</v>
          </cell>
          <cell r="AB22">
            <v>9.1792713306598923</v>
          </cell>
          <cell r="AC22">
            <v>76</v>
          </cell>
          <cell r="AD22">
            <v>9.1363333780810798</v>
          </cell>
        </row>
        <row r="23">
          <cell r="F23">
            <v>46</v>
          </cell>
          <cell r="G23">
            <v>5.1392663395268681</v>
          </cell>
          <cell r="H23">
            <v>0.37264387275641914</v>
          </cell>
          <cell r="I23">
            <v>0.2351105100483783</v>
          </cell>
          <cell r="J23">
            <v>9.9537792870702546</v>
          </cell>
          <cell r="K23">
            <v>0.69973521273623973</v>
          </cell>
          <cell r="L23">
            <v>5.1783743984437205E-2</v>
          </cell>
          <cell r="M23">
            <v>0.5072377429835081</v>
          </cell>
          <cell r="N23">
            <v>-1.0871625136867973</v>
          </cell>
          <cell r="O23">
            <v>1.1819223311657956</v>
          </cell>
          <cell r="P23">
            <v>9.9537792870702546</v>
          </cell>
          <cell r="Q23">
            <v>9.0203405091136677</v>
          </cell>
          <cell r="R23">
            <v>10.887218065026842</v>
          </cell>
          <cell r="S23">
            <v>-13940.307623148459</v>
          </cell>
          <cell r="T23">
            <v>194332176.62801105</v>
          </cell>
          <cell r="U23">
            <v>21031.556664005057</v>
          </cell>
          <cell r="V23">
            <v>8269.5924735046592</v>
          </cell>
          <cell r="W23">
            <v>53488.291850952271</v>
          </cell>
          <cell r="X23">
            <v>1.9658465727025884</v>
          </cell>
          <cell r="Y23">
            <v>1.9658465727025884</v>
          </cell>
          <cell r="Z23">
            <v>12.919876857039919</v>
          </cell>
          <cell r="AA23">
            <v>9.927407987580807</v>
          </cell>
          <cell r="AB23">
            <v>8.8666167733834573</v>
          </cell>
          <cell r="AC23">
            <v>77</v>
          </cell>
          <cell r="AD23">
            <v>8.9939692096242201</v>
          </cell>
        </row>
        <row r="24">
          <cell r="F24">
            <v>46</v>
          </cell>
          <cell r="G24">
            <v>4.8455159759218018</v>
          </cell>
          <cell r="H24">
            <v>0.39355102230221467</v>
          </cell>
          <cell r="I24">
            <v>0.24073755597621108</v>
          </cell>
          <cell r="J24">
            <v>9.9525282563403206</v>
          </cell>
          <cell r="K24">
            <v>0.71721727617181619</v>
          </cell>
          <cell r="L24">
            <v>5.4907405634335708E-2</v>
          </cell>
          <cell r="M24">
            <v>0.53156761824560339</v>
          </cell>
          <cell r="N24">
            <v>-0.11869422304906507</v>
          </cell>
          <cell r="O24">
            <v>1.4088318585221211E-2</v>
          </cell>
          <cell r="P24">
            <v>9.9525282563403206</v>
          </cell>
          <cell r="Q24">
            <v>9.0190894783837336</v>
          </cell>
          <cell r="R24">
            <v>10.885967034296907</v>
          </cell>
          <cell r="S24">
            <v>-2350.9233435983115</v>
          </cell>
          <cell r="T24">
            <v>5526840.5674754642</v>
          </cell>
          <cell r="U24">
            <v>21005.261991471158</v>
          </cell>
          <cell r="V24">
            <v>8259.2534277766863</v>
          </cell>
          <cell r="W24">
            <v>53421.418193377242</v>
          </cell>
          <cell r="X24">
            <v>0.1260255529812839</v>
          </cell>
          <cell r="Y24">
            <v>0.1260255529812839</v>
          </cell>
          <cell r="Z24">
            <v>12.976747590549403</v>
          </cell>
          <cell r="AA24">
            <v>9.9498867858224234</v>
          </cell>
          <cell r="AB24">
            <v>9.8338340332912555</v>
          </cell>
          <cell r="AC24">
            <v>78</v>
          </cell>
          <cell r="AD24">
            <v>9.0164480078658364</v>
          </cell>
        </row>
        <row r="25">
          <cell r="F25">
            <v>46</v>
          </cell>
          <cell r="G25">
            <v>4.5542723459680596</v>
          </cell>
          <cell r="H25">
            <v>0.4152646441672091</v>
          </cell>
          <cell r="I25">
            <v>0.25103737866537418</v>
          </cell>
          <cell r="J25">
            <v>9.6429561589056494</v>
          </cell>
          <cell r="K25">
            <v>0.71683089842146197</v>
          </cell>
          <cell r="L25">
            <v>5.6146158413061836E-2</v>
          </cell>
          <cell r="M25">
            <v>0.53095043636340045</v>
          </cell>
          <cell r="N25">
            <v>0.20907665802514863</v>
          </cell>
          <cell r="O25">
            <v>4.3713048930964948E-2</v>
          </cell>
          <cell r="P25">
            <v>9.6429561589056494</v>
          </cell>
          <cell r="Q25">
            <v>8.7095173809490625</v>
          </cell>
          <cell r="R25">
            <v>10.576394936862236</v>
          </cell>
          <cell r="S25">
            <v>3584.0936095042925</v>
          </cell>
          <cell r="T25">
            <v>12845727.001689509</v>
          </cell>
          <cell r="U25">
            <v>15412.839254945608</v>
          </cell>
          <cell r="V25">
            <v>6060.316957716027</v>
          </cell>
          <cell r="W25">
            <v>39198.546141441533</v>
          </cell>
          <cell r="X25">
            <v>-0.18866696192896601</v>
          </cell>
          <cell r="Y25">
            <v>0.18866696192896601</v>
          </cell>
          <cell r="Z25">
            <v>12.254074322033052</v>
          </cell>
          <cell r="AA25">
            <v>9.6642420333263317</v>
          </cell>
          <cell r="AB25">
            <v>9.852032816930798</v>
          </cell>
          <cell r="AC25">
            <v>79</v>
          </cell>
          <cell r="AD25">
            <v>8.7308032553697448</v>
          </cell>
        </row>
        <row r="26">
          <cell r="F26">
            <v>46</v>
          </cell>
          <cell r="G26">
            <v>3.5058299245421729</v>
          </cell>
          <cell r="H26">
            <v>0.49428348076828443</v>
          </cell>
          <cell r="I26">
            <v>0.25396939531501267</v>
          </cell>
          <cell r="J26">
            <v>9.4662231261138885</v>
          </cell>
          <cell r="K26">
            <v>0.70817364335634592</v>
          </cell>
          <cell r="L26">
            <v>7.607926446621481E-2</v>
          </cell>
          <cell r="M26">
            <v>0.51710276928623433</v>
          </cell>
          <cell r="N26">
            <v>0.84166565133367044</v>
          </cell>
          <cell r="O26">
            <v>0.70840106863493169</v>
          </cell>
          <cell r="P26">
            <v>9.4662231261138885</v>
          </cell>
          <cell r="Q26">
            <v>8.5327843481573016</v>
          </cell>
          <cell r="R26">
            <v>10.399661904070475</v>
          </cell>
          <cell r="S26">
            <v>17052.087634235697</v>
          </cell>
          <cell r="T26">
            <v>290773692.68565398</v>
          </cell>
          <cell r="U26">
            <v>12916.012841554977</v>
          </cell>
          <cell r="V26">
            <v>5078.5666647783273</v>
          </cell>
          <cell r="W26">
            <v>32848.517846618583</v>
          </cell>
          <cell r="X26">
            <v>-0.56900795724477082</v>
          </cell>
          <cell r="Y26">
            <v>0.56900795724477082</v>
          </cell>
          <cell r="Z26">
            <v>12.058653451875918</v>
          </cell>
          <cell r="AA26">
            <v>9.5869997323855412</v>
          </cell>
          <cell r="AB26">
            <v>10.307888777447559</v>
          </cell>
          <cell r="AC26">
            <v>80</v>
          </cell>
          <cell r="AD26">
            <v>8.6535609544289542</v>
          </cell>
        </row>
        <row r="27">
          <cell r="F27">
            <v>46</v>
          </cell>
          <cell r="G27">
            <v>5.1964590024562449</v>
          </cell>
          <cell r="H27">
            <v>0.3671575358248384</v>
          </cell>
          <cell r="I27">
            <v>0.24661465202862434</v>
          </cell>
          <cell r="J27">
            <v>9.7577245959744037</v>
          </cell>
          <cell r="K27">
            <v>0.7155351624512003</v>
          </cell>
          <cell r="L27">
            <v>4.5969680665494873E-2</v>
          </cell>
          <cell r="M27">
            <v>0.52906104648566477</v>
          </cell>
          <cell r="N27">
            <v>-0.36661118785747782</v>
          </cell>
          <cell r="O27">
            <v>0.13440376306227089</v>
          </cell>
          <cell r="P27">
            <v>9.7577245959744037</v>
          </cell>
          <cell r="Q27">
            <v>8.8242858180178168</v>
          </cell>
          <cell r="R27">
            <v>10.691163373930991</v>
          </cell>
          <cell r="S27">
            <v>-5305.819275326241</v>
          </cell>
          <cell r="T27">
            <v>28151718.182423476</v>
          </cell>
          <cell r="U27">
            <v>17287.251407561413</v>
          </cell>
          <cell r="V27">
            <v>6797.3344251889048</v>
          </cell>
          <cell r="W27">
            <v>43965.625719515599</v>
          </cell>
          <cell r="X27">
            <v>0.44283681756635085</v>
          </cell>
          <cell r="Y27">
            <v>0.44283681756635085</v>
          </cell>
          <cell r="Z27">
            <v>12.423183915512015</v>
          </cell>
          <cell r="AA27">
            <v>9.7310845056834232</v>
          </cell>
          <cell r="AB27">
            <v>9.3911134081169259</v>
          </cell>
          <cell r="AC27">
            <v>81</v>
          </cell>
          <cell r="AD27">
            <v>8.7976457277268363</v>
          </cell>
        </row>
        <row r="28">
          <cell r="F28">
            <v>46</v>
          </cell>
          <cell r="G28">
            <v>4.6786289855238214</v>
          </cell>
          <cell r="H28">
            <v>0.40565006764302702</v>
          </cell>
          <cell r="I28">
            <v>0.24158425198090611</v>
          </cell>
          <cell r="J28">
            <v>9.8651738496102794</v>
          </cell>
          <cell r="K28">
            <v>0.71619563669650299</v>
          </cell>
          <cell r="L28">
            <v>5.7752780337835076E-2</v>
          </cell>
          <cell r="M28">
            <v>0.53011510877947166</v>
          </cell>
          <cell r="N28">
            <v>0.28949744896896945</v>
          </cell>
          <cell r="O28">
            <v>8.3808772959541075E-2</v>
          </cell>
          <cell r="P28">
            <v>9.8651738496102794</v>
          </cell>
          <cell r="Q28">
            <v>8.9317350716536925</v>
          </cell>
          <cell r="R28">
            <v>10.798612627566866</v>
          </cell>
          <cell r="S28">
            <v>6462.705885648309</v>
          </cell>
          <cell r="T28">
            <v>41766567.364393294</v>
          </cell>
          <cell r="U28">
            <v>19248.219647799971</v>
          </cell>
          <cell r="V28">
            <v>7568.3856820848059</v>
          </cell>
          <cell r="W28">
            <v>48952.838184099484</v>
          </cell>
          <cell r="X28">
            <v>-0.25136029728843245</v>
          </cell>
          <cell r="Y28">
            <v>0.25136029728843245</v>
          </cell>
          <cell r="Z28">
            <v>12.785761122196162</v>
          </cell>
          <cell r="AA28">
            <v>9.8743972321616607</v>
          </cell>
          <cell r="AB28">
            <v>10.154671298579249</v>
          </cell>
          <cell r="AC28">
            <v>82</v>
          </cell>
          <cell r="AD28">
            <v>8.9409584542050737</v>
          </cell>
        </row>
        <row r="29">
          <cell r="F29">
            <v>46</v>
          </cell>
          <cell r="G29">
            <v>4.0624188801156551</v>
          </cell>
          <cell r="H29">
            <v>0.45205956061686242</v>
          </cell>
          <cell r="I29">
            <v>0.24626721818498665</v>
          </cell>
          <cell r="J29">
            <v>9.6520257148096604</v>
          </cell>
          <cell r="K29">
            <v>0.71091906749309808</v>
          </cell>
          <cell r="L29">
            <v>6.8252492484773788E-2</v>
          </cell>
          <cell r="M29">
            <v>0.52215854541252016</v>
          </cell>
          <cell r="N29">
            <v>0.68243960507374624</v>
          </cell>
          <cell r="O29">
            <v>0.46572381457321071</v>
          </cell>
          <cell r="P29">
            <v>9.6520257148096604</v>
          </cell>
          <cell r="Q29">
            <v>8.7185869368530735</v>
          </cell>
          <cell r="R29">
            <v>10.585464492766247</v>
          </cell>
          <cell r="S29">
            <v>15221.964087866969</v>
          </cell>
          <cell r="T29">
            <v>231708190.69231167</v>
          </cell>
          <cell r="U29">
            <v>15553.262688734974</v>
          </cell>
          <cell r="V29">
            <v>6115.5313476786905</v>
          </cell>
          <cell r="W29">
            <v>39555.676606353503</v>
          </cell>
          <cell r="X29">
            <v>-0.49461744663535856</v>
          </cell>
          <cell r="Y29">
            <v>0.49461744663535856</v>
          </cell>
          <cell r="Z29">
            <v>12.364757482546439</v>
          </cell>
          <cell r="AA29">
            <v>9.7079907997020953</v>
          </cell>
          <cell r="AB29">
            <v>10.334465319883407</v>
          </cell>
          <cell r="AC29">
            <v>83</v>
          </cell>
          <cell r="AD29">
            <v>8.7745520217455084</v>
          </cell>
        </row>
        <row r="30">
          <cell r="F30">
            <v>46</v>
          </cell>
          <cell r="G30">
            <v>4.8119964132865976</v>
          </cell>
          <cell r="H30">
            <v>0.39640896982271856</v>
          </cell>
          <cell r="I30">
            <v>0.24011223324302017</v>
          </cell>
          <cell r="J30">
            <v>10.019879587903546</v>
          </cell>
          <cell r="K30">
            <v>0.71598521858237152</v>
          </cell>
          <cell r="L30">
            <v>5.5937285322566234E-2</v>
          </cell>
          <cell r="M30">
            <v>0.52984045434573179</v>
          </cell>
          <cell r="N30">
            <v>-0.31143568481959605</v>
          </cell>
          <cell r="O30">
            <v>9.6992185779050763E-2</v>
          </cell>
          <cell r="P30">
            <v>10.019879587903546</v>
          </cell>
          <cell r="Q30">
            <v>9.0864408099469589</v>
          </cell>
          <cell r="R30">
            <v>10.953318365860133</v>
          </cell>
          <cell r="S30">
            <v>-6012.7493996729972</v>
          </cell>
          <cell r="T30">
            <v>36153155.343267992</v>
          </cell>
          <cell r="U30">
            <v>22468.724250829247</v>
          </cell>
          <cell r="V30">
            <v>8834.6857021721626</v>
          </cell>
          <cell r="W30">
            <v>57143.353649318567</v>
          </cell>
          <cell r="X30">
            <v>0.36538396868360079</v>
          </cell>
          <cell r="Y30">
            <v>0.36538396868360079</v>
          </cell>
          <cell r="Z30">
            <v>13.137652200317289</v>
          </cell>
          <cell r="AA30">
            <v>10.013486145913586</v>
          </cell>
          <cell r="AB30">
            <v>9.7084439030839498</v>
          </cell>
          <cell r="AC30">
            <v>84</v>
          </cell>
          <cell r="AD30">
            <v>9.0800473679569986</v>
          </cell>
        </row>
        <row r="31">
          <cell r="F31">
            <v>46</v>
          </cell>
          <cell r="G31">
            <v>4.8479948470253582</v>
          </cell>
          <cell r="H31">
            <v>0.39303359999055404</v>
          </cell>
          <cell r="I31">
            <v>0.24117990941239489</v>
          </cell>
          <cell r="J31">
            <v>10.083193312089907</v>
          </cell>
          <cell r="K31">
            <v>0.71730077554208505</v>
          </cell>
          <cell r="L31">
            <v>5.4581250617608768E-2</v>
          </cell>
          <cell r="M31">
            <v>0.53168441482543627</v>
          </cell>
          <cell r="N31">
            <v>9.2098223398902945E-2</v>
          </cell>
          <cell r="O31">
            <v>8.4820827532342338E-3</v>
          </cell>
          <cell r="P31">
            <v>10.083193312089907</v>
          </cell>
          <cell r="Q31">
            <v>9.1497545341333204</v>
          </cell>
          <cell r="R31">
            <v>11.016632090046494</v>
          </cell>
          <cell r="S31">
            <v>2309.2918385217272</v>
          </cell>
          <cell r="T31">
            <v>5332828.7954630591</v>
          </cell>
          <cell r="U31">
            <v>23937.302903431733</v>
          </cell>
          <cell r="V31">
            <v>9412.12973859464</v>
          </cell>
          <cell r="W31">
            <v>60878.301320164028</v>
          </cell>
          <cell r="X31">
            <v>-8.7984436123078311E-2</v>
          </cell>
          <cell r="Y31">
            <v>8.7984436123078311E-2</v>
          </cell>
          <cell r="Z31">
            <v>13.319976880323642</v>
          </cell>
          <cell r="AA31">
            <v>10.085552030128818</v>
          </cell>
          <cell r="AB31">
            <v>10.17529153548881</v>
          </cell>
          <cell r="AC31">
            <v>85</v>
          </cell>
          <cell r="AD31">
            <v>9.1521132521722315</v>
          </cell>
        </row>
        <row r="32">
          <cell r="F32">
            <v>46</v>
          </cell>
          <cell r="G32">
            <v>4.0435451555682542</v>
          </cell>
          <cell r="H32">
            <v>0.45639777810566984</v>
          </cell>
          <cell r="I32">
            <v>0.23664869378273906</v>
          </cell>
          <cell r="J32">
            <v>10.235132280209404</v>
          </cell>
          <cell r="K32">
            <v>0.69702711353372182</v>
          </cell>
          <cell r="L32">
            <v>7.4808766995923953E-2</v>
          </cell>
          <cell r="M32">
            <v>0.50292712111308213</v>
          </cell>
          <cell r="N32">
            <v>-1.1784872425895117</v>
          </cell>
          <cell r="O32">
            <v>1.3888321809462305</v>
          </cell>
          <cell r="P32">
            <v>10.235132280209404</v>
          </cell>
          <cell r="Q32">
            <v>9.3016935022528173</v>
          </cell>
          <cell r="R32">
            <v>11.168571058165991</v>
          </cell>
          <cell r="S32">
            <v>-19289.823071526516</v>
          </cell>
          <cell r="T32">
            <v>372097274.13079667</v>
          </cell>
          <cell r="U32">
            <v>27865.155492867554</v>
          </cell>
          <cell r="V32">
            <v>10956.558462038867</v>
          </cell>
          <cell r="W32">
            <v>70867.772333064961</v>
          </cell>
          <cell r="X32">
            <v>2.2494548460326529</v>
          </cell>
          <cell r="Y32">
            <v>2.2494548460326529</v>
          </cell>
          <cell r="Z32">
            <v>13.566207860038292</v>
          </cell>
          <cell r="AA32">
            <v>10.182877599402826</v>
          </cell>
          <cell r="AB32">
            <v>9.0566450376198926</v>
          </cell>
          <cell r="AC32">
            <v>86</v>
          </cell>
          <cell r="AD32">
            <v>9.2494388214462386</v>
          </cell>
        </row>
        <row r="33">
          <cell r="F33">
            <v>46</v>
          </cell>
          <cell r="G33">
            <v>4.5843049150445196</v>
          </cell>
          <cell r="H33">
            <v>0.41453959964199338</v>
          </cell>
          <cell r="I33">
            <v>0.23804875335148298</v>
          </cell>
          <cell r="J33">
            <v>10.105971983773447</v>
          </cell>
          <cell r="K33">
            <v>0.7079879160915854</v>
          </cell>
          <cell r="L33">
            <v>6.1846656132044389E-2</v>
          </cell>
          <cell r="M33">
            <v>0.51862960505457734</v>
          </cell>
          <cell r="N33">
            <v>-0.7969397416081474</v>
          </cell>
          <cell r="O33">
            <v>0.6351129517544607</v>
          </cell>
          <cell r="P33">
            <v>10.105971983773447</v>
          </cell>
          <cell r="Q33">
            <v>9.17253320581686</v>
          </cell>
          <cell r="R33">
            <v>11.039410761730034</v>
          </cell>
          <cell r="S33">
            <v>-13451.558876580269</v>
          </cell>
          <cell r="T33">
            <v>180944436.21010545</v>
          </cell>
          <cell r="U33">
            <v>24488.82043883665</v>
          </cell>
          <cell r="V33">
            <v>9628.9860242539944</v>
          </cell>
          <cell r="W33">
            <v>62280.942663643102</v>
          </cell>
          <cell r="X33">
            <v>1.2187406088644261</v>
          </cell>
          <cell r="Y33">
            <v>1.2187406088644261</v>
          </cell>
          <cell r="Z33">
            <v>13.319999038686715</v>
          </cell>
          <cell r="AA33">
            <v>10.085560788471504</v>
          </cell>
          <cell r="AB33">
            <v>9.3090322421652996</v>
          </cell>
          <cell r="AC33">
            <v>87</v>
          </cell>
          <cell r="AD33">
            <v>9.1521220105149172</v>
          </cell>
        </row>
        <row r="34">
          <cell r="F34">
            <v>46</v>
          </cell>
          <cell r="G34">
            <v>4.6546597744369702</v>
          </cell>
          <cell r="H34">
            <v>0.40846879178582757</v>
          </cell>
          <cell r="I34">
            <v>0.24159478170074569</v>
          </cell>
          <cell r="J34">
            <v>10.146240425923597</v>
          </cell>
          <cell r="K34">
            <v>0.71567033428452076</v>
          </cell>
          <cell r="L34">
            <v>5.8506251204168601E-2</v>
          </cell>
          <cell r="M34">
            <v>0.5293666901782309</v>
          </cell>
          <cell r="N34">
            <v>-0.34602437171258238</v>
          </cell>
          <cell r="O34">
            <v>0.11973286581908738</v>
          </cell>
          <cell r="P34">
            <v>10.146240425923597</v>
          </cell>
          <cell r="Q34">
            <v>9.2128016479670105</v>
          </cell>
          <cell r="R34">
            <v>11.079679203880184</v>
          </cell>
          <cell r="S34">
            <v>-7457.4295779196837</v>
          </cell>
          <cell r="T34">
            <v>55613255.909631349</v>
          </cell>
          <cell r="U34">
            <v>25495.071193212934</v>
          </cell>
          <cell r="V34">
            <v>10024.643074171279</v>
          </cell>
          <cell r="W34">
            <v>64840.079625551174</v>
          </cell>
          <cell r="X34">
            <v>0.4134370632797631</v>
          </cell>
          <cell r="Y34">
            <v>0.4134370632797631</v>
          </cell>
          <cell r="Z34">
            <v>13.444308994764105</v>
          </cell>
          <cell r="AA34">
            <v>10.134695699341288</v>
          </cell>
          <cell r="AB34">
            <v>9.800216054211015</v>
          </cell>
          <cell r="AC34">
            <v>88</v>
          </cell>
          <cell r="AD34">
            <v>9.2012569213847009</v>
          </cell>
        </row>
        <row r="35">
          <cell r="F35">
            <v>46</v>
          </cell>
          <cell r="G35">
            <v>4.5400446740535214</v>
          </cell>
          <cell r="H35">
            <v>0.41724687029162727</v>
          </cell>
          <cell r="I35">
            <v>0.24394728923771697</v>
          </cell>
          <cell r="J35">
            <v>10.230517071538037</v>
          </cell>
          <cell r="K35">
            <v>0.71549353141515015</v>
          </cell>
          <cell r="L35">
            <v>5.97942280893324E-2</v>
          </cell>
          <cell r="M35">
            <v>0.52906072177745211</v>
          </cell>
          <cell r="N35">
            <v>-0.36663244408599738</v>
          </cell>
          <cell r="O35">
            <v>0.13441934905647199</v>
          </cell>
          <cell r="P35">
            <v>10.230517071538037</v>
          </cell>
          <cell r="Q35">
            <v>9.2970782935814498</v>
          </cell>
          <cell r="R35">
            <v>11.163955849494624</v>
          </cell>
          <cell r="S35">
            <v>-8513.4278897750155</v>
          </cell>
          <cell r="T35">
            <v>72478454.434399068</v>
          </cell>
          <cell r="U35">
            <v>27736.84829559939</v>
          </cell>
          <cell r="V35">
            <v>10906.108167285305</v>
          </cell>
          <cell r="W35">
            <v>70541.456363034886</v>
          </cell>
          <cell r="X35">
            <v>0.44286748716142055</v>
          </cell>
          <cell r="Y35">
            <v>0.44286748716142055</v>
          </cell>
          <cell r="Z35">
            <v>13.638142794234168</v>
          </cell>
          <cell r="AA35">
            <v>10.21131069270983</v>
          </cell>
          <cell r="AB35">
            <v>9.8638846274520393</v>
          </cell>
          <cell r="AC35">
            <v>89</v>
          </cell>
          <cell r="AD35">
            <v>9.2778719147532431</v>
          </cell>
        </row>
        <row r="36">
          <cell r="F36">
            <v>46</v>
          </cell>
          <cell r="G36">
            <v>5.1996951671606535</v>
          </cell>
          <cell r="H36">
            <v>0.36478021963485163</v>
          </cell>
          <cell r="I36">
            <v>0.23657686200746117</v>
          </cell>
          <cell r="J36">
            <v>10.078836553624285</v>
          </cell>
          <cell r="K36">
            <v>0.7025134869422287</v>
          </cell>
          <cell r="L36">
            <v>4.914447820436102E-2</v>
          </cell>
          <cell r="M36">
            <v>0.51097006111674881</v>
          </cell>
          <cell r="N36">
            <v>1.0013845718654899</v>
          </cell>
          <cell r="O36">
            <v>1.0027710607702305</v>
          </cell>
          <cell r="P36">
            <v>10.078836553624285</v>
          </cell>
          <cell r="Q36">
            <v>9.1453977756676981</v>
          </cell>
          <cell r="R36">
            <v>11.012275331580872</v>
          </cell>
          <cell r="S36">
            <v>41041.986680781796</v>
          </cell>
          <cell r="T36">
            <v>1684444670.7054703</v>
          </cell>
          <cell r="U36">
            <v>23833.240707892037</v>
          </cell>
          <cell r="V36">
            <v>9371.2125605293459</v>
          </cell>
          <cell r="W36">
            <v>60613.646203350712</v>
          </cell>
          <cell r="X36">
            <v>-0.63262956189571773</v>
          </cell>
          <cell r="Y36">
            <v>0.63262956189571773</v>
          </cell>
          <cell r="Z36">
            <v>13.375564583374878</v>
          </cell>
          <cell r="AA36">
            <v>10.107523696124566</v>
          </cell>
          <cell r="AB36">
            <v>11.080221125489775</v>
          </cell>
          <cell r="AC36">
            <v>90</v>
          </cell>
          <cell r="AD36">
            <v>9.1740849181679796</v>
          </cell>
        </row>
        <row r="37">
          <cell r="F37">
            <v>46</v>
          </cell>
          <cell r="G37">
            <v>4.7672782361136798</v>
          </cell>
          <cell r="H37">
            <v>0.40137331521544145</v>
          </cell>
          <cell r="I37">
            <v>0.23193354637395977</v>
          </cell>
          <cell r="J37">
            <v>10.0439057803103</v>
          </cell>
          <cell r="K37">
            <v>0.6915714666756525</v>
          </cell>
          <cell r="L37">
            <v>6.112512225392238E-2</v>
          </cell>
          <cell r="M37">
            <v>0.49621563950530861</v>
          </cell>
          <cell r="N37">
            <v>-1.3080456024616893</v>
          </cell>
          <cell r="O37">
            <v>1.7109832981193638</v>
          </cell>
          <cell r="P37">
            <v>10.0439057803103</v>
          </cell>
          <cell r="Q37">
            <v>9.1104670023537135</v>
          </cell>
          <cell r="R37">
            <v>10.977344558266887</v>
          </cell>
          <cell r="S37">
            <v>58783.113198031977</v>
          </cell>
          <cell r="T37">
            <v>3455454397.2526412</v>
          </cell>
          <cell r="U37">
            <v>23015.099518432096</v>
          </cell>
          <cell r="V37">
            <v>9049.5200519476402</v>
          </cell>
          <cell r="W37">
            <v>58532.916972688763</v>
          </cell>
          <cell r="X37">
            <v>2.6989374490013494</v>
          </cell>
          <cell r="Y37">
            <v>2.6989374490013494</v>
          </cell>
          <cell r="Z37">
            <v>13.146433368058696</v>
          </cell>
          <cell r="AA37">
            <v>10.01695700140997</v>
          </cell>
          <cell r="AB37">
            <v>8.7358601778486111</v>
          </cell>
          <cell r="AC37">
            <v>91</v>
          </cell>
          <cell r="AD37">
            <v>9.0835182234533836</v>
          </cell>
        </row>
        <row r="38">
          <cell r="F38">
            <v>46</v>
          </cell>
          <cell r="G38">
            <v>4.8231240435782814</v>
          </cell>
          <cell r="H38">
            <v>0.39490894492240863</v>
          </cell>
          <cell r="I38">
            <v>0.24053603598832285</v>
          </cell>
          <cell r="J38">
            <v>10.009972633952529</v>
          </cell>
          <cell r="K38">
            <v>0.71725755422018034</v>
          </cell>
          <cell r="L38">
            <v>5.5353505327913943E-2</v>
          </cell>
          <cell r="M38">
            <v>0.53162467193292107</v>
          </cell>
          <cell r="N38">
            <v>0.10653516599681012</v>
          </cell>
          <cell r="O38">
            <v>1.1349741593967887E-2</v>
          </cell>
          <cell r="P38">
            <v>10.009972633952529</v>
          </cell>
          <cell r="Q38">
            <v>9.0765338559959421</v>
          </cell>
          <cell r="R38">
            <v>10.943411411909116</v>
          </cell>
          <cell r="S38">
            <v>2500.9674773838524</v>
          </cell>
          <cell r="T38">
            <v>6254838.3229317497</v>
          </cell>
          <cell r="U38">
            <v>22247.226629327644</v>
          </cell>
          <cell r="V38">
            <v>8747.5930017633655</v>
          </cell>
          <cell r="W38">
            <v>56580.032083899394</v>
          </cell>
          <cell r="X38">
            <v>-0.10105656463659349</v>
          </cell>
          <cell r="Y38">
            <v>0.10105656463659349</v>
          </cell>
          <cell r="Z38">
            <v>13.134289959913048</v>
          </cell>
          <cell r="AA38">
            <v>10.012157182507931</v>
          </cell>
          <cell r="AB38">
            <v>10.116507799949339</v>
          </cell>
          <cell r="AC38">
            <v>92</v>
          </cell>
          <cell r="AD38">
            <v>9.0787184045513438</v>
          </cell>
        </row>
        <row r="39">
          <cell r="F39">
            <v>46</v>
          </cell>
          <cell r="G39">
            <v>4.8213718554567819</v>
          </cell>
          <cell r="H39">
            <v>0.39535931837699118</v>
          </cell>
          <cell r="I39">
            <v>0.2405350539454586</v>
          </cell>
          <cell r="J39">
            <v>10.006069482851192</v>
          </cell>
          <cell r="K39">
            <v>0.7172868951396385</v>
          </cell>
          <cell r="L39">
            <v>5.5473253088651711E-2</v>
          </cell>
          <cell r="M39">
            <v>0.53166587101414675</v>
          </cell>
          <cell r="N39">
            <v>-9.6810049556514954E-2</v>
          </cell>
          <cell r="O39">
            <v>9.3721856951348818E-3</v>
          </cell>
          <cell r="P39">
            <v>10.006069482851192</v>
          </cell>
          <cell r="Q39">
            <v>9.0726307048946051</v>
          </cell>
          <cell r="R39">
            <v>10.939508260807779</v>
          </cell>
          <cell r="S39">
            <v>-2044.7901824819455</v>
          </cell>
          <cell r="T39">
            <v>4181166.8903745483</v>
          </cell>
          <cell r="U39">
            <v>22160.561585613596</v>
          </cell>
          <cell r="V39">
            <v>8713.5163708860982</v>
          </cell>
          <cell r="W39">
            <v>56359.622095922321</v>
          </cell>
          <cell r="X39">
            <v>0.10165109463133042</v>
          </cell>
          <cell r="Y39">
            <v>0.10165109463133042</v>
          </cell>
          <cell r="Z39">
            <v>13.113887510425618</v>
          </cell>
          <cell r="AA39">
            <v>10.004092884452303</v>
          </cell>
          <cell r="AB39">
            <v>9.9092594332946771</v>
          </cell>
          <cell r="AC39">
            <v>93</v>
          </cell>
          <cell r="AD39">
            <v>9.0706541064957165</v>
          </cell>
        </row>
        <row r="40">
          <cell r="F40">
            <v>46</v>
          </cell>
          <cell r="G40">
            <v>4.7137704133889704</v>
          </cell>
          <cell r="H40">
            <v>0.40415348001965073</v>
          </cell>
          <cell r="I40">
            <v>0.23986326974006919</v>
          </cell>
          <cell r="J40">
            <v>10.077946783213768</v>
          </cell>
          <cell r="K40">
            <v>0.71413081526999223</v>
          </cell>
          <cell r="L40">
            <v>5.8129742296614398E-2</v>
          </cell>
          <cell r="M40">
            <v>0.52723128958771392</v>
          </cell>
          <cell r="N40">
            <v>-0.47141499145010712</v>
          </cell>
          <cell r="O40">
            <v>0.22223209416390458</v>
          </cell>
          <cell r="P40">
            <v>10.077946783213768</v>
          </cell>
          <cell r="Q40">
            <v>9.1445080052571814</v>
          </cell>
          <cell r="R40">
            <v>11.011385561170355</v>
          </cell>
          <cell r="S40">
            <v>-8950.5063313677983</v>
          </cell>
          <cell r="T40">
            <v>80111563.587855041</v>
          </cell>
          <cell r="U40">
            <v>23812.044027011594</v>
          </cell>
          <cell r="V40">
            <v>9362.8780413364693</v>
          </cell>
          <cell r="W40">
            <v>60559.737961021463</v>
          </cell>
          <cell r="X40">
            <v>0.60225977383157092</v>
          </cell>
          <cell r="Y40">
            <v>0.60225977383157092</v>
          </cell>
          <cell r="Z40">
            <v>13.272621998860386</v>
          </cell>
          <cell r="AA40">
            <v>10.066834479633524</v>
          </cell>
          <cell r="AB40">
            <v>9.6065317917636612</v>
          </cell>
          <cell r="AC40">
            <v>94</v>
          </cell>
          <cell r="AD40">
            <v>9.1333957016769372</v>
          </cell>
        </row>
        <row r="41">
          <cell r="F41">
            <v>46</v>
          </cell>
          <cell r="G41">
            <v>4.9796909814136745</v>
          </cell>
          <cell r="H41">
            <v>0.38235757480915072</v>
          </cell>
          <cell r="I41">
            <v>0.24011143816558028</v>
          </cell>
          <cell r="J41">
            <v>10.079170694674477</v>
          </cell>
          <cell r="K41">
            <v>0.71381038332989666</v>
          </cell>
          <cell r="L41">
            <v>5.2245822928283121E-2</v>
          </cell>
          <cell r="M41">
            <v>0.52676712541847814</v>
          </cell>
          <cell r="N41">
            <v>0.49448152067314233</v>
          </cell>
          <cell r="O41">
            <v>0.24451197428722329</v>
          </cell>
          <cell r="P41">
            <v>10.079170694674477</v>
          </cell>
          <cell r="Q41">
            <v>9.1457319167178905</v>
          </cell>
          <cell r="R41">
            <v>11.012609472631064</v>
          </cell>
          <cell r="S41">
            <v>15249.977044234041</v>
          </cell>
          <cell r="T41">
            <v>232561799.84966522</v>
          </cell>
          <cell r="U41">
            <v>23841.205702613403</v>
          </cell>
          <cell r="V41">
            <v>9374.3443905432432</v>
          </cell>
          <cell r="W41">
            <v>60633.903094890127</v>
          </cell>
          <cell r="X41">
            <v>-0.39011296084316849</v>
          </cell>
          <cell r="Y41">
            <v>0.39011296084316849</v>
          </cell>
          <cell r="Z41">
            <v>13.336939161741851</v>
          </cell>
          <cell r="AA41">
            <v>10.092256562991118</v>
          </cell>
          <cell r="AB41">
            <v>10.57365221534762</v>
          </cell>
          <cell r="AC41">
            <v>95</v>
          </cell>
          <cell r="AD41">
            <v>9.1588177850345307</v>
          </cell>
        </row>
        <row r="42">
          <cell r="F42">
            <v>46</v>
          </cell>
          <cell r="G42">
            <v>4.9824511786970351</v>
          </cell>
          <cell r="H42">
            <v>0.38160273877674988</v>
          </cell>
          <cell r="I42">
            <v>0.23730014944795907</v>
          </cell>
          <cell r="J42">
            <v>10.038230322531021</v>
          </cell>
          <cell r="K42">
            <v>0.7068017421948759</v>
          </cell>
          <cell r="L42">
            <v>5.3225025806332864E-2</v>
          </cell>
          <cell r="M42">
            <v>0.51702284407197108</v>
          </cell>
          <cell r="N42">
            <v>0.84394163241278974</v>
          </cell>
          <cell r="O42">
            <v>0.71223747891956435</v>
          </cell>
          <cell r="P42">
            <v>10.038230322531021</v>
          </cell>
          <cell r="Q42">
            <v>9.1047915445744341</v>
          </cell>
          <cell r="R42">
            <v>10.971669100487608</v>
          </cell>
          <cell r="S42">
            <v>30334.215630154013</v>
          </cell>
          <cell r="T42">
            <v>920164637.89668</v>
          </cell>
          <cell r="U42">
            <v>22884.84826021249</v>
          </cell>
          <cell r="V42">
            <v>8998.3053538705899</v>
          </cell>
          <cell r="W42">
            <v>58201.656789483794</v>
          </cell>
          <cell r="X42">
            <v>-0.56998777153697711</v>
          </cell>
          <cell r="Y42">
            <v>0.56998777153697711</v>
          </cell>
          <cell r="Z42">
            <v>13.248802039630496</v>
          </cell>
          <cell r="AA42">
            <v>10.057419372343535</v>
          </cell>
          <cell r="AB42">
            <v>10.882171954943811</v>
          </cell>
          <cell r="AC42">
            <v>96</v>
          </cell>
          <cell r="AD42">
            <v>9.1239805943869481</v>
          </cell>
        </row>
        <row r="43">
          <cell r="F43">
            <v>46</v>
          </cell>
          <cell r="G43">
            <v>4.8451901809085856</v>
          </cell>
          <cell r="H43">
            <v>0.39316380473354584</v>
          </cell>
          <cell r="I43">
            <v>0.24070063684070797</v>
          </cell>
          <cell r="J43">
            <v>10.047811740954923</v>
          </cell>
          <cell r="K43">
            <v>0.7171105238951262</v>
          </cell>
          <cell r="L43">
            <v>5.4821221751889623E-2</v>
          </cell>
          <cell r="M43">
            <v>0.53141754450874845</v>
          </cell>
          <cell r="N43">
            <v>0.14591729833797373</v>
          </cell>
          <cell r="O43">
            <v>2.1291857954253233E-2</v>
          </cell>
          <cell r="P43">
            <v>10.047811740954923</v>
          </cell>
          <cell r="Q43">
            <v>9.1143729629983365</v>
          </cell>
          <cell r="R43">
            <v>10.98125051891151</v>
          </cell>
          <cell r="S43">
            <v>3629.8337452643354</v>
          </cell>
          <cell r="T43">
            <v>13175693.018259712</v>
          </cell>
          <cell r="U43">
            <v>23105.171385451751</v>
          </cell>
          <cell r="V43">
            <v>9084.9362432205871</v>
          </cell>
          <cell r="W43">
            <v>58761.991329269935</v>
          </cell>
          <cell r="X43">
            <v>-0.13577082658173822</v>
          </cell>
          <cell r="Y43">
            <v>0.13577082658173822</v>
          </cell>
          <cell r="Z43">
            <v>13.232707328112893</v>
          </cell>
          <cell r="AA43">
            <v>10.051057756260267</v>
          </cell>
          <cell r="AB43">
            <v>10.193729039292897</v>
          </cell>
          <cell r="AC43">
            <v>97</v>
          </cell>
          <cell r="AD43">
            <v>9.1176189783036801</v>
          </cell>
        </row>
        <row r="44">
          <cell r="F44">
            <v>46</v>
          </cell>
          <cell r="G44">
            <v>4.7120941540533918</v>
          </cell>
          <cell r="H44">
            <v>0.40397197820940955</v>
          </cell>
          <cell r="I44">
            <v>0.2413335698763929</v>
          </cell>
          <cell r="J44">
            <v>10.120836683338602</v>
          </cell>
          <cell r="K44">
            <v>0.71633146113117896</v>
          </cell>
          <cell r="L44">
            <v>5.741553971848682E-2</v>
          </cell>
          <cell r="M44">
            <v>0.53031152003054671</v>
          </cell>
          <cell r="N44">
            <v>-0.27272886335688185</v>
          </cell>
          <cell r="O44">
            <v>7.4381032907936726E-2</v>
          </cell>
          <cell r="P44">
            <v>10.120836683338602</v>
          </cell>
          <cell r="Q44">
            <v>9.1873979053820154</v>
          </cell>
          <cell r="R44">
            <v>11.054275461295189</v>
          </cell>
          <cell r="S44">
            <v>-5933.0422698805778</v>
          </cell>
          <cell r="T44">
            <v>35200990.576189682</v>
          </cell>
          <cell r="U44">
            <v>24855.558369120114</v>
          </cell>
          <cell r="V44">
            <v>9773.1871062980681</v>
          </cell>
          <cell r="W44">
            <v>63213.645162140921</v>
          </cell>
          <cell r="X44">
            <v>0.31354404661434093</v>
          </cell>
          <cell r="Y44">
            <v>0.31354404661434093</v>
          </cell>
          <cell r="Z44">
            <v>13.388905223721844</v>
          </cell>
          <cell r="AA44">
            <v>10.112796734544641</v>
          </cell>
          <cell r="AB44">
            <v>9.8481078199817205</v>
          </cell>
          <cell r="AC44">
            <v>98</v>
          </cell>
          <cell r="AD44">
            <v>9.1793579565880545</v>
          </cell>
        </row>
        <row r="45">
          <cell r="F45">
            <v>46</v>
          </cell>
          <cell r="G45">
            <v>4.9376189858854005</v>
          </cell>
          <cell r="H45">
            <v>0.38575135051305881</v>
          </cell>
          <cell r="I45">
            <v>0.24057409589446893</v>
          </cell>
          <cell r="J45">
            <v>10.079437654138204</v>
          </cell>
          <cell r="K45">
            <v>0.71532869207997563</v>
          </cell>
          <cell r="L45">
            <v>5.2934564074715376E-2</v>
          </cell>
          <cell r="M45">
            <v>0.52890429654719806</v>
          </cell>
          <cell r="N45">
            <v>0.37673300905107077</v>
          </cell>
          <cell r="O45">
            <v>0.14192776010867417</v>
          </cell>
          <cell r="P45">
            <v>10.079437654138204</v>
          </cell>
          <cell r="Q45">
            <v>9.1459988761816167</v>
          </cell>
          <cell r="R45">
            <v>11.012876432094791</v>
          </cell>
          <cell r="S45">
            <v>10910.624252349269</v>
          </cell>
          <cell r="T45">
            <v>119041721.57595205</v>
          </cell>
          <cell r="U45">
            <v>23847.571187727801</v>
          </cell>
          <cell r="V45">
            <v>9376.8472945666199</v>
          </cell>
          <cell r="W45">
            <v>60650.092049945197</v>
          </cell>
          <cell r="X45">
            <v>-0.31390076827087077</v>
          </cell>
          <cell r="Y45">
            <v>0.31390076827087077</v>
          </cell>
          <cell r="Z45">
            <v>13.329360121264791</v>
          </cell>
          <cell r="AA45">
            <v>10.08926086184159</v>
          </cell>
          <cell r="AB45">
            <v>10.456170663189274</v>
          </cell>
          <cell r="AC45">
            <v>99</v>
          </cell>
          <cell r="AD45">
            <v>9.1558220838850026</v>
          </cell>
        </row>
        <row r="46">
          <cell r="F46">
            <v>46</v>
          </cell>
          <cell r="G46">
            <v>4.7373393247155997</v>
          </cell>
          <cell r="H46">
            <v>0.40310164403087989</v>
          </cell>
          <cell r="I46">
            <v>0.23611349961651523</v>
          </cell>
          <cell r="J46">
            <v>10.049495671665754</v>
          </cell>
          <cell r="K46">
            <v>0.70388757094440091</v>
          </cell>
          <cell r="L46">
            <v>5.9586583745777542E-2</v>
          </cell>
          <cell r="M46">
            <v>0.51302472440505931</v>
          </cell>
          <cell r="N46">
            <v>-0.9508665642093721</v>
          </cell>
          <cell r="O46">
            <v>0.90414722293133598</v>
          </cell>
          <cell r="P46">
            <v>10.049495671665754</v>
          </cell>
          <cell r="Q46">
            <v>9.1160568937091675</v>
          </cell>
          <cell r="R46">
            <v>10.982934449622341</v>
          </cell>
          <cell r="S46">
            <v>-14201.087299602095</v>
          </cell>
          <cell r="T46">
            <v>201670880.49091992</v>
          </cell>
          <cell r="U46">
            <v>23144.111670295832</v>
          </cell>
          <cell r="V46">
            <v>9100.2475343250571</v>
          </cell>
          <cell r="W46">
            <v>58861.025811299703</v>
          </cell>
          <cell r="X46">
            <v>1.5879513138909713</v>
          </cell>
          <cell r="Y46">
            <v>1.5879513138909713</v>
          </cell>
          <cell r="Z46">
            <v>13.178205610451972</v>
          </cell>
          <cell r="AA46">
            <v>10.029515338226973</v>
          </cell>
          <cell r="AB46">
            <v>9.0986291074563823</v>
          </cell>
          <cell r="AC46" t="str">
            <v>00</v>
          </cell>
          <cell r="AD46">
            <v>9.0960765602703866</v>
          </cell>
        </row>
        <row r="47">
          <cell r="F47">
            <v>46</v>
          </cell>
          <cell r="G47">
            <v>4.2674554243263065</v>
          </cell>
          <cell r="H47">
            <v>0.4394027883226439</v>
          </cell>
          <cell r="I47">
            <v>0.23429038976044028</v>
          </cell>
          <cell r="J47">
            <v>10.165218719430616</v>
          </cell>
          <cell r="K47">
            <v>0.69461797943969239</v>
          </cell>
          <cell r="L47">
            <v>7.1032842783978326E-2</v>
          </cell>
          <cell r="M47">
            <v>0.49998559935930437</v>
          </cell>
          <cell r="N47">
            <v>-1.2369418842967406</v>
          </cell>
          <cell r="O47">
            <v>1.5300252251275712</v>
          </cell>
          <cell r="P47">
            <v>10.165218719430616</v>
          </cell>
          <cell r="Q47">
            <v>9.2317799414740289</v>
          </cell>
          <cell r="R47">
            <v>11.098657497387203</v>
          </cell>
          <cell r="S47">
            <v>-18441.287053691663</v>
          </cell>
          <cell r="T47">
            <v>340081068.19665575</v>
          </cell>
          <cell r="U47">
            <v>25983.544672565473</v>
          </cell>
          <cell r="V47">
            <v>10216.710483773624</v>
          </cell>
          <cell r="W47">
            <v>66082.384816862832</v>
          </cell>
          <cell r="X47">
            <v>2.4450619410750472</v>
          </cell>
          <cell r="Y47">
            <v>2.4450619410750472</v>
          </cell>
          <cell r="Z47">
            <v>13.422225465655695</v>
          </cell>
          <cell r="AA47">
            <v>10.125966935622985</v>
          </cell>
          <cell r="AB47">
            <v>8.9282768351338753</v>
          </cell>
          <cell r="AC47" t="str">
            <v>01</v>
          </cell>
          <cell r="AD47">
            <v>9.1925281576663984</v>
          </cell>
        </row>
        <row r="48">
          <cell r="F48">
            <v>46</v>
          </cell>
          <cell r="G48">
            <v>3.9585196638410318</v>
          </cell>
          <cell r="H48">
            <v>0.46259014657087566</v>
          </cell>
          <cell r="I48">
            <v>0.24100372627885447</v>
          </cell>
          <cell r="J48">
            <v>10.300870957534173</v>
          </cell>
          <cell r="K48">
            <v>0.70339441242587042</v>
          </cell>
          <cell r="L48">
            <v>7.415266909631367E-2</v>
          </cell>
          <cell r="M48">
            <v>0.51150006526948266</v>
          </cell>
          <cell r="N48">
            <v>-0.98860045591685619</v>
          </cell>
          <cell r="O48">
            <v>0.97733086143901593</v>
          </cell>
          <cell r="P48">
            <v>10.300870957534173</v>
          </cell>
          <cell r="Q48">
            <v>9.3674321795775857</v>
          </cell>
          <cell r="R48">
            <v>11.23430973549076</v>
          </cell>
          <cell r="S48">
            <v>-18685.46497015535</v>
          </cell>
          <cell r="T48">
            <v>349146601.15090269</v>
          </cell>
          <cell r="U48">
            <v>29758.525981658826</v>
          </cell>
          <cell r="V48">
            <v>11701.03033322762</v>
          </cell>
          <cell r="W48">
            <v>75683.067506140476</v>
          </cell>
          <cell r="X48">
            <v>1.687470605530266</v>
          </cell>
          <cell r="Y48">
            <v>1.687470605530266</v>
          </cell>
          <cell r="Z48">
            <v>13.710519648350095</v>
          </cell>
          <cell r="AA48">
            <v>10.239918459844809</v>
          </cell>
          <cell r="AB48">
            <v>9.3122705016173164</v>
          </cell>
          <cell r="AC48" t="str">
            <v>02</v>
          </cell>
          <cell r="AD48">
            <v>9.3064796818882218</v>
          </cell>
        </row>
        <row r="49">
          <cell r="F49">
            <v>46</v>
          </cell>
          <cell r="G49">
            <v>4.5949617911151259</v>
          </cell>
          <cell r="H49">
            <v>0.41346591731084592</v>
          </cell>
          <cell r="I49">
            <v>0.23952469221000702</v>
          </cell>
          <cell r="J49">
            <v>10.119685017449811</v>
          </cell>
          <cell r="K49">
            <v>0.71156217843699399</v>
          </cell>
          <cell r="L49">
            <v>6.0836237318798274E-2</v>
          </cell>
          <cell r="M49">
            <v>0.5236009512943296</v>
          </cell>
          <cell r="N49">
            <v>-0.62967319479739814</v>
          </cell>
          <cell r="O49">
            <v>0.3964883322463621</v>
          </cell>
          <cell r="P49">
            <v>10.119685017449811</v>
          </cell>
          <cell r="Q49">
            <v>9.1862462394932241</v>
          </cell>
          <cell r="R49">
            <v>11.053123795406398</v>
          </cell>
          <cell r="S49">
            <v>-11599.997844094505</v>
          </cell>
          <cell r="T49">
            <v>134559949.98299718</v>
          </cell>
          <cell r="U49">
            <v>24826.949547463617</v>
          </cell>
          <cell r="V49">
            <v>9761.9381388523398</v>
          </cell>
          <cell r="W49">
            <v>63140.886068426596</v>
          </cell>
          <cell r="X49">
            <v>0.87699706661360255</v>
          </cell>
          <cell r="Y49">
            <v>0.87699706661360255</v>
          </cell>
          <cell r="Z49">
            <v>13.361979778810085</v>
          </cell>
          <cell r="AA49">
            <v>10.10215414904614</v>
          </cell>
          <cell r="AB49">
            <v>9.4900118226524128</v>
          </cell>
          <cell r="AC49" t="str">
            <v>03</v>
          </cell>
          <cell r="AD49">
            <v>9.1687153710895526</v>
          </cell>
        </row>
        <row r="50">
          <cell r="F50">
            <v>46</v>
          </cell>
          <cell r="G50">
            <v>5.2473549889839211</v>
          </cell>
          <cell r="H50">
            <v>0.36099680721917216</v>
          </cell>
          <cell r="I50">
            <v>0.23563423972244268</v>
          </cell>
          <cell r="J50">
            <v>10.078580265762152</v>
          </cell>
          <cell r="K50">
            <v>0.6995487708463648</v>
          </cell>
          <cell r="L50">
            <v>4.8546684905679469E-2</v>
          </cell>
          <cell r="M50">
            <v>0.50685722347211726</v>
          </cell>
          <cell r="N50">
            <v>1.0955305873012193</v>
          </cell>
          <cell r="O50">
            <v>1.2001872677125545</v>
          </cell>
          <cell r="P50">
            <v>10.078580265762152</v>
          </cell>
          <cell r="Q50">
            <v>9.1451414878055655</v>
          </cell>
          <cell r="R50">
            <v>11.012019043718739</v>
          </cell>
          <cell r="S50">
            <v>47434.32138937329</v>
          </cell>
          <cell r="T50">
            <v>2250014845.6703563</v>
          </cell>
          <cell r="U50">
            <v>23827.13332024141</v>
          </cell>
          <cell r="V50">
            <v>9368.8111402371978</v>
          </cell>
          <cell r="W50">
            <v>60598.113652036402</v>
          </cell>
          <cell r="X50">
            <v>-0.66563784843664409</v>
          </cell>
          <cell r="Y50">
            <v>0.66563784843664409</v>
          </cell>
          <cell r="Z50">
            <v>13.383013866505049</v>
          </cell>
          <cell r="AA50">
            <v>10.110468109220625</v>
          </cell>
          <cell r="AB50">
            <v>11.174110853063372</v>
          </cell>
          <cell r="AC50" t="str">
            <v>04</v>
          </cell>
          <cell r="AD50">
            <v>9.1770293312640376</v>
          </cell>
        </row>
        <row r="54">
          <cell r="A54">
            <v>2003</v>
          </cell>
          <cell r="B54">
            <v>2008</v>
          </cell>
          <cell r="C54">
            <v>13.390195741451633</v>
          </cell>
          <cell r="D54">
            <v>9.6282640588710375</v>
          </cell>
          <cell r="E54">
            <v>48</v>
          </cell>
          <cell r="F54">
            <v>46</v>
          </cell>
          <cell r="G54">
            <v>4.6207279091989744</v>
          </cell>
          <cell r="H54">
            <v>0.41129754863796125</v>
          </cell>
          <cell r="I54">
            <v>0.24047191633748852</v>
          </cell>
        </row>
        <row r="55">
          <cell r="A55">
            <v>2004</v>
          </cell>
          <cell r="B55">
            <v>2009</v>
          </cell>
          <cell r="C55">
            <v>13.281544241756642</v>
          </cell>
          <cell r="D55">
            <v>10.525589407448582</v>
          </cell>
          <cell r="E55">
            <v>48</v>
          </cell>
          <cell r="F55">
            <v>46</v>
          </cell>
          <cell r="G55">
            <v>4.93258279871994</v>
          </cell>
          <cell r="H55">
            <v>0.38599603737827243</v>
          </cell>
          <cell r="I55">
            <v>0.2399296667278483</v>
          </cell>
        </row>
        <row r="56">
          <cell r="A56">
            <v>2005</v>
          </cell>
          <cell r="B56">
            <v>2010</v>
          </cell>
          <cell r="C56">
            <v>13.35823565456889</v>
          </cell>
          <cell r="D56">
            <v>9.9651077515502529</v>
          </cell>
          <cell r="E56">
            <v>48</v>
          </cell>
          <cell r="F56">
            <v>46</v>
          </cell>
          <cell r="G56">
            <v>4.7714730518879431</v>
          </cell>
          <cell r="H56">
            <v>0.39923332196054595</v>
          </cell>
          <cell r="I56">
            <v>0.24137547109494178</v>
          </cell>
        </row>
        <row r="57">
          <cell r="A57">
            <v>2006</v>
          </cell>
          <cell r="B57">
            <v>2011</v>
          </cell>
          <cell r="C57">
            <v>13.563312739609227</v>
          </cell>
          <cell r="D57">
            <v>10.776871376866783</v>
          </cell>
          <cell r="E57">
            <v>48</v>
          </cell>
          <cell r="F57">
            <v>46</v>
          </cell>
          <cell r="G57">
            <v>5.2285603689251259</v>
          </cell>
          <cell r="H57">
            <v>0.36316753737740615</v>
          </cell>
          <cell r="I57">
            <v>0.24162314820649447</v>
          </cell>
        </row>
        <row r="58">
          <cell r="A58">
            <v>2007</v>
          </cell>
          <cell r="B58">
            <v>2012</v>
          </cell>
          <cell r="C58">
            <v>13.57589711960042</v>
          </cell>
          <cell r="D58">
            <v>11.552581640761089</v>
          </cell>
          <cell r="E58">
            <v>48</v>
          </cell>
          <cell r="F58">
            <v>46</v>
          </cell>
          <cell r="G58">
            <v>5.7846098502710648</v>
          </cell>
          <cell r="H58">
            <v>0.31947819600554234</v>
          </cell>
          <cell r="I58">
            <v>0.23342959154755905</v>
          </cell>
        </row>
        <row r="59">
          <cell r="A59">
            <v>2008</v>
          </cell>
          <cell r="B59">
            <v>2013</v>
          </cell>
          <cell r="C59">
            <v>13.329767714565747</v>
          </cell>
          <cell r="D59">
            <v>11.337236484769031</v>
          </cell>
          <cell r="E59">
            <v>48</v>
          </cell>
          <cell r="F59">
            <v>46</v>
          </cell>
          <cell r="G59">
            <v>5.219150334610398</v>
          </cell>
          <cell r="H59">
            <v>0.36285981387069155</v>
          </cell>
          <cell r="I59">
            <v>0.23299321337810508</v>
          </cell>
        </row>
        <row r="60">
          <cell r="A60">
            <v>2009</v>
          </cell>
          <cell r="B60">
            <v>2014</v>
          </cell>
          <cell r="C60">
            <v>13.313527390859335</v>
          </cell>
          <cell r="D60">
            <v>11.331931048113848</v>
          </cell>
          <cell r="E60">
            <v>48</v>
          </cell>
          <cell r="F60">
            <v>46</v>
          </cell>
          <cell r="G60">
            <v>5.1885156236793746</v>
          </cell>
          <cell r="H60">
            <v>0.36519731176436282</v>
          </cell>
          <cell r="I60">
            <v>0.2328903662934442</v>
          </cell>
        </row>
        <row r="61">
          <cell r="A61">
            <v>2010</v>
          </cell>
          <cell r="B61">
            <v>2015</v>
          </cell>
          <cell r="C61">
            <v>13.412401172960333</v>
          </cell>
          <cell r="D61">
            <v>10.999594742931396</v>
          </cell>
          <cell r="E61">
            <v>48</v>
          </cell>
          <cell r="F61">
            <v>46</v>
          </cell>
          <cell r="G61">
            <v>5.2126124459300831</v>
          </cell>
          <cell r="H61">
            <v>0.36394366269083378</v>
          </cell>
          <cell r="I61">
            <v>0.23780287709970438</v>
          </cell>
        </row>
        <row r="63">
          <cell r="A63">
            <v>2011</v>
          </cell>
          <cell r="B63">
            <v>2016</v>
          </cell>
          <cell r="C63">
            <v>13.540807887460547</v>
          </cell>
          <cell r="E63">
            <v>49</v>
          </cell>
          <cell r="F63">
            <v>47</v>
          </cell>
          <cell r="G63">
            <v>4.8206810780802973</v>
          </cell>
          <cell r="H63">
            <v>0.39526126804512873</v>
          </cell>
          <cell r="I63">
            <v>0.23800745469140297</v>
          </cell>
        </row>
        <row r="65">
          <cell r="E65" t="str">
            <v>d.f. =</v>
          </cell>
          <cell r="F65">
            <v>46</v>
          </cell>
        </row>
        <row r="66">
          <cell r="E66" t="str">
            <v>d.f. =</v>
          </cell>
          <cell r="F66">
            <v>47</v>
          </cell>
        </row>
      </sheetData>
      <sheetData sheetId="25">
        <row r="1">
          <cell r="G1" t="str">
            <v>Model = Predict log returns aged 2.2 (ln(R_x001E_d2.2_x001F_)) from log returns aged 1.2 (ln(R_x001E_d1.2_x001F_)).</v>
          </cell>
        </row>
        <row r="2">
          <cell r="G2" t="str">
            <v>X =</v>
          </cell>
          <cell r="H2" t="str">
            <v>ln (1.2)</v>
          </cell>
        </row>
        <row r="3">
          <cell r="G3" t="str">
            <v>Y=</v>
          </cell>
          <cell r="H3" t="str">
            <v>ln (2.2)</v>
          </cell>
        </row>
        <row r="4">
          <cell r="G4" t="str">
            <v>Return Age</v>
          </cell>
          <cell r="H4">
            <v>5</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46</v>
          </cell>
          <cell r="G13">
            <v>4.5782203735701943</v>
          </cell>
          <cell r="H13">
            <v>0.44261533591563751</v>
          </cell>
          <cell r="I13">
            <v>0.13585702888674431</v>
          </cell>
          <cell r="J13">
            <v>9.6845222350429658</v>
          </cell>
          <cell r="K13">
            <v>0.65627171712501642</v>
          </cell>
          <cell r="L13">
            <v>0.18748349813030749</v>
          </cell>
          <cell r="M13">
            <v>0.45052092556063017</v>
          </cell>
          <cell r="N13">
            <v>-0.50146642546717324</v>
          </cell>
          <cell r="O13">
            <v>0.251468575870824</v>
          </cell>
          <cell r="P13">
            <v>9.6845222350429658</v>
          </cell>
          <cell r="Q13">
            <v>8.8109514716915331</v>
          </cell>
          <cell r="R13">
            <v>10.558092998394399</v>
          </cell>
          <cell r="S13">
            <v>-6336.1486077692934</v>
          </cell>
          <cell r="T13">
            <v>40146779.179736756</v>
          </cell>
          <cell r="U13">
            <v>16066.991596955264</v>
          </cell>
          <cell r="V13">
            <v>6707.2980361358323</v>
          </cell>
          <cell r="W13">
            <v>38487.661884986679</v>
          </cell>
          <cell r="X13">
            <v>0.65114077113470525</v>
          </cell>
          <cell r="Y13">
            <v>0.65114077113470525</v>
          </cell>
          <cell r="Z13">
            <v>11.536658238263195</v>
          </cell>
          <cell r="AA13">
            <v>9.6628838560078041</v>
          </cell>
          <cell r="AB13">
            <v>9.1830558095757926</v>
          </cell>
          <cell r="AC13">
            <v>67</v>
          </cell>
          <cell r="AD13">
            <v>8.7893130926563714</v>
          </cell>
        </row>
        <row r="14">
          <cell r="F14">
            <v>46</v>
          </cell>
          <cell r="G14">
            <v>4.5020765909526546</v>
          </cell>
          <cell r="H14">
            <v>0.44847177629857177</v>
          </cell>
          <cell r="I14">
            <v>0.13662003325839969</v>
          </cell>
          <cell r="J14">
            <v>9.6543695343581781</v>
          </cell>
          <cell r="K14">
            <v>0.65889958561720607</v>
          </cell>
          <cell r="L14">
            <v>0.18979279777056898</v>
          </cell>
          <cell r="M14">
            <v>0.45397666898971756</v>
          </cell>
          <cell r="N14">
            <v>-0.29256262795276911</v>
          </cell>
          <cell r="O14">
            <v>8.5592891274630392E-2</v>
          </cell>
          <cell r="P14">
            <v>9.6543695343581781</v>
          </cell>
          <cell r="Q14">
            <v>8.7807987710067454</v>
          </cell>
          <cell r="R14">
            <v>10.527940297709611</v>
          </cell>
          <cell r="S14">
            <v>-3954.3658576190992</v>
          </cell>
          <cell r="T14">
            <v>15637009.335903633</v>
          </cell>
          <cell r="U14">
            <v>15589.759484111397</v>
          </cell>
          <cell r="V14">
            <v>6508.0735581778545</v>
          </cell>
          <cell r="W14">
            <v>37344.476610446967</v>
          </cell>
          <cell r="X14">
            <v>0.33985664641508267</v>
          </cell>
          <cell r="Y14">
            <v>0.33985664641508267</v>
          </cell>
          <cell r="Z14">
            <v>11.488555614200711</v>
          </cell>
          <cell r="AA14">
            <v>9.6408486396310238</v>
          </cell>
          <cell r="AB14">
            <v>9.361806906405409</v>
          </cell>
          <cell r="AC14">
            <v>68</v>
          </cell>
          <cell r="AD14">
            <v>8.7672778762795911</v>
          </cell>
        </row>
        <row r="15">
          <cell r="F15">
            <v>46</v>
          </cell>
          <cell r="G15">
            <v>4.3645512647241089</v>
          </cell>
          <cell r="H15">
            <v>0.45935440316185133</v>
          </cell>
          <cell r="I15">
            <v>0.1353232435925413</v>
          </cell>
          <cell r="J15">
            <v>10.143280442653651</v>
          </cell>
          <cell r="K15">
            <v>0.66008820075687613</v>
          </cell>
          <cell r="L15">
            <v>0.20031448961922821</v>
          </cell>
          <cell r="M15">
            <v>0.45555657755356266</v>
          </cell>
          <cell r="N15">
            <v>-9.8778946188257777E-2</v>
          </cell>
          <cell r="O15">
            <v>9.757280210062726E-3</v>
          </cell>
          <cell r="P15">
            <v>10.143280442653651</v>
          </cell>
          <cell r="Q15">
            <v>9.2697096793022187</v>
          </cell>
          <cell r="R15">
            <v>11.016851206005084</v>
          </cell>
          <cell r="S15">
            <v>-2390.9037168334617</v>
          </cell>
          <cell r="T15">
            <v>5716420.5831680615</v>
          </cell>
          <cell r="U15">
            <v>25419.717786444027</v>
          </cell>
          <cell r="V15">
            <v>10611.67065155202</v>
          </cell>
          <cell r="W15">
            <v>60891.642189060381</v>
          </cell>
          <cell r="X15">
            <v>0.10382226846794346</v>
          </cell>
          <cell r="Y15">
            <v>0.10382226846794346</v>
          </cell>
          <cell r="Z15">
            <v>12.580110559849002</v>
          </cell>
          <cell r="AA15">
            <v>10.140876442340129</v>
          </cell>
          <cell r="AB15">
            <v>10.044501496465394</v>
          </cell>
          <cell r="AC15">
            <v>69</v>
          </cell>
          <cell r="AD15">
            <v>9.2673056789886967</v>
          </cell>
        </row>
        <row r="16">
          <cell r="F16">
            <v>46</v>
          </cell>
          <cell r="G16">
            <v>4.3422870466866925</v>
          </cell>
          <cell r="H16">
            <v>0.46121434379108117</v>
          </cell>
          <cell r="I16">
            <v>0.13605021538042167</v>
          </cell>
          <cell r="J16">
            <v>10.275610831450816</v>
          </cell>
          <cell r="K16">
            <v>0.65999097621317648</v>
          </cell>
          <cell r="L16">
            <v>0.19989292484057386</v>
          </cell>
          <cell r="M16">
            <v>0.45542686697070006</v>
          </cell>
          <cell r="N16">
            <v>-0.12642542539959223</v>
          </cell>
          <cell r="O16">
            <v>1.5983388187467858E-2</v>
          </cell>
          <cell r="P16">
            <v>10.275610831450816</v>
          </cell>
          <cell r="Q16">
            <v>9.4020400680993834</v>
          </cell>
          <cell r="R16">
            <v>11.149181594802249</v>
          </cell>
          <cell r="S16">
            <v>-3445.9721574831055</v>
          </cell>
          <cell r="T16">
            <v>11874724.110148769</v>
          </cell>
          <cell r="U16">
            <v>29016.236495525842</v>
          </cell>
          <cell r="V16">
            <v>12113.067022414727</v>
          </cell>
          <cell r="W16">
            <v>69506.91999031353</v>
          </cell>
          <cell r="X16">
            <v>0.13476482338730786</v>
          </cell>
          <cell r="Y16">
            <v>0.13476482338730786</v>
          </cell>
          <cell r="Z16">
            <v>12.864569076480791</v>
          </cell>
          <cell r="AA16">
            <v>10.271183366055094</v>
          </cell>
          <cell r="AB16">
            <v>10.149185406051224</v>
          </cell>
          <cell r="AC16">
            <v>70</v>
          </cell>
          <cell r="AD16">
            <v>9.3976126027036617</v>
          </cell>
        </row>
        <row r="17">
          <cell r="F17">
            <v>46</v>
          </cell>
          <cell r="G17">
            <v>4.2854891965538489</v>
          </cell>
          <cell r="H17">
            <v>0.46661344231159074</v>
          </cell>
          <cell r="I17">
            <v>0.13427626564838566</v>
          </cell>
          <cell r="J17">
            <v>10.173549234806803</v>
          </cell>
          <cell r="K17">
            <v>0.65462783522637669</v>
          </cell>
          <cell r="L17">
            <v>0.207931729973028</v>
          </cell>
          <cell r="M17">
            <v>0.44849742232371809</v>
          </cell>
          <cell r="N17">
            <v>-0.5904208086124747</v>
          </cell>
          <cell r="O17">
            <v>0.34859673124260848</v>
          </cell>
          <cell r="P17">
            <v>10.173549234806803</v>
          </cell>
          <cell r="Q17">
            <v>9.2999784714553702</v>
          </cell>
          <cell r="R17">
            <v>11.047119998158236</v>
          </cell>
          <cell r="S17">
            <v>-11683.13900319974</v>
          </cell>
          <cell r="T17">
            <v>136495736.96808702</v>
          </cell>
          <cell r="U17">
            <v>26200.905096142713</v>
          </cell>
          <cell r="V17">
            <v>10937.783731065247</v>
          </cell>
          <cell r="W17">
            <v>62762.936691400377</v>
          </cell>
          <cell r="X17">
            <v>0.80474770900730153</v>
          </cell>
          <cell r="Y17">
            <v>0.80474770900730153</v>
          </cell>
          <cell r="Z17">
            <v>12.618710702125638</v>
          </cell>
          <cell r="AA17">
            <v>10.158558689490208</v>
          </cell>
          <cell r="AB17">
            <v>9.5831284261943281</v>
          </cell>
          <cell r="AC17">
            <v>71</v>
          </cell>
          <cell r="AD17">
            <v>9.2849879261387755</v>
          </cell>
        </row>
        <row r="18">
          <cell r="F18">
            <v>46</v>
          </cell>
          <cell r="G18">
            <v>4.6204149547948523</v>
          </cell>
          <cell r="H18">
            <v>0.43929127100120569</v>
          </cell>
          <cell r="I18">
            <v>0.13585081556499956</v>
          </cell>
          <cell r="J18">
            <v>9.6660166981438991</v>
          </cell>
          <cell r="K18">
            <v>0.65512691379746146</v>
          </cell>
          <cell r="L18">
            <v>0.18521141565406349</v>
          </cell>
          <cell r="M18">
            <v>0.44899433808930955</v>
          </cell>
          <cell r="N18">
            <v>-0.56986382100833488</v>
          </cell>
          <cell r="O18">
            <v>0.32474477449421951</v>
          </cell>
          <cell r="P18">
            <v>9.6660166981438991</v>
          </cell>
          <cell r="Q18">
            <v>8.7924459347924664</v>
          </cell>
          <cell r="R18">
            <v>10.539587461495332</v>
          </cell>
          <cell r="S18">
            <v>-6851.4907310183626</v>
          </cell>
          <cell r="T18">
            <v>46942925.237230539</v>
          </cell>
          <cell r="U18">
            <v>15772.397509033945</v>
          </cell>
          <cell r="V18">
            <v>6584.3173066415602</v>
          </cell>
          <cell r="W18">
            <v>37781.976717927748</v>
          </cell>
          <cell r="X18">
            <v>0.7680262670049387</v>
          </cell>
          <cell r="Y18">
            <v>0.7680262670049387</v>
          </cell>
          <cell r="Z18">
            <v>11.485777379207695</v>
          </cell>
          <cell r="AA18">
            <v>9.6395759645865766</v>
          </cell>
          <cell r="AB18">
            <v>9.0961528771355642</v>
          </cell>
          <cell r="AC18">
            <v>72</v>
          </cell>
          <cell r="AD18">
            <v>8.7660052012351439</v>
          </cell>
        </row>
        <row r="19">
          <cell r="F19">
            <v>46</v>
          </cell>
          <cell r="G19">
            <v>4.433935933505655</v>
          </cell>
          <cell r="H19">
            <v>0.45396446936043472</v>
          </cell>
          <cell r="I19">
            <v>0.13529195565504609</v>
          </cell>
          <cell r="J19">
            <v>9.8318231990197305</v>
          </cell>
          <cell r="K19">
            <v>0.65918519998900471</v>
          </cell>
          <cell r="L19">
            <v>0.19663282840802335</v>
          </cell>
          <cell r="M19">
            <v>0.45438330369154878</v>
          </cell>
          <cell r="N19">
            <v>-0.25704946136247209</v>
          </cell>
          <cell r="O19">
            <v>6.6074425586737026E-2</v>
          </cell>
          <cell r="P19">
            <v>9.8318231990197305</v>
          </cell>
          <cell r="Q19">
            <v>8.9582524356682978</v>
          </cell>
          <cell r="R19">
            <v>10.705393962371163</v>
          </cell>
          <cell r="S19">
            <v>-4219.885606247808</v>
          </cell>
          <cell r="T19">
            <v>17807434.529817428</v>
          </cell>
          <cell r="U19">
            <v>18616.865553125386</v>
          </cell>
          <cell r="V19">
            <v>7771.7639304140612</v>
          </cell>
          <cell r="W19">
            <v>44595.755368586098</v>
          </cell>
          <cell r="X19">
            <v>0.29310908411475689</v>
          </cell>
          <cell r="Y19">
            <v>0.29310908411475689</v>
          </cell>
          <cell r="Z19">
            <v>11.890550097717687</v>
          </cell>
          <cell r="AA19">
            <v>9.8249973342025037</v>
          </cell>
          <cell r="AB19">
            <v>9.5747737376572584</v>
          </cell>
          <cell r="AC19">
            <v>73</v>
          </cell>
          <cell r="AD19">
            <v>8.951426570851071</v>
          </cell>
        </row>
        <row r="20">
          <cell r="F20">
            <v>46</v>
          </cell>
          <cell r="G20">
            <v>3.9488483230537135</v>
          </cell>
          <cell r="H20">
            <v>0.49129097568984054</v>
          </cell>
          <cell r="I20">
            <v>0.1329791939370866</v>
          </cell>
          <cell r="J20">
            <v>9.6124285528029922</v>
          </cell>
          <cell r="K20">
            <v>0.64218866574678368</v>
          </cell>
          <cell r="L20">
            <v>0.22882573986430552</v>
          </cell>
          <cell r="M20">
            <v>0.43219298368779585</v>
          </cell>
          <cell r="N20">
            <v>1.0635834644102342</v>
          </cell>
          <cell r="O20">
            <v>1.1312097857668759</v>
          </cell>
          <cell r="P20">
            <v>9.6124285528029922</v>
          </cell>
          <cell r="Q20">
            <v>8.7388577894515596</v>
          </cell>
          <cell r="R20">
            <v>10.485999316154425</v>
          </cell>
          <cell r="S20">
            <v>28355.076382308405</v>
          </cell>
          <cell r="T20">
            <v>804010356.64654398</v>
          </cell>
          <cell r="U20">
            <v>14949.431521871737</v>
          </cell>
          <cell r="V20">
            <v>6240.7633739597441</v>
          </cell>
          <cell r="W20">
            <v>35810.603516814874</v>
          </cell>
          <cell r="X20">
            <v>-0.65478347993353636</v>
          </cell>
          <cell r="Y20">
            <v>0.65478347993353636</v>
          </cell>
          <cell r="Z20">
            <v>11.527954939121013</v>
          </cell>
          <cell r="AA20">
            <v>9.6588969824530331</v>
          </cell>
          <cell r="AB20">
            <v>10.676012017213226</v>
          </cell>
          <cell r="AC20">
            <v>74</v>
          </cell>
          <cell r="AD20">
            <v>8.7853262191016004</v>
          </cell>
        </row>
        <row r="21">
          <cell r="F21">
            <v>46</v>
          </cell>
          <cell r="G21">
            <v>4.3467484040639963</v>
          </cell>
          <cell r="H21">
            <v>0.46053670202565655</v>
          </cell>
          <cell r="I21">
            <v>0.13767258180198969</v>
          </cell>
          <cell r="J21">
            <v>9.5682175392116182</v>
          </cell>
          <cell r="K21">
            <v>0.66018428173658361</v>
          </cell>
          <cell r="L21">
            <v>0.19566484328582182</v>
          </cell>
          <cell r="M21">
            <v>0.45567844567694776</v>
          </cell>
          <cell r="N21">
            <v>6.251088135349292E-2</v>
          </cell>
          <cell r="O21">
            <v>3.9076102875904685E-3</v>
          </cell>
          <cell r="P21">
            <v>9.5682175392116182</v>
          </cell>
          <cell r="Q21">
            <v>8.6946467758601855</v>
          </cell>
          <cell r="R21">
            <v>10.441788302563051</v>
          </cell>
          <cell r="S21">
            <v>922.6234203327258</v>
          </cell>
          <cell r="T21">
            <v>851233.97574645758</v>
          </cell>
          <cell r="U21">
            <v>14302.899232240306</v>
          </cell>
          <cell r="V21">
            <v>5970.8631421475202</v>
          </cell>
          <cell r="W21">
            <v>34261.868272204665</v>
          </cell>
          <cell r="X21">
            <v>-6.0597159216521694E-2</v>
          </cell>
          <cell r="Y21">
            <v>6.0597159216521694E-2</v>
          </cell>
          <cell r="Z21">
            <v>11.337791564019003</v>
          </cell>
          <cell r="AA21">
            <v>9.5717854953152681</v>
          </cell>
          <cell r="AB21">
            <v>9.6307284205651111</v>
          </cell>
          <cell r="AC21">
            <v>75</v>
          </cell>
          <cell r="AD21">
            <v>8.6982147319638354</v>
          </cell>
        </row>
        <row r="22">
          <cell r="F22">
            <v>46</v>
          </cell>
          <cell r="G22">
            <v>4.5017924212742084</v>
          </cell>
          <cell r="H22">
            <v>0.44827061496336218</v>
          </cell>
          <cell r="I22">
            <v>0.14188391576729961</v>
          </cell>
          <cell r="J22">
            <v>9.3369285277148553</v>
          </cell>
          <cell r="K22">
            <v>0.65988189809987952</v>
          </cell>
          <cell r="L22">
            <v>0.17830618113405006</v>
          </cell>
          <cell r="M22">
            <v>0.45524202522912199</v>
          </cell>
          <cell r="N22">
            <v>-0.15765719705496295</v>
          </cell>
          <cell r="O22">
            <v>2.4855791783227419E-2</v>
          </cell>
          <cell r="P22">
            <v>9.3369285277148553</v>
          </cell>
          <cell r="Q22">
            <v>8.4633577643634226</v>
          </cell>
          <cell r="R22">
            <v>10.210499291066288</v>
          </cell>
          <cell r="S22">
            <v>-1655.4085756065797</v>
          </cell>
          <cell r="T22">
            <v>2740377.5521918051</v>
          </cell>
          <cell r="U22">
            <v>11349.494990775554</v>
          </cell>
          <cell r="V22">
            <v>4737.9402051338666</v>
          </cell>
          <cell r="W22">
            <v>27187.138496611726</v>
          </cell>
          <cell r="X22">
            <v>0.17076478429326286</v>
          </cell>
          <cell r="Y22">
            <v>0.17076478429326286</v>
          </cell>
          <cell r="Z22">
            <v>10.786199106171235</v>
          </cell>
          <cell r="AA22">
            <v>9.3191078213345726</v>
          </cell>
          <cell r="AB22">
            <v>9.1792713306598923</v>
          </cell>
          <cell r="AC22">
            <v>76</v>
          </cell>
          <cell r="AD22">
            <v>8.4455370579831399</v>
          </cell>
        </row>
        <row r="23">
          <cell r="F23">
            <v>46</v>
          </cell>
          <cell r="G23">
            <v>4.6084248650971977</v>
          </cell>
          <cell r="H23">
            <v>0.44092793006591752</v>
          </cell>
          <cell r="I23">
            <v>0.13249883510030594</v>
          </cell>
          <cell r="J23">
            <v>9.8332748439294626</v>
          </cell>
          <cell r="K23">
            <v>0.64511799040869744</v>
          </cell>
          <cell r="L23">
            <v>0.19403117400011397</v>
          </cell>
          <cell r="M23">
            <v>0.43629260786311158</v>
          </cell>
          <cell r="N23">
            <v>-0.96665807054600528</v>
          </cell>
          <cell r="O23">
            <v>0.93442782535172575</v>
          </cell>
          <cell r="P23">
            <v>9.8332748439294626</v>
          </cell>
          <cell r="Q23">
            <v>8.9597040805780299</v>
          </cell>
          <cell r="R23">
            <v>10.706845607280895</v>
          </cell>
          <cell r="S23">
            <v>-11552.661215287673</v>
          </cell>
          <cell r="T23">
            <v>133463981.15521206</v>
          </cell>
          <cell r="U23">
            <v>18643.910256144271</v>
          </cell>
          <cell r="V23">
            <v>7783.0539645409735</v>
          </cell>
          <cell r="W23">
            <v>44660.53958032166</v>
          </cell>
          <cell r="X23">
            <v>1.6291433496026468</v>
          </cell>
          <cell r="Y23">
            <v>1.6291433496026468</v>
          </cell>
          <cell r="Z23">
            <v>11.849668897253039</v>
          </cell>
          <cell r="AA23">
            <v>9.8062701625452782</v>
          </cell>
          <cell r="AB23">
            <v>8.8666167733834573</v>
          </cell>
          <cell r="AC23">
            <v>77</v>
          </cell>
          <cell r="AD23">
            <v>8.9326993991938455</v>
          </cell>
        </row>
        <row r="24">
          <cell r="F24">
            <v>46</v>
          </cell>
          <cell r="G24">
            <v>3.4637154341349428</v>
          </cell>
          <cell r="H24">
            <v>0.53110384061242732</v>
          </cell>
          <cell r="I24">
            <v>0.14530134644470338</v>
          </cell>
          <cell r="J24">
            <v>8.9427283004178779</v>
          </cell>
          <cell r="K24">
            <v>0.64944750427291664</v>
          </cell>
          <cell r="L24">
            <v>0.22507266584562224</v>
          </cell>
          <cell r="M24">
            <v>0.43921674115877679</v>
          </cell>
          <cell r="N24">
            <v>0.89110573287337758</v>
          </cell>
          <cell r="O24">
            <v>0.79406942715979933</v>
          </cell>
          <cell r="P24">
            <v>8.9427283004178779</v>
          </cell>
          <cell r="Q24">
            <v>8.0691575370664452</v>
          </cell>
          <cell r="R24">
            <v>9.8162990637693106</v>
          </cell>
          <cell r="S24">
            <v>11002.292966385106</v>
          </cell>
          <cell r="T24">
            <v>121050450.51816718</v>
          </cell>
          <cell r="U24">
            <v>7652.0456814877398</v>
          </cell>
          <cell r="V24">
            <v>3194.4095235346063</v>
          </cell>
          <cell r="W24">
            <v>18330.08657161325</v>
          </cell>
          <cell r="X24">
            <v>-0.58979807186247779</v>
          </cell>
          <cell r="Y24">
            <v>0.58979807186247779</v>
          </cell>
          <cell r="Z24">
            <v>10.316274233613086</v>
          </cell>
          <cell r="AA24">
            <v>9.103841056797993</v>
          </cell>
          <cell r="AB24">
            <v>9.8338340332912555</v>
          </cell>
          <cell r="AC24">
            <v>78</v>
          </cell>
          <cell r="AD24">
            <v>8.2302702934465604</v>
          </cell>
        </row>
        <row r="25">
          <cell r="F25">
            <v>46</v>
          </cell>
          <cell r="G25">
            <v>4.3776364245066652</v>
          </cell>
          <cell r="H25">
            <v>0.45812012569311067</v>
          </cell>
          <cell r="I25">
            <v>0.13539750496400846</v>
          </cell>
          <cell r="J25">
            <v>9.8496736196646619</v>
          </cell>
          <cell r="K25">
            <v>0.66024485406067535</v>
          </cell>
          <cell r="L25">
            <v>0.19927873223022921</v>
          </cell>
          <cell r="M25">
            <v>0.45575973827019461</v>
          </cell>
          <cell r="N25">
            <v>2.3591972661360927E-3</v>
          </cell>
          <cell r="O25">
            <v>5.5658117405440136E-6</v>
          </cell>
          <cell r="P25">
            <v>9.8496736196646619</v>
          </cell>
          <cell r="Q25">
            <v>8.9761028563132292</v>
          </cell>
          <cell r="R25">
            <v>10.723244383016095</v>
          </cell>
          <cell r="S25">
            <v>44.764686952592456</v>
          </cell>
          <cell r="T25">
            <v>2003.8771979636012</v>
          </cell>
          <cell r="U25">
            <v>18952.168177497308</v>
          </cell>
          <cell r="V25">
            <v>7911.7387738929829</v>
          </cell>
          <cell r="W25">
            <v>45398.955766003412</v>
          </cell>
          <cell r="X25">
            <v>-2.3564165474503152E-3</v>
          </cell>
          <cell r="Y25">
            <v>2.3564165474503152E-3</v>
          </cell>
          <cell r="Z25">
            <v>11.944546611828294</v>
          </cell>
          <cell r="AA25">
            <v>9.8497324686199832</v>
          </cell>
          <cell r="AB25">
            <v>9.852032816930798</v>
          </cell>
          <cell r="AC25">
            <v>79</v>
          </cell>
          <cell r="AD25">
            <v>8.9761617052685505</v>
          </cell>
        </row>
        <row r="26">
          <cell r="F26">
            <v>46</v>
          </cell>
          <cell r="G26">
            <v>3.835855366316248</v>
          </cell>
          <cell r="H26">
            <v>0.50077609847216598</v>
          </cell>
          <cell r="I26">
            <v>0.1363900652723469</v>
          </cell>
          <cell r="J26">
            <v>9.4121300965039474</v>
          </cell>
          <cell r="K26">
            <v>0.64790634428297567</v>
          </cell>
          <cell r="L26">
            <v>0.22664364135024428</v>
          </cell>
          <cell r="M26">
            <v>0.43904352892281756</v>
          </cell>
          <cell r="N26">
            <v>0.89575868094361155</v>
          </cell>
          <cell r="O26">
            <v>0.80238361448583884</v>
          </cell>
          <cell r="P26">
            <v>9.4121300965039474</v>
          </cell>
          <cell r="Q26">
            <v>8.5385593331525147</v>
          </cell>
          <cell r="R26">
            <v>10.28570085985538</v>
          </cell>
          <cell r="S26">
            <v>321466.84350078547</v>
          </cell>
          <cell r="T26">
            <v>103340931470.35851</v>
          </cell>
          <cell r="U26">
            <v>12235.906899483054</v>
          </cell>
          <cell r="V26">
            <v>5107.9801605669609</v>
          </cell>
          <cell r="W26">
            <v>29310.493178618592</v>
          </cell>
          <cell r="X26">
            <v>-0.59170228659078117</v>
          </cell>
          <cell r="Y26">
            <v>0.59170228659078117</v>
          </cell>
          <cell r="Z26">
            <v>11.135265335547237</v>
          </cell>
          <cell r="AA26">
            <v>9.4790107381512527</v>
          </cell>
          <cell r="AB26">
            <v>10.307888777447559</v>
          </cell>
          <cell r="AC26">
            <v>80</v>
          </cell>
          <cell r="AD26">
            <v>8.60543997479982</v>
          </cell>
        </row>
        <row r="27">
          <cell r="F27">
            <v>46</v>
          </cell>
          <cell r="G27">
            <v>4.4457958344166615</v>
          </cell>
          <cell r="H27">
            <v>0.45344222832690351</v>
          </cell>
          <cell r="I27">
            <v>0.134304744514158</v>
          </cell>
          <cell r="J27">
            <v>9.9152152738481369</v>
          </cell>
          <cell r="K27">
            <v>0.6558087315930563</v>
          </cell>
          <cell r="L27">
            <v>0.19859028045360072</v>
          </cell>
          <cell r="M27">
            <v>0.450037296606628</v>
          </cell>
          <cell r="N27">
            <v>-0.52410186573121109</v>
          </cell>
          <cell r="O27">
            <v>0.27468276566293642</v>
          </cell>
          <cell r="P27">
            <v>9.9152152738481369</v>
          </cell>
          <cell r="Q27">
            <v>9.0416445104967043</v>
          </cell>
          <cell r="R27">
            <v>10.78878603719957</v>
          </cell>
          <cell r="S27">
            <v>-8254.5030810257122</v>
          </cell>
          <cell r="T27">
            <v>68136821.114662975</v>
          </cell>
          <cell r="U27">
            <v>20235.935213260884</v>
          </cell>
          <cell r="V27">
            <v>8447.6579013707542</v>
          </cell>
          <cell r="W27">
            <v>48474.154462249899</v>
          </cell>
          <cell r="X27">
            <v>0.68894127095354252</v>
          </cell>
          <cell r="Y27">
            <v>0.68894127095354252</v>
          </cell>
          <cell r="Z27">
            <v>12.061998415128565</v>
          </cell>
          <cell r="AA27">
            <v>9.9035356851805361</v>
          </cell>
          <cell r="AB27">
            <v>9.3911134081169259</v>
          </cell>
          <cell r="AC27">
            <v>81</v>
          </cell>
          <cell r="AD27">
            <v>9.0299649218291034</v>
          </cell>
        </row>
        <row r="28">
          <cell r="F28">
            <v>46</v>
          </cell>
          <cell r="G28">
            <v>4.2813422634002478</v>
          </cell>
          <cell r="H28">
            <v>0.46534401704104339</v>
          </cell>
          <cell r="I28">
            <v>0.13523487861456329</v>
          </cell>
          <cell r="J28">
            <v>9.7784430519099885</v>
          </cell>
          <cell r="K28">
            <v>0.65797903133472302</v>
          </cell>
          <cell r="L28">
            <v>0.20470980119274992</v>
          </cell>
          <cell r="M28">
            <v>0.45281094394144289</v>
          </cell>
          <cell r="N28">
            <v>0.37622824666926036</v>
          </cell>
          <cell r="O28">
            <v>0.14154769359182581</v>
          </cell>
          <cell r="P28">
            <v>9.7784430519099885</v>
          </cell>
          <cell r="Q28">
            <v>8.9048722885585558</v>
          </cell>
          <cell r="R28">
            <v>10.652013815261421</v>
          </cell>
          <cell r="S28">
            <v>8061.7728975751197</v>
          </cell>
          <cell r="T28">
            <v>64992182.252076745</v>
          </cell>
          <cell r="U28">
            <v>17649.152635873161</v>
          </cell>
          <cell r="V28">
            <v>7367.784199033661</v>
          </cell>
          <cell r="W28">
            <v>42277.648252130282</v>
          </cell>
          <cell r="X28">
            <v>-0.31355436376987927</v>
          </cell>
          <cell r="Y28">
            <v>0.31355436376987927</v>
          </cell>
          <cell r="Z28">
            <v>11.812982626195227</v>
          </cell>
          <cell r="AA28">
            <v>9.7894646360990265</v>
          </cell>
          <cell r="AB28">
            <v>10.154671298579249</v>
          </cell>
          <cell r="AC28">
            <v>82</v>
          </cell>
          <cell r="AD28">
            <v>8.9158938727475938</v>
          </cell>
        </row>
        <row r="29">
          <cell r="F29">
            <v>46</v>
          </cell>
          <cell r="G29">
            <v>4.4024718194418213</v>
          </cell>
          <cell r="H29">
            <v>0.45593628722039276</v>
          </cell>
          <cell r="I29">
            <v>0.13583919455783167</v>
          </cell>
          <cell r="J29">
            <v>10.235650817594717</v>
          </cell>
          <cell r="K29">
            <v>0.66008927680429452</v>
          </cell>
          <cell r="L29">
            <v>0.19672681432243178</v>
          </cell>
          <cell r="M29">
            <v>0.45555643118580247</v>
          </cell>
          <cell r="N29">
            <v>9.881450228868971E-2</v>
          </cell>
          <cell r="O29">
            <v>9.7643058625614641E-3</v>
          </cell>
          <cell r="P29">
            <v>10.235650817594717</v>
          </cell>
          <cell r="Q29">
            <v>9.3620800542432843</v>
          </cell>
          <cell r="R29">
            <v>11.10922158094615</v>
          </cell>
          <cell r="S29">
            <v>2895.6184120104735</v>
          </cell>
          <cell r="T29">
            <v>8384605.987974057</v>
          </cell>
          <cell r="U29">
            <v>27879.60836459147</v>
          </cell>
          <cell r="V29">
            <v>11638.572243200579</v>
          </cell>
          <cell r="W29">
            <v>66784.18506334335</v>
          </cell>
          <cell r="X29">
            <v>-9.408926319308164E-2</v>
          </cell>
          <cell r="Y29">
            <v>9.408926319308164E-2</v>
          </cell>
          <cell r="Z29">
            <v>12.793846775642196</v>
          </cell>
          <cell r="AA29">
            <v>10.238786355870825</v>
          </cell>
          <cell r="AB29">
            <v>10.334465319883407</v>
          </cell>
          <cell r="AC29">
            <v>83</v>
          </cell>
          <cell r="AD29">
            <v>9.3652155925193927</v>
          </cell>
        </row>
        <row r="30">
          <cell r="F30">
            <v>46</v>
          </cell>
          <cell r="G30">
            <v>4.257956276120332</v>
          </cell>
          <cell r="H30">
            <v>0.4687541766705855</v>
          </cell>
          <cell r="I30">
            <v>0.134837858510687</v>
          </cell>
          <cell r="J30">
            <v>10.237217876975919</v>
          </cell>
          <cell r="K30">
            <v>0.65576536753600512</v>
          </cell>
          <cell r="L30">
            <v>0.20806472783500729</v>
          </cell>
          <cell r="M30">
            <v>0.44993481431907451</v>
          </cell>
          <cell r="N30">
            <v>-0.52877397389196901</v>
          </cell>
          <cell r="O30">
            <v>0.27960191546550472</v>
          </cell>
          <cell r="P30">
            <v>10.237217876975919</v>
          </cell>
          <cell r="Q30">
            <v>9.3636471136244861</v>
          </cell>
          <cell r="R30">
            <v>11.110788640327351</v>
          </cell>
          <cell r="S30">
            <v>-11467.35676478528</v>
          </cell>
          <cell r="T30">
            <v>131500271.17086671</v>
          </cell>
          <cell r="U30">
            <v>27923.33161594153</v>
          </cell>
          <cell r="V30">
            <v>11656.824874761631</v>
          </cell>
          <cell r="W30">
            <v>66888.921890042911</v>
          </cell>
          <cell r="X30">
            <v>0.69685064959731302</v>
          </cell>
          <cell r="Y30">
            <v>0.69685064959731302</v>
          </cell>
          <cell r="Z30">
            <v>12.755644426092186</v>
          </cell>
          <cell r="AA30">
            <v>10.221286332642521</v>
          </cell>
          <cell r="AB30">
            <v>9.7084439030839498</v>
          </cell>
          <cell r="AC30">
            <v>84</v>
          </cell>
          <cell r="AD30">
            <v>9.347715569291088</v>
          </cell>
        </row>
        <row r="31">
          <cell r="F31">
            <v>46</v>
          </cell>
          <cell r="G31">
            <v>4.3687151884768856</v>
          </cell>
          <cell r="H31">
            <v>0.45851494712800595</v>
          </cell>
          <cell r="I31">
            <v>0.13495626850468226</v>
          </cell>
          <cell r="J31">
            <v>9.9732426627309003</v>
          </cell>
          <cell r="K31">
            <v>0.65958632418843433</v>
          </cell>
          <cell r="L31">
            <v>0.20059861751079164</v>
          </cell>
          <cell r="M31">
            <v>0.45490935949579869</v>
          </cell>
          <cell r="N31">
            <v>0.20204887275790995</v>
          </cell>
          <cell r="O31">
            <v>4.0823746982742083E-2</v>
          </cell>
          <cell r="P31">
            <v>9.9732426627309003</v>
          </cell>
          <cell r="Q31">
            <v>9.0996718993794676</v>
          </cell>
          <cell r="R31">
            <v>10.846813426082333</v>
          </cell>
          <cell r="S31">
            <v>4801.6834001198222</v>
          </cell>
          <cell r="T31">
            <v>23056163.474986255</v>
          </cell>
          <cell r="U31">
            <v>21444.911341833638</v>
          </cell>
          <cell r="V31">
            <v>8952.3549483554434</v>
          </cell>
          <cell r="W31">
            <v>51370.195341013175</v>
          </cell>
          <cell r="X31">
            <v>-0.18294500476454748</v>
          </cell>
          <cell r="Y31">
            <v>0.18294500476454748</v>
          </cell>
          <cell r="Z31">
            <v>12.223216515315409</v>
          </cell>
          <cell r="AA31">
            <v>9.9773877003399623</v>
          </cell>
          <cell r="AB31">
            <v>10.17529153548881</v>
          </cell>
          <cell r="AC31">
            <v>85</v>
          </cell>
          <cell r="AD31">
            <v>9.1038169369885296</v>
          </cell>
        </row>
        <row r="32">
          <cell r="F32">
            <v>46</v>
          </cell>
          <cell r="G32">
            <v>4.5255289580754097</v>
          </cell>
          <cell r="H32">
            <v>0.44744178893890207</v>
          </cell>
          <cell r="I32">
            <v>0.13311559486052638</v>
          </cell>
          <cell r="J32">
            <v>9.8789254848758823</v>
          </cell>
          <cell r="K32">
            <v>0.64929454925504748</v>
          </cell>
          <cell r="L32">
            <v>0.19718462921810026</v>
          </cell>
          <cell r="M32">
            <v>0.44167349726753274</v>
          </cell>
          <cell r="N32">
            <v>-0.8222804472559897</v>
          </cell>
          <cell r="O32">
            <v>0.67614513393951048</v>
          </cell>
          <cell r="P32">
            <v>9.8789254848758823</v>
          </cell>
          <cell r="Q32">
            <v>9.0053547215244496</v>
          </cell>
          <cell r="R32">
            <v>10.752496248227315</v>
          </cell>
          <cell r="S32">
            <v>-10939.410085029422</v>
          </cell>
          <cell r="T32">
            <v>119670693.00844342</v>
          </cell>
          <cell r="U32">
            <v>19514.742506370458</v>
          </cell>
          <cell r="V32">
            <v>8146.590063162741</v>
          </cell>
          <cell r="W32">
            <v>46746.573982156973</v>
          </cell>
          <cell r="X32">
            <v>1.2756835009456908</v>
          </cell>
          <cell r="Y32">
            <v>1.2756835009456908</v>
          </cell>
          <cell r="Z32">
            <v>11.964453609699556</v>
          </cell>
          <cell r="AA32">
            <v>9.8588516178151622</v>
          </cell>
          <cell r="AB32">
            <v>9.0566450376198926</v>
          </cell>
          <cell r="AC32">
            <v>86</v>
          </cell>
          <cell r="AD32">
            <v>8.9852808544637295</v>
          </cell>
        </row>
        <row r="33">
          <cell r="F33">
            <v>46</v>
          </cell>
          <cell r="G33">
            <v>4.258794911241587</v>
          </cell>
          <cell r="H33">
            <v>0.46922829681078715</v>
          </cell>
          <cell r="I33">
            <v>0.13293530730273315</v>
          </cell>
          <cell r="J33">
            <v>10.16404152861328</v>
          </cell>
          <cell r="K33">
            <v>0.6483980102785335</v>
          </cell>
          <cell r="L33">
            <v>0.21312547127937875</v>
          </cell>
          <cell r="M33">
            <v>0.44052983589309985</v>
          </cell>
          <cell r="N33">
            <v>-0.8550092864479808</v>
          </cell>
          <cell r="O33">
            <v>0.73104087991228528</v>
          </cell>
          <cell r="P33">
            <v>10.16404152861328</v>
          </cell>
          <cell r="Q33">
            <v>9.2904707652618477</v>
          </cell>
          <cell r="R33">
            <v>11.037612291964713</v>
          </cell>
          <cell r="S33">
            <v>-14915.713516771344</v>
          </cell>
          <cell r="T33">
            <v>222478509.71439537</v>
          </cell>
          <cell r="U33">
            <v>25952.975079027725</v>
          </cell>
          <cell r="V33">
            <v>10834.283302446762</v>
          </cell>
          <cell r="W33">
            <v>62169.032934603194</v>
          </cell>
          <cell r="X33">
            <v>1.3513962165921598</v>
          </cell>
          <cell r="Y33">
            <v>1.3513962165921598</v>
          </cell>
          <cell r="Z33">
            <v>12.58501811912878</v>
          </cell>
          <cell r="AA33">
            <v>10.143124534470639</v>
          </cell>
          <cell r="AB33">
            <v>9.3090322421652996</v>
          </cell>
          <cell r="AC33">
            <v>87</v>
          </cell>
          <cell r="AD33">
            <v>9.269553771119206</v>
          </cell>
        </row>
        <row r="34">
          <cell r="F34">
            <v>46</v>
          </cell>
          <cell r="G34">
            <v>4.3463588649003091</v>
          </cell>
          <cell r="H34">
            <v>0.4605192692427772</v>
          </cell>
          <cell r="I34">
            <v>0.13621940861749662</v>
          </cell>
          <cell r="J34">
            <v>9.7081334451254229</v>
          </cell>
          <cell r="K34">
            <v>0.66011051146351341</v>
          </cell>
          <cell r="L34">
            <v>0.19901440288736338</v>
          </cell>
          <cell r="M34">
            <v>0.45558320408093894</v>
          </cell>
          <cell r="N34">
            <v>9.2082609085592182E-2</v>
          </cell>
          <cell r="O34">
            <v>8.4792068960099845E-3</v>
          </cell>
          <cell r="P34">
            <v>9.7081334451254229</v>
          </cell>
          <cell r="Q34">
            <v>8.8345626817739902</v>
          </cell>
          <cell r="R34">
            <v>10.581704208476856</v>
          </cell>
          <cell r="S34">
            <v>1586.7748595293961</v>
          </cell>
          <cell r="T34">
            <v>2517854.4548345348</v>
          </cell>
          <cell r="U34">
            <v>16450.866755763855</v>
          </cell>
          <cell r="V34">
            <v>6867.5498843589994</v>
          </cell>
          <cell r="W34">
            <v>39407.215320308715</v>
          </cell>
          <cell r="X34">
            <v>-8.7970195515141278E-2</v>
          </cell>
          <cell r="Y34">
            <v>8.7970195515141278E-2</v>
          </cell>
          <cell r="Z34">
            <v>11.642888665747632</v>
          </cell>
          <cell r="AA34">
            <v>9.7115466992734216</v>
          </cell>
          <cell r="AB34">
            <v>9.800216054211015</v>
          </cell>
          <cell r="AC34">
            <v>88</v>
          </cell>
          <cell r="AD34">
            <v>8.8379759359219889</v>
          </cell>
        </row>
        <row r="35">
          <cell r="F35">
            <v>46</v>
          </cell>
          <cell r="G35">
            <v>4.3148201655772107</v>
          </cell>
          <cell r="H35">
            <v>0.46379609080087802</v>
          </cell>
          <cell r="I35">
            <v>0.1352039993168305</v>
          </cell>
          <cell r="J35">
            <v>10.197130049829534</v>
          </cell>
          <cell r="K35">
            <v>0.65846442023245288</v>
          </cell>
          <cell r="L35">
            <v>0.20370110041254175</v>
          </cell>
          <cell r="M35">
            <v>0.45344626023428175</v>
          </cell>
          <cell r="N35">
            <v>-0.33324542237749455</v>
          </cell>
          <cell r="O35">
            <v>0.11105251153555475</v>
          </cell>
          <cell r="P35">
            <v>10.197130049829534</v>
          </cell>
          <cell r="Q35">
            <v>9.3235592864781012</v>
          </cell>
          <cell r="R35">
            <v>11.070700813180967</v>
          </cell>
          <cell r="S35">
            <v>-7602.6655546758593</v>
          </cell>
          <cell r="T35">
            <v>57800523.536254793</v>
          </cell>
          <cell r="U35">
            <v>26826.085960500233</v>
          </cell>
          <cell r="V35">
            <v>11198.770634458508</v>
          </cell>
          <cell r="W35">
            <v>64260.525681794556</v>
          </cell>
          <cell r="X35">
            <v>0.39548974085654282</v>
          </cell>
          <cell r="Y35">
            <v>0.39548974085654282</v>
          </cell>
          <cell r="Z35">
            <v>12.682965641419734</v>
          </cell>
          <cell r="AA35">
            <v>10.187993081443196</v>
          </cell>
          <cell r="AB35">
            <v>9.8638846274520393</v>
          </cell>
          <cell r="AC35">
            <v>89</v>
          </cell>
          <cell r="AD35">
            <v>9.3144223180917631</v>
          </cell>
        </row>
        <row r="36">
          <cell r="F36">
            <v>46</v>
          </cell>
          <cell r="G36">
            <v>4.4266070841166494</v>
          </cell>
          <cell r="H36">
            <v>0.45240162959212366</v>
          </cell>
          <cell r="I36">
            <v>0.1315029505350902</v>
          </cell>
          <cell r="J36">
            <v>10.03824423393624</v>
          </cell>
          <cell r="K36">
            <v>0.64251018771527157</v>
          </cell>
          <cell r="L36">
            <v>0.20463726933394077</v>
          </cell>
          <cell r="M36">
            <v>0.43314077417186475</v>
          </cell>
          <cell r="N36">
            <v>1.041976891553535</v>
          </cell>
          <cell r="O36">
            <v>1.0857158425315672</v>
          </cell>
          <cell r="P36">
            <v>10.03824423393624</v>
          </cell>
          <cell r="Q36">
            <v>9.1646734705848072</v>
          </cell>
          <cell r="R36">
            <v>10.911814997287673</v>
          </cell>
          <cell r="S36">
            <v>41990.060765849397</v>
          </cell>
          <cell r="T36">
            <v>1763165203.119725</v>
          </cell>
          <cell r="U36">
            <v>22885.166622824439</v>
          </cell>
          <cell r="V36">
            <v>9553.6013832857079</v>
          </cell>
          <cell r="W36">
            <v>54820.253676348642</v>
          </cell>
          <cell r="X36">
            <v>-0.64724336940328298</v>
          </cell>
          <cell r="Y36">
            <v>0.64724336940328298</v>
          </cell>
          <cell r="Z36">
            <v>12.404104633484478</v>
          </cell>
          <cell r="AA36">
            <v>10.060250307142175</v>
          </cell>
          <cell r="AB36">
            <v>11.080221125489775</v>
          </cell>
          <cell r="AC36">
            <v>90</v>
          </cell>
          <cell r="AD36">
            <v>9.186679543790742</v>
          </cell>
        </row>
        <row r="37">
          <cell r="F37">
            <v>46</v>
          </cell>
          <cell r="G37">
            <v>4.1806350367247136</v>
          </cell>
          <cell r="H37">
            <v>0.47656932366299287</v>
          </cell>
          <cell r="I37">
            <v>0.12834444782060114</v>
          </cell>
          <cell r="J37">
            <v>10.176027316229366</v>
          </cell>
          <cell r="K37">
            <v>0.62604490917128952</v>
          </cell>
          <cell r="L37">
            <v>0.23061349950910015</v>
          </cell>
          <cell r="M37">
            <v>0.41254982533977641</v>
          </cell>
          <cell r="N37">
            <v>-1.4401671383807546</v>
          </cell>
          <cell r="O37">
            <v>2.0740813864718115</v>
          </cell>
          <cell r="P37">
            <v>10.176027316229366</v>
          </cell>
          <cell r="Q37">
            <v>9.302456552877933</v>
          </cell>
          <cell r="R37">
            <v>11.049598079580798</v>
          </cell>
          <cell r="S37">
            <v>-20043.829587215336</v>
          </cell>
          <cell r="T37">
            <v>401755104.52132893</v>
          </cell>
          <cell r="U37">
            <v>26265.913587215331</v>
          </cell>
          <cell r="V37">
            <v>10964.922061341475</v>
          </cell>
          <cell r="W37">
            <v>62918.661228191093</v>
          </cell>
          <cell r="X37">
            <v>3.22140131621742</v>
          </cell>
          <cell r="Y37">
            <v>3.22140131621742</v>
          </cell>
          <cell r="Z37">
            <v>12.580315143708891</v>
          </cell>
          <cell r="AA37">
            <v>10.140970159672761</v>
          </cell>
          <cell r="AB37">
            <v>8.7358601778486111</v>
          </cell>
          <cell r="AC37">
            <v>91</v>
          </cell>
          <cell r="AD37">
            <v>9.2673993963213288</v>
          </cell>
        </row>
        <row r="38">
          <cell r="F38">
            <v>46</v>
          </cell>
          <cell r="G38">
            <v>4.3804854324307696</v>
          </cell>
          <cell r="H38">
            <v>0.45777980923670103</v>
          </cell>
          <cell r="I38">
            <v>0.13510299681338908</v>
          </cell>
          <cell r="J38">
            <v>10.049079123825337</v>
          </cell>
          <cell r="K38">
            <v>0.6601716533817924</v>
          </cell>
          <cell r="L38">
            <v>0.19973688450823679</v>
          </cell>
          <cell r="M38">
            <v>0.45566513284202598</v>
          </cell>
          <cell r="N38">
            <v>6.7428676124002607E-2</v>
          </cell>
          <cell r="O38">
            <v>4.5466263638356394E-3</v>
          </cell>
          <cell r="P38">
            <v>10.049079123825337</v>
          </cell>
          <cell r="Q38">
            <v>9.1755083604739038</v>
          </cell>
          <cell r="R38">
            <v>10.922649887176769</v>
          </cell>
          <cell r="S38">
            <v>1613.7210585373359</v>
          </cell>
          <cell r="T38">
            <v>2604095.65476686</v>
          </cell>
          <cell r="U38">
            <v>23134.473048174161</v>
          </cell>
          <cell r="V38">
            <v>9657.6764048635578</v>
          </cell>
          <cell r="W38">
            <v>55417.454549126407</v>
          </cell>
          <cell r="X38">
            <v>-6.52056086023549E-2</v>
          </cell>
          <cell r="Y38">
            <v>6.52056086023549E-2</v>
          </cell>
          <cell r="Z38">
            <v>12.382795346186938</v>
          </cell>
          <cell r="AA38">
            <v>10.050488786526868</v>
          </cell>
          <cell r="AB38">
            <v>10.116507799949339</v>
          </cell>
          <cell r="AC38">
            <v>92</v>
          </cell>
          <cell r="AD38">
            <v>9.1769180231754355</v>
          </cell>
        </row>
        <row r="39">
          <cell r="F39">
            <v>46</v>
          </cell>
          <cell r="G39">
            <v>4.3732677266310818</v>
          </cell>
          <cell r="H39">
            <v>0.45871703593478952</v>
          </cell>
          <cell r="I39">
            <v>0.13504871408357597</v>
          </cell>
          <cell r="J39">
            <v>10.051823840551981</v>
          </cell>
          <cell r="K39">
            <v>0.65991724391224105</v>
          </cell>
          <cell r="L39">
            <v>0.20052033531527572</v>
          </cell>
          <cell r="M39">
            <v>0.45533642484509285</v>
          </cell>
          <cell r="N39">
            <v>-0.14256440725730357</v>
          </cell>
          <cell r="O39">
            <v>2.0324610216626311E-2</v>
          </cell>
          <cell r="P39">
            <v>10.051823840551981</v>
          </cell>
          <cell r="Q39">
            <v>9.1782530772005479</v>
          </cell>
          <cell r="R39">
            <v>10.925394603903413</v>
          </cell>
          <cell r="S39">
            <v>-3082.2864413891402</v>
          </cell>
          <cell r="T39">
            <v>9500489.706771329</v>
          </cell>
          <cell r="U39">
            <v>23198.05784452079</v>
          </cell>
          <cell r="V39">
            <v>9684.220402044999</v>
          </cell>
          <cell r="W39">
            <v>55569.76869754972</v>
          </cell>
          <cell r="X39">
            <v>0.1532273547764261</v>
          </cell>
          <cell r="Y39">
            <v>0.1532273547764261</v>
          </cell>
          <cell r="Z39">
            <v>12.379213478193456</v>
          </cell>
          <cell r="AA39">
            <v>10.048847977157155</v>
          </cell>
          <cell r="AB39">
            <v>9.9092594332946771</v>
          </cell>
          <cell r="AC39">
            <v>93</v>
          </cell>
          <cell r="AD39">
            <v>9.1752772138057228</v>
          </cell>
        </row>
        <row r="40">
          <cell r="F40">
            <v>46</v>
          </cell>
          <cell r="G40">
            <v>4.3499189888766185</v>
          </cell>
          <cell r="H40">
            <v>0.46117248644249359</v>
          </cell>
          <cell r="I40">
            <v>0.134406308233184</v>
          </cell>
          <cell r="J40">
            <v>10.081748815368986</v>
          </cell>
          <cell r="K40">
            <v>0.65659663757129805</v>
          </cell>
          <cell r="L40">
            <v>0.20378043587194422</v>
          </cell>
          <cell r="M40">
            <v>0.45105503715118284</v>
          </cell>
          <cell r="N40">
            <v>-0.47521702360532458</v>
          </cell>
          <cell r="O40">
            <v>0.22583121952430363</v>
          </cell>
          <cell r="P40">
            <v>10.081748815368986</v>
          </cell>
          <cell r="Q40">
            <v>9.2081780520175531</v>
          </cell>
          <cell r="R40">
            <v>10.955319578720419</v>
          </cell>
          <cell r="S40">
            <v>-9041.2128136542397</v>
          </cell>
          <cell r="T40">
            <v>81743529.141785607</v>
          </cell>
          <cell r="U40">
            <v>23902.750509298035</v>
          </cell>
          <cell r="V40">
            <v>9978.4001617104877</v>
          </cell>
          <cell r="W40">
            <v>57257.824165252619</v>
          </cell>
          <cell r="X40">
            <v>0.60836321239520152</v>
          </cell>
          <cell r="Y40">
            <v>0.60836321239520152</v>
          </cell>
          <cell r="Z40">
            <v>12.428820007689472</v>
          </cell>
          <cell r="AA40">
            <v>10.071572113988569</v>
          </cell>
          <cell r="AB40">
            <v>9.6065317917636612</v>
          </cell>
          <cell r="AC40">
            <v>94</v>
          </cell>
          <cell r="AD40">
            <v>9.1980013506371368</v>
          </cell>
        </row>
        <row r="41">
          <cell r="F41">
            <v>46</v>
          </cell>
          <cell r="G41">
            <v>4.3612018010892584</v>
          </cell>
          <cell r="H41">
            <v>0.45847799728188587</v>
          </cell>
          <cell r="I41">
            <v>0.13392134347243886</v>
          </cell>
          <cell r="J41">
            <v>9.981225229095795</v>
          </cell>
          <cell r="K41">
            <v>0.65456046118047373</v>
          </cell>
          <cell r="L41">
            <v>0.20305285095352421</v>
          </cell>
          <cell r="M41">
            <v>0.44844798476545122</v>
          </cell>
          <cell r="N41">
            <v>0.59242698625182477</v>
          </cell>
          <cell r="O41">
            <v>0.35096973403941978</v>
          </cell>
          <cell r="P41">
            <v>9.981225229095795</v>
          </cell>
          <cell r="Q41">
            <v>9.1076544657443623</v>
          </cell>
          <cell r="R41">
            <v>10.854795992447228</v>
          </cell>
          <cell r="S41">
            <v>17474.40090585643</v>
          </cell>
          <cell r="T41">
            <v>305354687.01859599</v>
          </cell>
          <cell r="U41">
            <v>21616.781840991014</v>
          </cell>
          <cell r="V41">
            <v>9024.103704462741</v>
          </cell>
          <cell r="W41">
            <v>51781.902387703012</v>
          </cell>
          <cell r="X41">
            <v>-0.44701642871794856</v>
          </cell>
          <cell r="Y41">
            <v>0.44701642871794856</v>
          </cell>
          <cell r="Z41">
            <v>12.258000299524037</v>
          </cell>
          <cell r="AA41">
            <v>9.9933217211211307</v>
          </cell>
          <cell r="AB41">
            <v>10.57365221534762</v>
          </cell>
          <cell r="AC41">
            <v>95</v>
          </cell>
          <cell r="AD41">
            <v>9.119750957769698</v>
          </cell>
        </row>
        <row r="42">
          <cell r="F42">
            <v>46</v>
          </cell>
          <cell r="G42">
            <v>4.5807165241034298</v>
          </cell>
          <cell r="H42">
            <v>0.44062708458545435</v>
          </cell>
          <cell r="I42">
            <v>0.13557387841654572</v>
          </cell>
          <cell r="J42">
            <v>10.310188822343315</v>
          </cell>
          <cell r="K42">
            <v>0.65506838347678908</v>
          </cell>
          <cell r="L42">
            <v>0.18674858971383038</v>
          </cell>
          <cell r="M42">
            <v>0.44894392289170004</v>
          </cell>
          <cell r="N42">
            <v>0.57198313260049538</v>
          </cell>
          <cell r="O42">
            <v>0.32716470397947589</v>
          </cell>
          <cell r="P42">
            <v>10.310188822343315</v>
          </cell>
          <cell r="Q42">
            <v>9.4366180589918827</v>
          </cell>
          <cell r="R42">
            <v>11.183759585694748</v>
          </cell>
          <cell r="S42">
            <v>23181.956108511837</v>
          </cell>
          <cell r="T42">
            <v>537403089.0169692</v>
          </cell>
          <cell r="U42">
            <v>30037.107781854666</v>
          </cell>
          <cell r="V42">
            <v>12539.238152997652</v>
          </cell>
          <cell r="W42">
            <v>71952.36527851304</v>
          </cell>
          <cell r="X42">
            <v>-0.4355949619156706</v>
          </cell>
          <cell r="Y42">
            <v>0.4355949619156706</v>
          </cell>
          <cell r="Z42">
            <v>13.002996181295167</v>
          </cell>
          <cell r="AA42">
            <v>10.334595108479665</v>
          </cell>
          <cell r="AB42">
            <v>10.882171954943811</v>
          </cell>
          <cell r="AC42">
            <v>96</v>
          </cell>
          <cell r="AD42">
            <v>9.4610243451282319</v>
          </cell>
        </row>
        <row r="43">
          <cell r="F43">
            <v>46</v>
          </cell>
          <cell r="G43">
            <v>4.2904213864304044</v>
          </cell>
          <cell r="H43">
            <v>0.46557777394605909</v>
          </cell>
          <cell r="I43">
            <v>0.13710303865037729</v>
          </cell>
          <cell r="J43">
            <v>10.402962349260896</v>
          </cell>
          <cell r="K43">
            <v>0.65956063830862477</v>
          </cell>
          <cell r="L43">
            <v>0.20043968707679272</v>
          </cell>
          <cell r="M43">
            <v>0.45484780051626905</v>
          </cell>
          <cell r="N43">
            <v>-0.20923330996799905</v>
          </cell>
          <cell r="O43">
            <v>4.377857800016477E-2</v>
          </cell>
          <cell r="P43">
            <v>10.402962349260896</v>
          </cell>
          <cell r="Q43">
            <v>9.5293915859094636</v>
          </cell>
          <cell r="R43">
            <v>11.276533112612329</v>
          </cell>
          <cell r="S43">
            <v>-6222.1065540717864</v>
          </cell>
          <cell r="T43">
            <v>38714609.970223077</v>
          </cell>
          <cell r="U43">
            <v>32957.111684787873</v>
          </cell>
          <cell r="V43">
            <v>13758.217843468412</v>
          </cell>
          <cell r="W43">
            <v>78947.086240477787</v>
          </cell>
          <cell r="X43">
            <v>0.23273257377920428</v>
          </cell>
          <cell r="Y43">
            <v>0.23273257377920428</v>
          </cell>
          <cell r="Z43">
            <v>13.128936355837896</v>
          </cell>
          <cell r="AA43">
            <v>10.392286742785807</v>
          </cell>
          <cell r="AB43">
            <v>10.193729039292897</v>
          </cell>
          <cell r="AC43">
            <v>97</v>
          </cell>
          <cell r="AD43">
            <v>9.5187159794343739</v>
          </cell>
        </row>
        <row r="44">
          <cell r="F44">
            <v>46</v>
          </cell>
          <cell r="G44">
            <v>4.3312805778734758</v>
          </cell>
          <cell r="H44">
            <v>0.46241986442719485</v>
          </cell>
          <cell r="I44">
            <v>0.1350810353505964</v>
          </cell>
          <cell r="J44">
            <v>10.160232502694154</v>
          </cell>
          <cell r="K44">
            <v>0.65867935180511838</v>
          </cell>
          <cell r="L44">
            <v>0.20303302912948454</v>
          </cell>
          <cell r="M44">
            <v>0.45373023302547377</v>
          </cell>
          <cell r="N44">
            <v>-0.3121246827124331</v>
          </cell>
          <cell r="O44">
            <v>9.7421817558337037E-2</v>
          </cell>
          <cell r="P44">
            <v>10.160232502694154</v>
          </cell>
          <cell r="Q44">
            <v>9.2866617393427209</v>
          </cell>
          <cell r="R44">
            <v>11.033803266045586</v>
          </cell>
          <cell r="S44">
            <v>-6931.7914579024255</v>
          </cell>
          <cell r="T44">
            <v>48049732.815849036</v>
          </cell>
          <cell r="U44">
            <v>25854.307557141961</v>
          </cell>
          <cell r="V44">
            <v>10793.093732403033</v>
          </cell>
          <cell r="W44">
            <v>61932.679899969844</v>
          </cell>
          <cell r="X44">
            <v>0.3663250395216206</v>
          </cell>
          <cell r="Y44">
            <v>0.3663250395216206</v>
          </cell>
          <cell r="Z44">
            <v>12.605323372171895</v>
          </cell>
          <cell r="AA44">
            <v>10.152426119428025</v>
          </cell>
          <cell r="AB44">
            <v>9.8481078199817205</v>
          </cell>
          <cell r="AC44">
            <v>98</v>
          </cell>
          <cell r="AD44">
            <v>9.2788553560765923</v>
          </cell>
        </row>
        <row r="45">
          <cell r="F45">
            <v>46</v>
          </cell>
          <cell r="G45">
            <v>4.4304871920229907</v>
          </cell>
          <cell r="H45">
            <v>0.453360381135121</v>
          </cell>
          <cell r="I45">
            <v>0.13532284911245981</v>
          </cell>
          <cell r="J45">
            <v>10.180925056142019</v>
          </cell>
          <cell r="K45">
            <v>0.65903083575927845</v>
          </cell>
          <cell r="L45">
            <v>0.19614046459939963</v>
          </cell>
          <cell r="M45">
            <v>0.45418151788713063</v>
          </cell>
          <cell r="N45">
            <v>0.27524560704725509</v>
          </cell>
          <cell r="O45">
            <v>7.5760144198811968E-2</v>
          </cell>
          <cell r="P45">
            <v>10.180925056142019</v>
          </cell>
          <cell r="Q45">
            <v>9.3073542927905866</v>
          </cell>
          <cell r="R45">
            <v>11.054495819493452</v>
          </cell>
          <cell r="S45">
            <v>8363.3226931191493</v>
          </cell>
          <cell r="T45">
            <v>69945166.469241738</v>
          </cell>
          <cell r="U45">
            <v>26394.872746957921</v>
          </cell>
          <cell r="V45">
            <v>11018.757125215354</v>
          </cell>
          <cell r="W45">
            <v>63227.576341962937</v>
          </cell>
          <cell r="X45">
            <v>-0.24061441013350277</v>
          </cell>
          <cell r="Y45">
            <v>0.24061441013350277</v>
          </cell>
          <cell r="Z45">
            <v>12.684032622614962</v>
          </cell>
          <cell r="AA45">
            <v>10.18848185231516</v>
          </cell>
          <cell r="AB45">
            <v>10.456170663189274</v>
          </cell>
          <cell r="AC45">
            <v>99</v>
          </cell>
          <cell r="AD45">
            <v>9.3149110889637274</v>
          </cell>
        </row>
        <row r="46">
          <cell r="F46">
            <v>46</v>
          </cell>
          <cell r="G46">
            <v>3.8152723245270384</v>
          </cell>
          <cell r="H46">
            <v>0.50620060777578357</v>
          </cell>
          <cell r="I46">
            <v>0.13107153193886734</v>
          </cell>
          <cell r="J46">
            <v>10.456673803283921</v>
          </cell>
          <cell r="K46">
            <v>0.63075402309170236</v>
          </cell>
          <cell r="L46">
            <v>0.24485164354913491</v>
          </cell>
          <cell r="M46">
            <v>0.41733724181074522</v>
          </cell>
          <cell r="N46">
            <v>-1.3580446958275392</v>
          </cell>
          <cell r="O46">
            <v>1.8442853958653134</v>
          </cell>
          <cell r="P46">
            <v>10.456673803283921</v>
          </cell>
          <cell r="Q46">
            <v>9.5831030399324888</v>
          </cell>
          <cell r="R46">
            <v>11.330244566635354</v>
          </cell>
          <cell r="S46">
            <v>-25832.663711382567</v>
          </cell>
          <cell r="T46">
            <v>667326514.42538178</v>
          </cell>
          <cell r="U46">
            <v>34775.688082076304</v>
          </cell>
          <cell r="V46">
            <v>14517.397545809652</v>
          </cell>
          <cell r="W46">
            <v>83303.393584543272</v>
          </cell>
          <cell r="X46">
            <v>2.8885825019146911</v>
          </cell>
          <cell r="Y46">
            <v>2.8885825019146911</v>
          </cell>
          <cell r="Z46">
            <v>13.120097796679502</v>
          </cell>
          <cell r="AA46">
            <v>10.388237908292677</v>
          </cell>
          <cell r="AB46">
            <v>9.0986291074563823</v>
          </cell>
          <cell r="AC46" t="str">
            <v>00</v>
          </cell>
          <cell r="AD46">
            <v>9.5146671449412441</v>
          </cell>
        </row>
        <row r="47">
          <cell r="F47">
            <v>46</v>
          </cell>
          <cell r="G47">
            <v>4.7357017986348344</v>
          </cell>
          <cell r="H47">
            <v>0.42997543692491019</v>
          </cell>
          <cell r="I47">
            <v>0.13742135433230099</v>
          </cell>
          <cell r="J47">
            <v>9.5445288320065185</v>
          </cell>
          <cell r="K47">
            <v>0.6544054581877764</v>
          </cell>
          <cell r="L47">
            <v>0.17547819479956497</v>
          </cell>
          <cell r="M47">
            <v>0.44784805164857416</v>
          </cell>
          <cell r="N47">
            <v>-0.6162519968726432</v>
          </cell>
          <cell r="O47">
            <v>0.37976652364952024</v>
          </cell>
          <cell r="P47">
            <v>9.5445288320065185</v>
          </cell>
          <cell r="Q47">
            <v>8.6709580686550858</v>
          </cell>
          <cell r="R47">
            <v>10.418099595357951</v>
          </cell>
          <cell r="S47">
            <v>-6425.8059905252476</v>
          </cell>
          <cell r="T47">
            <v>41290982.627870157</v>
          </cell>
          <cell r="U47">
            <v>13968.063609399058</v>
          </cell>
          <cell r="V47">
            <v>5831.083252305727</v>
          </cell>
          <cell r="W47">
            <v>33459.786553222184</v>
          </cell>
          <cell r="X47">
            <v>0.85197381410643613</v>
          </cell>
          <cell r="Y47">
            <v>0.85197381410643613</v>
          </cell>
          <cell r="Z47">
            <v>11.1839575482808</v>
          </cell>
          <cell r="AA47">
            <v>9.501316037796748</v>
          </cell>
          <cell r="AB47">
            <v>8.9282768351338753</v>
          </cell>
          <cell r="AC47" t="str">
            <v>01</v>
          </cell>
          <cell r="AD47">
            <v>8.6277452744453154</v>
          </cell>
        </row>
        <row r="48">
          <cell r="F48">
            <v>46</v>
          </cell>
          <cell r="G48">
            <v>4.5242323228373031</v>
          </cell>
          <cell r="H48">
            <v>0.44679717805313202</v>
          </cell>
          <cell r="I48">
            <v>0.13618499985644486</v>
          </cell>
          <cell r="J48">
            <v>9.6833382166337714</v>
          </cell>
          <cell r="K48">
            <v>0.65807095844300234</v>
          </cell>
          <cell r="L48">
            <v>0.18962319641274866</v>
          </cell>
          <cell r="M48">
            <v>0.45289128653444893</v>
          </cell>
          <cell r="N48">
            <v>-0.37106771501645497</v>
          </cell>
          <cell r="O48">
            <v>0.13769124912753303</v>
          </cell>
          <cell r="P48">
            <v>9.6833382166337714</v>
          </cell>
          <cell r="Q48">
            <v>8.8097674532823387</v>
          </cell>
          <cell r="R48">
            <v>10.556908979985204</v>
          </cell>
          <cell r="S48">
            <v>-4974.9182293315625</v>
          </cell>
          <cell r="T48">
            <v>24749811.388535488</v>
          </cell>
          <cell r="U48">
            <v>16047.979240835039</v>
          </cell>
          <cell r="V48">
            <v>6699.3611714092913</v>
          </cell>
          <cell r="W48">
            <v>38442.118752062474</v>
          </cell>
          <cell r="X48">
            <v>0.44928120816486672</v>
          </cell>
          <cell r="Y48">
            <v>0.44928120816486672</v>
          </cell>
          <cell r="Z48">
            <v>11.546863201501601</v>
          </cell>
          <cell r="AA48">
            <v>9.6675586232883433</v>
          </cell>
          <cell r="AB48">
            <v>9.3122705016173164</v>
          </cell>
          <cell r="AC48" t="str">
            <v>02</v>
          </cell>
          <cell r="AD48">
            <v>8.7939878599369106</v>
          </cell>
        </row>
        <row r="49">
          <cell r="F49">
            <v>46</v>
          </cell>
          <cell r="G49">
            <v>4.1942378085732237</v>
          </cell>
          <cell r="H49">
            <v>0.47434083257316545</v>
          </cell>
          <cell r="I49">
            <v>0.13388894396060436</v>
          </cell>
          <cell r="J49">
            <v>10.256470443800723</v>
          </cell>
          <cell r="K49">
            <v>0.65080746907692999</v>
          </cell>
          <cell r="L49">
            <v>0.21436527296100216</v>
          </cell>
          <cell r="M49">
            <v>0.44352112885101058</v>
          </cell>
          <cell r="N49">
            <v>-0.76645862114830976</v>
          </cell>
          <cell r="O49">
            <v>0.58745881793256827</v>
          </cell>
          <cell r="P49">
            <v>10.256470443800723</v>
          </cell>
          <cell r="Q49">
            <v>9.3828996804492899</v>
          </cell>
          <cell r="R49">
            <v>11.130041207152155</v>
          </cell>
          <cell r="S49">
            <v>-15239.18414155057</v>
          </cell>
          <cell r="T49">
            <v>232232733.30008638</v>
          </cell>
          <cell r="U49">
            <v>28466.135844919681</v>
          </cell>
          <cell r="V49">
            <v>11883.422972922168</v>
          </cell>
          <cell r="W49">
            <v>68189.181836566495</v>
          </cell>
          <cell r="X49">
            <v>1.152131230483658</v>
          </cell>
          <cell r="Y49">
            <v>1.152131230483658</v>
          </cell>
          <cell r="Z49">
            <v>12.780330553331439</v>
          </cell>
          <cell r="AA49">
            <v>10.232594741816106</v>
          </cell>
          <cell r="AB49">
            <v>9.4900118226524128</v>
          </cell>
          <cell r="AC49" t="str">
            <v>03</v>
          </cell>
          <cell r="AD49">
            <v>9.3590239784646734</v>
          </cell>
        </row>
        <row r="50">
          <cell r="F50">
            <v>46</v>
          </cell>
          <cell r="G50">
            <v>4.4756981147323787</v>
          </cell>
          <cell r="H50">
            <v>0.44830403318353707</v>
          </cell>
          <cell r="I50">
            <v>0.13115827207811029</v>
          </cell>
          <cell r="J50">
            <v>10.073245194005427</v>
          </cell>
          <cell r="K50">
            <v>0.64044125306577526</v>
          </cell>
          <cell r="L50">
            <v>0.20253783927059299</v>
          </cell>
          <cell r="M50">
            <v>0.43051182923933329</v>
          </cell>
          <cell r="N50">
            <v>1.1008656590579449</v>
          </cell>
          <cell r="O50">
            <v>1.2119051992930834</v>
          </cell>
          <cell r="P50">
            <v>10.073245194005427</v>
          </cell>
          <cell r="Q50">
            <v>9.1996744306539942</v>
          </cell>
          <cell r="R50">
            <v>10.94681595735686</v>
          </cell>
          <cell r="S50">
            <v>47561.102361887308</v>
          </cell>
          <cell r="T50">
            <v>2262058457.8779225</v>
          </cell>
          <cell r="U50">
            <v>23700.352347727392</v>
          </cell>
          <cell r="V50">
            <v>9893.9073813770792</v>
          </cell>
          <cell r="W50">
            <v>56772.989654593512</v>
          </cell>
          <cell r="X50">
            <v>-0.66741694448556199</v>
          </cell>
          <cell r="Y50">
            <v>0.66741694448556199</v>
          </cell>
          <cell r="Z50">
            <v>12.486051128122231</v>
          </cell>
          <cell r="AA50">
            <v>10.097788981504639</v>
          </cell>
          <cell r="AB50">
            <v>11.174110853063372</v>
          </cell>
          <cell r="AC50" t="str">
            <v>04</v>
          </cell>
          <cell r="AD50">
            <v>9.2242182181532062</v>
          </cell>
        </row>
        <row r="54">
          <cell r="A54">
            <v>2003</v>
          </cell>
          <cell r="B54">
            <v>2008</v>
          </cell>
          <cell r="C54">
            <v>11.880007112994084</v>
          </cell>
          <cell r="D54">
            <v>9.6282640588710375</v>
          </cell>
          <cell r="E54">
            <v>48</v>
          </cell>
          <cell r="F54">
            <v>46</v>
          </cell>
          <cell r="G54">
            <v>4.4220016693961481</v>
          </cell>
          <cell r="H54">
            <v>0.45483730921547644</v>
          </cell>
          <cell r="I54">
            <v>0.13540537415063419</v>
          </cell>
        </row>
        <row r="55">
          <cell r="A55">
            <v>2004</v>
          </cell>
          <cell r="B55">
            <v>2009</v>
          </cell>
          <cell r="C55">
            <v>11.543970493765777</v>
          </cell>
          <cell r="D55">
            <v>10.525589407448582</v>
          </cell>
          <cell r="E55">
            <v>48</v>
          </cell>
          <cell r="F55">
            <v>46</v>
          </cell>
          <cell r="G55">
            <v>4.0231859266848176</v>
          </cell>
          <cell r="H55">
            <v>0.48551018071026647</v>
          </cell>
          <cell r="I55">
            <v>0.13399324034918822</v>
          </cell>
        </row>
        <row r="56">
          <cell r="A56">
            <v>2005</v>
          </cell>
          <cell r="B56">
            <v>2010</v>
          </cell>
          <cell r="C56">
            <v>12.756705852259349</v>
          </cell>
          <cell r="D56">
            <v>9.9651077515502529</v>
          </cell>
          <cell r="E56">
            <v>48</v>
          </cell>
          <cell r="F56">
            <v>46</v>
          </cell>
          <cell r="G56">
            <v>4.3178158932990973</v>
          </cell>
          <cell r="H56">
            <v>0.46343795736617566</v>
          </cell>
          <cell r="I56">
            <v>0.1355318082629054</v>
          </cell>
        </row>
        <row r="57">
          <cell r="A57">
            <v>2006</v>
          </cell>
          <cell r="B57">
            <v>2011</v>
          </cell>
          <cell r="C57">
            <v>12.914653454906349</v>
          </cell>
          <cell r="D57">
            <v>10.776871376866783</v>
          </cell>
          <cell r="E57">
            <v>48</v>
          </cell>
          <cell r="F57">
            <v>46</v>
          </cell>
          <cell r="G57">
            <v>4.5330176770620412</v>
          </cell>
          <cell r="H57">
            <v>0.44463035420904218</v>
          </cell>
          <cell r="I57">
            <v>0.1354596750445283</v>
          </cell>
        </row>
        <row r="58">
          <cell r="A58">
            <v>2007</v>
          </cell>
          <cell r="B58">
            <v>2012</v>
          </cell>
          <cell r="C58">
            <v>12.994531246869743</v>
          </cell>
          <cell r="D58">
            <v>11.552581640761089</v>
          </cell>
          <cell r="E58">
            <v>48</v>
          </cell>
          <cell r="F58">
            <v>46</v>
          </cell>
          <cell r="G58">
            <v>4.8244487923967343</v>
          </cell>
          <cell r="H58">
            <v>0.41959905554460603</v>
          </cell>
          <cell r="I58">
            <v>0.13119196321176219</v>
          </cell>
        </row>
        <row r="59">
          <cell r="A59">
            <v>2008</v>
          </cell>
          <cell r="B59">
            <v>2013</v>
          </cell>
          <cell r="C59">
            <v>13.021024365187404</v>
          </cell>
          <cell r="D59">
            <v>11.337236484769031</v>
          </cell>
          <cell r="E59">
            <v>48</v>
          </cell>
          <cell r="F59">
            <v>46</v>
          </cell>
          <cell r="G59">
            <v>4.7561197553553098</v>
          </cell>
          <cell r="H59">
            <v>0.42555809876382777</v>
          </cell>
          <cell r="I59">
            <v>0.13315282279767215</v>
          </cell>
        </row>
        <row r="60">
          <cell r="A60">
            <v>2009</v>
          </cell>
          <cell r="B60">
            <v>2014</v>
          </cell>
          <cell r="C60">
            <v>13.391832272784152</v>
          </cell>
          <cell r="D60">
            <v>11.331931048113848</v>
          </cell>
          <cell r="E60">
            <v>48</v>
          </cell>
          <cell r="F60">
            <v>46</v>
          </cell>
          <cell r="G60">
            <v>4.8675634445553273</v>
          </cell>
          <cell r="H60">
            <v>0.41673836853584384</v>
          </cell>
          <cell r="I60">
            <v>0.13631438074906699</v>
          </cell>
        </row>
        <row r="61">
          <cell r="A61">
            <v>2010</v>
          </cell>
          <cell r="B61">
            <v>2015</v>
          </cell>
          <cell r="C61">
            <v>13.482330279860818</v>
          </cell>
          <cell r="D61">
            <v>10.999594742931396</v>
          </cell>
          <cell r="E61">
            <v>48</v>
          </cell>
          <cell r="F61">
            <v>46</v>
          </cell>
          <cell r="G61">
            <v>4.6693261429240005</v>
          </cell>
          <cell r="H61">
            <v>0.43355231455405419</v>
          </cell>
          <cell r="I61">
            <v>0.13875420231732602</v>
          </cell>
        </row>
        <row r="63">
          <cell r="A63">
            <v>2011</v>
          </cell>
          <cell r="B63">
            <v>2016</v>
          </cell>
          <cell r="C63">
            <v>13.237368029643422</v>
          </cell>
          <cell r="E63">
            <v>49</v>
          </cell>
          <cell r="F63">
            <v>47</v>
          </cell>
          <cell r="G63">
            <v>4.3780835878375566</v>
          </cell>
          <cell r="H63">
            <v>0.45808761593043917</v>
          </cell>
          <cell r="I63">
            <v>0.13363887176292574</v>
          </cell>
        </row>
        <row r="65">
          <cell r="E65" t="str">
            <v>d.f. =</v>
          </cell>
          <cell r="F65">
            <v>46</v>
          </cell>
        </row>
        <row r="66">
          <cell r="E66" t="str">
            <v>d.f. =</v>
          </cell>
          <cell r="F66">
            <v>47</v>
          </cell>
        </row>
      </sheetData>
      <sheetData sheetId="26">
        <row r="1">
          <cell r="G1" t="str">
            <v>Model = Predict log returns aged 2.3 (ln(R_x001E_d2.3_x001F_)) from log returns aged 2.2 (ln(R_x001E_d2.2_x001F_)).</v>
          </cell>
        </row>
        <row r="2">
          <cell r="G2" t="str">
            <v>X =</v>
          </cell>
          <cell r="H2" t="str">
            <v>ln (2.2)</v>
          </cell>
        </row>
        <row r="3">
          <cell r="G3" t="str">
            <v>Y=</v>
          </cell>
          <cell r="H3" t="str">
            <v>ln (2.3)</v>
          </cell>
        </row>
        <row r="4">
          <cell r="G4" t="str">
            <v>Return Age</v>
          </cell>
          <cell r="H4">
            <v>6</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45</v>
          </cell>
          <cell r="G13">
            <v>6.262946338299388</v>
          </cell>
          <cell r="H13">
            <v>0.52341292717926424</v>
          </cell>
          <cell r="I13">
            <v>0.13233144658616056</v>
          </cell>
          <cell r="J13">
            <v>11.069476460040001</v>
          </cell>
          <cell r="K13">
            <v>0.64011261241022177</v>
          </cell>
          <cell r="L13">
            <v>0.2579711088131042</v>
          </cell>
          <cell r="M13">
            <v>0.42242658979713099</v>
          </cell>
          <cell r="N13">
            <v>-0.83335312647981752</v>
          </cell>
          <cell r="O13">
            <v>0.69447743341368673</v>
          </cell>
          <cell r="P13">
            <v>11.069476460040001</v>
          </cell>
          <cell r="Q13">
            <v>10.214386131477122</v>
          </cell>
          <cell r="R13">
            <v>11.924566788602879</v>
          </cell>
          <cell r="S13">
            <v>-36289.11121275038</v>
          </cell>
          <cell r="T13">
            <v>1316899592.6113653</v>
          </cell>
          <cell r="U13">
            <v>64181.89625025406</v>
          </cell>
          <cell r="V13">
            <v>27293.016196741199</v>
          </cell>
          <cell r="W13">
            <v>150929.29915053598</v>
          </cell>
          <cell r="X13">
            <v>1.3010214348964182</v>
          </cell>
          <cell r="Y13">
            <v>1.3010214348964182</v>
          </cell>
          <cell r="Z13">
            <v>9.1830558095757926</v>
          </cell>
          <cell r="AA13">
            <v>11.030119884712487</v>
          </cell>
          <cell r="AB13">
            <v>10.236123333560183</v>
          </cell>
          <cell r="AC13">
            <v>68</v>
          </cell>
          <cell r="AD13">
            <v>10.175029556149608</v>
          </cell>
        </row>
        <row r="14">
          <cell r="F14">
            <v>45</v>
          </cell>
          <cell r="G14">
            <v>6.5363027139614909</v>
          </cell>
          <cell r="H14">
            <v>0.49854523619664209</v>
          </cell>
          <cell r="I14">
            <v>0.11903038376351677</v>
          </cell>
          <cell r="J14">
            <v>11.203586949342732</v>
          </cell>
          <cell r="K14">
            <v>0.57894135954196846</v>
          </cell>
          <cell r="L14">
            <v>0.28049019144032267</v>
          </cell>
          <cell r="M14">
            <v>0.34846905187707422</v>
          </cell>
          <cell r="N14">
            <v>-2.0421757308459902</v>
          </cell>
          <cell r="O14">
            <v>4.1704817156563543</v>
          </cell>
          <cell r="P14">
            <v>11.203586949342732</v>
          </cell>
          <cell r="Q14">
            <v>10.348496620779853</v>
          </cell>
          <cell r="R14">
            <v>12.058677277905611</v>
          </cell>
          <cell r="S14">
            <v>-63870.742134256703</v>
          </cell>
          <cell r="T14">
            <v>4079471700.7807145</v>
          </cell>
          <cell r="U14">
            <v>73393.228042338204</v>
          </cell>
          <cell r="V14">
            <v>31210.086936045107</v>
          </cell>
          <cell r="W14">
            <v>172590.54527828353</v>
          </cell>
          <cell r="X14">
            <v>6.7073601106672323</v>
          </cell>
          <cell r="Y14">
            <v>6.7073601106672323</v>
          </cell>
          <cell r="Z14">
            <v>9.361806906405409</v>
          </cell>
          <cell r="AA14">
            <v>11.128615652797732</v>
          </cell>
          <cell r="AB14">
            <v>9.1614112184967418</v>
          </cell>
          <cell r="AC14">
            <v>69</v>
          </cell>
          <cell r="AD14">
            <v>10.273525324234853</v>
          </cell>
        </row>
        <row r="15">
          <cell r="F15">
            <v>45</v>
          </cell>
          <cell r="G15">
            <v>5.9614987987842092</v>
          </cell>
          <cell r="H15">
            <v>0.55483046736324104</v>
          </cell>
          <cell r="I15">
            <v>0.12587991450301839</v>
          </cell>
          <cell r="J15">
            <v>11.534494258498878</v>
          </cell>
          <cell r="K15">
            <v>0.61722654127126397</v>
          </cell>
          <cell r="L15">
            <v>0.3015360329193848</v>
          </cell>
          <cell r="M15">
            <v>0.39468004626662861</v>
          </cell>
          <cell r="N15">
            <v>-1.4137061149147296</v>
          </cell>
          <cell r="O15">
            <v>1.9985649793472988</v>
          </cell>
          <cell r="P15">
            <v>11.534494258498878</v>
          </cell>
          <cell r="Q15">
            <v>10.679403929935999</v>
          </cell>
          <cell r="R15">
            <v>12.389584587061757</v>
          </cell>
          <cell r="S15">
            <v>-77325.956220211447</v>
          </cell>
          <cell r="T15">
            <v>5979303505.3700571</v>
          </cell>
          <cell r="U15">
            <v>102180.30813591222</v>
          </cell>
          <cell r="V15">
            <v>43451.642408125626</v>
          </cell>
          <cell r="W15">
            <v>240285.86244642147</v>
          </cell>
          <cell r="X15">
            <v>3.1111636498300239</v>
          </cell>
          <cell r="Y15">
            <v>3.1111636498300239</v>
          </cell>
          <cell r="Z15">
            <v>10.044501496465394</v>
          </cell>
          <cell r="AA15">
            <v>11.504795319430457</v>
          </cell>
          <cell r="AB15">
            <v>10.120788143584148</v>
          </cell>
          <cell r="AC15">
            <v>70</v>
          </cell>
          <cell r="AD15">
            <v>10.649704990867578</v>
          </cell>
        </row>
        <row r="16">
          <cell r="F16">
            <v>45</v>
          </cell>
          <cell r="G16">
            <v>6.0123817101703159</v>
          </cell>
          <cell r="H16">
            <v>0.54499550720776435</v>
          </cell>
          <cell r="I16">
            <v>0.13042601202569148</v>
          </cell>
          <cell r="J16">
            <v>11.543642158286843</v>
          </cell>
          <cell r="K16">
            <v>0.63918424005795049</v>
          </cell>
          <cell r="L16">
            <v>0.2795450142926118</v>
          </cell>
          <cell r="M16">
            <v>0.4216445844908201</v>
          </cell>
          <cell r="N16">
            <v>0.85512085859853748</v>
          </cell>
          <cell r="O16">
            <v>0.73123168281029993</v>
          </cell>
          <cell r="P16">
            <v>11.543642158286843</v>
          </cell>
          <cell r="Q16">
            <v>10.688551829723965</v>
          </cell>
          <cell r="R16">
            <v>12.398732486849722</v>
          </cell>
          <cell r="S16">
            <v>139382.12982534466</v>
          </cell>
          <cell r="T16">
            <v>19427378114.649235</v>
          </cell>
          <cell r="U16">
            <v>103119.33185404418</v>
          </cell>
          <cell r="V16">
            <v>43850.957340301669</v>
          </cell>
          <cell r="W16">
            <v>242494.05821413107</v>
          </cell>
          <cell r="X16">
            <v>-0.57476820494229341</v>
          </cell>
          <cell r="Y16">
            <v>0.57476820494229341</v>
          </cell>
          <cell r="Z16">
            <v>10.149185406051224</v>
          </cell>
          <cell r="AA16">
            <v>11.562478445652896</v>
          </cell>
          <cell r="AB16">
            <v>12.398763016885381</v>
          </cell>
          <cell r="AC16">
            <v>71</v>
          </cell>
          <cell r="AD16">
            <v>10.707388117090018</v>
          </cell>
        </row>
        <row r="17">
          <cell r="F17">
            <v>45</v>
          </cell>
          <cell r="G17">
            <v>5.7235270346330225</v>
          </cell>
          <cell r="H17">
            <v>0.57294931178076103</v>
          </cell>
          <cell r="I17">
            <v>0.12716231333150244</v>
          </cell>
          <cell r="J17">
            <v>11.214173871127709</v>
          </cell>
          <cell r="K17">
            <v>0.62148389219274358</v>
          </cell>
          <cell r="L17">
            <v>0.31088252645121867</v>
          </cell>
          <cell r="M17">
            <v>0.39959303946044444</v>
          </cell>
          <cell r="N17">
            <v>1.3295316089653362</v>
          </cell>
          <cell r="O17">
            <v>1.7676542992379556</v>
          </cell>
          <cell r="P17">
            <v>11.214173871127709</v>
          </cell>
          <cell r="Q17">
            <v>10.35908354256483</v>
          </cell>
          <cell r="R17">
            <v>12.069264199690588</v>
          </cell>
          <cell r="S17">
            <v>206150.79205094784</v>
          </cell>
          <cell r="T17">
            <v>42498149063.233139</v>
          </cell>
          <cell r="U17">
            <v>74174.364023953778</v>
          </cell>
          <cell r="V17">
            <v>31542.260932820824</v>
          </cell>
          <cell r="W17">
            <v>174427.45433106084</v>
          </cell>
          <cell r="X17">
            <v>-0.735398830905726</v>
          </cell>
          <cell r="Y17">
            <v>0.735398830905726</v>
          </cell>
          <cell r="Z17">
            <v>9.5831284261943281</v>
          </cell>
          <cell r="AA17">
            <v>11.250568656007452</v>
          </cell>
          <cell r="AB17">
            <v>12.543705480093045</v>
          </cell>
          <cell r="AC17">
            <v>72</v>
          </cell>
          <cell r="AD17">
            <v>10.395478327444573</v>
          </cell>
        </row>
        <row r="18">
          <cell r="F18">
            <v>45</v>
          </cell>
          <cell r="G18">
            <v>6.0246369380122715</v>
          </cell>
          <cell r="H18">
            <v>0.54584664264092519</v>
          </cell>
          <cell r="I18">
            <v>0.13504973543507731</v>
          </cell>
          <cell r="J18">
            <v>10.989741446945311</v>
          </cell>
          <cell r="K18">
            <v>0.65117647622485464</v>
          </cell>
          <cell r="L18">
            <v>0.26633988466660602</v>
          </cell>
          <cell r="M18">
            <v>0.43678062577514754</v>
          </cell>
          <cell r="N18">
            <v>-0.14084652089032978</v>
          </cell>
          <cell r="O18">
            <v>1.9837742446910105E-2</v>
          </cell>
          <cell r="P18">
            <v>10.989741446945311</v>
          </cell>
          <cell r="Q18">
            <v>10.134651118382433</v>
          </cell>
          <cell r="R18">
            <v>11.84483177550819</v>
          </cell>
          <cell r="S18">
            <v>-7785.8256621322871</v>
          </cell>
          <cell r="T18">
            <v>60619081.241117664</v>
          </cell>
          <cell r="U18">
            <v>59263.059424932151</v>
          </cell>
          <cell r="V18">
            <v>25201.306524917556</v>
          </cell>
          <cell r="W18">
            <v>139362.2274674717</v>
          </cell>
          <cell r="X18">
            <v>0.15124794191561108</v>
          </cell>
          <cell r="Y18">
            <v>0.15124794191561108</v>
          </cell>
          <cell r="Z18">
            <v>9.0961528771355642</v>
          </cell>
          <cell r="AA18">
            <v>10.982234466209466</v>
          </cell>
          <cell r="AB18">
            <v>10.848894926054982</v>
          </cell>
          <cell r="AC18">
            <v>73</v>
          </cell>
          <cell r="AD18">
            <v>10.127144137646587</v>
          </cell>
        </row>
        <row r="19">
          <cell r="F19">
            <v>45</v>
          </cell>
          <cell r="G19">
            <v>5.9962527556296044</v>
          </cell>
          <cell r="H19">
            <v>0.5486863299583401</v>
          </cell>
          <cell r="I19">
            <v>0.13325708407524153</v>
          </cell>
          <cell r="J19">
            <v>11.249800217926264</v>
          </cell>
          <cell r="K19">
            <v>0.65117779078190818</v>
          </cell>
          <cell r="L19">
            <v>0.27365258288876254</v>
          </cell>
          <cell r="M19">
            <v>0.4367934442249039</v>
          </cell>
          <cell r="N19">
            <v>-0.13869129499850175</v>
          </cell>
          <cell r="O19">
            <v>1.9235275308361437E-2</v>
          </cell>
          <cell r="P19">
            <v>11.249800217926264</v>
          </cell>
          <cell r="Q19">
            <v>10.394709889363385</v>
          </cell>
          <cell r="R19">
            <v>12.104890546489143</v>
          </cell>
          <cell r="S19">
            <v>-9954.21339001054</v>
          </cell>
          <cell r="T19">
            <v>99086364.213865131</v>
          </cell>
          <cell r="U19">
            <v>76864.562069025749</v>
          </cell>
          <cell r="V19">
            <v>32686.253602191362</v>
          </cell>
          <cell r="W19">
            <v>180753.6885067494</v>
          </cell>
          <cell r="X19">
            <v>0.14876941439601907</v>
          </cell>
          <cell r="Y19">
            <v>0.14876941439601907</v>
          </cell>
          <cell r="Z19">
            <v>9.5747737376572584</v>
          </cell>
          <cell r="AA19">
            <v>11.245965039698703</v>
          </cell>
          <cell r="AB19">
            <v>11.111108922927762</v>
          </cell>
          <cell r="AC19">
            <v>74</v>
          </cell>
          <cell r="AD19">
            <v>10.390874711135824</v>
          </cell>
        </row>
        <row r="20">
          <cell r="F20">
            <v>45</v>
          </cell>
          <cell r="G20">
            <v>5.8944526433888358</v>
          </cell>
          <cell r="H20">
            <v>0.55918609578542822</v>
          </cell>
          <cell r="I20">
            <v>0.13397843448059082</v>
          </cell>
          <cell r="J20">
            <v>11.864330121852614</v>
          </cell>
          <cell r="K20">
            <v>0.65019532996989904</v>
          </cell>
          <cell r="L20">
            <v>0.27907480055983103</v>
          </cell>
          <cell r="M20">
            <v>0.43551127926922317</v>
          </cell>
          <cell r="N20">
            <v>-0.281952173648925</v>
          </cell>
          <cell r="O20">
            <v>7.9497028225353553E-2</v>
          </cell>
          <cell r="P20">
            <v>11.864330121852614</v>
          </cell>
          <cell r="Q20">
            <v>11.009239793289735</v>
          </cell>
          <cell r="R20">
            <v>12.719420450415493</v>
          </cell>
          <cell r="S20">
            <v>-34914.112643230648</v>
          </cell>
          <cell r="T20">
            <v>1218995261.6641982</v>
          </cell>
          <cell r="U20">
            <v>142106.22522010616</v>
          </cell>
          <cell r="V20">
            <v>60429.930138979922</v>
          </cell>
          <cell r="W20">
            <v>334175.12149797141</v>
          </cell>
          <cell r="X20">
            <v>0.32571531434452433</v>
          </cell>
          <cell r="Y20">
            <v>0.32571531434452433</v>
          </cell>
          <cell r="Z20">
            <v>10.676012017213226</v>
          </cell>
          <cell r="AA20">
            <v>11.852771443203613</v>
          </cell>
          <cell r="AB20">
            <v>11.582377948203689</v>
          </cell>
          <cell r="AC20">
            <v>75</v>
          </cell>
          <cell r="AD20">
            <v>10.997681114640734</v>
          </cell>
        </row>
        <row r="21">
          <cell r="F21">
            <v>45</v>
          </cell>
          <cell r="G21">
            <v>6.1476012564104137</v>
          </cell>
          <cell r="H21">
            <v>0.53546841158887559</v>
          </cell>
          <cell r="I21">
            <v>0.12924233311254352</v>
          </cell>
          <cell r="J21">
            <v>11.304552106214254</v>
          </cell>
          <cell r="K21">
            <v>0.63212868393435939</v>
          </cell>
          <cell r="L21">
            <v>0.27612659631839886</v>
          </cell>
          <cell r="M21">
            <v>0.41276630738734654</v>
          </cell>
          <cell r="N21">
            <v>-1.0716859179225775</v>
          </cell>
          <cell r="O21">
            <v>1.1485107066735576</v>
          </cell>
          <cell r="P21">
            <v>11.304552106214254</v>
          </cell>
          <cell r="Q21">
            <v>10.449461777651376</v>
          </cell>
          <cell r="R21">
            <v>12.159642434777133</v>
          </cell>
          <cell r="S21">
            <v>-53388.30288916159</v>
          </cell>
          <cell r="T21">
            <v>2850310885.38486</v>
          </cell>
          <cell r="U21">
            <v>81190.384870558933</v>
          </cell>
          <cell r="V21">
            <v>34525.787157356615</v>
          </cell>
          <cell r="W21">
            <v>190926.23624730055</v>
          </cell>
          <cell r="X21">
            <v>1.9202987360761057</v>
          </cell>
          <cell r="Y21">
            <v>1.9202987360761057</v>
          </cell>
          <cell r="Z21">
            <v>9.6307284205651111</v>
          </cell>
          <cell r="AA21">
            <v>11.276797295101467</v>
          </cell>
          <cell r="AB21">
            <v>10.232866188291677</v>
          </cell>
          <cell r="AC21">
            <v>76</v>
          </cell>
          <cell r="AD21">
            <v>10.421706966538588</v>
          </cell>
        </row>
        <row r="22">
          <cell r="F22">
            <v>45</v>
          </cell>
          <cell r="G22">
            <v>5.8545557074519454</v>
          </cell>
          <cell r="H22">
            <v>0.56191232595967855</v>
          </cell>
          <cell r="I22">
            <v>0.13434270170385951</v>
          </cell>
          <cell r="J22">
            <v>11.01250141147804</v>
          </cell>
          <cell r="K22">
            <v>0.64975571522789533</v>
          </cell>
          <cell r="L22">
            <v>0.27994008156468725</v>
          </cell>
          <cell r="M22">
            <v>0.43492533485292489</v>
          </cell>
          <cell r="N22">
            <v>0.32716420310200967</v>
          </cell>
          <cell r="O22">
            <v>0.10703641579137303</v>
          </cell>
          <cell r="P22">
            <v>11.01250141147804</v>
          </cell>
          <cell r="Q22">
            <v>10.157411082915161</v>
          </cell>
          <cell r="R22">
            <v>11.867591740040918</v>
          </cell>
          <cell r="S22">
            <v>23464.556050835323</v>
          </cell>
          <cell r="T22">
            <v>550585390.66279256</v>
          </cell>
          <cell r="U22">
            <v>60627.351279414041</v>
          </cell>
          <cell r="V22">
            <v>25781.464511155129</v>
          </cell>
          <cell r="W22">
            <v>142570.47816531427</v>
          </cell>
          <cell r="X22">
            <v>-0.27903465144017137</v>
          </cell>
          <cell r="Y22">
            <v>0.27903465144017137</v>
          </cell>
          <cell r="Z22">
            <v>9.1792713306598923</v>
          </cell>
          <cell r="AA22">
            <v>11.028034553969151</v>
          </cell>
          <cell r="AB22">
            <v>11.339665614580049</v>
          </cell>
          <cell r="AC22">
            <v>77</v>
          </cell>
          <cell r="AD22">
            <v>10.172944225406273</v>
          </cell>
        </row>
        <row r="23">
          <cell r="F23">
            <v>45</v>
          </cell>
          <cell r="G23">
            <v>6.1960627615828781</v>
          </cell>
          <cell r="H23">
            <v>0.5293524490937136</v>
          </cell>
          <cell r="I23">
            <v>0.13576882346637062</v>
          </cell>
          <cell r="J23">
            <v>10.889628065748813</v>
          </cell>
          <cell r="K23">
            <v>0.64802053947516058</v>
          </cell>
          <cell r="L23">
            <v>0.25251175394789982</v>
          </cell>
          <cell r="M23">
            <v>0.4325400320629203</v>
          </cell>
          <cell r="N23">
            <v>-0.46812994661908824</v>
          </cell>
          <cell r="O23">
            <v>0.21914564692159041</v>
          </cell>
          <cell r="P23">
            <v>10.889628065748813</v>
          </cell>
          <cell r="Q23">
            <v>10.034537737185934</v>
          </cell>
          <cell r="R23">
            <v>11.744718394311692</v>
          </cell>
          <cell r="S23">
            <v>-20043.660248587737</v>
          </cell>
          <cell r="T23">
            <v>401748316.16081625</v>
          </cell>
          <cell r="U23">
            <v>53617.354130556334</v>
          </cell>
          <cell r="V23">
            <v>22800.499832628266</v>
          </cell>
          <cell r="W23">
            <v>126085.86149710293</v>
          </cell>
          <cell r="X23">
            <v>0.59700491459334404</v>
          </cell>
          <cell r="Y23">
            <v>0.59700491459334404</v>
          </cell>
          <cell r="Z23">
            <v>8.8666167733834573</v>
          </cell>
          <cell r="AA23">
            <v>10.855755047378778</v>
          </cell>
          <cell r="AB23">
            <v>10.421498119129724</v>
          </cell>
          <cell r="AC23">
            <v>78</v>
          </cell>
          <cell r="AD23">
            <v>10.0006647188159</v>
          </cell>
        </row>
        <row r="24">
          <cell r="F24">
            <v>45</v>
          </cell>
          <cell r="G24">
            <v>5.9748848230886358</v>
          </cell>
          <cell r="H24">
            <v>0.55066183457604434</v>
          </cell>
          <cell r="I24">
            <v>0.13290540523928054</v>
          </cell>
          <cell r="J24">
            <v>11.390001912777141</v>
          </cell>
          <cell r="K24">
            <v>0.651438078841303</v>
          </cell>
          <cell r="L24">
            <v>0.27613880833861298</v>
          </cell>
          <cell r="M24">
            <v>0.43712776117208807</v>
          </cell>
          <cell r="N24">
            <v>-5.934963176557595E-2</v>
          </cell>
          <cell r="O24">
            <v>3.5223787907094619E-3</v>
          </cell>
          <cell r="P24">
            <v>11.390001912777141</v>
          </cell>
          <cell r="Q24">
            <v>10.534911584214262</v>
          </cell>
          <cell r="R24">
            <v>12.24509224134002</v>
          </cell>
          <cell r="S24">
            <v>-5095.7620158162172</v>
          </cell>
          <cell r="T24">
            <v>25966790.521835357</v>
          </cell>
          <cell r="U24">
            <v>88433.126516255841</v>
          </cell>
          <cell r="V24">
            <v>37605.725217678963</v>
          </cell>
          <cell r="W24">
            <v>207958.17179889476</v>
          </cell>
          <cell r="X24">
            <v>6.1146186303855765E-2</v>
          </cell>
          <cell r="Y24">
            <v>6.1146186303855765E-2</v>
          </cell>
          <cell r="Z24">
            <v>9.8338340332912555</v>
          </cell>
          <cell r="AA24">
            <v>11.388712934684673</v>
          </cell>
          <cell r="AB24">
            <v>11.330652281011565</v>
          </cell>
          <cell r="AC24">
            <v>79</v>
          </cell>
          <cell r="AD24">
            <v>10.533622606121794</v>
          </cell>
        </row>
        <row r="25">
          <cell r="F25">
            <v>45</v>
          </cell>
          <cell r="G25">
            <v>6.0523578515780683</v>
          </cell>
          <cell r="H25">
            <v>0.54510218131048249</v>
          </cell>
          <cell r="I25">
            <v>0.1286027355833273</v>
          </cell>
          <cell r="J25">
            <v>11.422722430429504</v>
          </cell>
          <cell r="K25">
            <v>0.63041517075820386</v>
          </cell>
          <cell r="L25">
            <v>0.28533048267219041</v>
          </cell>
          <cell r="M25">
            <v>0.41075900170335694</v>
          </cell>
          <cell r="N25">
            <v>-1.1148336529819449</v>
          </cell>
          <cell r="O25">
            <v>1.2428540738210676</v>
          </cell>
          <cell r="P25">
            <v>11.422722430429504</v>
          </cell>
          <cell r="Q25">
            <v>10.567632101866625</v>
          </cell>
          <cell r="R25">
            <v>12.277812758992383</v>
          </cell>
          <cell r="S25">
            <v>203872.14489766897</v>
          </cell>
          <cell r="T25">
            <v>41563851465.176132</v>
          </cell>
          <cell r="U25">
            <v>91374.564450900187</v>
          </cell>
          <cell r="V25">
            <v>38856.556338014387</v>
          </cell>
          <cell r="W25">
            <v>214875.2183791275</v>
          </cell>
          <cell r="X25">
            <v>2.0490609348001851</v>
          </cell>
          <cell r="Y25">
            <v>2.0490609348001851</v>
          </cell>
          <cell r="Z25">
            <v>9.852032816930798</v>
          </cell>
          <cell r="AA25">
            <v>11.398740862930072</v>
          </cell>
          <cell r="AB25">
            <v>10.307888777447559</v>
          </cell>
          <cell r="AC25">
            <v>80</v>
          </cell>
          <cell r="AD25">
            <v>10.543650534367194</v>
          </cell>
        </row>
        <row r="26">
          <cell r="F26">
            <v>45</v>
          </cell>
          <cell r="G26">
            <v>5.9056615431533483</v>
          </cell>
          <cell r="H26">
            <v>0.5586395834655471</v>
          </cell>
          <cell r="I26">
            <v>0.13209934258502484</v>
          </cell>
          <cell r="J26">
            <v>11.66405623619584</v>
          </cell>
          <cell r="K26">
            <v>0.64629683589468578</v>
          </cell>
          <cell r="L26">
            <v>0.28439546567639729</v>
          </cell>
          <cell r="M26">
            <v>0.43057353481981842</v>
          </cell>
          <cell r="N26">
            <v>-0.55818546859209839</v>
          </cell>
          <cell r="O26">
            <v>0.31157101734738046</v>
          </cell>
          <cell r="P26">
            <v>11.66405623619584</v>
          </cell>
          <cell r="Q26">
            <v>10.808965907632961</v>
          </cell>
          <cell r="R26">
            <v>12.519146564758719</v>
          </cell>
          <cell r="S26">
            <v>-49754.097221186821</v>
          </cell>
          <cell r="T26">
            <v>2475470190.29531</v>
          </cell>
          <cell r="U26">
            <v>116314.87545248824</v>
          </cell>
          <cell r="V26">
            <v>49462.293343103433</v>
          </cell>
          <cell r="W26">
            <v>273524.52418007894</v>
          </cell>
          <cell r="X26">
            <v>0.74749873038276848</v>
          </cell>
          <cell r="Y26">
            <v>0.74749873038276848</v>
          </cell>
          <cell r="Z26">
            <v>10.307888777447559</v>
          </cell>
          <cell r="AA26">
            <v>11.64992747808205</v>
          </cell>
          <cell r="AB26">
            <v>11.105870767603742</v>
          </cell>
          <cell r="AC26">
            <v>81</v>
          </cell>
          <cell r="AD26">
            <v>10.794837149519172</v>
          </cell>
        </row>
        <row r="27">
          <cell r="F27">
            <v>45</v>
          </cell>
          <cell r="G27">
            <v>5.9413394627237954</v>
          </cell>
          <cell r="H27">
            <v>0.55367317823356699</v>
          </cell>
          <cell r="I27">
            <v>0.1338060175368167</v>
          </cell>
          <cell r="J27">
            <v>11.140947070547758</v>
          </cell>
          <cell r="K27">
            <v>0.65130378703146374</v>
          </cell>
          <cell r="L27">
            <v>0.27561948951042325</v>
          </cell>
          <cell r="M27">
            <v>0.43695308911312725</v>
          </cell>
          <cell r="N27">
            <v>0.10831419833919753</v>
          </cell>
          <cell r="O27">
            <v>1.1731965561863022E-2</v>
          </cell>
          <cell r="P27">
            <v>11.140947070547758</v>
          </cell>
          <cell r="Q27">
            <v>10.28585674198488</v>
          </cell>
          <cell r="R27">
            <v>11.996037399110637</v>
          </cell>
          <cell r="S27">
            <v>7886.2334902449511</v>
          </cell>
          <cell r="T27">
            <v>62192678.662661061</v>
          </cell>
          <cell r="U27">
            <v>68936.913658165169</v>
          </cell>
          <cell r="V27">
            <v>29315.06251684179</v>
          </cell>
          <cell r="W27">
            <v>162111.13525625531</v>
          </cell>
          <cell r="X27">
            <v>-0.10265439236705573</v>
          </cell>
          <cell r="Y27">
            <v>0.10265439236705573</v>
          </cell>
          <cell r="Z27">
            <v>9.3911134081169259</v>
          </cell>
          <cell r="AA27">
            <v>11.144764176902839</v>
          </cell>
          <cell r="AB27">
            <v>11.249261268886956</v>
          </cell>
          <cell r="AC27">
            <v>82</v>
          </cell>
          <cell r="AD27">
            <v>10.289673848339961</v>
          </cell>
        </row>
        <row r="28">
          <cell r="F28">
            <v>45</v>
          </cell>
          <cell r="G28">
            <v>5.9863212848306375</v>
          </cell>
          <cell r="H28">
            <v>0.5487361091294235</v>
          </cell>
          <cell r="I28">
            <v>0.13260740713136984</v>
          </cell>
          <cell r="J28">
            <v>11.558556102701246</v>
          </cell>
          <cell r="K28">
            <v>0.64984858746797003</v>
          </cell>
          <cell r="L28">
            <v>0.27563596226399234</v>
          </cell>
          <cell r="M28">
            <v>0.43510259579122612</v>
          </cell>
          <cell r="N28">
            <v>0.31417376034802302</v>
          </cell>
          <cell r="O28">
            <v>9.8705151691217005E-2</v>
          </cell>
          <cell r="P28">
            <v>11.558556102701246</v>
          </cell>
          <cell r="Q28">
            <v>10.703465774138367</v>
          </cell>
          <cell r="R28">
            <v>12.413646431264125</v>
          </cell>
          <cell r="S28">
            <v>38636.13473980609</v>
          </cell>
          <cell r="T28">
            <v>1492750907.6324511</v>
          </cell>
          <cell r="U28">
            <v>104668.77325933077</v>
          </cell>
          <cell r="V28">
            <v>44509.84920609351</v>
          </cell>
          <cell r="W28">
            <v>246137.70414916065</v>
          </cell>
          <cell r="X28">
            <v>-0.2696078960536285</v>
          </cell>
          <cell r="Y28">
            <v>0.2696078960536285</v>
          </cell>
          <cell r="Z28">
            <v>10.154671298579249</v>
          </cell>
          <cell r="AA28">
            <v>11.565501292548745</v>
          </cell>
          <cell r="AB28">
            <v>11.872729863049269</v>
          </cell>
          <cell r="AC28">
            <v>83</v>
          </cell>
          <cell r="AD28">
            <v>10.710410963985867</v>
          </cell>
        </row>
        <row r="29">
          <cell r="F29">
            <v>45</v>
          </cell>
          <cell r="G29">
            <v>5.991615844068221</v>
          </cell>
          <cell r="H29">
            <v>0.54850532502620541</v>
          </cell>
          <cell r="I29">
            <v>0.13311491406315432</v>
          </cell>
          <cell r="J29">
            <v>11.660125103322917</v>
          </cell>
          <cell r="K29">
            <v>0.65101331773267579</v>
          </cell>
          <cell r="L29">
            <v>0.27394586682237293</v>
          </cell>
          <cell r="M29">
            <v>0.43658356081166089</v>
          </cell>
          <cell r="N29">
            <v>0.17058662236759581</v>
          </cell>
          <cell r="O29">
            <v>2.9099795730784739E-2</v>
          </cell>
          <cell r="P29">
            <v>11.660125103322917</v>
          </cell>
          <cell r="Q29">
            <v>10.805034774760038</v>
          </cell>
          <cell r="R29">
            <v>12.515215431885796</v>
          </cell>
          <cell r="S29">
            <v>21549.72964352509</v>
          </cell>
          <cell r="T29">
            <v>464390847.70902401</v>
          </cell>
          <cell r="U29">
            <v>115858.52379917732</v>
          </cell>
          <cell r="V29">
            <v>49268.232185784866</v>
          </cell>
          <cell r="W29">
            <v>272451.37366218452</v>
          </cell>
          <cell r="X29">
            <v>-0.15682995092075069</v>
          </cell>
          <cell r="Y29">
            <v>0.15682995092075069</v>
          </cell>
          <cell r="Z29">
            <v>10.334465319883407</v>
          </cell>
          <cell r="AA29">
            <v>11.664571734854158</v>
          </cell>
          <cell r="AB29">
            <v>11.830711725690513</v>
          </cell>
          <cell r="AC29">
            <v>84</v>
          </cell>
          <cell r="AD29">
            <v>10.80948140629128</v>
          </cell>
        </row>
        <row r="30">
          <cell r="F30">
            <v>45</v>
          </cell>
          <cell r="G30">
            <v>5.8721774736557082</v>
          </cell>
          <cell r="H30">
            <v>0.55929805910049746</v>
          </cell>
          <cell r="I30">
            <v>0.1312227026359189</v>
          </cell>
          <cell r="J30">
            <v>11.302091305536619</v>
          </cell>
          <cell r="K30">
            <v>0.64247479988466094</v>
          </cell>
          <cell r="L30">
            <v>0.28759584064975363</v>
          </cell>
          <cell r="M30">
            <v>0.42575159721375544</v>
          </cell>
          <cell r="N30">
            <v>0.73362257655577601</v>
          </cell>
          <cell r="O30">
            <v>0.53820208483233545</v>
          </cell>
          <cell r="P30">
            <v>11.302091305536619</v>
          </cell>
          <cell r="Q30">
            <v>10.44700097697374</v>
          </cell>
          <cell r="R30">
            <v>12.157181634099498</v>
          </cell>
          <cell r="S30">
            <v>87681.601818158917</v>
          </cell>
          <cell r="T30">
            <v>7688063297.3981695</v>
          </cell>
          <cell r="U30">
            <v>80990.837140743781</v>
          </cell>
          <cell r="V30">
            <v>34440.930527371238</v>
          </cell>
          <cell r="W30">
            <v>190456.98244260385</v>
          </cell>
          <cell r="X30">
            <v>-0.5198336038736161</v>
          </cell>
          <cell r="Y30">
            <v>0.5198336038736161</v>
          </cell>
          <cell r="Z30">
            <v>9.7084439030839498</v>
          </cell>
          <cell r="AA30">
            <v>11.319620227539778</v>
          </cell>
          <cell r="AB30">
            <v>12.035713882092395</v>
          </cell>
          <cell r="AC30">
            <v>85</v>
          </cell>
          <cell r="AD30">
            <v>10.464529898976899</v>
          </cell>
        </row>
        <row r="31">
          <cell r="F31">
            <v>45</v>
          </cell>
          <cell r="G31">
            <v>5.992665125962878</v>
          </cell>
          <cell r="H31">
            <v>0.54797396067804649</v>
          </cell>
          <cell r="I31">
            <v>0.13248660354423533</v>
          </cell>
          <cell r="J31">
            <v>11.568459929718482</v>
          </cell>
          <cell r="K31">
            <v>0.64915109995717057</v>
          </cell>
          <cell r="L31">
            <v>0.27544493604286419</v>
          </cell>
          <cell r="M31">
            <v>0.43421453333800974</v>
          </cell>
          <cell r="N31">
            <v>0.37475870502548858</v>
          </cell>
          <cell r="O31">
            <v>0.14044408699238117</v>
          </cell>
          <cell r="P31">
            <v>11.568459929718482</v>
          </cell>
          <cell r="Q31">
            <v>10.713369601155604</v>
          </cell>
          <cell r="R31">
            <v>12.423550258281361</v>
          </cell>
          <cell r="S31">
            <v>48060.281773980809</v>
          </cell>
          <cell r="T31">
            <v>2309790684.1944318</v>
          </cell>
          <cell r="U31">
            <v>105710.5449317794</v>
          </cell>
          <cell r="V31">
            <v>44952.857169251562</v>
          </cell>
          <cell r="W31">
            <v>248587.52064857466</v>
          </cell>
          <cell r="X31">
            <v>-0.31254486175029772</v>
          </cell>
          <cell r="Y31">
            <v>0.31254486175029772</v>
          </cell>
          <cell r="Z31">
            <v>10.17529153548881</v>
          </cell>
          <cell r="AA31">
            <v>11.576863494563332</v>
          </cell>
          <cell r="AB31">
            <v>11.943218634743971</v>
          </cell>
          <cell r="AC31">
            <v>86</v>
          </cell>
          <cell r="AD31">
            <v>10.721773166000453</v>
          </cell>
        </row>
        <row r="32">
          <cell r="F32">
            <v>45</v>
          </cell>
          <cell r="G32">
            <v>5.7524068081135971</v>
          </cell>
          <cell r="H32">
            <v>0.5717060973181729</v>
          </cell>
          <cell r="I32">
            <v>0.1343542956791148</v>
          </cell>
          <cell r="J32">
            <v>10.930145997367262</v>
          </cell>
          <cell r="K32">
            <v>0.64680685822314898</v>
          </cell>
          <cell r="L32">
            <v>0.28692351197528737</v>
          </cell>
          <cell r="M32">
            <v>0.43102518735273715</v>
          </cell>
          <cell r="N32">
            <v>0.53883517730396591</v>
          </cell>
          <cell r="O32">
            <v>0.29034334830019637</v>
          </cell>
          <cell r="P32">
            <v>10.930145997367262</v>
          </cell>
          <cell r="Q32">
            <v>10.075055668804383</v>
          </cell>
          <cell r="R32">
            <v>11.785236325930141</v>
          </cell>
          <cell r="S32">
            <v>39866.296265401579</v>
          </cell>
          <cell r="T32">
            <v>1589321577.9207718</v>
          </cell>
          <cell r="U32">
            <v>55834.430792288687</v>
          </cell>
          <cell r="V32">
            <v>23743.300104563805</v>
          </cell>
          <cell r="W32">
            <v>131299.50967934949</v>
          </cell>
          <cell r="X32">
            <v>-0.41657255374214031</v>
          </cell>
          <cell r="Y32">
            <v>0.41657255374214031</v>
          </cell>
          <cell r="Z32">
            <v>9.0566450376198926</v>
          </cell>
          <cell r="AA32">
            <v>10.960464781617301</v>
          </cell>
          <cell r="AB32">
            <v>11.468981174671228</v>
          </cell>
          <cell r="AC32">
            <v>87</v>
          </cell>
          <cell r="AD32">
            <v>10.105374453054422</v>
          </cell>
        </row>
        <row r="33">
          <cell r="F33">
            <v>45</v>
          </cell>
          <cell r="G33">
            <v>5.974131921316074</v>
          </cell>
          <cell r="H33">
            <v>0.55064182826226393</v>
          </cell>
          <cell r="I33">
            <v>0.13414423039715545</v>
          </cell>
          <cell r="J33">
            <v>11.100074454494337</v>
          </cell>
          <cell r="K33">
            <v>0.65149380838597404</v>
          </cell>
          <cell r="L33">
            <v>0.27243079407133414</v>
          </cell>
          <cell r="M33">
            <v>0.43719875456218543</v>
          </cell>
          <cell r="N33">
            <v>-1.3626791850223086E-2</v>
          </cell>
          <cell r="O33">
            <v>1.8568945612930631E-4</v>
          </cell>
          <cell r="P33">
            <v>11.100074454494337</v>
          </cell>
          <cell r="Q33">
            <v>10.244984125931458</v>
          </cell>
          <cell r="R33">
            <v>11.955164783057215</v>
          </cell>
          <cell r="S33">
            <v>-895.6514767668632</v>
          </cell>
          <cell r="T33">
            <v>802191.56783466286</v>
          </cell>
          <cell r="U33">
            <v>66176.08709206013</v>
          </cell>
          <cell r="V33">
            <v>28141.035437752493</v>
          </cell>
          <cell r="W33">
            <v>155618.81198375984</v>
          </cell>
          <cell r="X33">
            <v>1.3720059744163819E-2</v>
          </cell>
          <cell r="Y33">
            <v>1.3720059744163819E-2</v>
          </cell>
          <cell r="Z33">
            <v>9.3090322421652996</v>
          </cell>
          <cell r="AA33">
            <v>11.099535657306991</v>
          </cell>
          <cell r="AB33">
            <v>11.086447662644114</v>
          </cell>
          <cell r="AC33">
            <v>88</v>
          </cell>
          <cell r="AD33">
            <v>10.244445328744112</v>
          </cell>
        </row>
        <row r="34">
          <cell r="F34">
            <v>45</v>
          </cell>
          <cell r="G34">
            <v>5.9160104222276466</v>
          </cell>
          <cell r="H34">
            <v>0.55525385490567147</v>
          </cell>
          <cell r="I34">
            <v>0.13185000751894457</v>
          </cell>
          <cell r="J34">
            <v>11.357618165236762</v>
          </cell>
          <cell r="K34">
            <v>0.64611475410813279</v>
          </cell>
          <cell r="L34">
            <v>0.28269316224585844</v>
          </cell>
          <cell r="M34">
            <v>0.43036439334006826</v>
          </cell>
          <cell r="N34">
            <v>0.56692209949483718</v>
          </cell>
          <cell r="O34">
            <v>0.32140066689563407</v>
          </cell>
          <cell r="P34">
            <v>11.357618165236762</v>
          </cell>
          <cell r="Q34">
            <v>10.502527836673883</v>
          </cell>
          <cell r="R34">
            <v>12.21270849379964</v>
          </cell>
          <cell r="S34">
            <v>65310.091798255409</v>
          </cell>
          <cell r="T34">
            <v>4265408090.6965485</v>
          </cell>
          <cell r="U34">
            <v>85615.204176067535</v>
          </cell>
          <cell r="V34">
            <v>36407.418458837856</v>
          </cell>
          <cell r="W34">
            <v>201331.58285850374</v>
          </cell>
          <cell r="X34">
            <v>-0.43273124877201946</v>
          </cell>
          <cell r="Y34">
            <v>0.43273124877201946</v>
          </cell>
          <cell r="Z34">
            <v>9.800216054211015</v>
          </cell>
          <cell r="AA34">
            <v>11.370188692150158</v>
          </cell>
          <cell r="AB34">
            <v>11.924540264731599</v>
          </cell>
          <cell r="AC34">
            <v>89</v>
          </cell>
          <cell r="AD34">
            <v>10.515098363587279</v>
          </cell>
        </row>
        <row r="35">
          <cell r="F35">
            <v>45</v>
          </cell>
          <cell r="G35">
            <v>5.9078137572558775</v>
          </cell>
          <cell r="H35">
            <v>0.55537303347193268</v>
          </cell>
          <cell r="I35">
            <v>0.13008780919358065</v>
          </cell>
          <cell r="J35">
            <v>11.385949284621081</v>
          </cell>
          <cell r="K35">
            <v>0.6377341636508016</v>
          </cell>
          <cell r="L35">
            <v>0.28826985236586417</v>
          </cell>
          <cell r="M35">
            <v>0.4198431119505292</v>
          </cell>
          <cell r="N35">
            <v>0.90327232449797101</v>
          </cell>
          <cell r="O35">
            <v>0.81590089220396789</v>
          </cell>
          <cell r="P35">
            <v>11.385949284621081</v>
          </cell>
          <cell r="Q35">
            <v>10.530858956058202</v>
          </cell>
          <cell r="R35">
            <v>12.241039613183959</v>
          </cell>
          <cell r="S35">
            <v>129265.26999271469</v>
          </cell>
          <cell r="T35">
            <v>16709510026.289425</v>
          </cell>
          <cell r="U35">
            <v>88075.465161558735</v>
          </cell>
          <cell r="V35">
            <v>37453.631594445484</v>
          </cell>
          <cell r="W35">
            <v>207117.10008317011</v>
          </cell>
          <cell r="X35">
            <v>-0.59475859369371897</v>
          </cell>
          <cell r="Y35">
            <v>0.59475859369371897</v>
          </cell>
          <cell r="Z35">
            <v>9.8638846274520393</v>
          </cell>
          <cell r="AA35">
            <v>11.405271470021132</v>
          </cell>
          <cell r="AB35">
            <v>12.289221609119052</v>
          </cell>
          <cell r="AC35">
            <v>90</v>
          </cell>
          <cell r="AD35">
            <v>10.550181141458253</v>
          </cell>
        </row>
        <row r="36">
          <cell r="F36">
            <v>45</v>
          </cell>
          <cell r="G36">
            <v>5.5077788096338631</v>
          </cell>
          <cell r="H36">
            <v>0.59955738970055372</v>
          </cell>
          <cell r="I36">
            <v>0.13262906955317497</v>
          </cell>
          <cell r="J36">
            <v>12.151007264937444</v>
          </cell>
          <cell r="K36">
            <v>0.63343023734433324</v>
          </cell>
          <cell r="L36">
            <v>0.31229930808861134</v>
          </cell>
          <cell r="M36">
            <v>0.41327247715440241</v>
          </cell>
          <cell r="N36">
            <v>-1.0605285133469664</v>
          </cell>
          <cell r="O36">
            <v>1.1247207276219267</v>
          </cell>
          <cell r="P36">
            <v>12.151007264937444</v>
          </cell>
          <cell r="Q36">
            <v>11.295916936374566</v>
          </cell>
          <cell r="R36">
            <v>13.006097593500323</v>
          </cell>
          <cell r="S36">
            <v>-123740.53567912386</v>
          </cell>
          <cell r="T36">
            <v>15311720170.156525</v>
          </cell>
          <cell r="U36">
            <v>189284.65364327803</v>
          </cell>
          <cell r="V36">
            <v>80492.310441203022</v>
          </cell>
          <cell r="W36">
            <v>445119.29038274265</v>
          </cell>
          <cell r="X36">
            <v>1.8878968780508587</v>
          </cell>
          <cell r="Y36">
            <v>1.8878968780508587</v>
          </cell>
          <cell r="Z36">
            <v>11.080221125489775</v>
          </cell>
          <cell r="AA36">
            <v>12.075499511970092</v>
          </cell>
          <cell r="AB36">
            <v>11.090478751590478</v>
          </cell>
          <cell r="AC36">
            <v>91</v>
          </cell>
          <cell r="AD36">
            <v>11.220409183407213</v>
          </cell>
        </row>
        <row r="37">
          <cell r="F37">
            <v>45</v>
          </cell>
          <cell r="G37">
            <v>5.5283840171485972</v>
          </cell>
          <cell r="H37">
            <v>0.5935619516098789</v>
          </cell>
          <cell r="I37">
            <v>0.13520536885658524</v>
          </cell>
          <cell r="J37">
            <v>10.713658233303443</v>
          </cell>
          <cell r="K37">
            <v>0.64085773788074252</v>
          </cell>
          <cell r="L37">
            <v>0.29985906865277639</v>
          </cell>
          <cell r="M37">
            <v>0.42281261757968841</v>
          </cell>
          <cell r="N37">
            <v>0.8223953596862561</v>
          </cell>
          <cell r="O37">
            <v>0.67633412763348655</v>
          </cell>
          <cell r="P37">
            <v>10.713658233303443</v>
          </cell>
          <cell r="Q37">
            <v>9.8585679047405641</v>
          </cell>
          <cell r="R37">
            <v>11.568748561866322</v>
          </cell>
          <cell r="S37">
            <v>57373.931824579522</v>
          </cell>
          <cell r="T37">
            <v>3291768053.0114989</v>
          </cell>
          <cell r="U37">
            <v>44965.833881625927</v>
          </cell>
          <cell r="V37">
            <v>19121.48602848942</v>
          </cell>
          <cell r="W37">
            <v>105741.06079713034</v>
          </cell>
          <cell r="X37">
            <v>-0.56062207518910323</v>
          </cell>
          <cell r="Y37">
            <v>0.56062207518910323</v>
          </cell>
          <cell r="Z37">
            <v>8.7358601778486111</v>
          </cell>
          <cell r="AA37">
            <v>10.783705300340344</v>
          </cell>
          <cell r="AB37">
            <v>11.536053592989699</v>
          </cell>
          <cell r="AC37">
            <v>92</v>
          </cell>
          <cell r="AD37">
            <v>9.9286149717774652</v>
          </cell>
        </row>
        <row r="38">
          <cell r="F38">
            <v>45</v>
          </cell>
          <cell r="G38">
            <v>5.987858453060003</v>
          </cell>
          <cell r="H38">
            <v>0.54820372158762143</v>
          </cell>
          <cell r="I38">
            <v>0.13207199236432987</v>
          </cell>
          <cell r="J38">
            <v>11.53376567846243</v>
          </cell>
          <cell r="K38">
            <v>0.64738847000637545</v>
          </cell>
          <cell r="L38">
            <v>0.27686560426343382</v>
          </cell>
          <cell r="M38">
            <v>0.43198061102459995</v>
          </cell>
          <cell r="N38">
            <v>0.49541743582825681</v>
          </cell>
          <cell r="O38">
            <v>0.24543843572264495</v>
          </cell>
          <cell r="P38">
            <v>11.53376567846243</v>
          </cell>
          <cell r="Q38">
            <v>10.678675349899551</v>
          </cell>
          <cell r="R38">
            <v>12.388856007025309</v>
          </cell>
          <cell r="S38">
            <v>65468.57890905418</v>
          </cell>
          <cell r="T38">
            <v>4286134824.3710537</v>
          </cell>
          <cell r="U38">
            <v>102105.88871682984</v>
          </cell>
          <cell r="V38">
            <v>43419.995938808985</v>
          </cell>
          <cell r="W38">
            <v>240110.85872385307</v>
          </cell>
          <cell r="X38">
            <v>-0.39068349633796912</v>
          </cell>
          <cell r="Y38">
            <v>0.39068349633796912</v>
          </cell>
          <cell r="Z38">
            <v>10.116507799949339</v>
          </cell>
          <cell r="AA38">
            <v>11.544472369218804</v>
          </cell>
          <cell r="AB38">
            <v>12.029183114290687</v>
          </cell>
          <cell r="AC38">
            <v>93</v>
          </cell>
          <cell r="AD38">
            <v>10.689382040655925</v>
          </cell>
        </row>
        <row r="39">
          <cell r="F39">
            <v>45</v>
          </cell>
          <cell r="G39">
            <v>5.9957165347292989</v>
          </cell>
          <cell r="H39">
            <v>0.54952032479525614</v>
          </cell>
          <cell r="I39">
            <v>0.13197406654205196</v>
          </cell>
          <cell r="J39">
            <v>11.441055996993846</v>
          </cell>
          <cell r="K39">
            <v>0.6470974225585896</v>
          </cell>
          <cell r="L39">
            <v>0.27812489912190214</v>
          </cell>
          <cell r="M39">
            <v>0.43161518317138353</v>
          </cell>
          <cell r="N39">
            <v>-0.51245833471982216</v>
          </cell>
          <cell r="O39">
            <v>0.26261354482381327</v>
          </cell>
          <cell r="P39">
            <v>11.441055996993846</v>
          </cell>
          <cell r="Q39">
            <v>10.585965668430967</v>
          </cell>
          <cell r="R39">
            <v>12.296146325556725</v>
          </cell>
          <cell r="S39">
            <v>-37317.189505735339</v>
          </cell>
          <cell r="T39">
            <v>1392572632.6069636</v>
          </cell>
          <cell r="U39">
            <v>93065.236781989588</v>
          </cell>
          <cell r="V39">
            <v>39575.505917439164</v>
          </cell>
          <cell r="W39">
            <v>218850.98109311113</v>
          </cell>
          <cell r="X39">
            <v>0.66939007425342612</v>
          </cell>
          <cell r="Y39">
            <v>0.66939007425342612</v>
          </cell>
          <cell r="Z39">
            <v>9.9092594332946771</v>
          </cell>
          <cell r="AA39">
            <v>11.430273981515926</v>
          </cell>
          <cell r="AB39">
            <v>10.928597662274024</v>
          </cell>
          <cell r="AC39">
            <v>94</v>
          </cell>
          <cell r="AD39">
            <v>10.575183652953047</v>
          </cell>
        </row>
        <row r="40">
          <cell r="F40">
            <v>45</v>
          </cell>
          <cell r="G40">
            <v>5.9027305606745388</v>
          </cell>
          <cell r="H40">
            <v>0.55696817077853122</v>
          </cell>
          <cell r="I40">
            <v>0.13275258222584929</v>
          </cell>
          <cell r="J40">
            <v>11.253263000258951</v>
          </cell>
          <cell r="K40">
            <v>0.64905519834096737</v>
          </cell>
          <cell r="L40">
            <v>0.28117907436919248</v>
          </cell>
          <cell r="M40">
            <v>0.43407917382460626</v>
          </cell>
          <cell r="N40">
            <v>0.38315269034987409</v>
          </cell>
          <cell r="O40">
            <v>0.14680598412234649</v>
          </cell>
          <cell r="P40">
            <v>11.253263000258951</v>
          </cell>
          <cell r="Q40">
            <v>10.398172671696072</v>
          </cell>
          <cell r="R40">
            <v>12.108353328821829</v>
          </cell>
          <cell r="S40">
            <v>36012.705854374872</v>
          </cell>
          <cell r="T40">
            <v>1296914982.9537261</v>
          </cell>
          <cell r="U40">
            <v>77131.188685112356</v>
          </cell>
          <cell r="V40">
            <v>32799.635178250748</v>
          </cell>
          <cell r="W40">
            <v>181380.68413405091</v>
          </cell>
          <cell r="X40">
            <v>-0.31829119901654468</v>
          </cell>
          <cell r="Y40">
            <v>0.31829119901654468</v>
          </cell>
          <cell r="Z40">
            <v>9.6065317917636612</v>
          </cell>
          <cell r="AA40">
            <v>11.263464422849815</v>
          </cell>
          <cell r="AB40">
            <v>11.636415690608825</v>
          </cell>
          <cell r="AC40">
            <v>95</v>
          </cell>
          <cell r="AD40">
            <v>10.408374094286936</v>
          </cell>
        </row>
        <row r="41">
          <cell r="F41">
            <v>45</v>
          </cell>
          <cell r="G41">
            <v>5.975380366428606</v>
          </cell>
          <cell r="H41">
            <v>0.55043901883861901</v>
          </cell>
          <cell r="I41">
            <v>0.13386197559384796</v>
          </cell>
          <cell r="J41">
            <v>11.795531117385341</v>
          </cell>
          <cell r="K41">
            <v>0.65148768925142519</v>
          </cell>
          <cell r="L41">
            <v>0.27312030424764</v>
          </cell>
          <cell r="M41">
            <v>0.43719085625860227</v>
          </cell>
          <cell r="N41">
            <v>2.3598934817769646E-2</v>
          </cell>
          <cell r="O41">
            <v>5.569097245333404E-4</v>
          </cell>
          <cell r="P41">
            <v>11.795531117385341</v>
          </cell>
          <cell r="Q41">
            <v>10.940440788822462</v>
          </cell>
          <cell r="R41">
            <v>12.65062144594822</v>
          </cell>
          <cell r="S41">
            <v>3167.8236534826865</v>
          </cell>
          <cell r="T41">
            <v>10035106.699564395</v>
          </cell>
          <cell r="U41">
            <v>132658.19242772137</v>
          </cell>
          <cell r="V41">
            <v>56412.203535445988</v>
          </cell>
          <cell r="W41">
            <v>311957.25242558058</v>
          </cell>
          <cell r="X41">
            <v>-2.3322657506120125E-2</v>
          </cell>
          <cell r="Y41">
            <v>2.3322657506120125E-2</v>
          </cell>
          <cell r="Z41">
            <v>10.57365221534762</v>
          </cell>
          <cell r="AA41">
            <v>11.796368951221053</v>
          </cell>
          <cell r="AB41">
            <v>11.819130052203111</v>
          </cell>
          <cell r="AC41">
            <v>96</v>
          </cell>
          <cell r="AD41">
            <v>10.941278622658174</v>
          </cell>
        </row>
        <row r="42">
          <cell r="F42">
            <v>45</v>
          </cell>
          <cell r="G42">
            <v>6.1732229317953475</v>
          </cell>
          <cell r="H42">
            <v>0.52946470314949867</v>
          </cell>
          <cell r="I42">
            <v>0.13410783765028894</v>
          </cell>
          <cell r="J42">
            <v>11.934948875541473</v>
          </cell>
          <cell r="K42">
            <v>0.64615562693636974</v>
          </cell>
          <cell r="L42">
            <v>0.25726780535006172</v>
          </cell>
          <cell r="M42">
            <v>0.43018257891730116</v>
          </cell>
          <cell r="N42">
            <v>0.57440921368453601</v>
          </cell>
          <cell r="O42">
            <v>0.32994594476568695</v>
          </cell>
          <cell r="P42">
            <v>11.934948875541473</v>
          </cell>
          <cell r="Q42">
            <v>11.079858546978594</v>
          </cell>
          <cell r="R42">
            <v>12.790039204104351</v>
          </cell>
          <cell r="S42">
            <v>118355.77454847138</v>
          </cell>
          <cell r="T42">
            <v>14008089368.968586</v>
          </cell>
          <cell r="U42">
            <v>152504.42264218919</v>
          </cell>
          <cell r="V42">
            <v>64851.709289151113</v>
          </cell>
          <cell r="W42">
            <v>358627.38515849994</v>
          </cell>
          <cell r="X42">
            <v>-0.43696259463755704</v>
          </cell>
          <cell r="Y42">
            <v>0.43696259463755704</v>
          </cell>
          <cell r="Z42">
            <v>10.882171954943811</v>
          </cell>
          <cell r="AA42">
            <v>11.966370082738315</v>
          </cell>
          <cell r="AB42">
            <v>12.509358089226009</v>
          </cell>
          <cell r="AC42">
            <v>97</v>
          </cell>
          <cell r="AD42">
            <v>11.111279754175436</v>
          </cell>
        </row>
        <row r="43">
          <cell r="F43">
            <v>45</v>
          </cell>
          <cell r="G43">
            <v>5.9466771286995934</v>
          </cell>
          <cell r="H43">
            <v>0.55408229889866467</v>
          </cell>
          <cell r="I43">
            <v>0.13258380538400646</v>
          </cell>
          <cell r="J43">
            <v>11.594841949141077</v>
          </cell>
          <cell r="K43">
            <v>0.64952301077969932</v>
          </cell>
          <cell r="L43">
            <v>0.27959611145602387</v>
          </cell>
          <cell r="M43">
            <v>0.43468677079763968</v>
          </cell>
          <cell r="N43">
            <v>-0.34387341623012269</v>
          </cell>
          <cell r="O43">
            <v>0.1182489263897752</v>
          </cell>
          <cell r="P43">
            <v>11.594841949141077</v>
          </cell>
          <cell r="Q43">
            <v>10.739751620578199</v>
          </cell>
          <cell r="R43">
            <v>12.449932277703956</v>
          </cell>
          <cell r="S43">
            <v>-31582.099519654235</v>
          </cell>
          <cell r="T43">
            <v>997429010.06934428</v>
          </cell>
          <cell r="U43">
            <v>108536.51608729485</v>
          </cell>
          <cell r="V43">
            <v>46154.586644776391</v>
          </cell>
          <cell r="W43">
            <v>255233.03707673552</v>
          </cell>
          <cell r="X43">
            <v>0.41040009044697939</v>
          </cell>
          <cell r="Y43">
            <v>0.41040009044697939</v>
          </cell>
          <cell r="Z43">
            <v>10.193729039292897</v>
          </cell>
          <cell r="AA43">
            <v>11.587022962846143</v>
          </cell>
          <cell r="AB43">
            <v>11.250968532910955</v>
          </cell>
          <cell r="AC43">
            <v>98</v>
          </cell>
          <cell r="AD43">
            <v>10.731932634283265</v>
          </cell>
        </row>
        <row r="44">
          <cell r="F44">
            <v>45</v>
          </cell>
          <cell r="G44">
            <v>5.9896056900007029</v>
          </cell>
          <cell r="H44">
            <v>0.54960376133236066</v>
          </cell>
          <cell r="I44">
            <v>0.13267746590361743</v>
          </cell>
          <cell r="J44">
            <v>11.402162789869291</v>
          </cell>
          <cell r="K44">
            <v>0.65037557710387428</v>
          </cell>
          <cell r="L44">
            <v>0.27605614948576535</v>
          </cell>
          <cell r="M44">
            <v>0.43577428046783401</v>
          </cell>
          <cell r="N44">
            <v>-0.25910610160828718</v>
          </cell>
          <cell r="O44">
            <v>6.7135971890644033E-2</v>
          </cell>
          <cell r="P44">
            <v>11.402162789869291</v>
          </cell>
          <cell r="Q44">
            <v>10.547072461306412</v>
          </cell>
          <cell r="R44">
            <v>12.257253118432169</v>
          </cell>
          <cell r="S44">
            <v>-20432.618836554684</v>
          </cell>
          <cell r="T44">
            <v>417491912.51992929</v>
          </cell>
          <cell r="U44">
            <v>89515.116538214701</v>
          </cell>
          <cell r="V44">
            <v>38065.835823929847</v>
          </cell>
          <cell r="W44">
            <v>210502.56523758938</v>
          </cell>
          <cell r="X44">
            <v>0.29577128095158173</v>
          </cell>
          <cell r="Y44">
            <v>0.29577128095158173</v>
          </cell>
          <cell r="Z44">
            <v>9.8481078199817205</v>
          </cell>
          <cell r="AA44">
            <v>11.396578103673829</v>
          </cell>
          <cell r="AB44">
            <v>11.143056688261003</v>
          </cell>
          <cell r="AC44">
            <v>99</v>
          </cell>
          <cell r="AD44">
            <v>10.54148777511095</v>
          </cell>
        </row>
        <row r="45">
          <cell r="F45">
            <v>45</v>
          </cell>
          <cell r="G45">
            <v>5.9085999008394996</v>
          </cell>
          <cell r="H45">
            <v>0.55790511664426823</v>
          </cell>
          <cell r="I45">
            <v>0.1330927960667746</v>
          </cell>
          <cell r="J45">
            <v>11.742151014338488</v>
          </cell>
          <cell r="K45">
            <v>0.64949784130292265</v>
          </cell>
          <cell r="L45">
            <v>0.28082401949483676</v>
          </cell>
          <cell r="M45">
            <v>0.43463493816552462</v>
          </cell>
          <cell r="N45">
            <v>-0.34739755338686962</v>
          </cell>
          <cell r="O45">
            <v>0.12068506009918292</v>
          </cell>
          <cell r="P45">
            <v>11.742151014338488</v>
          </cell>
          <cell r="Q45">
            <v>10.887060685775609</v>
          </cell>
          <cell r="R45">
            <v>12.597241342901366</v>
          </cell>
          <cell r="S45">
            <v>-36908.245722920867</v>
          </cell>
          <cell r="T45">
            <v>1362218602.3435063</v>
          </cell>
          <cell r="U45">
            <v>125762.56636969055</v>
          </cell>
          <cell r="V45">
            <v>53479.874566001417</v>
          </cell>
          <cell r="W45">
            <v>295741.58930330805</v>
          </cell>
          <cell r="X45">
            <v>0.41537930237118609</v>
          </cell>
          <cell r="Y45">
            <v>0.41537930237118609</v>
          </cell>
          <cell r="Z45">
            <v>10.456170663189274</v>
          </cell>
          <cell r="AA45">
            <v>11.731634043738428</v>
          </cell>
          <cell r="AB45">
            <v>11.394753460951618</v>
          </cell>
          <cell r="AC45" t="str">
            <v>00</v>
          </cell>
          <cell r="AD45">
            <v>10.876543715175549</v>
          </cell>
        </row>
        <row r="46">
          <cell r="F46">
            <v>45</v>
          </cell>
          <cell r="G46">
            <v>5.96440081769813</v>
          </cell>
          <cell r="H46">
            <v>0.55155792950641613</v>
          </cell>
          <cell r="I46">
            <v>0.1351024963478869</v>
          </cell>
          <cell r="J46">
            <v>10.982821849553584</v>
          </cell>
          <cell r="K46">
            <v>0.65149339389177918</v>
          </cell>
          <cell r="L46">
            <v>0.27027334387372542</v>
          </cell>
          <cell r="M46">
            <v>0.43719815180327881</v>
          </cell>
          <cell r="N46">
            <v>1.4629392493702653E-2</v>
          </cell>
          <cell r="O46">
            <v>2.1401912473480354E-4</v>
          </cell>
          <cell r="P46">
            <v>10.982821849553584</v>
          </cell>
          <cell r="Q46">
            <v>10.127731520990706</v>
          </cell>
          <cell r="R46">
            <v>11.837912178116463</v>
          </cell>
          <cell r="S46">
            <v>867.33290256001783</v>
          </cell>
          <cell r="T46">
            <v>752266.3638631854</v>
          </cell>
          <cell r="U46">
            <v>58854.398428875102</v>
          </cell>
          <cell r="V46">
            <v>25027.5255705364</v>
          </cell>
          <cell r="W46">
            <v>138401.22566901197</v>
          </cell>
          <cell r="X46">
            <v>-1.4522902856694119E-2</v>
          </cell>
          <cell r="Y46">
            <v>1.4522902856694119E-2</v>
          </cell>
          <cell r="Z46">
            <v>9.0986291074563823</v>
          </cell>
          <cell r="AA46">
            <v>10.98359892333298</v>
          </cell>
          <cell r="AB46">
            <v>10.997451242047287</v>
          </cell>
          <cell r="AC46" t="str">
            <v>01</v>
          </cell>
          <cell r="AD46">
            <v>10.128508594770102</v>
          </cell>
        </row>
        <row r="47">
          <cell r="F47">
            <v>45</v>
          </cell>
          <cell r="G47">
            <v>5.8473968845191715</v>
          </cell>
          <cell r="H47">
            <v>0.56275258330942213</v>
          </cell>
          <cell r="I47">
            <v>0.13585113606788154</v>
          </cell>
          <cell r="J47">
            <v>10.87180773799243</v>
          </cell>
          <cell r="K47">
            <v>0.65035032878819199</v>
          </cell>
          <cell r="L47">
            <v>0.27605770900087417</v>
          </cell>
          <cell r="M47">
            <v>0.43567131577049695</v>
          </cell>
          <cell r="N47">
            <v>0.26828215122419152</v>
          </cell>
          <cell r="O47">
            <v>7.1975312665479962E-2</v>
          </cell>
          <cell r="P47">
            <v>10.87180773799243</v>
          </cell>
          <cell r="Q47">
            <v>10.016717409429551</v>
          </cell>
          <cell r="R47">
            <v>11.726898066555309</v>
          </cell>
          <cell r="S47">
            <v>16207.509108591956</v>
          </cell>
          <cell r="T47">
            <v>262683351.50509122</v>
          </cell>
          <cell r="U47">
            <v>52670.338432962104</v>
          </cell>
          <cell r="V47">
            <v>22397.786352923231</v>
          </cell>
          <cell r="W47">
            <v>123858.87189609239</v>
          </cell>
          <cell r="X47">
            <v>-0.23530800811993946</v>
          </cell>
          <cell r="Y47">
            <v>0.23530800811993946</v>
          </cell>
          <cell r="Z47">
            <v>8.9282768351338753</v>
          </cell>
          <cell r="AA47">
            <v>10.889731091442329</v>
          </cell>
          <cell r="AB47">
            <v>11.140089889216622</v>
          </cell>
          <cell r="AC47" t="str">
            <v>02</v>
          </cell>
          <cell r="AD47">
            <v>10.03464076287945</v>
          </cell>
        </row>
        <row r="48">
          <cell r="F48">
            <v>45</v>
          </cell>
          <cell r="G48">
            <v>6.1103000892772918</v>
          </cell>
          <cell r="H48">
            <v>0.53795188919818737</v>
          </cell>
          <cell r="I48">
            <v>0.13338226564638911</v>
          </cell>
          <cell r="J48">
            <v>11.119853598346879</v>
          </cell>
          <cell r="K48">
            <v>0.64785396614767765</v>
          </cell>
          <cell r="L48">
            <v>0.26550244932934869</v>
          </cell>
          <cell r="M48">
            <v>0.43248505831216844</v>
          </cell>
          <cell r="N48">
            <v>-0.47088152778264636</v>
          </cell>
          <cell r="O48">
            <v>0.22172941320691916</v>
          </cell>
          <cell r="P48">
            <v>11.119853598346879</v>
          </cell>
          <cell r="Q48">
            <v>10.264763269784</v>
          </cell>
          <cell r="R48">
            <v>11.974943926909758</v>
          </cell>
          <cell r="S48">
            <v>-25348.777906798612</v>
          </cell>
          <cell r="T48">
            <v>642560541.36820138</v>
          </cell>
          <cell r="U48">
            <v>67498.023729253662</v>
          </cell>
          <cell r="V48">
            <v>28703.18208903417</v>
          </cell>
          <cell r="W48">
            <v>158727.46071229043</v>
          </cell>
          <cell r="X48">
            <v>0.6014052544041969</v>
          </cell>
          <cell r="Y48">
            <v>0.6014052544041969</v>
          </cell>
          <cell r="Z48">
            <v>9.3122705016173164</v>
          </cell>
          <cell r="AA48">
            <v>11.101320009166322</v>
          </cell>
          <cell r="AB48">
            <v>10.648972070564232</v>
          </cell>
          <cell r="AC48" t="str">
            <v>03</v>
          </cell>
          <cell r="AD48">
            <v>10.246229680603443</v>
          </cell>
        </row>
        <row r="49">
          <cell r="F49">
            <v>45</v>
          </cell>
          <cell r="G49">
            <v>5.9662133958936545</v>
          </cell>
          <cell r="H49">
            <v>0.5513710518070688</v>
          </cell>
          <cell r="I49">
            <v>0.13353810649984824</v>
          </cell>
          <cell r="J49">
            <v>11.198731196211034</v>
          </cell>
          <cell r="K49">
            <v>0.65149199121668999</v>
          </cell>
          <cell r="L49">
            <v>0.27475689002518616</v>
          </cell>
          <cell r="M49">
            <v>0.43719645111524147</v>
          </cell>
          <cell r="N49">
            <v>1.7145012758494005E-2</v>
          </cell>
          <cell r="O49">
            <v>2.9395146248892219E-4</v>
          </cell>
          <cell r="P49">
            <v>11.198731196211034</v>
          </cell>
          <cell r="Q49">
            <v>10.343640867648155</v>
          </cell>
          <cell r="R49">
            <v>12.053821524773912</v>
          </cell>
          <cell r="S49">
            <v>1263.0288968515233</v>
          </cell>
          <cell r="T49">
            <v>1595241.994281976</v>
          </cell>
          <cell r="U49">
            <v>73037.712491838567</v>
          </cell>
          <cell r="V49">
            <v>31058.905804840353</v>
          </cell>
          <cell r="W49">
            <v>171754.51960735591</v>
          </cell>
          <cell r="X49">
            <v>-1.6998873406178137E-2</v>
          </cell>
          <cell r="Y49">
            <v>1.6998873406178137E-2</v>
          </cell>
          <cell r="Z49">
            <v>9.4900118226524128</v>
          </cell>
          <cell r="AA49">
            <v>11.199259368679876</v>
          </cell>
          <cell r="AB49">
            <v>11.215876208969528</v>
          </cell>
          <cell r="AC49" t="str">
            <v>04</v>
          </cell>
          <cell r="AD49">
            <v>10.344169040116997</v>
          </cell>
        </row>
        <row r="50">
          <cell r="F50">
            <v>45</v>
          </cell>
          <cell r="G50">
            <v>5.932989023252401</v>
          </cell>
          <cell r="H50">
            <v>0.55489898177801389</v>
          </cell>
          <cell r="I50">
            <v>0.13705458588824762</v>
          </cell>
          <cell r="J50">
            <v>12.133491757891921</v>
          </cell>
          <cell r="K50">
            <v>0.65140125952036854</v>
          </cell>
          <cell r="L50">
            <v>0.26700942382904991</v>
          </cell>
          <cell r="M50">
            <v>0.43707306896404075</v>
          </cell>
          <cell r="N50">
            <v>-7.8057110943985819E-2</v>
          </cell>
          <cell r="O50">
            <v>6.0929125689217108E-3</v>
          </cell>
          <cell r="P50">
            <v>12.133491757891921</v>
          </cell>
          <cell r="Q50">
            <v>11.278401429329042</v>
          </cell>
          <cell r="R50">
            <v>12.9885820864548</v>
          </cell>
          <cell r="S50">
            <v>-13966.299557958177</v>
          </cell>
          <cell r="T50">
            <v>195057523.34262276</v>
          </cell>
          <cell r="U50">
            <v>185998.10377623021</v>
          </cell>
          <cell r="V50">
            <v>79094.722273926367</v>
          </cell>
          <cell r="W50">
            <v>437390.6831424284</v>
          </cell>
          <cell r="X50">
            <v>8.1184404368845026E-2</v>
          </cell>
          <cell r="Y50">
            <v>8.1184404368845026E-2</v>
          </cell>
          <cell r="Z50">
            <v>11.174110853063372</v>
          </cell>
          <cell r="AA50">
            <v>12.127234807566573</v>
          </cell>
          <cell r="AB50">
            <v>12.055434646947935</v>
          </cell>
          <cell r="AC50" t="str">
            <v>05</v>
          </cell>
          <cell r="AD50">
            <v>11.272144479003694</v>
          </cell>
        </row>
        <row r="54">
          <cell r="A54">
            <v>2003</v>
          </cell>
          <cell r="B54">
            <v>2009</v>
          </cell>
          <cell r="C54">
            <v>9.6282640588710375</v>
          </cell>
          <cell r="D54">
            <v>12.28890052785396</v>
          </cell>
          <cell r="E54">
            <v>47</v>
          </cell>
          <cell r="F54">
            <v>45</v>
          </cell>
          <cell r="G54">
            <v>5.7966141982677168</v>
          </cell>
          <cell r="H54">
            <v>0.56622915191439427</v>
          </cell>
          <cell r="I54">
            <v>0.12947789746206578</v>
          </cell>
        </row>
        <row r="55">
          <cell r="A55">
            <v>2004</v>
          </cell>
          <cell r="B55">
            <v>2010</v>
          </cell>
          <cell r="C55">
            <v>10.525589407448582</v>
          </cell>
          <cell r="D55">
            <v>11.352200600610109</v>
          </cell>
          <cell r="E55">
            <v>47</v>
          </cell>
          <cell r="F55">
            <v>45</v>
          </cell>
          <cell r="G55">
            <v>5.8811796797184712</v>
          </cell>
          <cell r="H55">
            <v>0.56082940609900755</v>
          </cell>
          <cell r="I55">
            <v>0.1330729240486887</v>
          </cell>
        </row>
        <row r="56">
          <cell r="A56">
            <v>2005</v>
          </cell>
          <cell r="B56">
            <v>2011</v>
          </cell>
          <cell r="C56">
            <v>9.9651077515502529</v>
          </cell>
          <cell r="D56">
            <v>11.752823215523565</v>
          </cell>
          <cell r="E56">
            <v>47</v>
          </cell>
          <cell r="F56">
            <v>45</v>
          </cell>
          <cell r="G56">
            <v>5.9620400497325656</v>
          </cell>
          <cell r="H56">
            <v>0.55120295954196563</v>
          </cell>
          <cell r="I56">
            <v>0.13255518004055714</v>
          </cell>
        </row>
        <row r="57">
          <cell r="A57">
            <v>2006</v>
          </cell>
          <cell r="B57">
            <v>2012</v>
          </cell>
          <cell r="C57">
            <v>10.776871376866783</v>
          </cell>
          <cell r="D57">
            <v>11.55564551176065</v>
          </cell>
          <cell r="E57">
            <v>47</v>
          </cell>
          <cell r="F57">
            <v>45</v>
          </cell>
          <cell r="G57">
            <v>5.8552950059490021</v>
          </cell>
          <cell r="H57">
            <v>0.56329403384936083</v>
          </cell>
          <cell r="I57">
            <v>0.13422606634525852</v>
          </cell>
        </row>
        <row r="58">
          <cell r="A58">
            <v>2007</v>
          </cell>
          <cell r="B58">
            <v>2013</v>
          </cell>
          <cell r="C58">
            <v>11.552581640761089</v>
          </cell>
          <cell r="D58">
            <v>12.577940755954955</v>
          </cell>
          <cell r="E58">
            <v>47</v>
          </cell>
          <cell r="F58">
            <v>45</v>
          </cell>
          <cell r="G58">
            <v>6.1446874879303675</v>
          </cell>
          <cell r="H58">
            <v>0.53294626935647715</v>
          </cell>
          <cell r="I58">
            <v>0.14019364783147814</v>
          </cell>
        </row>
        <row r="59">
          <cell r="A59">
            <v>2008</v>
          </cell>
          <cell r="B59">
            <v>2014</v>
          </cell>
          <cell r="C59">
            <v>11.337236484769031</v>
          </cell>
          <cell r="D59">
            <v>12.107603038684442</v>
          </cell>
          <cell r="E59">
            <v>47</v>
          </cell>
          <cell r="F59">
            <v>45</v>
          </cell>
          <cell r="G59">
            <v>5.9042183565463393</v>
          </cell>
          <cell r="H59">
            <v>0.55787226178401239</v>
          </cell>
          <cell r="I59">
            <v>0.13833492119814836</v>
          </cell>
        </row>
        <row r="60">
          <cell r="A60">
            <v>2009</v>
          </cell>
          <cell r="B60">
            <v>2015</v>
          </cell>
          <cell r="C60">
            <v>11.331931048113848</v>
          </cell>
          <cell r="D60">
            <v>12.661403303881411</v>
          </cell>
          <cell r="E60">
            <v>47</v>
          </cell>
          <cell r="F60">
            <v>45</v>
          </cell>
          <cell r="G60">
            <v>6.2376257126834949</v>
          </cell>
          <cell r="H60">
            <v>0.52317674422855376</v>
          </cell>
          <cell r="I60">
            <v>0.13753298906874581</v>
          </cell>
        </row>
        <row r="62">
          <cell r="A62">
            <v>2010</v>
          </cell>
          <cell r="B62">
            <v>2016</v>
          </cell>
          <cell r="C62">
            <v>10.999594742931396</v>
          </cell>
          <cell r="E62">
            <v>48</v>
          </cell>
          <cell r="F62">
            <v>46</v>
          </cell>
          <cell r="G62">
            <v>5.9700550718180461</v>
          </cell>
          <cell r="H62">
            <v>0.55102189487054742</v>
          </cell>
          <cell r="I62">
            <v>0.1314052752135895</v>
          </cell>
        </row>
        <row r="64">
          <cell r="E64" t="str">
            <v>d.f. =</v>
          </cell>
          <cell r="F64">
            <v>45</v>
          </cell>
        </row>
        <row r="65">
          <cell r="C65" t="str">
            <v>Avg:</v>
          </cell>
          <cell r="D65">
            <v>11.46909881680237</v>
          </cell>
          <cell r="E65" t="str">
            <v>d.f. =</v>
          </cell>
          <cell r="F65">
            <v>46</v>
          </cell>
        </row>
        <row r="67">
          <cell r="B67" t="str">
            <v>Pct Errof Obs-Avg</v>
          </cell>
          <cell r="D67" t="str">
            <v>Pct Error of LN(Obs-Avg)</v>
          </cell>
        </row>
        <row r="68">
          <cell r="A68">
            <v>1962</v>
          </cell>
          <cell r="B68">
            <v>0.76587736787030336</v>
          </cell>
          <cell r="D68">
            <v>-0.10750412939470563</v>
          </cell>
        </row>
        <row r="69">
          <cell r="A69">
            <v>1963</v>
          </cell>
          <cell r="B69">
            <v>0.92007146427936926</v>
          </cell>
          <cell r="D69">
            <v>-0.20120914774270129</v>
          </cell>
        </row>
        <row r="70">
          <cell r="A70">
            <v>1964</v>
          </cell>
          <cell r="B70">
            <v>0.79138095093201877</v>
          </cell>
          <cell r="D70">
            <v>-0.11756029787126174</v>
          </cell>
        </row>
        <row r="71">
          <cell r="A71">
            <v>1965</v>
          </cell>
          <cell r="B71">
            <v>-1.0354754976005265</v>
          </cell>
          <cell r="D71">
            <v>8.1058173351949939E-2</v>
          </cell>
        </row>
        <row r="72">
          <cell r="A72">
            <v>1966</v>
          </cell>
          <cell r="B72">
            <v>-1.3529548341687498</v>
          </cell>
          <cell r="D72">
            <v>9.3695823922657559E-2</v>
          </cell>
        </row>
        <row r="73">
          <cell r="A73">
            <v>1967</v>
          </cell>
          <cell r="B73">
            <v>0.56791745796994775</v>
          </cell>
          <cell r="D73">
            <v>-5.4076078744633577E-2</v>
          </cell>
        </row>
      </sheetData>
      <sheetData sheetId="27">
        <row r="1">
          <cell r="G1" t="str">
            <v>Model = Predict log returns aged 2.3 (ln(R_x001E_d2.3_x001F_)) from log returns aged 2.2 (ln(R_x001E_d2.2_x001F_)).</v>
          </cell>
        </row>
        <row r="2">
          <cell r="G2" t="str">
            <v>X =</v>
          </cell>
          <cell r="H2" t="str">
            <v>ln (1.3)</v>
          </cell>
        </row>
        <row r="3">
          <cell r="G3" t="str">
            <v>Y=</v>
          </cell>
          <cell r="H3" t="str">
            <v>ln (2.3)</v>
          </cell>
        </row>
        <row r="4">
          <cell r="G4" t="str">
            <v>Return Age</v>
          </cell>
          <cell r="H4">
            <v>6</v>
          </cell>
        </row>
        <row r="8">
          <cell r="AA8" t="str">
            <v>Graphics Section</v>
          </cell>
        </row>
        <row r="9">
          <cell r="H9" t="str">
            <v xml:space="preserve">          Regression Data</v>
          </cell>
          <cell r="N9" t="str">
            <v xml:space="preserve">       Confidence Intervals (transformed if applicable)</v>
          </cell>
          <cell r="S9" t="str">
            <v xml:space="preserve">         Confidence Intervals (in numbers of fish)</v>
          </cell>
          <cell r="X9" t="str">
            <v>Percent</v>
          </cell>
          <cell r="Y9" t="str">
            <v>Absolute</v>
          </cell>
          <cell r="Z9" t="str">
            <v>X</v>
          </cell>
          <cell r="AA9" t="str">
            <v>(A)</v>
          </cell>
          <cell r="AB9" t="str">
            <v>(B)</v>
          </cell>
          <cell r="AC9" t="str">
            <v>Labels(B)</v>
          </cell>
          <cell r="AD9" t="str">
            <v>Confidence Bounds</v>
          </cell>
        </row>
        <row r="10">
          <cell r="I10" t="str">
            <v>Std Err</v>
          </cell>
          <cell r="J10" t="str">
            <v>Y est</v>
          </cell>
          <cell r="K10" t="str">
            <v>Std Err</v>
          </cell>
          <cell r="M10" t="str">
            <v>Leave 1 out</v>
          </cell>
          <cell r="P10" t="str">
            <v>Point</v>
          </cell>
          <cell r="Q10" t="str">
            <v>Lower</v>
          </cell>
          <cell r="R10" t="str">
            <v>Upper</v>
          </cell>
          <cell r="U10" t="str">
            <v>Point</v>
          </cell>
          <cell r="V10" t="str">
            <v>Lower</v>
          </cell>
          <cell r="W10" t="str">
            <v>Upper</v>
          </cell>
          <cell r="X10" t="str">
            <v>Error</v>
          </cell>
          <cell r="Y10" t="str">
            <v>Percentage</v>
          </cell>
          <cell r="AA10" t="str">
            <v>Predicted</v>
          </cell>
          <cell r="AB10" t="str">
            <v>Actual</v>
          </cell>
          <cell r="AC10" t="str">
            <v>Return</v>
          </cell>
          <cell r="AD10" t="str">
            <v>(C)</v>
          </cell>
        </row>
        <row r="11">
          <cell r="F11" t="str">
            <v>d.f.</v>
          </cell>
          <cell r="G11" t="str">
            <v>Constant</v>
          </cell>
          <cell r="H11" t="str">
            <v>Coef. X</v>
          </cell>
          <cell r="I11" t="str">
            <v>Coef. X</v>
          </cell>
          <cell r="J11" t="str">
            <v>Ye</v>
          </cell>
          <cell r="K11" t="str">
            <v>Y est</v>
          </cell>
          <cell r="L11" t="str">
            <v>R2</v>
          </cell>
          <cell r="M11" t="str">
            <v>"Error"</v>
          </cell>
          <cell r="N11" t="str">
            <v>Yo-Ye</v>
          </cell>
          <cell r="O11" t="str">
            <v>E2=(Ya-Ye)2</v>
          </cell>
          <cell r="P11" t="str">
            <v>Ye</v>
          </cell>
          <cell r="Q11" t="str">
            <v>Ye-Avg(E2)</v>
          </cell>
          <cell r="R11" t="str">
            <v>Ye-Avg(E2)</v>
          </cell>
          <cell r="S11" t="str">
            <v>Yo-Ye</v>
          </cell>
          <cell r="T11" t="str">
            <v>E2=(Ya-Ye)2</v>
          </cell>
          <cell r="U11" t="str">
            <v>Ye</v>
          </cell>
          <cell r="V11" t="str">
            <v>Ye-Avg(E2)</v>
          </cell>
          <cell r="W11" t="str">
            <v>Ye-Avg(E2)</v>
          </cell>
          <cell r="X11" t="str">
            <v>(Ye-Yo)/Yo</v>
          </cell>
          <cell r="Y11" t="str">
            <v>Error</v>
          </cell>
          <cell r="Z11" t="str">
            <v>LN 1.1</v>
          </cell>
          <cell r="AA11" t="str">
            <v>Y</v>
          </cell>
          <cell r="AB11" t="str">
            <v>Y</v>
          </cell>
          <cell r="AC11" t="str">
            <v>Year</v>
          </cell>
          <cell r="AD11" t="str">
            <v>Lower</v>
          </cell>
        </row>
        <row r="13">
          <cell r="F13">
            <v>39</v>
          </cell>
          <cell r="G13">
            <v>1.8989269748751489</v>
          </cell>
          <cell r="H13">
            <v>0.6908465749652245</v>
          </cell>
          <cell r="I13">
            <v>0.22163440838367754</v>
          </cell>
          <cell r="J13">
            <v>11.061706838683376</v>
          </cell>
          <cell r="K13">
            <v>0.66759687854031335</v>
          </cell>
          <cell r="L13">
            <v>0.19944215520944042</v>
          </cell>
          <cell r="M13">
            <v>0.4702698967264014</v>
          </cell>
          <cell r="N13">
            <v>-0.82558350512319301</v>
          </cell>
          <cell r="O13">
            <v>0.68158812393149726</v>
          </cell>
          <cell r="P13">
            <v>11.061706838683376</v>
          </cell>
          <cell r="Q13">
            <v>10.195047483379224</v>
          </cell>
          <cell r="R13">
            <v>11.928366193987529</v>
          </cell>
          <cell r="S13">
            <v>-35792.37440825221</v>
          </cell>
          <cell r="T13">
            <v>1281094065.7805078</v>
          </cell>
          <cell r="U13">
            <v>63685.159445755889</v>
          </cell>
          <cell r="V13">
            <v>26770.276987004345</v>
          </cell>
          <cell r="W13">
            <v>151503.83149192826</v>
          </cell>
          <cell r="X13">
            <v>1.2832126429873179</v>
          </cell>
          <cell r="Y13">
            <v>1.2832126429873179</v>
          </cell>
          <cell r="Z13">
            <v>13.237120983130074</v>
          </cell>
          <cell r="AA13">
            <v>11.001137768171459</v>
          </cell>
          <cell r="AB13">
            <v>10.236123333560183</v>
          </cell>
          <cell r="AC13">
            <v>68</v>
          </cell>
          <cell r="AD13">
            <v>10.134478412867306</v>
          </cell>
        </row>
        <row r="14">
          <cell r="F14">
            <v>39</v>
          </cell>
          <cell r="G14">
            <v>3.0917267605580339</v>
          </cell>
          <cell r="H14">
            <v>0.60601361616682625</v>
          </cell>
          <cell r="I14">
            <v>0.20577567193282378</v>
          </cell>
          <cell r="J14">
            <v>11.045322346577858</v>
          </cell>
          <cell r="K14">
            <v>0.61428407579302635</v>
          </cell>
          <cell r="L14">
            <v>0.18192939942019851</v>
          </cell>
          <cell r="M14">
            <v>0.40026321814144389</v>
          </cell>
          <cell r="N14">
            <v>-1.8839111280811167</v>
          </cell>
          <cell r="O14">
            <v>3.5491211385078656</v>
          </cell>
          <cell r="P14">
            <v>11.045322346577858</v>
          </cell>
          <cell r="Q14">
            <v>10.178662991273706</v>
          </cell>
          <cell r="R14">
            <v>11.911981701882011</v>
          </cell>
          <cell r="S14">
            <v>-53127.7262410685</v>
          </cell>
          <cell r="T14">
            <v>2822555295.5459185</v>
          </cell>
          <cell r="U14">
            <v>62650.21214915</v>
          </cell>
          <cell r="V14">
            <v>26335.233312179451</v>
          </cell>
          <cell r="W14">
            <v>149041.74327243405</v>
          </cell>
          <cell r="X14">
            <v>5.5791866487279638</v>
          </cell>
          <cell r="Y14">
            <v>5.5791866487279638</v>
          </cell>
          <cell r="Z14">
            <v>13.106071709770401</v>
          </cell>
          <cell r="AA14">
            <v>10.904847138014173</v>
          </cell>
          <cell r="AB14">
            <v>9.1614112184967418</v>
          </cell>
          <cell r="AC14">
            <v>69</v>
          </cell>
          <cell r="AD14">
            <v>10.03818778271002</v>
          </cell>
        </row>
        <row r="15">
          <cell r="F15">
            <v>39</v>
          </cell>
          <cell r="G15">
            <v>1.4913775033110035</v>
          </cell>
          <cell r="H15">
            <v>0.72109068699251866</v>
          </cell>
          <cell r="I15">
            <v>0.21407247241487629</v>
          </cell>
          <cell r="J15">
            <v>11.337779850263368</v>
          </cell>
          <cell r="K15">
            <v>0.65341847208503689</v>
          </cell>
          <cell r="L15">
            <v>0.22536667322473544</v>
          </cell>
          <cell r="M15">
            <v>0.45242511732605234</v>
          </cell>
          <cell r="N15">
            <v>-1.2169917066792202</v>
          </cell>
          <cell r="O15">
            <v>1.4810688141260011</v>
          </cell>
          <cell r="P15">
            <v>11.337779850263368</v>
          </cell>
          <cell r="Q15">
            <v>10.471120494959216</v>
          </cell>
          <cell r="R15">
            <v>12.204439205567521</v>
          </cell>
          <cell r="S15">
            <v>-59079.127322354034</v>
          </cell>
          <cell r="T15">
            <v>3490343285.1709189</v>
          </cell>
          <cell r="U15">
            <v>83933.479238054802</v>
          </cell>
          <cell r="V15">
            <v>35281.728227429987</v>
          </cell>
          <cell r="W15">
            <v>199673.5786748658</v>
          </cell>
          <cell r="X15">
            <v>2.3770133907628908</v>
          </cell>
          <cell r="Y15">
            <v>2.3770133907628908</v>
          </cell>
          <cell r="Z15">
            <v>13.636544025217798</v>
          </cell>
          <cell r="AA15">
            <v>11.294620482237406</v>
          </cell>
          <cell r="AB15">
            <v>10.120788143584148</v>
          </cell>
          <cell r="AC15">
            <v>70</v>
          </cell>
          <cell r="AD15">
            <v>10.427961126933253</v>
          </cell>
        </row>
        <row r="16">
          <cell r="F16">
            <v>39</v>
          </cell>
          <cell r="G16">
            <v>1.5488209539190478</v>
          </cell>
          <cell r="H16">
            <v>0.71343232287523806</v>
          </cell>
          <cell r="I16">
            <v>0.21910053561109366</v>
          </cell>
          <cell r="J16">
            <v>11.538737834433434</v>
          </cell>
          <cell r="K16">
            <v>0.66707012313245462</v>
          </cell>
          <cell r="L16">
            <v>0.21375333298496324</v>
          </cell>
          <cell r="M16">
            <v>0.46992834753581714</v>
          </cell>
          <cell r="N16">
            <v>0.86002518245194715</v>
          </cell>
          <cell r="O16">
            <v>0.739643314451505</v>
          </cell>
          <cell r="P16">
            <v>11.538737834433434</v>
          </cell>
          <cell r="Q16">
            <v>10.672078479129281</v>
          </cell>
          <cell r="R16">
            <v>12.405397189737586</v>
          </cell>
          <cell r="S16">
            <v>139886.6223158394</v>
          </cell>
          <cell r="T16">
            <v>19568267102.934296</v>
          </cell>
          <cell r="U16">
            <v>102614.83936354944</v>
          </cell>
          <cell r="V16">
            <v>43134.502553596772</v>
          </cell>
          <cell r="W16">
            <v>244115.606631217</v>
          </cell>
          <cell r="X16">
            <v>-0.57684857380688082</v>
          </cell>
          <cell r="Y16">
            <v>0.57684857380688082</v>
          </cell>
          <cell r="Z16">
            <v>13.934935302361204</v>
          </cell>
          <cell r="AA16">
            <v>11.51386842900563</v>
          </cell>
          <cell r="AB16">
            <v>12.398763016885381</v>
          </cell>
          <cell r="AC16">
            <v>71</v>
          </cell>
          <cell r="AD16">
            <v>10.647209073701477</v>
          </cell>
        </row>
        <row r="17">
          <cell r="F17">
            <v>39</v>
          </cell>
          <cell r="G17">
            <v>1.0578229713545841</v>
          </cell>
          <cell r="H17">
            <v>0.74836081066489901</v>
          </cell>
          <cell r="I17">
            <v>0.21288433588997457</v>
          </cell>
          <cell r="J17">
            <v>11.281905000933543</v>
          </cell>
          <cell r="K17">
            <v>0.64984465838868288</v>
          </cell>
          <cell r="L17">
            <v>0.24061894175288814</v>
          </cell>
          <cell r="M17">
            <v>0.44788715907502863</v>
          </cell>
          <cell r="N17">
            <v>1.2618004791595023</v>
          </cell>
          <cell r="O17">
            <v>1.5921404492071496</v>
          </cell>
          <cell r="P17">
            <v>11.281905000933543</v>
          </cell>
          <cell r="Q17">
            <v>10.41524564562939</v>
          </cell>
          <cell r="R17">
            <v>12.148564356237696</v>
          </cell>
          <cell r="S17">
            <v>200952.83376611263</v>
          </cell>
          <cell r="T17">
            <v>40382041398.630898</v>
          </cell>
          <cell r="U17">
            <v>79372.322308788993</v>
          </cell>
          <cell r="V17">
            <v>33364.430140398552</v>
          </cell>
          <cell r="W17">
            <v>188822.81286327483</v>
          </cell>
          <cell r="X17">
            <v>-0.7168562271750557</v>
          </cell>
          <cell r="Y17">
            <v>0.7168562271750557</v>
          </cell>
          <cell r="Z17">
            <v>13.695125080202772</v>
          </cell>
          <cell r="AA17">
            <v>11.337663885341978</v>
          </cell>
          <cell r="AB17">
            <v>12.543705480093045</v>
          </cell>
          <cell r="AC17">
            <v>72</v>
          </cell>
          <cell r="AD17">
            <v>10.471004530037826</v>
          </cell>
        </row>
        <row r="18">
          <cell r="F18">
            <v>39</v>
          </cell>
          <cell r="G18">
            <v>1.4274902342969931</v>
          </cell>
          <cell r="H18">
            <v>0.72426102768089207</v>
          </cell>
          <cell r="I18">
            <v>0.22294457198774026</v>
          </cell>
          <cell r="J18">
            <v>11.182934901036841</v>
          </cell>
          <cell r="K18">
            <v>0.67771505171584145</v>
          </cell>
          <cell r="L18">
            <v>0.21297180472475749</v>
          </cell>
          <cell r="M18">
            <v>0.4839576688228609</v>
          </cell>
          <cell r="N18">
            <v>-0.33403997498185944</v>
          </cell>
          <cell r="O18">
            <v>0.11158270488588129</v>
          </cell>
          <cell r="P18">
            <v>11.182934901036841</v>
          </cell>
          <cell r="Q18">
            <v>10.316275545732688</v>
          </cell>
          <cell r="R18">
            <v>12.049594256340994</v>
          </cell>
          <cell r="S18">
            <v>-20415.817964817194</v>
          </cell>
          <cell r="T18">
            <v>416805623.17255247</v>
          </cell>
          <cell r="U18">
            <v>71893.051727617058</v>
          </cell>
          <cell r="V18">
            <v>30220.492889377525</v>
          </cell>
          <cell r="W18">
            <v>171029.99959761027</v>
          </cell>
          <cell r="X18">
            <v>0.39659897147718781</v>
          </cell>
          <cell r="Y18">
            <v>0.39659897147718781</v>
          </cell>
          <cell r="Z18">
            <v>13.469993411243443</v>
          </cell>
          <cell r="AA18">
            <v>11.172244652432855</v>
          </cell>
          <cell r="AB18">
            <v>10.848894926054982</v>
          </cell>
          <cell r="AC18">
            <v>73</v>
          </cell>
          <cell r="AD18">
            <v>10.305585297128703</v>
          </cell>
        </row>
        <row r="19">
          <cell r="F19">
            <v>39</v>
          </cell>
          <cell r="G19">
            <v>1.2269524402075955</v>
          </cell>
          <cell r="H19">
            <v>0.73813792549420687</v>
          </cell>
          <cell r="I19">
            <v>0.22528361688031995</v>
          </cell>
          <cell r="J19">
            <v>11.038629258631504</v>
          </cell>
          <cell r="K19">
            <v>0.67967804942803123</v>
          </cell>
          <cell r="L19">
            <v>0.21584934002417142</v>
          </cell>
          <cell r="M19">
            <v>0.4865771436727877</v>
          </cell>
          <cell r="N19">
            <v>7.2479664296258406E-2</v>
          </cell>
          <cell r="O19">
            <v>5.2533017364983156E-3</v>
          </cell>
          <cell r="P19">
            <v>11.038629258631504</v>
          </cell>
          <cell r="Q19">
            <v>10.171969903327351</v>
          </cell>
          <cell r="R19">
            <v>11.905288613935657</v>
          </cell>
          <cell r="S19">
            <v>4678.0597510442531</v>
          </cell>
          <cell r="T19">
            <v>21884243.034340218</v>
          </cell>
          <cell r="U19">
            <v>62232.288927970956</v>
          </cell>
          <cell r="V19">
            <v>26159.557841039372</v>
          </cell>
          <cell r="W19">
            <v>148047.52468478953</v>
          </cell>
          <cell r="X19">
            <v>-6.9915339605925733E-2</v>
          </cell>
          <cell r="Y19">
            <v>6.9915339605925733E-2</v>
          </cell>
          <cell r="Z19">
            <v>13.292926891590582</v>
          </cell>
          <cell r="AA19">
            <v>11.042142086275643</v>
          </cell>
          <cell r="AB19">
            <v>11.111108922927762</v>
          </cell>
          <cell r="AC19">
            <v>74</v>
          </cell>
          <cell r="AD19">
            <v>10.17548273097149</v>
          </cell>
        </row>
        <row r="20">
          <cell r="F20">
            <v>39</v>
          </cell>
          <cell r="G20">
            <v>0.94679151318838173</v>
          </cell>
          <cell r="H20">
            <v>0.75768850674807187</v>
          </cell>
          <cell r="I20">
            <v>0.2228506449582407</v>
          </cell>
          <cell r="J20">
            <v>11.07048243346787</v>
          </cell>
          <cell r="K20">
            <v>0.67460228277270917</v>
          </cell>
          <cell r="L20">
            <v>0.22863752452053387</v>
          </cell>
          <cell r="M20">
            <v>0.47975915835708505</v>
          </cell>
          <cell r="N20">
            <v>0.51189551473581929</v>
          </cell>
          <cell r="O20">
            <v>0.26203701800664936</v>
          </cell>
          <cell r="P20">
            <v>11.07048243346787</v>
          </cell>
          <cell r="Q20">
            <v>10.203823078163717</v>
          </cell>
          <cell r="R20">
            <v>11.937141788772022</v>
          </cell>
          <cell r="S20">
            <v>42945.618558071765</v>
          </cell>
          <cell r="T20">
            <v>1844326153.335398</v>
          </cell>
          <cell r="U20">
            <v>64246.494018803751</v>
          </cell>
          <cell r="V20">
            <v>27006.235915797988</v>
          </cell>
          <cell r="W20">
            <v>152839.21856335536</v>
          </cell>
          <cell r="X20">
            <v>-0.40064159130432508</v>
          </cell>
          <cell r="Y20">
            <v>0.40064159130432508</v>
          </cell>
          <cell r="Z20">
            <v>13.366855574069275</v>
          </cell>
          <cell r="AA20">
            <v>11.096462413585154</v>
          </cell>
          <cell r="AB20">
            <v>11.582377948203689</v>
          </cell>
          <cell r="AC20">
            <v>75</v>
          </cell>
          <cell r="AD20">
            <v>10.229803058281002</v>
          </cell>
        </row>
        <row r="21">
          <cell r="F21">
            <v>39</v>
          </cell>
          <cell r="G21">
            <v>2.0010964004551557</v>
          </cell>
          <cell r="H21">
            <v>0.68285361578130699</v>
          </cell>
          <cell r="I21">
            <v>0.23409134295790768</v>
          </cell>
          <cell r="J21">
            <v>10.725917867239518</v>
          </cell>
          <cell r="K21">
            <v>0.67577525299108965</v>
          </cell>
          <cell r="L21">
            <v>0.1791049369777743</v>
          </cell>
          <cell r="M21">
            <v>0.48079692669218771</v>
          </cell>
          <cell r="N21">
            <v>-0.49305167894784141</v>
          </cell>
          <cell r="O21">
            <v>0.24309995811328527</v>
          </cell>
          <cell r="P21">
            <v>10.725917867239518</v>
          </cell>
          <cell r="Q21">
            <v>9.8592585119353657</v>
          </cell>
          <cell r="R21">
            <v>11.592577222543671</v>
          </cell>
          <cell r="S21">
            <v>-17718.409566213828</v>
          </cell>
          <cell r="T21">
            <v>313942037.55609769</v>
          </cell>
          <cell r="U21">
            <v>45520.491547611171</v>
          </cell>
          <cell r="V21">
            <v>19134.696025250367</v>
          </cell>
          <cell r="W21">
            <v>108290.98868368501</v>
          </cell>
          <cell r="X21">
            <v>0.63730513340941142</v>
          </cell>
          <cell r="Y21">
            <v>0.63730513340941142</v>
          </cell>
          <cell r="Z21">
            <v>12.755967055394713</v>
          </cell>
          <cell r="AA21">
            <v>10.647601928433273</v>
          </cell>
          <cell r="AB21">
            <v>10.232866188291677</v>
          </cell>
          <cell r="AC21">
            <v>76</v>
          </cell>
          <cell r="AD21">
            <v>9.7809425731291206</v>
          </cell>
        </row>
        <row r="22">
          <cell r="F22">
            <v>39</v>
          </cell>
          <cell r="G22">
            <v>1.2763976209356418</v>
          </cell>
          <cell r="H22">
            <v>0.73473713818066122</v>
          </cell>
          <cell r="I22">
            <v>0.22254902217765174</v>
          </cell>
          <cell r="J22">
            <v>11.383642583142175</v>
          </cell>
          <cell r="K22">
            <v>0.67972275239545643</v>
          </cell>
          <cell r="L22">
            <v>0.21843141197261948</v>
          </cell>
          <cell r="M22">
            <v>0.48663900732031906</v>
          </cell>
          <cell r="N22">
            <v>-4.3976968562125407E-2</v>
          </cell>
          <cell r="O22">
            <v>1.9339737639141664E-3</v>
          </cell>
          <cell r="P22">
            <v>11.383642583142175</v>
          </cell>
          <cell r="Q22">
            <v>10.516983227838022</v>
          </cell>
          <cell r="R22">
            <v>12.250301938446327</v>
          </cell>
          <cell r="S22">
            <v>-3780.6281646272255</v>
          </cell>
          <cell r="T22">
            <v>14293149.319172624</v>
          </cell>
          <cell r="U22">
            <v>87872.535494876589</v>
          </cell>
          <cell r="V22">
            <v>36937.524145666306</v>
          </cell>
          <cell r="W22">
            <v>209044.39788242491</v>
          </cell>
          <cell r="X22">
            <v>4.4958287719408949E-2</v>
          </cell>
          <cell r="Y22">
            <v>4.4958287719408949E-2</v>
          </cell>
          <cell r="Z22">
            <v>13.754613147674856</v>
          </cell>
          <cell r="AA22">
            <v>11.381373730935742</v>
          </cell>
          <cell r="AB22">
            <v>11.339665614580049</v>
          </cell>
          <cell r="AC22">
            <v>77</v>
          </cell>
          <cell r="AD22">
            <v>10.51471437563159</v>
          </cell>
        </row>
        <row r="23">
          <cell r="F23">
            <v>39</v>
          </cell>
          <cell r="G23">
            <v>1.4531241105357129</v>
          </cell>
          <cell r="H23">
            <v>0.72338052180491808</v>
          </cell>
          <cell r="I23">
            <v>0.21777235126498407</v>
          </cell>
          <cell r="J23">
            <v>11.323490716447294</v>
          </cell>
          <cell r="K23">
            <v>0.66462854472835042</v>
          </cell>
          <cell r="L23">
            <v>0.22052812427843776</v>
          </cell>
          <cell r="M23">
            <v>0.46683594082691637</v>
          </cell>
          <cell r="N23">
            <v>-0.90199259731756953</v>
          </cell>
          <cell r="O23">
            <v>0.81359064561569516</v>
          </cell>
          <cell r="P23">
            <v>11.323490716447294</v>
          </cell>
          <cell r="Q23">
            <v>10.456831361143141</v>
          </cell>
          <cell r="R23">
            <v>12.190150071751447</v>
          </cell>
          <cell r="S23">
            <v>-49168.976713104516</v>
          </cell>
          <cell r="T23">
            <v>2417588271.013814</v>
          </cell>
          <cell r="U23">
            <v>82742.670595073112</v>
          </cell>
          <cell r="V23">
            <v>34781.167696710254</v>
          </cell>
          <cell r="W23">
            <v>196840.70405296749</v>
          </cell>
          <cell r="X23">
            <v>1.4645089958216266</v>
          </cell>
          <cell r="Y23">
            <v>1.4645089958216266</v>
          </cell>
          <cell r="Z23">
            <v>13.644848836459317</v>
          </cell>
          <cell r="AA23">
            <v>11.300722580229117</v>
          </cell>
          <cell r="AB23">
            <v>10.421498119129724</v>
          </cell>
          <cell r="AC23">
            <v>78</v>
          </cell>
          <cell r="AD23">
            <v>10.434063224924964</v>
          </cell>
        </row>
        <row r="24">
          <cell r="F24">
            <v>39</v>
          </cell>
          <cell r="G24">
            <v>-0.10081226011081412</v>
          </cell>
          <cell r="H24">
            <v>0.83336097648357155</v>
          </cell>
          <cell r="I24">
            <v>0.23763564909415746</v>
          </cell>
          <cell r="J24">
            <v>10.400142712088632</v>
          </cell>
          <cell r="K24">
            <v>0.66985774757345018</v>
          </cell>
          <cell r="L24">
            <v>0.23974007089168761</v>
          </cell>
          <cell r="M24">
            <v>0.47140026505571786</v>
          </cell>
          <cell r="N24">
            <v>0.93050956892293257</v>
          </cell>
          <cell r="O24">
            <v>0.86584805785714181</v>
          </cell>
          <cell r="P24">
            <v>10.400142712088632</v>
          </cell>
          <cell r="Q24">
            <v>9.5334833567844797</v>
          </cell>
          <cell r="R24">
            <v>11.266802067392785</v>
          </cell>
          <cell r="S24">
            <v>50473.049025546985</v>
          </cell>
          <cell r="T24">
            <v>2547528677.9352694</v>
          </cell>
          <cell r="U24">
            <v>32864.315474892639</v>
          </cell>
          <cell r="V24">
            <v>13814.628649874565</v>
          </cell>
          <cell r="W24">
            <v>78182.574357007747</v>
          </cell>
          <cell r="X24">
            <v>-0.60564729072132739</v>
          </cell>
          <cell r="Y24">
            <v>0.60564729072132739</v>
          </cell>
          <cell r="Z24">
            <v>12.599578262462865</v>
          </cell>
          <cell r="AA24">
            <v>10.532692665414201</v>
          </cell>
          <cell r="AB24">
            <v>11.330652281011565</v>
          </cell>
          <cell r="AC24">
            <v>79</v>
          </cell>
          <cell r="AD24">
            <v>9.6660333101100484</v>
          </cell>
        </row>
        <row r="25">
          <cell r="F25">
            <v>39</v>
          </cell>
          <cell r="G25">
            <v>1.9995247206898235</v>
          </cell>
          <cell r="H25">
            <v>0.68303664943804332</v>
          </cell>
          <cell r="I25">
            <v>0.23176000034363325</v>
          </cell>
          <cell r="J25">
            <v>10.779301605447314</v>
          </cell>
          <cell r="K25">
            <v>0.67501797954755849</v>
          </cell>
          <cell r="L25">
            <v>0.18214688674140991</v>
          </cell>
          <cell r="M25">
            <v>0.47980459461835079</v>
          </cell>
          <cell r="N25">
            <v>-0.47141282799975492</v>
          </cell>
          <cell r="O25">
            <v>0.22223005440272653</v>
          </cell>
          <cell r="P25">
            <v>10.779301605447314</v>
          </cell>
          <cell r="Q25">
            <v>9.9126422501431612</v>
          </cell>
          <cell r="R25">
            <v>11.645960960751466</v>
          </cell>
          <cell r="S25">
            <v>341513.56904344645</v>
          </cell>
          <cell r="T25">
            <v>116631517840.79286</v>
          </cell>
          <cell r="U25">
            <v>48016.578008907178</v>
          </cell>
          <cell r="V25">
            <v>20183.934600358603</v>
          </cell>
          <cell r="W25">
            <v>114229.05441065518</v>
          </cell>
          <cell r="X25">
            <v>0.60225630742584846</v>
          </cell>
          <cell r="Y25">
            <v>0.60225630742584846</v>
          </cell>
          <cell r="Z25">
            <v>12.998159405099107</v>
          </cell>
          <cell r="AA25">
            <v>10.825556779875328</v>
          </cell>
          <cell r="AB25">
            <v>10.307888777447559</v>
          </cell>
          <cell r="AC25">
            <v>80</v>
          </cell>
          <cell r="AD25">
            <v>9.958897424571175</v>
          </cell>
        </row>
        <row r="26">
          <cell r="F26">
            <v>39</v>
          </cell>
          <cell r="G26">
            <v>0.73785747205749708</v>
          </cell>
          <cell r="H26">
            <v>0.77311633528744184</v>
          </cell>
          <cell r="I26">
            <v>0.23270831783554591</v>
          </cell>
          <cell r="J26">
            <v>10.669572611994436</v>
          </cell>
          <cell r="K26">
            <v>0.67720518427796761</v>
          </cell>
          <cell r="L26">
            <v>0.22058264912785175</v>
          </cell>
          <cell r="M26">
            <v>0.4829674506470758</v>
          </cell>
          <cell r="N26">
            <v>0.43629815560930574</v>
          </cell>
          <cell r="O26">
            <v>0.19035608058808196</v>
          </cell>
          <cell r="P26">
            <v>10.669572611994436</v>
          </cell>
          <cell r="Q26">
            <v>9.8029132566902835</v>
          </cell>
          <cell r="R26">
            <v>11.536231967298589</v>
          </cell>
          <cell r="S26">
            <v>23534.229694330163</v>
          </cell>
          <cell r="T26">
            <v>553859967.30549157</v>
          </cell>
          <cell r="U26">
            <v>43026.548536971255</v>
          </cell>
          <cell r="V26">
            <v>18086.35845703716</v>
          </cell>
          <cell r="W26">
            <v>102358.02211937436</v>
          </cell>
          <cell r="X26">
            <v>-0.35357503802836793</v>
          </cell>
          <cell r="Y26">
            <v>0.35357503802836793</v>
          </cell>
          <cell r="Z26">
            <v>12.922757627102664</v>
          </cell>
          <cell r="AA26">
            <v>10.770154071167966</v>
          </cell>
          <cell r="AB26">
            <v>11.105870767603742</v>
          </cell>
          <cell r="AC26">
            <v>81</v>
          </cell>
          <cell r="AD26">
            <v>9.9034947158638129</v>
          </cell>
        </row>
        <row r="27">
          <cell r="F27">
            <v>39</v>
          </cell>
          <cell r="G27">
            <v>1.288991758763796</v>
          </cell>
          <cell r="H27">
            <v>0.73388262677866523</v>
          </cell>
          <cell r="I27">
            <v>0.22265559436654134</v>
          </cell>
          <cell r="J27">
            <v>11.312527148164165</v>
          </cell>
          <cell r="K27">
            <v>0.67964348771900274</v>
          </cell>
          <cell r="L27">
            <v>0.2178711356535904</v>
          </cell>
          <cell r="M27">
            <v>0.48653383190640359</v>
          </cell>
          <cell r="N27">
            <v>-6.3265879277208725E-2</v>
          </cell>
          <cell r="O27">
            <v>4.0025714807183487E-3</v>
          </cell>
          <cell r="P27">
            <v>11.312527148164165</v>
          </cell>
          <cell r="Q27">
            <v>10.445867792860012</v>
          </cell>
          <cell r="R27">
            <v>12.179186503468317</v>
          </cell>
          <cell r="S27">
            <v>-5017.3232315053028</v>
          </cell>
          <cell r="T27">
            <v>25173532.409402814</v>
          </cell>
          <cell r="U27">
            <v>81840.470379915423</v>
          </cell>
          <cell r="V27">
            <v>34401.924716592133</v>
          </cell>
          <cell r="W27">
            <v>194694.41454755052</v>
          </cell>
          <cell r="X27">
            <v>6.5310045445191547E-2</v>
          </cell>
          <cell r="Y27">
            <v>6.5310045445191547E-2</v>
          </cell>
          <cell r="Z27">
            <v>13.705747450417975</v>
          </cell>
          <cell r="AA27">
            <v>11.345468848281214</v>
          </cell>
          <cell r="AB27">
            <v>11.249261268886956</v>
          </cell>
          <cell r="AC27">
            <v>82</v>
          </cell>
          <cell r="AD27">
            <v>10.478809492977062</v>
          </cell>
        </row>
        <row r="28">
          <cell r="F28">
            <v>39</v>
          </cell>
          <cell r="G28">
            <v>1.3669276160384438</v>
          </cell>
          <cell r="H28">
            <v>0.72772690460610745</v>
          </cell>
          <cell r="I28">
            <v>0.22356121561862832</v>
          </cell>
          <cell r="J28">
            <v>11.614510261136003</v>
          </cell>
          <cell r="K28">
            <v>0.6789870680925324</v>
          </cell>
          <cell r="L28">
            <v>0.21364703095454654</v>
          </cell>
          <cell r="M28">
            <v>0.48565344474374761</v>
          </cell>
          <cell r="N28">
            <v>0.25821960191326632</v>
          </cell>
          <cell r="O28">
            <v>6.6677362812245733E-2</v>
          </cell>
          <cell r="P28">
            <v>11.614510261136003</v>
          </cell>
          <cell r="Q28">
            <v>10.74785090583185</v>
          </cell>
          <cell r="R28">
            <v>12.481169616440155</v>
          </cell>
          <cell r="S28">
            <v>32612.530268680726</v>
          </cell>
          <cell r="T28">
            <v>1063577130.5256165</v>
          </cell>
          <cell r="U28">
            <v>110692.37773045614</v>
          </cell>
          <cell r="V28">
            <v>46529.923737074045</v>
          </cell>
          <cell r="W28">
            <v>263331.66924705729</v>
          </cell>
          <cell r="X28">
            <v>-0.22757441265638406</v>
          </cell>
          <cell r="Y28">
            <v>0.22757441265638406</v>
          </cell>
          <cell r="Z28">
            <v>14.115156707035224</v>
          </cell>
          <cell r="AA28">
            <v>11.646289099330634</v>
          </cell>
          <cell r="AB28">
            <v>11.872729863049269</v>
          </cell>
          <cell r="AC28">
            <v>83</v>
          </cell>
          <cell r="AD28">
            <v>10.779629744026481</v>
          </cell>
        </row>
        <row r="29">
          <cell r="F29">
            <v>39</v>
          </cell>
          <cell r="G29">
            <v>1.0976545831760944</v>
          </cell>
          <cell r="H29">
            <v>0.74667503878486807</v>
          </cell>
          <cell r="I29">
            <v>0.22112485186303329</v>
          </cell>
          <cell r="J29">
            <v>11.226384450339731</v>
          </cell>
          <cell r="K29">
            <v>0.67392783227783648</v>
          </cell>
          <cell r="L29">
            <v>0.22622405137297727</v>
          </cell>
          <cell r="M29">
            <v>0.47896231519934906</v>
          </cell>
          <cell r="N29">
            <v>0.60432727535078179</v>
          </cell>
          <cell r="O29">
            <v>0.36521145573289965</v>
          </cell>
          <cell r="P29">
            <v>11.226384450339731</v>
          </cell>
          <cell r="Q29">
            <v>10.359725095035579</v>
          </cell>
          <cell r="R29">
            <v>12.093043805643884</v>
          </cell>
          <cell r="S29">
            <v>62322.625262044254</v>
          </cell>
          <cell r="T29">
            <v>3884109619.5531964</v>
          </cell>
          <cell r="U29">
            <v>75085.628180658154</v>
          </cell>
          <cell r="V29">
            <v>31562.503440876488</v>
          </cell>
          <cell r="W29">
            <v>178624.98042479373</v>
          </cell>
          <cell r="X29">
            <v>-0.45355809204017022</v>
          </cell>
          <cell r="Y29">
            <v>0.45355809204017022</v>
          </cell>
          <cell r="Z29">
            <v>13.613528697493491</v>
          </cell>
          <cell r="AA29">
            <v>11.277709587937615</v>
          </cell>
          <cell r="AB29">
            <v>11.830711725690513</v>
          </cell>
          <cell r="AC29">
            <v>84</v>
          </cell>
          <cell r="AD29">
            <v>10.411050232633462</v>
          </cell>
        </row>
        <row r="30">
          <cell r="F30">
            <v>39</v>
          </cell>
          <cell r="G30">
            <v>1.4680020397511253</v>
          </cell>
          <cell r="H30">
            <v>0.72009188058757068</v>
          </cell>
          <cell r="I30">
            <v>0.22337851663036393</v>
          </cell>
          <cell r="J30">
            <v>11.641919915339669</v>
          </cell>
          <cell r="K30">
            <v>0.67721767853894466</v>
          </cell>
          <cell r="L30">
            <v>0.21039610584094645</v>
          </cell>
          <cell r="M30">
            <v>0.48327653187216707</v>
          </cell>
          <cell r="N30">
            <v>0.39379396675272638</v>
          </cell>
          <cell r="O30">
            <v>0.15507368825084736</v>
          </cell>
          <cell r="P30">
            <v>11.641919915339669</v>
          </cell>
          <cell r="Q30">
            <v>10.775260560035516</v>
          </cell>
          <cell r="R30">
            <v>12.508579270643821</v>
          </cell>
          <cell r="S30">
            <v>54904.057916565653</v>
          </cell>
          <cell r="T30">
            <v>3014455575.7055955</v>
          </cell>
          <cell r="U30">
            <v>113768.38104233705</v>
          </cell>
          <cell r="V30">
            <v>47822.932365593413</v>
          </cell>
          <cell r="W30">
            <v>270649.32836085377</v>
          </cell>
          <cell r="X30">
            <v>-0.32550699008949002</v>
          </cell>
          <cell r="Y30">
            <v>0.32550699008949002</v>
          </cell>
          <cell r="Z30">
            <v>14.169276530236562</v>
          </cell>
          <cell r="AA30">
            <v>11.68605453828698</v>
          </cell>
          <cell r="AB30">
            <v>12.035713882092395</v>
          </cell>
          <cell r="AC30">
            <v>85</v>
          </cell>
          <cell r="AD30">
            <v>10.819395182982827</v>
          </cell>
        </row>
        <row r="31">
          <cell r="F31">
            <v>39</v>
          </cell>
          <cell r="G31">
            <v>1.336177959493499</v>
          </cell>
          <cell r="H31">
            <v>0.72942467209462947</v>
          </cell>
          <cell r="I31">
            <v>0.2210648332873586</v>
          </cell>
          <cell r="J31">
            <v>11.445350692998275</v>
          </cell>
          <cell r="K31">
            <v>0.67484514032981535</v>
          </cell>
          <cell r="L31">
            <v>0.2182384525082233</v>
          </cell>
          <cell r="M31">
            <v>0.48019430831977217</v>
          </cell>
          <cell r="N31">
            <v>0.49786794174569593</v>
          </cell>
          <cell r="O31">
            <v>0.24787248741809567</v>
          </cell>
          <cell r="P31">
            <v>11.445350692998275</v>
          </cell>
          <cell r="Q31">
            <v>10.578691337694123</v>
          </cell>
          <cell r="R31">
            <v>12.312010048302428</v>
          </cell>
          <cell r="S31">
            <v>60305.043526358932</v>
          </cell>
          <cell r="T31">
            <v>3636698274.7160454</v>
          </cell>
          <cell r="U31">
            <v>93465.783179401275</v>
          </cell>
          <cell r="V31">
            <v>39288.665150489927</v>
          </cell>
          <cell r="W31">
            <v>222350.45634351147</v>
          </cell>
          <cell r="X31">
            <v>-0.39217480206276295</v>
          </cell>
          <cell r="Y31">
            <v>0.39217480206276295</v>
          </cell>
          <cell r="Z31">
            <v>13.85863113194419</v>
          </cell>
          <cell r="AA31">
            <v>11.457802672479701</v>
          </cell>
          <cell r="AB31">
            <v>11.943218634743971</v>
          </cell>
          <cell r="AC31">
            <v>86</v>
          </cell>
          <cell r="AD31">
            <v>10.591143317175549</v>
          </cell>
        </row>
        <row r="32">
          <cell r="F32">
            <v>39</v>
          </cell>
          <cell r="G32">
            <v>1.2042499779247215</v>
          </cell>
          <cell r="H32">
            <v>0.73953959419280724</v>
          </cell>
          <cell r="I32">
            <v>0.22284464050147643</v>
          </cell>
          <cell r="J32">
            <v>11.225531504634661</v>
          </cell>
          <cell r="K32">
            <v>0.67894843160639795</v>
          </cell>
          <cell r="L32">
            <v>0.22020782203445916</v>
          </cell>
          <cell r="M32">
            <v>0.4856085617907111</v>
          </cell>
          <cell r="N32">
            <v>0.2434496700365667</v>
          </cell>
          <cell r="O32">
            <v>5.9267741840913206E-2</v>
          </cell>
          <cell r="P32">
            <v>11.225531504634661</v>
          </cell>
          <cell r="Q32">
            <v>10.358872149330509</v>
          </cell>
          <cell r="R32">
            <v>12.092190859938814</v>
          </cell>
          <cell r="S32">
            <v>20679.115535853081</v>
          </cell>
          <cell r="T32">
            <v>427625819.34516025</v>
          </cell>
          <cell r="U32">
            <v>75021.611521837185</v>
          </cell>
          <cell r="V32">
            <v>31535.593816980832</v>
          </cell>
          <cell r="W32">
            <v>178472.68797275156</v>
          </cell>
          <cell r="X32">
            <v>-0.21608107034952104</v>
          </cell>
          <cell r="Y32">
            <v>0.21608107034952104</v>
          </cell>
          <cell r="Z32">
            <v>13.500194157855983</v>
          </cell>
          <cell r="AA32">
            <v>11.194435152601143</v>
          </cell>
          <cell r="AB32">
            <v>11.468981174671228</v>
          </cell>
          <cell r="AC32">
            <v>87</v>
          </cell>
          <cell r="AD32">
            <v>10.32777579729699</v>
          </cell>
        </row>
        <row r="33">
          <cell r="F33">
            <v>39</v>
          </cell>
          <cell r="G33">
            <v>1.0143218920323491</v>
          </cell>
          <cell r="H33">
            <v>0.754569669085009</v>
          </cell>
          <cell r="I33">
            <v>0.22273918037341153</v>
          </cell>
          <cell r="J33">
            <v>11.677565150179062</v>
          </cell>
          <cell r="K33">
            <v>0.67519869300730628</v>
          </cell>
          <cell r="L33">
            <v>0.22736160758616769</v>
          </cell>
          <cell r="M33">
            <v>0.48057465842285529</v>
          </cell>
          <cell r="N33">
            <v>-0.59111748753494808</v>
          </cell>
          <cell r="O33">
            <v>0.34941988406962948</v>
          </cell>
          <cell r="P33">
            <v>11.677565150179062</v>
          </cell>
          <cell r="Q33">
            <v>10.810905794874909</v>
          </cell>
          <cell r="R33">
            <v>12.544224505483214</v>
          </cell>
          <cell r="S33">
            <v>-52616.388632237875</v>
          </cell>
          <cell r="T33">
            <v>2768484352.6986909</v>
          </cell>
          <cell r="U33">
            <v>117896.82424753114</v>
          </cell>
          <cell r="V33">
            <v>49558.337742450443</v>
          </cell>
          <cell r="W33">
            <v>280470.68971296714</v>
          </cell>
          <cell r="X33">
            <v>0.80600547677582313</v>
          </cell>
          <cell r="Y33">
            <v>0.80600547677582313</v>
          </cell>
          <cell r="Z33">
            <v>14.12368714848874</v>
          </cell>
          <cell r="AA33">
            <v>11.652556982868029</v>
          </cell>
          <cell r="AB33">
            <v>11.086447662644114</v>
          </cell>
          <cell r="AC33">
            <v>88</v>
          </cell>
          <cell r="AD33">
            <v>10.785897627563877</v>
          </cell>
        </row>
        <row r="34">
          <cell r="F34">
            <v>39</v>
          </cell>
          <cell r="G34">
            <v>0.47124898808230498</v>
          </cell>
          <cell r="H34">
            <v>0.79146944040717815</v>
          </cell>
          <cell r="I34">
            <v>0.22044892243624048</v>
          </cell>
          <cell r="J34">
            <v>10.936432198753048</v>
          </cell>
          <cell r="K34">
            <v>0.66244040537320026</v>
          </cell>
          <cell r="L34">
            <v>0.24840985057089204</v>
          </cell>
          <cell r="M34">
            <v>0.46328723981420111</v>
          </cell>
          <cell r="N34">
            <v>0.98810806597855105</v>
          </cell>
          <cell r="O34">
            <v>0.97635755005187264</v>
          </cell>
          <cell r="P34">
            <v>10.936432198753048</v>
          </cell>
          <cell r="Q34">
            <v>10.069772843448895</v>
          </cell>
          <cell r="R34">
            <v>11.8030915540572</v>
          </cell>
          <cell r="S34">
            <v>94738.773204723111</v>
          </cell>
          <cell r="T34">
            <v>8975435148.3359623</v>
          </cell>
          <cell r="U34">
            <v>56186.522769599833</v>
          </cell>
          <cell r="V34">
            <v>23618.199130991612</v>
          </cell>
          <cell r="W34">
            <v>133664.94724808499</v>
          </cell>
          <cell r="X34">
            <v>-0.62771964496157828</v>
          </cell>
          <cell r="Y34">
            <v>0.62771964496157828</v>
          </cell>
          <cell r="Z34">
            <v>13.187068724127339</v>
          </cell>
          <cell r="AA34">
            <v>10.964361039566933</v>
          </cell>
          <cell r="AB34">
            <v>11.924540264731599</v>
          </cell>
          <cell r="AC34">
            <v>89</v>
          </cell>
          <cell r="AD34">
            <v>10.09770168426278</v>
          </cell>
        </row>
        <row r="35">
          <cell r="F35">
            <v>39</v>
          </cell>
          <cell r="G35">
            <v>1.2686127699602174</v>
          </cell>
          <cell r="H35">
            <v>0.73366583278334174</v>
          </cell>
          <cell r="I35">
            <v>0.21760038013634797</v>
          </cell>
          <cell r="J35">
            <v>11.374050425121659</v>
          </cell>
          <cell r="K35">
            <v>0.66460500282232726</v>
          </cell>
          <cell r="L35">
            <v>0.22569612981691073</v>
          </cell>
          <cell r="M35">
            <v>0.46683538271891784</v>
          </cell>
          <cell r="N35">
            <v>0.91517118399739239</v>
          </cell>
          <cell r="O35">
            <v>0.83753829601918905</v>
          </cell>
          <cell r="P35">
            <v>11.374050425121659</v>
          </cell>
          <cell r="Q35">
            <v>10.507391069817507</v>
          </cell>
          <cell r="R35">
            <v>12.240709780425812</v>
          </cell>
          <cell r="S35">
            <v>130307.05724636617</v>
          </cell>
          <cell r="T35">
            <v>16979929168.207748</v>
          </cell>
          <cell r="U35">
            <v>87033.677907907258</v>
          </cell>
          <cell r="V35">
            <v>36584.907458336726</v>
          </cell>
          <cell r="W35">
            <v>207048.79734364984</v>
          </cell>
          <cell r="X35">
            <v>-0.5995519300782306</v>
          </cell>
          <cell r="Y35">
            <v>0.5995519300782306</v>
          </cell>
          <cell r="Z35">
            <v>13.824619136652659</v>
          </cell>
          <cell r="AA35">
            <v>11.432811794044691</v>
          </cell>
          <cell r="AB35">
            <v>12.289221609119052</v>
          </cell>
          <cell r="AC35">
            <v>90</v>
          </cell>
          <cell r="AD35">
            <v>10.566152438740538</v>
          </cell>
        </row>
        <row r="36">
          <cell r="F36">
            <v>39</v>
          </cell>
          <cell r="G36">
            <v>1.3118540784220762</v>
          </cell>
          <cell r="H36">
            <v>0.73236278519945175</v>
          </cell>
          <cell r="I36">
            <v>0.22264260306492425</v>
          </cell>
          <cell r="J36">
            <v>11.288865565536353</v>
          </cell>
          <cell r="K36">
            <v>0.6792833757692438</v>
          </cell>
          <cell r="L36">
            <v>0.21718527323849673</v>
          </cell>
          <cell r="M36">
            <v>0.4860558194245565</v>
          </cell>
          <cell r="N36">
            <v>-0.19838681394587532</v>
          </cell>
          <cell r="O36">
            <v>3.9357327947595347E-2</v>
          </cell>
          <cell r="P36">
            <v>11.288865565536353</v>
          </cell>
          <cell r="Q36">
            <v>10.422206210232201</v>
          </cell>
          <cell r="R36">
            <v>12.155524920840506</v>
          </cell>
          <cell r="S36">
            <v>-14382.607763770648</v>
          </cell>
          <cell r="T36">
            <v>206859406.0864757</v>
          </cell>
          <cell r="U36">
            <v>79926.725727924815</v>
          </cell>
          <cell r="V36">
            <v>33597.475534678357</v>
          </cell>
          <cell r="W36">
            <v>190141.71106377075</v>
          </cell>
          <cell r="X36">
            <v>0.21943399668047164</v>
          </cell>
          <cell r="Y36">
            <v>0.21943399668047164</v>
          </cell>
          <cell r="Z36">
            <v>13.384125401176133</v>
          </cell>
          <cell r="AA36">
            <v>11.109151705881059</v>
          </cell>
          <cell r="AB36">
            <v>11.090478751590478</v>
          </cell>
          <cell r="AC36">
            <v>91</v>
          </cell>
          <cell r="AD36">
            <v>10.242492350576907</v>
          </cell>
        </row>
        <row r="37">
          <cell r="F37">
            <v>39</v>
          </cell>
          <cell r="G37">
            <v>1.2817568954642002</v>
          </cell>
          <cell r="H37">
            <v>0.73421368850751478</v>
          </cell>
          <cell r="I37">
            <v>0.22284499024768764</v>
          </cell>
          <cell r="J37">
            <v>11.499666217006764</v>
          </cell>
          <cell r="K37">
            <v>0.6797379527504489</v>
          </cell>
          <cell r="L37">
            <v>0.21773509830372123</v>
          </cell>
          <cell r="M37">
            <v>0.48665907195954589</v>
          </cell>
          <cell r="N37">
            <v>3.6387375982934955E-2</v>
          </cell>
          <cell r="O37">
            <v>1.3240411309234717E-3</v>
          </cell>
          <cell r="P37">
            <v>11.499666217006764</v>
          </cell>
          <cell r="Q37">
            <v>10.633006861702611</v>
          </cell>
          <cell r="R37">
            <v>12.366325572310917</v>
          </cell>
          <cell r="S37">
            <v>3656.9388425686338</v>
          </cell>
          <cell r="T37">
            <v>13373201.698287219</v>
          </cell>
          <cell r="U37">
            <v>98682.826863636816</v>
          </cell>
          <cell r="V37">
            <v>41481.667502933502</v>
          </cell>
          <cell r="W37">
            <v>234761.544171527</v>
          </cell>
          <cell r="X37">
            <v>-3.5733312631053761E-2</v>
          </cell>
          <cell r="Y37">
            <v>3.5733312631053761E-2</v>
          </cell>
          <cell r="Z37">
            <v>14.067179812156041</v>
          </cell>
          <cell r="AA37">
            <v>11.611037278984959</v>
          </cell>
          <cell r="AB37">
            <v>11.536053592989699</v>
          </cell>
          <cell r="AC37">
            <v>92</v>
          </cell>
          <cell r="AD37">
            <v>10.744377923680807</v>
          </cell>
        </row>
        <row r="38">
          <cell r="F38">
            <v>39</v>
          </cell>
          <cell r="G38">
            <v>1.4023800284718106</v>
          </cell>
          <cell r="H38">
            <v>0.72459128515952897</v>
          </cell>
          <cell r="I38">
            <v>0.22126239551033047</v>
          </cell>
          <cell r="J38">
            <v>11.504532755677641</v>
          </cell>
          <cell r="K38">
            <v>0.67459992145145398</v>
          </cell>
          <cell r="L38">
            <v>0.2156760271868467</v>
          </cell>
          <cell r="M38">
            <v>0.47985438274282671</v>
          </cell>
          <cell r="N38">
            <v>0.52465035861304621</v>
          </cell>
          <cell r="O38">
            <v>0.275257998792798</v>
          </cell>
          <cell r="P38">
            <v>11.504532755677641</v>
          </cell>
          <cell r="Q38">
            <v>10.637873400373488</v>
          </cell>
          <cell r="R38">
            <v>12.371192110981793</v>
          </cell>
          <cell r="S38">
            <v>68410.226508741936</v>
          </cell>
          <cell r="T38">
            <v>4679959090.9773779</v>
          </cell>
          <cell r="U38">
            <v>99164.241117142083</v>
          </cell>
          <cell r="V38">
            <v>41684.031649054625</v>
          </cell>
          <cell r="W38">
            <v>235906.80477188708</v>
          </cell>
          <cell r="X38">
            <v>-0.40823776723235788</v>
          </cell>
          <cell r="Y38">
            <v>0.40823776723235788</v>
          </cell>
          <cell r="Z38">
            <v>13.887870332380935</v>
          </cell>
          <cell r="AA38">
            <v>11.479286660625306</v>
          </cell>
          <cell r="AB38">
            <v>12.029183114290687</v>
          </cell>
          <cell r="AC38">
            <v>93</v>
          </cell>
          <cell r="AD38">
            <v>10.612627305321153</v>
          </cell>
        </row>
        <row r="39">
          <cell r="F39">
            <v>39</v>
          </cell>
          <cell r="G39">
            <v>0.93191365763214939</v>
          </cell>
          <cell r="H39">
            <v>0.76099011365583291</v>
          </cell>
          <cell r="I39">
            <v>0.22046728917487607</v>
          </cell>
          <cell r="J39">
            <v>11.653060241604484</v>
          </cell>
          <cell r="K39">
            <v>0.66942762590736715</v>
          </cell>
          <cell r="L39">
            <v>0.23400743339562149</v>
          </cell>
          <cell r="M39">
            <v>0.47294435255561312</v>
          </cell>
          <cell r="N39">
            <v>-0.72446257933045999</v>
          </cell>
          <cell r="O39">
            <v>0.52484602885014309</v>
          </cell>
          <cell r="P39">
            <v>11.653060241604484</v>
          </cell>
          <cell r="Q39">
            <v>10.786400886300331</v>
          </cell>
          <cell r="R39">
            <v>12.519719596908637</v>
          </cell>
          <cell r="S39">
            <v>-59294.836657344931</v>
          </cell>
          <cell r="T39">
            <v>3515877654.2212162</v>
          </cell>
          <cell r="U39">
            <v>115042.88393359918</v>
          </cell>
          <cell r="V39">
            <v>48358.674062980324</v>
          </cell>
          <cell r="W39">
            <v>273681.30744285986</v>
          </cell>
          <cell r="X39">
            <v>1.0636217689117413</v>
          </cell>
          <cell r="Y39">
            <v>1.0636217689117413</v>
          </cell>
          <cell r="Z39">
            <v>14.100628474984099</v>
          </cell>
          <cell r="AA39">
            <v>11.635614239536221</v>
          </cell>
          <cell r="AB39">
            <v>10.928597662274024</v>
          </cell>
          <cell r="AC39">
            <v>94</v>
          </cell>
          <cell r="AD39">
            <v>10.768954884232068</v>
          </cell>
        </row>
        <row r="40">
          <cell r="F40">
            <v>39</v>
          </cell>
          <cell r="G40">
            <v>1.2164911489283572</v>
          </cell>
          <cell r="H40">
            <v>0.73917166450183502</v>
          </cell>
          <cell r="I40">
            <v>0.22503120687990333</v>
          </cell>
          <cell r="J40">
            <v>11.722239790085197</v>
          </cell>
          <cell r="K40">
            <v>0.67960858342442643</v>
          </cell>
          <cell r="L40">
            <v>0.2167038028897306</v>
          </cell>
          <cell r="M40">
            <v>0.48648326120591406</v>
          </cell>
          <cell r="N40">
            <v>-8.5824099476372595E-2</v>
          </cell>
          <cell r="O40">
            <v>7.3657760509302991E-3</v>
          </cell>
          <cell r="P40">
            <v>11.722239790085197</v>
          </cell>
          <cell r="Q40">
            <v>10.855580434781045</v>
          </cell>
          <cell r="R40">
            <v>12.58889914538935</v>
          </cell>
          <cell r="S40">
            <v>-10139.350244057219</v>
          </cell>
          <cell r="T40">
            <v>102806423.3716632</v>
          </cell>
          <cell r="U40">
            <v>123283.24478354445</v>
          </cell>
          <cell r="V40">
            <v>51822.538240219226</v>
          </cell>
          <cell r="W40">
            <v>293284.71665951039</v>
          </cell>
          <cell r="X40">
            <v>8.9614647660184482E-2</v>
          </cell>
          <cell r="Y40">
            <v>8.9614647660184482E-2</v>
          </cell>
          <cell r="Z40">
            <v>14.102064385648308</v>
          </cell>
          <cell r="AA40">
            <v>11.636669298745339</v>
          </cell>
          <cell r="AB40">
            <v>11.636415690608825</v>
          </cell>
          <cell r="AC40">
            <v>95</v>
          </cell>
          <cell r="AD40">
            <v>10.770009943441186</v>
          </cell>
        </row>
        <row r="41">
          <cell r="F41">
            <v>39</v>
          </cell>
          <cell r="G41">
            <v>1.3661078778448097</v>
          </cell>
          <cell r="H41">
            <v>0.72775135184713424</v>
          </cell>
          <cell r="I41">
            <v>0.22328431307098048</v>
          </cell>
          <cell r="J41">
            <v>11.592450360182573</v>
          </cell>
          <cell r="K41">
            <v>0.67882540972460959</v>
          </cell>
          <cell r="L41">
            <v>0.21407506217591143</v>
          </cell>
          <cell r="M41">
            <v>0.48543963793772693</v>
          </cell>
          <cell r="N41">
            <v>0.22667969202053762</v>
          </cell>
          <cell r="O41">
            <v>5.1383682774525784E-2</v>
          </cell>
          <cell r="P41">
            <v>11.592450360182573</v>
          </cell>
          <cell r="Q41">
            <v>10.72579100487842</v>
          </cell>
          <cell r="R41">
            <v>12.459109715486726</v>
          </cell>
          <cell r="S41">
            <v>27548.764576645175</v>
          </cell>
          <cell r="T41">
            <v>758934429.69941998</v>
          </cell>
          <cell r="U41">
            <v>108277.25150455888</v>
          </cell>
          <cell r="V41">
            <v>45514.717076864341</v>
          </cell>
          <cell r="W41">
            <v>257586.20389933005</v>
          </cell>
          <cell r="X41">
            <v>-0.20282391673900713</v>
          </cell>
          <cell r="Y41">
            <v>0.20282391673900713</v>
          </cell>
          <cell r="Z41">
            <v>13.874070782802761</v>
          </cell>
          <cell r="AA41">
            <v>11.469147212380353</v>
          </cell>
          <cell r="AB41">
            <v>11.819130052203111</v>
          </cell>
          <cell r="AC41">
            <v>96</v>
          </cell>
          <cell r="AD41">
            <v>10.6024878570762</v>
          </cell>
        </row>
        <row r="42">
          <cell r="F42">
            <v>39</v>
          </cell>
          <cell r="G42">
            <v>1.9517833759301055</v>
          </cell>
          <cell r="H42">
            <v>0.68456453194500955</v>
          </cell>
          <cell r="I42">
            <v>0.22862082737725259</v>
          </cell>
          <cell r="J42">
            <v>11.915748128170829</v>
          </cell>
          <cell r="K42">
            <v>0.67374889585141073</v>
          </cell>
          <cell r="L42">
            <v>0.18692353558368138</v>
          </cell>
          <cell r="M42">
            <v>0.47817298096257521</v>
          </cell>
          <cell r="N42">
            <v>0.59360996105517927</v>
          </cell>
          <cell r="O42">
            <v>0.35237278586393145</v>
          </cell>
          <cell r="P42">
            <v>11.915748128170829</v>
          </cell>
          <cell r="Q42">
            <v>11.049088772866677</v>
          </cell>
          <cell r="R42">
            <v>12.782407483474982</v>
          </cell>
          <cell r="S42">
            <v>121256.04069913161</v>
          </cell>
          <cell r="T42">
            <v>14703027406.029463</v>
          </cell>
          <cell r="U42">
            <v>149604.15649152896</v>
          </cell>
          <cell r="V42">
            <v>62886.624490539325</v>
          </cell>
          <cell r="W42">
            <v>355900.858423542</v>
          </cell>
          <cell r="X42">
            <v>-0.44767020757124587</v>
          </cell>
          <cell r="Y42">
            <v>0.44767020757124587</v>
          </cell>
          <cell r="Z42">
            <v>14.49799922991059</v>
          </cell>
          <cell r="AA42">
            <v>11.927589001524659</v>
          </cell>
          <cell r="AB42">
            <v>12.509358089226009</v>
          </cell>
          <cell r="AC42">
            <v>97</v>
          </cell>
          <cell r="AD42">
            <v>11.060929646220506</v>
          </cell>
        </row>
        <row r="43">
          <cell r="F43">
            <v>39</v>
          </cell>
          <cell r="G43">
            <v>0.18971931173253864</v>
          </cell>
          <cell r="H43">
            <v>0.81511637909400325</v>
          </cell>
          <cell r="I43">
            <v>0.22799024236525231</v>
          </cell>
          <cell r="J43">
            <v>12.11423923555995</v>
          </cell>
          <cell r="K43">
            <v>0.66700464415255434</v>
          </cell>
          <cell r="L43">
            <v>0.24684591667426922</v>
          </cell>
          <cell r="M43">
            <v>0.46844456061428702</v>
          </cell>
          <cell r="N43">
            <v>-0.86327070264899497</v>
          </cell>
          <cell r="O43">
            <v>0.74523630605208946</v>
          </cell>
          <cell r="P43">
            <v>12.11423923555995</v>
          </cell>
          <cell r="Q43">
            <v>11.247579880255797</v>
          </cell>
          <cell r="R43">
            <v>12.980898590864102</v>
          </cell>
          <cell r="S43">
            <v>-105497.00539761828</v>
          </cell>
          <cell r="T43">
            <v>11129618147.865101</v>
          </cell>
          <cell r="U43">
            <v>182451.42196525889</v>
          </cell>
          <cell r="V43">
            <v>76694.086113468729</v>
          </cell>
          <cell r="W43">
            <v>434042.87167454686</v>
          </cell>
          <cell r="X43">
            <v>1.370902543389301</v>
          </cell>
          <cell r="Y43">
            <v>1.370902543389301</v>
          </cell>
          <cell r="Z43">
            <v>14.670467677317042</v>
          </cell>
          <cell r="AA43">
            <v>12.054313057730882</v>
          </cell>
          <cell r="AB43">
            <v>11.250968532910955</v>
          </cell>
          <cell r="AC43">
            <v>98</v>
          </cell>
          <cell r="AD43">
            <v>11.187653702426729</v>
          </cell>
        </row>
        <row r="44">
          <cell r="F44">
            <v>39</v>
          </cell>
          <cell r="G44">
            <v>1.0303385257524464</v>
          </cell>
          <cell r="H44">
            <v>0.75343263820845741</v>
          </cell>
          <cell r="I44">
            <v>0.22236381146924208</v>
          </cell>
          <cell r="J44">
            <v>11.653694614918814</v>
          </cell>
          <cell r="K44">
            <v>0.67489944799733825</v>
          </cell>
          <cell r="L44">
            <v>0.22742438518772842</v>
          </cell>
          <cell r="M44">
            <v>0.48019117770166181</v>
          </cell>
          <cell r="N44">
            <v>-0.51063792665781094</v>
          </cell>
          <cell r="O44">
            <v>0.26075109214138792</v>
          </cell>
          <cell r="P44">
            <v>11.653694614918814</v>
          </cell>
          <cell r="Q44">
            <v>10.787035259614662</v>
          </cell>
          <cell r="R44">
            <v>12.520353970222967</v>
          </cell>
          <cell r="S44">
            <v>-46033.389520731158</v>
          </cell>
          <cell r="T44">
            <v>2119072950.7673612</v>
          </cell>
          <cell r="U44">
            <v>115115.88722239117</v>
          </cell>
          <cell r="V44">
            <v>48389.361247858753</v>
          </cell>
          <cell r="W44">
            <v>273854.97864129534</v>
          </cell>
          <cell r="X44">
            <v>0.6663538675097006</v>
          </cell>
          <cell r="Y44">
            <v>0.6663538675097006</v>
          </cell>
          <cell r="Z44">
            <v>13.867866608281162</v>
          </cell>
          <cell r="AA44">
            <v>11.46458859210742</v>
          </cell>
          <cell r="AB44">
            <v>11.143056688261003</v>
          </cell>
          <cell r="AC44">
            <v>99</v>
          </cell>
          <cell r="AD44">
            <v>10.597929236803267</v>
          </cell>
        </row>
        <row r="45">
          <cell r="F45">
            <v>39</v>
          </cell>
          <cell r="G45">
            <v>1.2430468345305794</v>
          </cell>
          <cell r="H45">
            <v>0.73734185643943073</v>
          </cell>
          <cell r="I45">
            <v>0.22274546125276951</v>
          </cell>
          <cell r="J45">
            <v>11.509679798946113</v>
          </cell>
          <cell r="K45">
            <v>0.6793512706395195</v>
          </cell>
          <cell r="L45">
            <v>0.21933981481168968</v>
          </cell>
          <cell r="M45">
            <v>0.48614550519940408</v>
          </cell>
          <cell r="N45">
            <v>-0.11492633799449514</v>
          </cell>
          <cell r="O45">
            <v>1.3208063164824937E-2</v>
          </cell>
          <cell r="P45">
            <v>11.509679798946113</v>
          </cell>
          <cell r="Q45">
            <v>10.64302044364196</v>
          </cell>
          <cell r="R45">
            <v>12.376339154250266</v>
          </cell>
          <cell r="S45">
            <v>-10821.638898828285</v>
          </cell>
          <cell r="T45">
            <v>117107868.45663346</v>
          </cell>
          <cell r="U45">
            <v>99675.959545597972</v>
          </cell>
          <cell r="V45">
            <v>41899.134259903651</v>
          </cell>
          <cell r="W45">
            <v>237124.15749944255</v>
          </cell>
          <cell r="X45">
            <v>0.1217908011682233</v>
          </cell>
          <cell r="Y45">
            <v>0.1217908011682233</v>
          </cell>
          <cell r="Z45">
            <v>13.628472534533033</v>
          </cell>
          <cell r="AA45">
            <v>11.288689820399918</v>
          </cell>
          <cell r="AB45">
            <v>11.394753460951618</v>
          </cell>
          <cell r="AC45" t="str">
            <v>00</v>
          </cell>
          <cell r="AD45">
            <v>10.422030465095766</v>
          </cell>
        </row>
        <row r="46">
          <cell r="F46">
            <v>39</v>
          </cell>
          <cell r="G46">
            <v>1.2618783103735147</v>
          </cell>
          <cell r="H46">
            <v>0.73647970215659031</v>
          </cell>
          <cell r="I46">
            <v>0.22139830612613837</v>
          </cell>
          <cell r="J46">
            <v>11.424349929167906</v>
          </cell>
          <cell r="K46">
            <v>0.67616096211317422</v>
          </cell>
          <cell r="L46">
            <v>0.22102122974636348</v>
          </cell>
          <cell r="M46">
            <v>0.48193248551185858</v>
          </cell>
          <cell r="N46">
            <v>-0.42689868712061951</v>
          </cell>
          <cell r="O46">
            <v>0.1822424890653086</v>
          </cell>
          <cell r="P46">
            <v>11.424349929167906</v>
          </cell>
          <cell r="Q46">
            <v>10.557690573863754</v>
          </cell>
          <cell r="R46">
            <v>12.291009284472059</v>
          </cell>
          <cell r="S46">
            <v>59680.73133143512</v>
          </cell>
          <cell r="T46">
            <v>3561789692.2549415</v>
          </cell>
          <cell r="U46">
            <v>91523.397519229766</v>
          </cell>
          <cell r="V46">
            <v>38472.176621750878</v>
          </cell>
          <cell r="W46">
            <v>217729.61732368276</v>
          </cell>
          <cell r="X46">
            <v>0.53249739213530678</v>
          </cell>
          <cell r="Y46">
            <v>0.53249739213530678</v>
          </cell>
          <cell r="Z46">
            <v>13.744959415531399</v>
          </cell>
          <cell r="AA46">
            <v>11.374280490907529</v>
          </cell>
          <cell r="AB46">
            <v>10.997451242047287</v>
          </cell>
          <cell r="AC46" t="str">
            <v>01</v>
          </cell>
          <cell r="AD46">
            <v>10.507621135603376</v>
          </cell>
        </row>
        <row r="47">
          <cell r="F47">
            <v>39</v>
          </cell>
          <cell r="G47">
            <v>0.98954358293541311</v>
          </cell>
          <cell r="H47">
            <v>0.7564482698150351</v>
          </cell>
          <cell r="I47">
            <v>0.22246866427067055</v>
          </cell>
          <cell r="J47">
            <v>11.680509081841954</v>
          </cell>
          <cell r="K47">
            <v>0.67433548989905578</v>
          </cell>
          <cell r="L47">
            <v>0.22866480057091959</v>
          </cell>
          <cell r="M47">
            <v>0.47942137075656382</v>
          </cell>
          <cell r="N47">
            <v>-0.54041919262533256</v>
          </cell>
          <cell r="O47">
            <v>0.29205290375781628</v>
          </cell>
          <cell r="P47">
            <v>11.680509081841954</v>
          </cell>
          <cell r="Q47">
            <v>10.813849726537802</v>
          </cell>
          <cell r="R47">
            <v>12.547168437146107</v>
          </cell>
          <cell r="S47">
            <v>68836.84754155406</v>
          </cell>
          <cell r="T47">
            <v>4738511579.459157</v>
          </cell>
          <cell r="U47">
            <v>118244.41583328519</v>
          </cell>
          <cell r="V47">
            <v>49704.449067443107</v>
          </cell>
          <cell r="W47">
            <v>281297.59283285256</v>
          </cell>
          <cell r="X47">
            <v>0.716726350398047</v>
          </cell>
          <cell r="Y47">
            <v>0.716726350398047</v>
          </cell>
          <cell r="Z47">
            <v>14.325938642858917</v>
          </cell>
          <cell r="AA47">
            <v>11.801164627488134</v>
          </cell>
          <cell r="AB47">
            <v>11.140089889216622</v>
          </cell>
          <cell r="AC47" t="str">
            <v>02</v>
          </cell>
          <cell r="AD47">
            <v>10.934505272183982</v>
          </cell>
        </row>
        <row r="48">
          <cell r="F48">
            <v>39</v>
          </cell>
          <cell r="G48">
            <v>0.68269382627435959</v>
          </cell>
          <cell r="H48">
            <v>0.77968563714289474</v>
          </cell>
          <cell r="I48">
            <v>0.21717089163560138</v>
          </cell>
          <cell r="J48">
            <v>11.712899009843685</v>
          </cell>
          <cell r="K48">
            <v>0.65789239598050586</v>
          </cell>
          <cell r="L48">
            <v>0.24840275646672419</v>
          </cell>
          <cell r="M48">
            <v>0.45771506432103248</v>
          </cell>
          <cell r="N48">
            <v>-1.0639269392794528</v>
          </cell>
          <cell r="O48">
            <v>1.1319405321245444</v>
          </cell>
          <cell r="P48">
            <v>11.712899009843685</v>
          </cell>
          <cell r="Q48">
            <v>10.846239654539533</v>
          </cell>
          <cell r="R48">
            <v>12.579558365147838</v>
          </cell>
          <cell r="S48">
            <v>42108.24582245505</v>
          </cell>
          <cell r="T48">
            <v>1773104366.2443032</v>
          </cell>
          <cell r="U48">
            <v>122137.04462230524</v>
          </cell>
          <cell r="V48">
            <v>51340.729039049562</v>
          </cell>
          <cell r="W48">
            <v>290557.96340026305</v>
          </cell>
          <cell r="X48">
            <v>1.8977278771910224</v>
          </cell>
          <cell r="Y48">
            <v>1.8977278771910224</v>
          </cell>
          <cell r="Z48">
            <v>14.037315960831982</v>
          </cell>
          <cell r="AA48">
            <v>11.589094318225269</v>
          </cell>
          <cell r="AB48">
            <v>10.648972070564232</v>
          </cell>
          <cell r="AC48" t="str">
            <v>03</v>
          </cell>
          <cell r="AD48">
            <v>10.722434962921117</v>
          </cell>
        </row>
        <row r="49">
          <cell r="F49">
            <v>39</v>
          </cell>
          <cell r="G49">
            <v>1.047309691203564</v>
          </cell>
          <cell r="H49">
            <v>0.75210077899844197</v>
          </cell>
          <cell r="I49">
            <v>0.22282785763062224</v>
          </cell>
          <cell r="J49">
            <v>11.663077088795891</v>
          </cell>
          <cell r="K49">
            <v>0.67592186438272528</v>
          </cell>
          <cell r="L49">
            <v>0.22607291987034095</v>
          </cell>
          <cell r="M49">
            <v>0.48154812623605914</v>
          </cell>
          <cell r="N49">
            <v>-0.44720087982636336</v>
          </cell>
          <cell r="O49">
            <v>0.19998862691747349</v>
          </cell>
          <cell r="P49">
            <v>11.663077088795891</v>
          </cell>
          <cell r="Q49">
            <v>10.796417733491738</v>
          </cell>
          <cell r="R49">
            <v>12.529736444100044</v>
          </cell>
          <cell r="S49">
            <v>74259.74138869009</v>
          </cell>
          <cell r="T49">
            <v>5514509191.1151323</v>
          </cell>
          <cell r="U49">
            <v>116201.04178367858</v>
          </cell>
          <cell r="V49">
            <v>48845.509720001915</v>
          </cell>
          <cell r="W49">
            <v>276436.50744999712</v>
          </cell>
          <cell r="X49">
            <v>0.56392842940550347</v>
          </cell>
          <cell r="Y49">
            <v>0.56392842940550347</v>
          </cell>
          <cell r="Z49">
            <v>14.154673507238607</v>
          </cell>
          <cell r="AA49">
            <v>11.675324724602206</v>
          </cell>
          <cell r="AB49">
            <v>11.215876208969528</v>
          </cell>
          <cell r="AC49" t="str">
            <v>04</v>
          </cell>
          <cell r="AD49">
            <v>10.808665369298053</v>
          </cell>
        </row>
        <row r="50">
          <cell r="F50">
            <v>39</v>
          </cell>
          <cell r="G50">
            <v>1.4164219179483855</v>
          </cell>
          <cell r="H50">
            <v>0.72354488977523812</v>
          </cell>
          <cell r="I50">
            <v>0.2212238702250503</v>
          </cell>
          <cell r="J50">
            <v>11.513364996687166</v>
          </cell>
          <cell r="K50">
            <v>0.67430339174259923</v>
          </cell>
          <cell r="L50">
            <v>0.21524632314766531</v>
          </cell>
          <cell r="M50">
            <v>0.47945940608814447</v>
          </cell>
          <cell r="N50">
            <v>0.54206965026076936</v>
          </cell>
          <cell r="O50">
            <v>0.29383950573383283</v>
          </cell>
          <cell r="P50">
            <v>11.513364996687166</v>
          </cell>
          <cell r="Q50">
            <v>10.646705641383013</v>
          </cell>
          <cell r="R50">
            <v>12.380024351991318</v>
          </cell>
          <cell r="S50">
            <v>171990.80421827204</v>
          </cell>
          <cell r="T50">
            <v>29580836735.647984</v>
          </cell>
          <cell r="U50">
            <v>100043.96283251561</v>
          </cell>
          <cell r="V50">
            <v>42053.825714061109</v>
          </cell>
          <cell r="W50">
            <v>237999.61904267909</v>
          </cell>
          <cell r="X50">
            <v>-0.41845658547194597</v>
          </cell>
          <cell r="Y50">
            <v>0.41845658547194597</v>
          </cell>
          <cell r="Z50">
            <v>13.798343395678465</v>
          </cell>
          <cell r="AA50">
            <v>11.413505256958363</v>
          </cell>
          <cell r="AB50">
            <v>12.055434646947935</v>
          </cell>
          <cell r="AC50" t="str">
            <v>05</v>
          </cell>
          <cell r="AD50">
            <v>10.54684590165421</v>
          </cell>
        </row>
        <row r="54">
          <cell r="A54">
            <v>2003</v>
          </cell>
          <cell r="B54">
            <v>2009</v>
          </cell>
          <cell r="C54">
            <v>13.58533692874585</v>
          </cell>
          <cell r="D54">
            <v>12.28890052785396</v>
          </cell>
          <cell r="E54">
            <v>41</v>
          </cell>
          <cell r="F54">
            <v>39</v>
          </cell>
          <cell r="G54">
            <v>0.93875161546207231</v>
          </cell>
          <cell r="H54">
            <v>0.75968383022265096</v>
          </cell>
          <cell r="I54">
            <v>0.23084493761861638</v>
          </cell>
        </row>
        <row r="55">
          <cell r="A55">
            <v>2004</v>
          </cell>
          <cell r="B55">
            <v>2010</v>
          </cell>
          <cell r="C55">
            <v>13.745907076568347</v>
          </cell>
          <cell r="D55">
            <v>11.352200600610109</v>
          </cell>
          <cell r="E55">
            <v>41</v>
          </cell>
          <cell r="F55">
            <v>39</v>
          </cell>
          <cell r="G55">
            <v>0.93875161546207231</v>
          </cell>
          <cell r="H55">
            <v>0.75968383022265096</v>
          </cell>
          <cell r="I55">
            <v>0.23084493761861638</v>
          </cell>
        </row>
        <row r="56">
          <cell r="A56">
            <v>2005</v>
          </cell>
          <cell r="B56">
            <v>2011</v>
          </cell>
          <cell r="C56">
            <v>13.479537267281957</v>
          </cell>
          <cell r="D56">
            <v>11.752823215523565</v>
          </cell>
          <cell r="E56">
            <v>41</v>
          </cell>
          <cell r="F56">
            <v>39</v>
          </cell>
          <cell r="G56">
            <v>0.93875161546207231</v>
          </cell>
          <cell r="H56">
            <v>0.75968383022265096</v>
          </cell>
          <cell r="I56">
            <v>0.23084493761861638</v>
          </cell>
        </row>
        <row r="57">
          <cell r="A57">
            <v>2006</v>
          </cell>
          <cell r="B57">
            <v>2012</v>
          </cell>
          <cell r="C57">
            <v>14.413615521253396</v>
          </cell>
          <cell r="D57">
            <v>11.55564551176065</v>
          </cell>
          <cell r="E57">
            <v>41</v>
          </cell>
          <cell r="F57">
            <v>39</v>
          </cell>
          <cell r="G57">
            <v>0.93875161546207231</v>
          </cell>
          <cell r="H57">
            <v>0.75968383022265096</v>
          </cell>
          <cell r="I57">
            <v>0.23084493761861638</v>
          </cell>
        </row>
        <row r="58">
          <cell r="A58">
            <v>2007</v>
          </cell>
          <cell r="B58">
            <v>2013</v>
          </cell>
          <cell r="C58">
            <v>14.537503522616381</v>
          </cell>
          <cell r="D58">
            <v>12.577940755954955</v>
          </cell>
          <cell r="E58">
            <v>41</v>
          </cell>
          <cell r="F58">
            <v>39</v>
          </cell>
          <cell r="G58">
            <v>0.93875161546207231</v>
          </cell>
          <cell r="H58">
            <v>0.75968383022265096</v>
          </cell>
          <cell r="I58">
            <v>0.23084493761861638</v>
          </cell>
        </row>
        <row r="59">
          <cell r="A59">
            <v>2008</v>
          </cell>
          <cell r="B59">
            <v>2014</v>
          </cell>
          <cell r="C59">
            <v>14.177022176795413</v>
          </cell>
          <cell r="D59">
            <v>12.107603038684442</v>
          </cell>
          <cell r="E59">
            <v>41</v>
          </cell>
          <cell r="F59">
            <v>39</v>
          </cell>
          <cell r="G59">
            <v>0.93875161546207231</v>
          </cell>
          <cell r="H59">
            <v>0.75968383022265096</v>
          </cell>
          <cell r="I59">
            <v>0.23084493761861638</v>
          </cell>
        </row>
        <row r="60">
          <cell r="A60">
            <v>2009</v>
          </cell>
          <cell r="B60">
            <v>2015</v>
          </cell>
          <cell r="C60">
            <v>14.429301920516998</v>
          </cell>
          <cell r="D60">
            <v>12.661403303881411</v>
          </cell>
          <cell r="E60">
            <v>41</v>
          </cell>
          <cell r="F60">
            <v>39</v>
          </cell>
          <cell r="G60">
            <v>1.2619257126261907</v>
          </cell>
          <cell r="H60">
            <v>0.73412402228736184</v>
          </cell>
          <cell r="I60">
            <v>0.21741952268758197</v>
          </cell>
        </row>
        <row r="62">
          <cell r="A62">
            <v>2010</v>
          </cell>
          <cell r="B62">
            <v>2016</v>
          </cell>
          <cell r="C62">
            <v>14.362119154384274</v>
          </cell>
          <cell r="E62">
            <v>42</v>
          </cell>
          <cell r="F62">
            <v>40</v>
          </cell>
          <cell r="G62">
            <v>1.2749432746272102</v>
          </cell>
          <cell r="H62">
            <v>0.73476660868626242</v>
          </cell>
          <cell r="I62">
            <v>0.2197606308278704</v>
          </cell>
        </row>
        <row r="64">
          <cell r="E64" t="str">
            <v>d.f. =</v>
          </cell>
          <cell r="F64">
            <v>39</v>
          </cell>
        </row>
        <row r="65">
          <cell r="E65" t="str">
            <v>d.f. =</v>
          </cell>
          <cell r="F65">
            <v>40</v>
          </cell>
        </row>
      </sheetData>
      <sheetData sheetId="28" refreshError="1"/>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Comp"/>
      <sheetName val="AgeErrors"/>
      <sheetName val="Mean_WT"/>
      <sheetName val="LenAtAge"/>
      <sheetName val="MeanLeng"/>
      <sheetName val="Data"/>
      <sheetName val="Overlay"/>
    </sheetNames>
    <sheetDataSet>
      <sheetData sheetId="0"/>
      <sheetData sheetId="1"/>
      <sheetData sheetId="2"/>
      <sheetData sheetId="3"/>
      <sheetData sheetId="4"/>
      <sheetData sheetId="5"/>
      <sheetData sheetId="6">
        <row r="11">
          <cell r="D11">
            <v>38488</v>
          </cell>
          <cell r="G11">
            <v>38489</v>
          </cell>
        </row>
        <row r="19">
          <cell r="F19">
            <v>38640</v>
          </cell>
          <cell r="I19">
            <v>38559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these items"/>
      <sheetName val="notes"/>
      <sheetName val="BY Total Return"/>
      <sheetName val="Total_run_Size"/>
      <sheetName val="Comm Catch"/>
      <sheetName val="Subs PU"/>
      <sheetName val="UCR Past Sonar"/>
      <sheetName val="UCR Spwn Esc"/>
      <sheetName val="Hatchery Returns"/>
      <sheetName val="Delta Esc"/>
      <sheetName val="BY Run"/>
      <sheetName val="BY Return"/>
      <sheetName val="Sib Grfs"/>
      <sheetName val="Ret per Spwnr"/>
      <sheetName val="Yield per S"/>
      <sheetName val="Graphs"/>
      <sheetName val="Long Lk"/>
    </sheetNames>
    <sheetDataSet>
      <sheetData sheetId="0" refreshError="1"/>
      <sheetData sheetId="1" refreshError="1"/>
      <sheetData sheetId="2" refreshError="1"/>
      <sheetData sheetId="3" refreshError="1"/>
      <sheetData sheetId="4">
        <row r="51">
          <cell r="B51">
            <v>2002</v>
          </cell>
          <cell r="C51">
            <v>0</v>
          </cell>
          <cell r="D51">
            <v>2633.2200495772186</v>
          </cell>
          <cell r="E51">
            <v>166.00186567164178</v>
          </cell>
          <cell r="F51">
            <v>44272.309517251902</v>
          </cell>
          <cell r="G51">
            <v>166245.31249079239</v>
          </cell>
          <cell r="H51">
            <v>0</v>
          </cell>
          <cell r="I51">
            <v>2302.7700988526085</v>
          </cell>
          <cell r="J51">
            <v>949692.65217548376</v>
          </cell>
          <cell r="K51">
            <v>8103.4013966544617</v>
          </cell>
          <cell r="L51">
            <v>9704.4050135936686</v>
          </cell>
          <cell r="M51">
            <v>64664.434718129778</v>
          </cell>
          <cell r="N51">
            <v>0</v>
          </cell>
          <cell r="O51">
            <v>0</v>
          </cell>
          <cell r="P51">
            <v>718.49267399267376</v>
          </cell>
          <cell r="Q51">
            <v>0</v>
          </cell>
          <cell r="R51">
            <v>1248503</v>
          </cell>
          <cell r="T51">
            <v>2002</v>
          </cell>
          <cell r="U51">
            <v>0</v>
          </cell>
          <cell r="V51">
            <v>0.21091019000973313</v>
          </cell>
          <cell r="W51">
            <v>1.3296072630313406E-2</v>
          </cell>
          <cell r="X51">
            <v>3.5460314886910087</v>
          </cell>
          <cell r="Y51">
            <v>13.315571727964803</v>
          </cell>
          <cell r="Z51">
            <v>0</v>
          </cell>
          <cell r="AA51">
            <v>0.18444249624170775</v>
          </cell>
          <cell r="AB51">
            <v>76.066509425726949</v>
          </cell>
          <cell r="AC51">
            <v>0.64904941330973664</v>
          </cell>
          <cell r="AD51">
            <v>0.77728327553827814</v>
          </cell>
          <cell r="AE51">
            <v>5.1793575760834996</v>
          </cell>
          <cell r="AF51">
            <v>0</v>
          </cell>
          <cell r="AG51">
            <v>0</v>
          </cell>
          <cell r="AH51">
            <v>5.7548333803977551E-2</v>
          </cell>
          <cell r="AI51">
            <v>0</v>
          </cell>
          <cell r="AJ51">
            <v>100.00000000000001</v>
          </cell>
        </row>
        <row r="52">
          <cell r="B52">
            <v>2003</v>
          </cell>
          <cell r="C52">
            <v>0</v>
          </cell>
          <cell r="D52">
            <v>7399.3769315745276</v>
          </cell>
          <cell r="E52">
            <v>1752.1858427141387</v>
          </cell>
          <cell r="F52">
            <v>53859.299918412558</v>
          </cell>
          <cell r="G52">
            <v>137990.75265434466</v>
          </cell>
          <cell r="H52">
            <v>0</v>
          </cell>
          <cell r="I52">
            <v>623.42472475566001</v>
          </cell>
          <cell r="J52">
            <v>947845.88401127863</v>
          </cell>
          <cell r="K52">
            <v>6426.7774837963798</v>
          </cell>
          <cell r="L52">
            <v>3322.3156862006003</v>
          </cell>
          <cell r="M52">
            <v>28359.678159766783</v>
          </cell>
          <cell r="N52">
            <v>0</v>
          </cell>
          <cell r="O52">
            <v>0</v>
          </cell>
          <cell r="P52">
            <v>356.3045871559633</v>
          </cell>
          <cell r="Q52">
            <v>0</v>
          </cell>
          <cell r="R52">
            <v>1187936</v>
          </cell>
          <cell r="T52">
            <v>2003</v>
          </cell>
          <cell r="U52">
            <v>0</v>
          </cell>
          <cell r="V52">
            <v>0.62287673170730806</v>
          </cell>
          <cell r="W52">
            <v>0.14749833683920169</v>
          </cell>
          <cell r="X52">
            <v>4.533855352343271</v>
          </cell>
          <cell r="Y52">
            <v>11.616008998325219</v>
          </cell>
          <cell r="Z52">
            <v>0</v>
          </cell>
          <cell r="AA52">
            <v>5.2479655869984584E-2</v>
          </cell>
          <cell r="AB52">
            <v>79.789305485419973</v>
          </cell>
          <cell r="AC52">
            <v>0.54100368065252502</v>
          </cell>
          <cell r="AD52">
            <v>0.27967126900780853</v>
          </cell>
          <cell r="AE52">
            <v>2.3873069054028822</v>
          </cell>
          <cell r="AF52">
            <v>0</v>
          </cell>
          <cell r="AG52">
            <v>0</v>
          </cell>
          <cell r="AH52">
            <v>2.9993584431818154E-2</v>
          </cell>
          <cell r="AI52">
            <v>0</v>
          </cell>
          <cell r="AJ52">
            <v>99.999999999999986</v>
          </cell>
        </row>
        <row r="53">
          <cell r="B53">
            <v>2004</v>
          </cell>
          <cell r="C53">
            <v>0</v>
          </cell>
          <cell r="D53">
            <v>5709.9295985850531</v>
          </cell>
          <cell r="E53">
            <v>77.293995859213254</v>
          </cell>
          <cell r="F53">
            <v>83836.445325978741</v>
          </cell>
          <cell r="G53">
            <v>269349.93060805858</v>
          </cell>
          <cell r="H53">
            <v>0</v>
          </cell>
          <cell r="I53">
            <v>1438.8321209757369</v>
          </cell>
          <cell r="J53">
            <v>622673.3820570712</v>
          </cell>
          <cell r="K53">
            <v>20404.215270113244</v>
          </cell>
          <cell r="L53">
            <v>4206.3103080510327</v>
          </cell>
          <cell r="M53">
            <v>40307.660715306978</v>
          </cell>
          <cell r="N53">
            <v>0</v>
          </cell>
          <cell r="O53">
            <v>0</v>
          </cell>
          <cell r="P53">
            <v>0</v>
          </cell>
          <cell r="Q53">
            <v>0</v>
          </cell>
          <cell r="R53">
            <v>1048004</v>
          </cell>
          <cell r="T53">
            <v>2004</v>
          </cell>
          <cell r="U53">
            <v>0</v>
          </cell>
          <cell r="V53">
            <v>0.54483853101563096</v>
          </cell>
          <cell r="W53">
            <v>7.3753531340732719E-3</v>
          </cell>
          <cell r="X53">
            <v>7.9996302806075867</v>
          </cell>
          <cell r="Y53">
            <v>25.701231160192005</v>
          </cell>
          <cell r="Z53">
            <v>0</v>
          </cell>
          <cell r="AA53">
            <v>0.13729261729685543</v>
          </cell>
          <cell r="AB53">
            <v>59.415172275780556</v>
          </cell>
          <cell r="AC53">
            <v>1.9469596747830393</v>
          </cell>
          <cell r="AD53">
            <v>0.40136395548595544</v>
          </cell>
          <cell r="AE53">
            <v>3.8461361517042851</v>
          </cell>
          <cell r="AF53">
            <v>0</v>
          </cell>
          <cell r="AG53">
            <v>0</v>
          </cell>
          <cell r="AH53">
            <v>0</v>
          </cell>
          <cell r="AI53">
            <v>0</v>
          </cell>
          <cell r="AJ53">
            <v>100</v>
          </cell>
        </row>
        <row r="54">
          <cell r="B54">
            <v>2005</v>
          </cell>
          <cell r="C54">
            <v>0</v>
          </cell>
          <cell r="D54">
            <v>9896.9039175259022</v>
          </cell>
          <cell r="E54">
            <v>1618.5645843519312</v>
          </cell>
          <cell r="F54">
            <v>122359.68810824319</v>
          </cell>
          <cell r="G54">
            <v>165634.98429444901</v>
          </cell>
          <cell r="H54">
            <v>0</v>
          </cell>
          <cell r="I54">
            <v>717.24391583720717</v>
          </cell>
          <cell r="J54">
            <v>974230.85212878173</v>
          </cell>
          <cell r="K54">
            <v>17525.639563045937</v>
          </cell>
          <cell r="L54">
            <v>2682.6690260024898</v>
          </cell>
          <cell r="M54">
            <v>36775.321122247056</v>
          </cell>
          <cell r="N54">
            <v>0</v>
          </cell>
          <cell r="O54">
            <v>222.13333951567571</v>
          </cell>
          <cell r="P54">
            <v>0</v>
          </cell>
          <cell r="Q54">
            <v>0</v>
          </cell>
          <cell r="R54">
            <v>1331664</v>
          </cell>
          <cell r="T54">
            <v>2005</v>
          </cell>
          <cell r="V54">
            <v>0.74319827805857197</v>
          </cell>
          <cell r="W54">
            <v>0.12154451756238294</v>
          </cell>
          <cell r="X54">
            <v>9.1884805858116767</v>
          </cell>
          <cell r="Y54">
            <v>12.438196444031602</v>
          </cell>
          <cell r="AA54">
            <v>5.3860727318393163E-2</v>
          </cell>
          <cell r="AB54">
            <v>73.158908863555794</v>
          </cell>
          <cell r="AC54">
            <v>1.3160706877294825</v>
          </cell>
          <cell r="AD54">
            <v>0.20145239534916387</v>
          </cell>
          <cell r="AE54">
            <v>2.761606615651325</v>
          </cell>
          <cell r="AG54">
            <v>1.6680884931610056E-2</v>
          </cell>
          <cell r="AJ54">
            <v>100.00000000000001</v>
          </cell>
        </row>
        <row r="55">
          <cell r="B55">
            <v>2006</v>
          </cell>
          <cell r="C55">
            <v>307.8914027149321</v>
          </cell>
          <cell r="D55">
            <v>7670.4762586689858</v>
          </cell>
          <cell r="E55">
            <v>307.8914027149321</v>
          </cell>
          <cell r="F55">
            <v>49974.932773126748</v>
          </cell>
          <cell r="G55">
            <v>243074.62707437374</v>
          </cell>
          <cell r="H55">
            <v>0</v>
          </cell>
          <cell r="I55">
            <v>701.82371494109054</v>
          </cell>
          <cell r="J55">
            <v>1104840.3600204922</v>
          </cell>
          <cell r="K55">
            <v>21507.014372392638</v>
          </cell>
          <cell r="L55">
            <v>8457.3112692905197</v>
          </cell>
          <cell r="M55">
            <v>59911.671711284405</v>
          </cell>
          <cell r="N55">
            <v>0</v>
          </cell>
          <cell r="O55">
            <v>0</v>
          </cell>
          <cell r="P55">
            <v>0</v>
          </cell>
          <cell r="Q55">
            <v>0</v>
          </cell>
          <cell r="R55">
            <v>1496754</v>
          </cell>
          <cell r="T55">
            <v>2006</v>
          </cell>
          <cell r="U55">
            <v>2.0570608310713192E-2</v>
          </cell>
          <cell r="V55">
            <v>0.51247407781565879</v>
          </cell>
          <cell r="W55">
            <v>2.0570608310713192E-2</v>
          </cell>
          <cell r="X55">
            <v>3.3388875375062801</v>
          </cell>
          <cell r="Y55">
            <v>16.240118755278004</v>
          </cell>
          <cell r="AA55">
            <v>4.6889717010349774E-2</v>
          </cell>
          <cell r="AB55">
            <v>73.815761308838475</v>
          </cell>
          <cell r="AC55">
            <v>1.4369104323350823</v>
          </cell>
          <cell r="AD55">
            <v>0.56504350543178905</v>
          </cell>
          <cell r="AE55">
            <v>4.002773449162949</v>
          </cell>
          <cell r="AJ55">
            <v>100.00000000000001</v>
          </cell>
        </row>
        <row r="56">
          <cell r="B56">
            <v>2007</v>
          </cell>
          <cell r="C56">
            <v>0</v>
          </cell>
          <cell r="D56">
            <v>0</v>
          </cell>
          <cell r="E56">
            <v>0</v>
          </cell>
          <cell r="F56">
            <v>47548.644806416218</v>
          </cell>
          <cell r="G56">
            <v>93118.499079187066</v>
          </cell>
          <cell r="H56">
            <v>0</v>
          </cell>
          <cell r="I56">
            <v>0</v>
          </cell>
          <cell r="J56">
            <v>1578207.4763089507</v>
          </cell>
          <cell r="K56">
            <v>9192.7242240119594</v>
          </cell>
          <cell r="L56">
            <v>9334.8204455368759</v>
          </cell>
          <cell r="M56">
            <v>162007.21751827447</v>
          </cell>
          <cell r="N56">
            <v>0</v>
          </cell>
          <cell r="O56">
            <v>2363.617617622539</v>
          </cell>
          <cell r="P56">
            <v>2363.617617622539</v>
          </cell>
          <cell r="Q56">
            <v>0</v>
          </cell>
          <cell r="R56">
            <v>1901773</v>
          </cell>
          <cell r="T56">
            <v>2007</v>
          </cell>
          <cell r="X56">
            <v>2.5002271462690984</v>
          </cell>
          <cell r="Y56">
            <v>4.8964045172156228</v>
          </cell>
          <cell r="AB56">
            <v>82.986112238892375</v>
          </cell>
          <cell r="AC56">
            <v>0.48337652411786053</v>
          </cell>
          <cell r="AD56">
            <v>0.49084830027226573</v>
          </cell>
          <cell r="AE56">
            <v>8.518746323471543</v>
          </cell>
          <cell r="AH56">
            <v>0.12428494976122485</v>
          </cell>
          <cell r="AJ56">
            <v>99.999999999999986</v>
          </cell>
        </row>
        <row r="57">
          <cell r="B57">
            <v>2008</v>
          </cell>
          <cell r="C57">
            <v>0</v>
          </cell>
          <cell r="D57">
            <v>997.73464999999999</v>
          </cell>
          <cell r="E57">
            <v>0</v>
          </cell>
          <cell r="F57">
            <v>11584.629650000001</v>
          </cell>
          <cell r="G57">
            <v>26473.653800000004</v>
          </cell>
          <cell r="H57">
            <v>0</v>
          </cell>
          <cell r="I57">
            <v>343.27205000000004</v>
          </cell>
          <cell r="J57">
            <v>247072.46410000001</v>
          </cell>
          <cell r="K57">
            <v>3673.3317499999998</v>
          </cell>
          <cell r="L57">
            <v>3429.51235</v>
          </cell>
          <cell r="M57">
            <v>27195.487549999998</v>
          </cell>
          <cell r="N57">
            <v>0</v>
          </cell>
          <cell r="O57">
            <v>41.705950000000001</v>
          </cell>
          <cell r="P57">
            <v>41.705950000000001</v>
          </cell>
          <cell r="Q57">
            <v>0</v>
          </cell>
          <cell r="R57">
            <v>320815</v>
          </cell>
          <cell r="T57">
            <v>2008</v>
          </cell>
          <cell r="U57">
            <v>0</v>
          </cell>
          <cell r="V57">
            <v>0.311</v>
          </cell>
          <cell r="W57">
            <v>0</v>
          </cell>
          <cell r="X57">
            <v>3.6110000000000002</v>
          </cell>
          <cell r="Y57">
            <v>8.2520000000000007</v>
          </cell>
          <cell r="Z57">
            <v>0</v>
          </cell>
          <cell r="AA57">
            <v>0.107</v>
          </cell>
          <cell r="AB57">
            <v>77.013999999999996</v>
          </cell>
          <cell r="AC57">
            <v>1.145</v>
          </cell>
          <cell r="AD57">
            <v>1.069</v>
          </cell>
          <cell r="AE57">
            <v>8.4770000000000003</v>
          </cell>
          <cell r="AF57">
            <v>0</v>
          </cell>
          <cell r="AG57">
            <v>0</v>
          </cell>
          <cell r="AH57">
            <v>1.2999999999999999E-2</v>
          </cell>
          <cell r="AI57">
            <v>0</v>
          </cell>
          <cell r="AJ57">
            <v>99.999000000000009</v>
          </cell>
        </row>
        <row r="58">
          <cell r="B58">
            <v>2009</v>
          </cell>
          <cell r="C58">
            <v>0</v>
          </cell>
          <cell r="D58">
            <v>1083.673688462922</v>
          </cell>
          <cell r="E58">
            <v>0</v>
          </cell>
          <cell r="F58">
            <v>39712.584595239205</v>
          </cell>
          <cell r="G58">
            <v>155293.42984620508</v>
          </cell>
          <cell r="H58">
            <v>115.65618860510806</v>
          </cell>
          <cell r="I58">
            <v>230.71789883268485</v>
          </cell>
          <cell r="J58">
            <v>611107.21594072063</v>
          </cell>
          <cell r="K58">
            <v>10736.345147734144</v>
          </cell>
          <cell r="L58">
            <v>3762.0387231428576</v>
          </cell>
          <cell r="M58">
            <v>74427.337971057466</v>
          </cell>
          <cell r="N58">
            <v>0</v>
          </cell>
          <cell r="O58">
            <v>0</v>
          </cell>
          <cell r="P58">
            <v>0</v>
          </cell>
          <cell r="Q58">
            <v>0</v>
          </cell>
          <cell r="R58">
            <v>896469</v>
          </cell>
          <cell r="T58">
            <v>2009</v>
          </cell>
          <cell r="V58">
            <v>0.12088244975151645</v>
          </cell>
          <cell r="X58">
            <v>4.4298893319500401</v>
          </cell>
          <cell r="Y58">
            <v>17.322788612456769</v>
          </cell>
          <cell r="Z58">
            <v>1.2901303737787704E-2</v>
          </cell>
          <cell r="AA58">
            <v>2.5736294153248448E-2</v>
          </cell>
          <cell r="AB58">
            <v>68.168248532935394</v>
          </cell>
          <cell r="AC58">
            <v>1.1976259243469818</v>
          </cell>
          <cell r="AD58">
            <v>0.41965073227773159</v>
          </cell>
          <cell r="AE58">
            <v>8.3022768183905367</v>
          </cell>
          <cell r="AJ58">
            <v>100</v>
          </cell>
        </row>
        <row r="60">
          <cell r="B60" t="str">
            <v>Totals</v>
          </cell>
          <cell r="C60">
            <v>1878.5955260071905</v>
          </cell>
          <cell r="D60">
            <v>166276.60655800754</v>
          </cell>
          <cell r="E60">
            <v>20846.820361762879</v>
          </cell>
          <cell r="F60">
            <v>2757219.2343444792</v>
          </cell>
          <cell r="G60">
            <v>5665677.9714938933</v>
          </cell>
          <cell r="H60">
            <v>5449.5881037879662</v>
          </cell>
          <cell r="I60">
            <v>38076.471387378202</v>
          </cell>
          <cell r="J60">
            <v>31299609.866083868</v>
          </cell>
          <cell r="K60">
            <v>469829.8703066663</v>
          </cell>
          <cell r="L60">
            <v>186250.7687120334</v>
          </cell>
          <cell r="M60">
            <v>3027061.8277415987</v>
          </cell>
          <cell r="N60">
            <v>1570.8187156542845</v>
          </cell>
          <cell r="O60">
            <v>3426.4037937513845</v>
          </cell>
          <cell r="P60">
            <v>11882.97778326166</v>
          </cell>
          <cell r="Q60">
            <v>3817.2945054686975</v>
          </cell>
          <cell r="R60">
            <v>43656473</v>
          </cell>
          <cell r="T60" t="str">
            <v>Mean</v>
          </cell>
          <cell r="U60">
            <v>4.3031316936830667E-3</v>
          </cell>
          <cell r="V60">
            <v>0.38087503440327747</v>
          </cell>
          <cell r="W60">
            <v>4.7751957336917436E-2</v>
          </cell>
          <cell r="X60">
            <v>6.3157168797041381</v>
          </cell>
          <cell r="Y60">
            <v>12.97786463760802</v>
          </cell>
          <cell r="Z60">
            <v>1.2482886796164147E-2</v>
          </cell>
          <cell r="AA60">
            <v>8.7218386577812182E-2</v>
          </cell>
          <cell r="AB60">
            <v>71.695232608653171</v>
          </cell>
          <cell r="AC60">
            <v>1.0761974983793727</v>
          </cell>
          <cell r="AD60">
            <v>0.42662807119584167</v>
          </cell>
          <cell r="AE60">
            <v>6.9338213092514343</v>
          </cell>
          <cell r="AF60">
            <v>3.5981347271326395E-3</v>
          </cell>
          <cell r="AG60">
            <v>7.8485584342816335E-3</v>
          </cell>
          <cell r="AH60">
            <v>2.721928036481935E-2</v>
          </cell>
          <cell r="AI60">
            <v>8.7439370227381814E-3</v>
          </cell>
        </row>
        <row r="62">
          <cell r="A62" t="str">
            <v>Average</v>
          </cell>
          <cell r="C62">
            <v>41.746567244604236</v>
          </cell>
          <cell r="D62">
            <v>3695.0357012890563</v>
          </cell>
          <cell r="E62">
            <v>463.26267470584173</v>
          </cell>
          <cell r="F62">
            <v>61271.538540988426</v>
          </cell>
          <cell r="G62">
            <v>125903.95492208652</v>
          </cell>
          <cell r="H62">
            <v>121.1019578619548</v>
          </cell>
          <cell r="I62">
            <v>846.14380860840447</v>
          </cell>
          <cell r="J62">
            <v>695546.88591297483</v>
          </cell>
          <cell r="K62">
            <v>10440.663784592585</v>
          </cell>
          <cell r="L62">
            <v>4138.90597137852</v>
          </cell>
          <cell r="M62">
            <v>67268.040616479964</v>
          </cell>
          <cell r="N62">
            <v>34.907082570095213</v>
          </cell>
          <cell r="O62">
            <v>76.142306527808543</v>
          </cell>
          <cell r="P62">
            <v>264.06617296137023</v>
          </cell>
          <cell r="Q62">
            <v>84.828766788193278</v>
          </cell>
          <cell r="R62">
            <v>937487.73469387752</v>
          </cell>
        </row>
        <row r="63">
          <cell r="A63" t="str">
            <v>Minimum</v>
          </cell>
          <cell r="C63">
            <v>0</v>
          </cell>
          <cell r="D63">
            <v>0</v>
          </cell>
          <cell r="E63">
            <v>0</v>
          </cell>
          <cell r="F63">
            <v>0</v>
          </cell>
          <cell r="G63">
            <v>4939.8355213193026</v>
          </cell>
          <cell r="H63">
            <v>0</v>
          </cell>
          <cell r="I63">
            <v>0</v>
          </cell>
          <cell r="J63">
            <v>11734.160789844849</v>
          </cell>
          <cell r="K63">
            <v>851.34208527720443</v>
          </cell>
          <cell r="L63">
            <v>0</v>
          </cell>
          <cell r="M63">
            <v>487.13781210587246</v>
          </cell>
          <cell r="N63">
            <v>0</v>
          </cell>
          <cell r="O63">
            <v>0</v>
          </cell>
          <cell r="P63">
            <v>0</v>
          </cell>
          <cell r="Q63">
            <v>0</v>
          </cell>
          <cell r="R63">
            <v>18908</v>
          </cell>
          <cell r="U63">
            <v>0</v>
          </cell>
          <cell r="V63">
            <v>0</v>
          </cell>
          <cell r="W63">
            <v>0</v>
          </cell>
          <cell r="X63">
            <v>0</v>
          </cell>
          <cell r="Y63">
            <v>3.0163685180991799</v>
          </cell>
          <cell r="Z63">
            <v>0</v>
          </cell>
          <cell r="AA63">
            <v>0</v>
          </cell>
          <cell r="AB63">
            <v>53.5</v>
          </cell>
          <cell r="AC63">
            <v>0.27005363724901499</v>
          </cell>
          <cell r="AD63">
            <v>0</v>
          </cell>
          <cell r="AE63">
            <v>6.9955383691633205E-2</v>
          </cell>
          <cell r="AF63">
            <v>0</v>
          </cell>
          <cell r="AG63">
            <v>0</v>
          </cell>
          <cell r="AH63">
            <v>0</v>
          </cell>
          <cell r="AI63">
            <v>0</v>
          </cell>
        </row>
        <row r="64">
          <cell r="A64" t="str">
            <v>Maximum</v>
          </cell>
          <cell r="C64">
            <v>1206.8110000000001</v>
          </cell>
          <cell r="D64">
            <v>27183.175143410845</v>
          </cell>
          <cell r="E64">
            <v>2413.6220000000003</v>
          </cell>
          <cell r="F64">
            <v>591086.19999999995</v>
          </cell>
          <cell r="G64">
            <v>462468.00594294834</v>
          </cell>
          <cell r="H64">
            <v>1206.8110000000001</v>
          </cell>
          <cell r="I64">
            <v>6037.7485266044214</v>
          </cell>
          <cell r="J64">
            <v>1853055.2370000002</v>
          </cell>
          <cell r="K64">
            <v>35453.711257758077</v>
          </cell>
          <cell r="L64">
            <v>14788.906096753291</v>
          </cell>
          <cell r="M64">
            <v>227568.18700000001</v>
          </cell>
          <cell r="N64">
            <v>566.16795513550073</v>
          </cell>
          <cell r="O64">
            <v>2363.617617622539</v>
          </cell>
          <cell r="P64">
            <v>2363.617617622539</v>
          </cell>
          <cell r="Q64">
            <v>1714.818579008308</v>
          </cell>
          <cell r="R64">
            <v>2955431</v>
          </cell>
          <cell r="U64">
            <v>0.1</v>
          </cell>
          <cell r="V64">
            <v>1.1731448952135091</v>
          </cell>
          <cell r="W64">
            <v>0.80286427253987203</v>
          </cell>
          <cell r="X64">
            <v>20</v>
          </cell>
          <cell r="Y64">
            <v>34.3131263643902</v>
          </cell>
          <cell r="Z64">
            <v>0.1</v>
          </cell>
          <cell r="AA64">
            <v>0.59937424693941299</v>
          </cell>
          <cell r="AB64">
            <v>85.790152330651196</v>
          </cell>
          <cell r="AC64">
            <v>5.1328119552650504</v>
          </cell>
          <cell r="AD64">
            <v>1.069</v>
          </cell>
          <cell r="AE64">
            <v>26.830973437957098</v>
          </cell>
          <cell r="AF64">
            <v>6.2904545131232698E-2</v>
          </cell>
          <cell r="AG64">
            <v>5.1335363836706303E-2</v>
          </cell>
          <cell r="AH64">
            <v>0.147376141547024</v>
          </cell>
          <cell r="AI64">
            <v>0.23582929639910499</v>
          </cell>
        </row>
      </sheetData>
      <sheetData sheetId="5"/>
      <sheetData sheetId="6"/>
      <sheetData sheetId="7"/>
      <sheetData sheetId="8" refreshError="1"/>
      <sheetData sheetId="9"/>
      <sheetData sheetId="10" refreshError="1"/>
      <sheetData sheetId="11"/>
      <sheetData sheetId="12" refreshError="1"/>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Comp"/>
      <sheetName val="AgeErrors"/>
      <sheetName val="Mean_WT"/>
      <sheetName val="LenAtAge"/>
      <sheetName val="MeanLeng"/>
      <sheetName val="Data"/>
      <sheetName val="Overlay"/>
    </sheetNames>
    <sheetDataSet>
      <sheetData sheetId="0">
        <row r="10">
          <cell r="B10">
            <v>401</v>
          </cell>
        </row>
      </sheetData>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 Sumry"/>
      <sheetName val="Sock grf"/>
      <sheetName val="Chin grf"/>
      <sheetName val="Delta sk Esc"/>
      <sheetName val="UCR sk Esc"/>
      <sheetName val="UCR ch Esc"/>
      <sheetName val="Sport"/>
      <sheetName val="SUPUxspp gr"/>
      <sheetName val="SUPUx fshy"/>
      <sheetName val="HistCCat"/>
    </sheetNames>
    <sheetDataSet>
      <sheetData sheetId="0">
        <row r="11">
          <cell r="AF11">
            <v>555</v>
          </cell>
          <cell r="AG11">
            <v>500</v>
          </cell>
        </row>
        <row r="12">
          <cell r="AG12">
            <v>500</v>
          </cell>
        </row>
        <row r="13">
          <cell r="AG13">
            <v>500</v>
          </cell>
        </row>
        <row r="14">
          <cell r="AG14">
            <v>500</v>
          </cell>
        </row>
        <row r="15">
          <cell r="AG15">
            <v>600</v>
          </cell>
        </row>
        <row r="16">
          <cell r="AG16">
            <v>600</v>
          </cell>
        </row>
        <row r="17">
          <cell r="AG17">
            <v>750</v>
          </cell>
        </row>
        <row r="18">
          <cell r="AG18">
            <v>850</v>
          </cell>
        </row>
        <row r="19">
          <cell r="AG19">
            <v>900</v>
          </cell>
        </row>
        <row r="20">
          <cell r="AG20">
            <v>750</v>
          </cell>
        </row>
        <row r="21">
          <cell r="AG21">
            <v>400</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6.bin"/><Relationship Id="rId4" Type="http://schemas.openxmlformats.org/officeDocument/2006/relationships/comments" Target="../comments13.xml"/></Relationships>
</file>

<file path=xl/worksheets/_rels/sheet2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4.vml"/><Relationship Id="rId1" Type="http://schemas.openxmlformats.org/officeDocument/2006/relationships/drawing" Target="../drawings/drawing15.xml"/><Relationship Id="rId5" Type="http://schemas.openxmlformats.org/officeDocument/2006/relationships/comments" Target="../comments14.xml"/><Relationship Id="rId4" Type="http://schemas.openxmlformats.org/officeDocument/2006/relationships/image" Target="../media/image5.emf"/></Relationships>
</file>

<file path=xl/worksheets/_rels/sheet23.xml.rels><?xml version="1.0" encoding="UTF-8" standalone="yes"?>
<Relationships xmlns="http://schemas.openxmlformats.org/package/2006/relationships"><Relationship Id="rId3" Type="http://schemas.openxmlformats.org/officeDocument/2006/relationships/control" Target="../activeX/activeX2.xml"/><Relationship Id="rId2" Type="http://schemas.openxmlformats.org/officeDocument/2006/relationships/vmlDrawing" Target="../drawings/vmlDrawing15.vml"/><Relationship Id="rId1" Type="http://schemas.openxmlformats.org/officeDocument/2006/relationships/drawing" Target="../drawings/drawing16.xml"/><Relationship Id="rId5" Type="http://schemas.openxmlformats.org/officeDocument/2006/relationships/comments" Target="../comments15.xml"/><Relationship Id="rId4" Type="http://schemas.openxmlformats.org/officeDocument/2006/relationships/image" Target="../media/image6.emf"/></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image" Target="../media/image7.emf"/><Relationship Id="rId4" Type="http://schemas.openxmlformats.org/officeDocument/2006/relationships/control" Target="../activeX/activeX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
    <tabColor theme="9"/>
    <pageSetUpPr fitToPage="1"/>
  </sheetPr>
  <dimension ref="A1:AC111"/>
  <sheetViews>
    <sheetView tabSelected="1" zoomScale="75" zoomScaleNormal="75" workbookViewId="0">
      <pane xSplit="1" ySplit="5" topLeftCell="B39" activePane="bottomRight" state="frozen"/>
      <selection activeCell="D8" sqref="A1:XFD1048576"/>
      <selection pane="topRight" activeCell="D8" sqref="A1:XFD1048576"/>
      <selection pane="bottomLeft" activeCell="D8" sqref="A1:XFD1048576"/>
      <selection pane="bottomRight" activeCell="F62" sqref="F62:J62"/>
    </sheetView>
  </sheetViews>
  <sheetFormatPr defaultRowHeight="15.75"/>
  <cols>
    <col min="1" max="1" width="15.625" customWidth="1"/>
    <col min="2" max="2" width="16.25" customWidth="1"/>
    <col min="3" max="3" width="11" customWidth="1"/>
    <col min="4" max="4" width="12.75" customWidth="1"/>
    <col min="5" max="5" width="12.125" customWidth="1"/>
    <col min="7" max="7" width="10.625" customWidth="1"/>
    <col min="8" max="8" width="8.5" customWidth="1"/>
    <col min="9" max="9" width="11" customWidth="1"/>
    <col min="10" max="10" width="10.625" customWidth="1"/>
    <col min="11" max="12" width="8.5" customWidth="1"/>
    <col min="13" max="13" width="8.75" customWidth="1"/>
    <col min="14" max="15" width="10.625" customWidth="1"/>
    <col min="16" max="16" width="8.25" customWidth="1"/>
    <col min="18" max="18" width="10.625" customWidth="1"/>
    <col min="19" max="21" width="9.75" customWidth="1"/>
    <col min="22" max="22" width="8.5" customWidth="1"/>
    <col min="23" max="23" width="19.5" customWidth="1"/>
    <col min="24" max="24" width="11.25" customWidth="1"/>
    <col min="25" max="25" width="1.625" customWidth="1"/>
  </cols>
  <sheetData>
    <row r="1" spans="1:29" ht="22.5">
      <c r="A1" s="5" t="s">
        <v>173</v>
      </c>
      <c r="B1" s="5"/>
      <c r="C1" s="6"/>
      <c r="D1" s="6"/>
      <c r="E1" s="6"/>
      <c r="F1" s="6"/>
      <c r="G1" s="6"/>
      <c r="H1" s="6"/>
      <c r="I1" s="25" t="str">
        <f ca="1">CELL("filename",I1)</f>
        <v>C:\Projects\Shiny App\Aging Error\[Copprt Chinook brood.xlsx]Brood_Tab</v>
      </c>
      <c r="J1" s="6"/>
      <c r="K1" s="6"/>
      <c r="L1" s="6"/>
      <c r="M1" s="6"/>
      <c r="N1" s="6"/>
      <c r="O1" s="6"/>
      <c r="P1" s="6"/>
      <c r="Q1" s="6"/>
      <c r="R1" s="6"/>
      <c r="S1" s="6"/>
      <c r="T1" s="6"/>
      <c r="U1" s="6"/>
      <c r="V1" s="6"/>
      <c r="W1" s="6"/>
      <c r="X1" s="6"/>
      <c r="Y1" s="6"/>
    </row>
    <row r="2" spans="1:29" ht="30.75">
      <c r="A2" s="218" t="s">
        <v>218</v>
      </c>
      <c r="B2" s="218"/>
      <c r="C2" s="6"/>
      <c r="D2" s="6"/>
      <c r="E2" s="6"/>
      <c r="F2" s="6"/>
      <c r="G2" s="6"/>
      <c r="H2" s="6"/>
      <c r="I2" s="6"/>
      <c r="J2" s="6"/>
      <c r="K2" s="6"/>
      <c r="L2" s="6"/>
      <c r="M2" s="6"/>
      <c r="N2" s="6"/>
      <c r="O2" s="157" t="s">
        <v>172</v>
      </c>
      <c r="P2" s="6"/>
      <c r="Q2" s="6"/>
      <c r="R2" s="6"/>
      <c r="S2" s="6"/>
      <c r="T2" s="6"/>
      <c r="U2" s="6"/>
      <c r="V2" s="6"/>
      <c r="W2" s="4"/>
      <c r="X2" s="6"/>
      <c r="Y2" s="6"/>
    </row>
    <row r="3" spans="1:29" ht="16.5" thickBot="1">
      <c r="A3" s="6"/>
      <c r="B3" s="6"/>
      <c r="X3" s="6"/>
      <c r="Y3" s="6"/>
    </row>
    <row r="4" spans="1:29">
      <c r="A4" s="187" t="s">
        <v>27</v>
      </c>
      <c r="B4" s="565" t="s">
        <v>319</v>
      </c>
      <c r="C4" s="8" t="s">
        <v>5</v>
      </c>
      <c r="D4" s="9" t="s">
        <v>6</v>
      </c>
      <c r="E4" s="10"/>
      <c r="F4" s="9" t="s">
        <v>7</v>
      </c>
      <c r="G4" s="11"/>
      <c r="H4" s="10"/>
      <c r="I4" s="9" t="s">
        <v>8</v>
      </c>
      <c r="J4" s="11"/>
      <c r="K4" s="1175"/>
      <c r="L4" s="1174"/>
      <c r="M4" s="9" t="s">
        <v>9</v>
      </c>
      <c r="N4" s="86"/>
      <c r="O4" s="11"/>
      <c r="P4" s="10"/>
      <c r="Q4" s="1289" t="s">
        <v>10</v>
      </c>
      <c r="R4" s="1290"/>
      <c r="S4" s="1291"/>
      <c r="T4" s="1292" t="s">
        <v>11</v>
      </c>
      <c r="U4" s="1293"/>
      <c r="V4" s="1294"/>
      <c r="W4" s="196" t="s">
        <v>30</v>
      </c>
      <c r="X4" s="267" t="s">
        <v>27</v>
      </c>
      <c r="Y4" s="282"/>
      <c r="Z4" s="283"/>
      <c r="AA4" s="283"/>
    </row>
    <row r="5" spans="1:29">
      <c r="A5" s="185" t="s">
        <v>12</v>
      </c>
      <c r="B5" s="566" t="s">
        <v>217</v>
      </c>
      <c r="C5" s="194">
        <v>0.1</v>
      </c>
      <c r="D5" s="195">
        <v>0.2</v>
      </c>
      <c r="E5" s="188">
        <v>1.1000000000000001</v>
      </c>
      <c r="F5" s="195">
        <v>0.3</v>
      </c>
      <c r="G5" s="186">
        <v>1.2</v>
      </c>
      <c r="H5" s="1182">
        <v>2.1</v>
      </c>
      <c r="I5" s="1175">
        <v>0.4</v>
      </c>
      <c r="J5" s="188">
        <v>1.3</v>
      </c>
      <c r="K5" s="1152">
        <v>2.2000000000000002</v>
      </c>
      <c r="L5" s="1150">
        <v>3.1</v>
      </c>
      <c r="M5" s="1175">
        <v>0.5</v>
      </c>
      <c r="N5" s="186">
        <v>1.4</v>
      </c>
      <c r="O5" s="186">
        <v>2.2999999999999998</v>
      </c>
      <c r="P5" s="1182">
        <v>3.2</v>
      </c>
      <c r="Q5" s="1175">
        <v>1.5</v>
      </c>
      <c r="R5" s="188">
        <v>2.4</v>
      </c>
      <c r="S5" s="1152">
        <v>3.3</v>
      </c>
      <c r="T5" s="1184">
        <v>1.6</v>
      </c>
      <c r="U5" s="195">
        <v>2.5</v>
      </c>
      <c r="V5" s="1182">
        <v>3.4</v>
      </c>
      <c r="W5" s="223" t="s">
        <v>519</v>
      </c>
      <c r="X5" s="268" t="s">
        <v>12</v>
      </c>
      <c r="Y5" s="284"/>
      <c r="Z5" s="285" t="s">
        <v>191</v>
      </c>
      <c r="AA5" s="285" t="s">
        <v>189</v>
      </c>
      <c r="AC5" t="s">
        <v>62</v>
      </c>
    </row>
    <row r="6" spans="1:29">
      <c r="A6" s="246">
        <v>1975</v>
      </c>
      <c r="B6" s="246"/>
      <c r="C6" s="1176"/>
      <c r="D6" s="208"/>
      <c r="E6" s="1179"/>
      <c r="F6" s="207"/>
      <c r="G6" s="207"/>
      <c r="H6" s="1179"/>
      <c r="I6" s="89">
        <f>CCNumber!I7+UCRNumber!I7</f>
        <v>0</v>
      </c>
      <c r="J6" s="89">
        <f>CCNumber!J7+UCRNumber!J7</f>
        <v>2398.7488584474886</v>
      </c>
      <c r="K6" s="89">
        <f>CCNumber!K7+UCRNumber!K7</f>
        <v>38.689497716894977</v>
      </c>
      <c r="L6" s="1180">
        <f>CCNumber!L7+UCRNumber!L7</f>
        <v>0</v>
      </c>
      <c r="M6" s="89">
        <f>CCNumber!M8+UCRNumber!M8</f>
        <v>0</v>
      </c>
      <c r="N6" s="89">
        <f>CCNumber!N8+UCRNumber!N8</f>
        <v>8321.7037037037026</v>
      </c>
      <c r="O6" s="89">
        <f>CCNumber!O8+UCRNumber!O8</f>
        <v>151.30370370370372</v>
      </c>
      <c r="P6" s="1180">
        <f>CCNumber!P8+UCRNumber!P8</f>
        <v>0</v>
      </c>
      <c r="Q6" s="89">
        <f>CCNumber!Q9+UCRNumber!Q9</f>
        <v>46.549123306618931</v>
      </c>
      <c r="R6" s="89">
        <f>CCNumber!R9+UCRNumber!R9</f>
        <v>2187.8087954110902</v>
      </c>
      <c r="S6" s="1180">
        <f>CCNumber!S9+UCRNumber!S9</f>
        <v>0</v>
      </c>
      <c r="T6" s="89">
        <f>CCNumber!T10+UCRNumber!T10</f>
        <v>0</v>
      </c>
      <c r="U6" s="89">
        <f>CCNumber!U10+UCRNumber!U10</f>
        <v>0</v>
      </c>
      <c r="V6" s="1180">
        <f>CCNumber!V10+UCRNumber!V10</f>
        <v>0</v>
      </c>
      <c r="W6" s="161">
        <f>SUM(C6:V6)</f>
        <v>13144.803682289497</v>
      </c>
      <c r="X6" s="1185">
        <v>1975</v>
      </c>
      <c r="Y6" s="94"/>
      <c r="Z6" s="23"/>
    </row>
    <row r="7" spans="1:29">
      <c r="A7" s="279">
        <v>1976</v>
      </c>
      <c r="B7" s="279"/>
      <c r="C7" s="1177"/>
      <c r="D7" s="89"/>
      <c r="E7" s="1180"/>
      <c r="F7" s="89">
        <f>CCNumber!F7+UCRNumber!F7</f>
        <v>0</v>
      </c>
      <c r="G7" s="89">
        <f>CCNumber!G7+UCRNumber!G7</f>
        <v>77.378995433789953</v>
      </c>
      <c r="H7" s="1180">
        <f>CCNumber!H7+UCRNumber!H7</f>
        <v>0</v>
      </c>
      <c r="I7" s="89">
        <f>CCNumber!I8+UCRNumber!I8</f>
        <v>0</v>
      </c>
      <c r="J7" s="89">
        <f>CCNumber!J8+UCRNumber!J8</f>
        <v>8624.3111111111102</v>
      </c>
      <c r="K7" s="89">
        <f>CCNumber!K8+UCRNumber!K8</f>
        <v>0</v>
      </c>
      <c r="L7" s="1180">
        <f>CCNumber!L8+UCRNumber!L8</f>
        <v>0</v>
      </c>
      <c r="M7" s="89">
        <f>CCNumber!M9+UCRNumber!M9</f>
        <v>0</v>
      </c>
      <c r="N7" s="89">
        <f>CCNumber!N9+UCRNumber!N9</f>
        <v>12053.313616207641</v>
      </c>
      <c r="O7" s="89">
        <f>CCNumber!O9+UCRNumber!O9</f>
        <v>3976.0709491070338</v>
      </c>
      <c r="P7" s="1180">
        <f>CCNumber!P9+UCRNumber!P9</f>
        <v>0</v>
      </c>
      <c r="Q7" s="89">
        <f>CCNumber!Q10+UCRNumber!Q10</f>
        <v>17.012994282515695</v>
      </c>
      <c r="R7" s="89">
        <f>CCNumber!R10+UCRNumber!R10</f>
        <v>86.128283555235697</v>
      </c>
      <c r="S7" s="1180">
        <f>CCNumber!S10+UCRNumber!S10</f>
        <v>0</v>
      </c>
      <c r="T7" s="89">
        <f>CCNumber!T11+UCRNumber!T11</f>
        <v>0</v>
      </c>
      <c r="U7" s="89">
        <f>CCNumber!U11+UCRNumber!U11</f>
        <v>0</v>
      </c>
      <c r="V7" s="1180">
        <f>CCNumber!V11+UCRNumber!V11</f>
        <v>0</v>
      </c>
      <c r="W7" s="161">
        <f t="shared" ref="W7:W41" si="0">SUM(C7:V7)</f>
        <v>24834.215949697325</v>
      </c>
      <c r="X7" s="1186">
        <v>1976</v>
      </c>
      <c r="Y7" s="94"/>
      <c r="Z7" s="287"/>
      <c r="AA7" s="288"/>
    </row>
    <row r="8" spans="1:29">
      <c r="A8" s="279">
        <v>1977</v>
      </c>
      <c r="B8" s="279"/>
      <c r="C8" s="1177"/>
      <c r="D8" s="89">
        <f>CCNumber!D7+UCRNumber!D7</f>
        <v>0</v>
      </c>
      <c r="E8" s="1180">
        <f>CCNumber!E7+UCRNumber!E7</f>
        <v>0</v>
      </c>
      <c r="F8" s="89">
        <f>CCNumber!F8+UCRNumber!F8</f>
        <v>756.51851851851848</v>
      </c>
      <c r="G8" s="89">
        <f>CCNumber!G8+UCRNumber!G8</f>
        <v>1059.1259259259259</v>
      </c>
      <c r="H8" s="1180">
        <f>CCNumber!H8+UCRNumber!H8</f>
        <v>0</v>
      </c>
      <c r="I8" s="89">
        <f>CCNumber!I9+UCRNumber!I9</f>
        <v>0</v>
      </c>
      <c r="J8" s="89">
        <f>CCNumber!J9+UCRNumber!J9</f>
        <v>25211.19913754526</v>
      </c>
      <c r="K8" s="89">
        <f>CCNumber!K9+UCRNumber!K9</f>
        <v>453.85395223953464</v>
      </c>
      <c r="L8" s="1180">
        <f>CCNumber!L9+UCRNumber!L9</f>
        <v>0</v>
      </c>
      <c r="M8" s="89">
        <f>CCNumber!M10+UCRNumber!M10</f>
        <v>0</v>
      </c>
      <c r="N8" s="89">
        <f>CCNumber!N10+UCRNumber!N10</f>
        <v>16990.664727519888</v>
      </c>
      <c r="O8" s="89">
        <f>CCNumber!O10+UCRNumber!O10</f>
        <v>82.938347127263995</v>
      </c>
      <c r="P8" s="1180">
        <f>CCNumber!P10+UCRNumber!P10</f>
        <v>0</v>
      </c>
      <c r="Q8" s="89">
        <f>CCNumber!Q11+UCRNumber!Q11</f>
        <v>18.29850437837419</v>
      </c>
      <c r="R8" s="89">
        <f>CCNumber!R11+UCRNumber!R11</f>
        <v>1241.2485469997159</v>
      </c>
      <c r="S8" s="1180">
        <f>CCNumber!S11+UCRNumber!S11</f>
        <v>59.978431018004279</v>
      </c>
      <c r="T8" s="89">
        <f>CCNumber!T12+UCRNumber!T12</f>
        <v>0</v>
      </c>
      <c r="U8" s="89">
        <f>CCNumber!U12+UCRNumber!U12</f>
        <v>0</v>
      </c>
      <c r="V8" s="1180">
        <f>CCNumber!V12+UCRNumber!V12</f>
        <v>0</v>
      </c>
      <c r="W8" s="161">
        <f t="shared" si="0"/>
        <v>45873.826091272495</v>
      </c>
      <c r="X8" s="1186">
        <v>1977</v>
      </c>
      <c r="Y8" s="94"/>
      <c r="Z8" s="287"/>
      <c r="AA8" s="288"/>
    </row>
    <row r="9" spans="1:29">
      <c r="A9" s="279">
        <v>1978</v>
      </c>
      <c r="B9" s="279"/>
      <c r="C9" s="1177">
        <f>CCNumber!C7+UCRNumber!C7</f>
        <v>0</v>
      </c>
      <c r="D9" s="89">
        <f>CCNumber!D8+UCRNumber!D8</f>
        <v>0</v>
      </c>
      <c r="E9" s="1180">
        <f>CCNumber!E8+UCRNumber!E8</f>
        <v>0</v>
      </c>
      <c r="F9" s="89">
        <f>CCNumber!F9+UCRNumber!F9</f>
        <v>17.4559212399821</v>
      </c>
      <c r="G9" s="89">
        <f>CCNumber!G9+UCRNumber!G9</f>
        <v>3576.5243073918882</v>
      </c>
      <c r="H9" s="1180">
        <f>CCNumber!H9+UCRNumber!H9</f>
        <v>0</v>
      </c>
      <c r="I9" s="89">
        <f>CCNumber!I10+UCRNumber!I10</f>
        <v>0</v>
      </c>
      <c r="J9" s="89">
        <f>CCNumber!J10+UCRNumber!J10</f>
        <v>33917.530726480349</v>
      </c>
      <c r="K9" s="89">
        <f>CCNumber!K10+UCRNumber!K10</f>
        <v>19.139618567830155</v>
      </c>
      <c r="L9" s="1180">
        <f>CCNumber!L10+UCRNumber!L10</f>
        <v>0</v>
      </c>
      <c r="M9" s="89">
        <f>CCNumber!M11+UCRNumber!M11</f>
        <v>0</v>
      </c>
      <c r="N9" s="89">
        <f>CCNumber!N11+UCRNumber!N11</f>
        <v>22116.792291994938</v>
      </c>
      <c r="O9" s="89">
        <f>CCNumber!O11+UCRNumber!O11</f>
        <v>1639.7493090176424</v>
      </c>
      <c r="P9" s="1180">
        <f>CCNumber!P11+UCRNumber!P11</f>
        <v>0</v>
      </c>
      <c r="Q9" s="89">
        <f>CCNumber!Q12+UCRNumber!Q12</f>
        <v>228.04052170214777</v>
      </c>
      <c r="R9" s="89">
        <f>CCNumber!R12+UCRNumber!R12</f>
        <v>652.97946742905742</v>
      </c>
      <c r="S9" s="1180">
        <f>CCNumber!S12+UCRNumber!S12</f>
        <v>0</v>
      </c>
      <c r="T9" s="89">
        <f>CCNumber!T13+UCRNumber!T13</f>
        <v>0</v>
      </c>
      <c r="U9" s="89">
        <f>CCNumber!U13+UCRNumber!U13</f>
        <v>0</v>
      </c>
      <c r="V9" s="1180">
        <f>CCNumber!V13+UCRNumber!V13</f>
        <v>0</v>
      </c>
      <c r="W9" s="161">
        <f t="shared" si="0"/>
        <v>62168.212163823846</v>
      </c>
      <c r="X9" s="1186">
        <v>1978</v>
      </c>
      <c r="Y9" s="94"/>
      <c r="Z9" s="287"/>
      <c r="AA9" s="288"/>
      <c r="AC9" s="604">
        <f>J9/W9</f>
        <v>0.54557674325750061</v>
      </c>
    </row>
    <row r="10" spans="1:29">
      <c r="A10" s="279">
        <v>1979</v>
      </c>
      <c r="B10" s="279"/>
      <c r="C10" s="1177">
        <f>CCNumber!C8+UCRNumber!C8</f>
        <v>0</v>
      </c>
      <c r="D10" s="89">
        <f>CCNumber!D9+UCRNumber!D9</f>
        <v>49.458443513282617</v>
      </c>
      <c r="E10" s="1180">
        <f>CCNumber!E9+UCRNumber!E9</f>
        <v>103.76575403767137</v>
      </c>
      <c r="F10" s="89">
        <f>CCNumber!F10+UCRNumber!F10</f>
        <v>0</v>
      </c>
      <c r="G10" s="89">
        <f>CCNumber!G10+UCRNumber!G10</f>
        <v>2052.1924353284553</v>
      </c>
      <c r="H10" s="1180">
        <f>CCNumber!H10+UCRNumber!H10</f>
        <v>0</v>
      </c>
      <c r="I10" s="89">
        <f>CCNumber!I11+UCRNumber!I11</f>
        <v>0</v>
      </c>
      <c r="J10" s="89">
        <f>CCNumber!J11+UCRNumber!J11</f>
        <v>13184.072404618604</v>
      </c>
      <c r="K10" s="89">
        <f>CCNumber!K11+UCRNumber!K11</f>
        <v>170.78604086482576</v>
      </c>
      <c r="L10" s="1180">
        <f>CCNumber!L11+UCRNumber!L11</f>
        <v>0</v>
      </c>
      <c r="M10" s="89">
        <f>CCNumber!M12+UCRNumber!M12</f>
        <v>0</v>
      </c>
      <c r="N10" s="89">
        <f>CCNumber!N12+UCRNumber!N12</f>
        <v>25990.591971268575</v>
      </c>
      <c r="O10" s="89">
        <f>CCNumber!O12+UCRNumber!O12</f>
        <v>344.5722420433334</v>
      </c>
      <c r="P10" s="1180">
        <f>CCNumber!P12+UCRNumber!P12</f>
        <v>0</v>
      </c>
      <c r="Q10" s="89">
        <f>CCNumber!Q13+UCRNumber!Q13</f>
        <v>244.2786328989427</v>
      </c>
      <c r="R10" s="89">
        <f>CCNumber!R13+UCRNumber!R13</f>
        <v>623.26235554462755</v>
      </c>
      <c r="S10" s="1180">
        <f>CCNumber!S13+UCRNumber!S13</f>
        <v>20.105237275633144</v>
      </c>
      <c r="T10" s="89">
        <f>CCNumber!T14+UCRNumber!T14</f>
        <v>0</v>
      </c>
      <c r="U10" s="89">
        <f>CCNumber!U14+UCRNumber!U14</f>
        <v>0</v>
      </c>
      <c r="V10" s="1180">
        <f>CCNumber!V14+UCRNumber!V14</f>
        <v>0</v>
      </c>
      <c r="W10" s="161">
        <f t="shared" si="0"/>
        <v>42783.085517393949</v>
      </c>
      <c r="X10" s="1186">
        <v>1979</v>
      </c>
      <c r="Y10" s="94"/>
      <c r="Z10" s="287"/>
      <c r="AA10" s="288"/>
      <c r="AC10" s="604">
        <f t="shared" ref="AC10:AC37" si="1">J10/W10</f>
        <v>0.30816085948869842</v>
      </c>
    </row>
    <row r="11" spans="1:29">
      <c r="A11" s="1278">
        <v>1980</v>
      </c>
      <c r="B11" s="1279">
        <f>Total_Run_Size!C96</f>
        <v>14283</v>
      </c>
      <c r="C11" s="1280">
        <f>CCNumber!C9+UCRNumber!C9</f>
        <v>0</v>
      </c>
      <c r="D11" s="551">
        <f>CCNumber!D10+UCRNumber!D10</f>
        <v>0</v>
      </c>
      <c r="E11" s="1281">
        <f>CCNumber!E10+UCRNumber!E10</f>
        <v>23.392867138459078</v>
      </c>
      <c r="F11" s="551">
        <f>CCNumber!F11+UCRNumber!F11</f>
        <v>15.24875364864516</v>
      </c>
      <c r="G11" s="551">
        <f>CCNumber!G11+UCRNumber!G11</f>
        <v>899.67646527006423</v>
      </c>
      <c r="H11" s="1281">
        <f>CCNumber!H11+UCRNumber!H11</f>
        <v>9.149252189187095</v>
      </c>
      <c r="I11" s="551">
        <f>CCNumber!I12+UCRNumber!I12</f>
        <v>62.284195354771633</v>
      </c>
      <c r="J11" s="551">
        <f>CCNumber!J12+UCRNumber!J12</f>
        <v>12239.848971008672</v>
      </c>
      <c r="K11" s="551">
        <f>CCNumber!K12+UCRNumber!K12</f>
        <v>70.320865723129259</v>
      </c>
      <c r="L11" s="1281">
        <f>CCNumber!L12+UCRNumber!L12</f>
        <v>0</v>
      </c>
      <c r="M11" s="551">
        <f>CCNumber!M13+UCRNumber!M13</f>
        <v>0</v>
      </c>
      <c r="N11" s="551">
        <f>CCNumber!N13+UCRNumber!N13</f>
        <v>14046.524022621099</v>
      </c>
      <c r="O11" s="551">
        <f>CCNumber!O13+UCRNumber!O13</f>
        <v>1601.3821490041801</v>
      </c>
      <c r="P11" s="1281">
        <f>CCNumber!P13+UCRNumber!P13</f>
        <v>0</v>
      </c>
      <c r="Q11" s="551">
        <f>CCNumber!Q14+UCRNumber!Q14</f>
        <v>508.19919373962534</v>
      </c>
      <c r="R11" s="551">
        <f>CCNumber!R14+UCRNumber!R14</f>
        <v>2093.0639870365981</v>
      </c>
      <c r="S11" s="1281">
        <f>CCNumber!S14+UCRNumber!S14</f>
        <v>0</v>
      </c>
      <c r="T11" s="551">
        <f>CCNumber!T15+UCRNumber!T15</f>
        <v>0</v>
      </c>
      <c r="U11" s="551">
        <f>CCNumber!U15+UCRNumber!U15</f>
        <v>0</v>
      </c>
      <c r="V11" s="1281">
        <f>CCNumber!V15+UCRNumber!V15</f>
        <v>0</v>
      </c>
      <c r="W11" s="552">
        <f t="shared" si="0"/>
        <v>31569.090722734436</v>
      </c>
      <c r="X11" s="1282">
        <v>1980</v>
      </c>
      <c r="Y11" s="1283"/>
      <c r="Z11" s="1284">
        <f t="shared" ref="Z11:Z29" si="2">W11-B11</f>
        <v>17286.090722734436</v>
      </c>
      <c r="AA11" s="1285">
        <f t="shared" ref="AA11:AA29" si="3">W11/B11</f>
        <v>2.2102562992882753</v>
      </c>
      <c r="AB11">
        <f>LN(AA11)</f>
        <v>0.79310848133399903</v>
      </c>
      <c r="AC11" s="604">
        <f t="shared" si="1"/>
        <v>0.38771623416426632</v>
      </c>
    </row>
    <row r="12" spans="1:29">
      <c r="A12" s="279">
        <v>1981</v>
      </c>
      <c r="B12" s="1187">
        <f>Total_Run_Size!C97</f>
        <v>15084</v>
      </c>
      <c r="C12" s="1177">
        <f>CCNumber!C10+UCRNumber!C10</f>
        <v>0</v>
      </c>
      <c r="D12" s="89">
        <f>CCNumber!D11+UCRNumber!D11</f>
        <v>0</v>
      </c>
      <c r="E12" s="1180">
        <f>CCNumber!E11+UCRNumber!E11</f>
        <v>0</v>
      </c>
      <c r="F12" s="89">
        <f>CCNumber!F12+UCRNumber!F12</f>
        <v>43.197103229922263</v>
      </c>
      <c r="G12" s="89">
        <f>CCNumber!G12+UCRNumber!G12</f>
        <v>2828.907969661886</v>
      </c>
      <c r="H12" s="1180">
        <f>CCNumber!H12+UCRNumber!H12</f>
        <v>0</v>
      </c>
      <c r="I12" s="89">
        <f>CCNumber!I13+UCRNumber!I13</f>
        <v>38.199950823702977</v>
      </c>
      <c r="J12" s="89">
        <f>CCNumber!J13+UCRNumber!J13</f>
        <v>21883.545512662899</v>
      </c>
      <c r="K12" s="89">
        <f>CCNumber!K13+UCRNumber!K13</f>
        <v>46.242045733956232</v>
      </c>
      <c r="L12" s="1180">
        <f>CCNumber!L13+UCRNumber!L13</f>
        <v>0</v>
      </c>
      <c r="M12" s="89">
        <f>CCNumber!M14+UCRNumber!M14</f>
        <v>0</v>
      </c>
      <c r="N12" s="89">
        <f>CCNumber!N14+UCRNumber!N14</f>
        <v>26330.256303849499</v>
      </c>
      <c r="O12" s="89">
        <f>CCNumber!O14+UCRNumber!O14</f>
        <v>1332.394039996838</v>
      </c>
      <c r="P12" s="1180">
        <f>CCNumber!P14+UCRNumber!P14</f>
        <v>0</v>
      </c>
      <c r="Q12" s="89">
        <f>CCNumber!Q15+UCRNumber!Q15</f>
        <v>649.54500371931556</v>
      </c>
      <c r="R12" s="89">
        <f>CCNumber!R15+UCRNumber!R15</f>
        <v>1551.2663030002479</v>
      </c>
      <c r="S12" s="1180">
        <f>CCNumber!S15+UCRNumber!S15</f>
        <v>0</v>
      </c>
      <c r="T12" s="89">
        <f>CCNumber!T16+UCRNumber!T16</f>
        <v>0</v>
      </c>
      <c r="U12" s="89">
        <f>CCNumber!U16+UCRNumber!U16</f>
        <v>0</v>
      </c>
      <c r="V12" s="1180">
        <f>CCNumber!V16+UCRNumber!V16</f>
        <v>0</v>
      </c>
      <c r="W12" s="161">
        <f t="shared" si="0"/>
        <v>54703.554232678274</v>
      </c>
      <c r="X12" s="1186">
        <v>1981</v>
      </c>
      <c r="Y12" s="94"/>
      <c r="Z12" s="287">
        <f t="shared" si="2"/>
        <v>39619.554232678274</v>
      </c>
      <c r="AA12" s="288">
        <f t="shared" si="3"/>
        <v>3.6265946852743487</v>
      </c>
      <c r="AB12">
        <f t="shared" ref="AB12:AB41" si="4">LN(AA12)</f>
        <v>1.2882941047523346</v>
      </c>
      <c r="AC12" s="604">
        <f t="shared" si="1"/>
        <v>0.40003882416090469</v>
      </c>
    </row>
    <row r="13" spans="1:29">
      <c r="A13" s="279">
        <v>1982</v>
      </c>
      <c r="B13" s="1187">
        <f>Total_Run_Size!C98</f>
        <v>29956</v>
      </c>
      <c r="C13" s="1177">
        <f>CCNumber!C11+UCRNumber!C11</f>
        <v>0</v>
      </c>
      <c r="D13" s="89">
        <f>CCNumber!D12+UCRNumber!D12</f>
        <v>56.256692578503412</v>
      </c>
      <c r="E13" s="1180">
        <f>CCNumber!E12+UCRNumber!E12</f>
        <v>0</v>
      </c>
      <c r="F13" s="89">
        <f>CCNumber!F13+UCRNumber!F13</f>
        <v>0</v>
      </c>
      <c r="G13" s="89">
        <f>CCNumber!G13+UCRNumber!G13</f>
        <v>2352.3127612490775</v>
      </c>
      <c r="H13" s="1180">
        <f>CCNumber!H13+UCRNumber!H13</f>
        <v>0</v>
      </c>
      <c r="I13" s="89">
        <f>CCNumber!I14+UCRNumber!I14</f>
        <v>42.349932811635448</v>
      </c>
      <c r="J13" s="89">
        <f>CCNumber!J14+UCRNumber!J14</f>
        <v>9999.4706742550006</v>
      </c>
      <c r="K13" s="89">
        <f>CCNumber!K14+UCRNumber!K14</f>
        <v>19.546122836139439</v>
      </c>
      <c r="L13" s="1180">
        <f>CCNumber!L14+UCRNumber!L14</f>
        <v>0</v>
      </c>
      <c r="M13" s="89">
        <f>CCNumber!M15+UCRNumber!M15</f>
        <v>0</v>
      </c>
      <c r="N13" s="89">
        <f>CCNumber!N15+UCRNumber!N15</f>
        <v>19096.623109347878</v>
      </c>
      <c r="O13" s="89">
        <f>CCNumber!O15+UCRNumber!O15</f>
        <v>572.03627218306121</v>
      </c>
      <c r="P13" s="1180">
        <f>CCNumber!P15+UCRNumber!P15</f>
        <v>0</v>
      </c>
      <c r="Q13" s="89">
        <f>CCNumber!Q16+UCRNumber!Q16</f>
        <v>770.43880626032853</v>
      </c>
      <c r="R13" s="89">
        <f>CCNumber!R16+UCRNumber!R16</f>
        <v>1822.7699361653868</v>
      </c>
      <c r="S13" s="1180">
        <f>CCNumber!S16+UCRNumber!S16</f>
        <v>0</v>
      </c>
      <c r="T13" s="89">
        <f>CCNumber!T17+UCRNumber!T17</f>
        <v>0</v>
      </c>
      <c r="U13" s="89">
        <f>CCNumber!U17+UCRNumber!U17</f>
        <v>67.339631336405532</v>
      </c>
      <c r="V13" s="1180">
        <f>CCNumber!V17+UCRNumber!V17</f>
        <v>0</v>
      </c>
      <c r="W13" s="161">
        <f t="shared" si="0"/>
        <v>34799.143939023423</v>
      </c>
      <c r="X13" s="1186">
        <v>1982</v>
      </c>
      <c r="Y13" s="94"/>
      <c r="Z13" s="287">
        <f t="shared" si="2"/>
        <v>4843.1439390234227</v>
      </c>
      <c r="AA13" s="288">
        <f t="shared" si="3"/>
        <v>1.161675255008126</v>
      </c>
      <c r="AB13">
        <f t="shared" si="4"/>
        <v>0.14986314863738653</v>
      </c>
      <c r="AC13" s="604">
        <f t="shared" si="1"/>
        <v>0.28734817993731426</v>
      </c>
    </row>
    <row r="14" spans="1:29">
      <c r="A14" s="279">
        <v>1983</v>
      </c>
      <c r="B14" s="1187">
        <f>Total_Run_Size!C99</f>
        <v>16757</v>
      </c>
      <c r="C14" s="1177">
        <f>CCNumber!C12+UCRNumber!C12</f>
        <v>0</v>
      </c>
      <c r="D14" s="89">
        <f>CCNumber!D13+UCRNumber!D13</f>
        <v>28.147332185886405</v>
      </c>
      <c r="E14" s="1180">
        <f>CCNumber!E13+UCRNumber!E13</f>
        <v>0</v>
      </c>
      <c r="F14" s="89">
        <f>CCNumber!F14+UCRNumber!F14</f>
        <v>19.546122836139439</v>
      </c>
      <c r="G14" s="89">
        <f>CCNumber!G14+UCRNumber!G14</f>
        <v>829.0813769662476</v>
      </c>
      <c r="H14" s="1180">
        <f>CCNumber!H14+UCRNumber!H14</f>
        <v>0</v>
      </c>
      <c r="I14" s="89">
        <f>CCNumber!I15+UCRNumber!I15</f>
        <v>28.383479154121357</v>
      </c>
      <c r="J14" s="89">
        <f>CCNumber!J15+UCRNumber!J15</f>
        <v>7774.8899436789352</v>
      </c>
      <c r="K14" s="89">
        <f>CCNumber!K15+UCRNumber!K15</f>
        <v>75.325386985937442</v>
      </c>
      <c r="L14" s="1180">
        <f>CCNumber!L15+UCRNumber!L15</f>
        <v>0</v>
      </c>
      <c r="M14" s="89">
        <f>CCNumber!M16+UCRNumber!M16</f>
        <v>0</v>
      </c>
      <c r="N14" s="89">
        <f>CCNumber!N16+UCRNumber!N16</f>
        <v>19097.45254528369</v>
      </c>
      <c r="O14" s="89">
        <f>CCNumber!O16+UCRNumber!O16</f>
        <v>699.21334370240743</v>
      </c>
      <c r="P14" s="1180">
        <f>CCNumber!P16+UCRNumber!P16</f>
        <v>0</v>
      </c>
      <c r="Q14" s="89">
        <f>CCNumber!Q17+UCRNumber!Q17</f>
        <v>382.93133640552992</v>
      </c>
      <c r="R14" s="89">
        <f>CCNumber!R17+UCRNumber!R17</f>
        <v>1884.5046082949309</v>
      </c>
      <c r="S14" s="1180">
        <f>CCNumber!S17+UCRNumber!S17</f>
        <v>18.091244239631337</v>
      </c>
      <c r="T14" s="89">
        <f>CCNumber!T18+UCRNumber!T18</f>
        <v>0</v>
      </c>
      <c r="U14" s="89">
        <f>CCNumber!U18+UCRNumber!U18</f>
        <v>24.177992411176266</v>
      </c>
      <c r="V14" s="1180">
        <f>CCNumber!V18+UCRNumber!V18</f>
        <v>0</v>
      </c>
      <c r="W14" s="161">
        <f t="shared" si="0"/>
        <v>30861.744712144631</v>
      </c>
      <c r="X14" s="1186">
        <v>1983</v>
      </c>
      <c r="Y14" s="94"/>
      <c r="Z14" s="287">
        <f t="shared" si="2"/>
        <v>14104.744712144631</v>
      </c>
      <c r="AA14" s="288">
        <f t="shared" si="3"/>
        <v>1.8417225465265041</v>
      </c>
      <c r="AB14">
        <f t="shared" si="4"/>
        <v>0.6107013002807391</v>
      </c>
      <c r="AC14" s="604">
        <f t="shared" si="1"/>
        <v>0.25192645510476863</v>
      </c>
    </row>
    <row r="15" spans="1:29">
      <c r="A15" s="279">
        <v>1984</v>
      </c>
      <c r="B15" s="1187">
        <f>Total_Run_Size!C100</f>
        <v>41962</v>
      </c>
      <c r="C15" s="1177">
        <f>CCNumber!C13+UCRNumber!C13</f>
        <v>0</v>
      </c>
      <c r="D15" s="89">
        <f>CCNumber!D14+UCRNumber!D14</f>
        <v>19.546122836139439</v>
      </c>
      <c r="E15" s="1180">
        <f>CCNumber!E14+UCRNumber!E14</f>
        <v>19.546122836139439</v>
      </c>
      <c r="F15" s="89">
        <f>CCNumber!F15+UCRNumber!F15</f>
        <v>13.100067301902163</v>
      </c>
      <c r="G15" s="89">
        <f>CCNumber!G15+UCRNumber!G15</f>
        <v>970.49665261591872</v>
      </c>
      <c r="H15" s="1180">
        <f>CCNumber!H15+UCRNumber!H15</f>
        <v>30.566823704438384</v>
      </c>
      <c r="I15" s="89">
        <f>CCNumber!I16+UCRNumber!I16</f>
        <v>14.044457405787238</v>
      </c>
      <c r="J15" s="89">
        <f>CCNumber!J16+UCRNumber!J16</f>
        <v>7598.0514565308968</v>
      </c>
      <c r="K15" s="89">
        <f>CCNumber!K16+UCRNumber!K16</f>
        <v>57.181005152133764</v>
      </c>
      <c r="L15" s="1180">
        <f>CCNumber!L16+UCRNumber!L16</f>
        <v>0</v>
      </c>
      <c r="M15" s="89">
        <f>CCNumber!M17+UCRNumber!M17</f>
        <v>0</v>
      </c>
      <c r="N15" s="89">
        <f>CCNumber!N17+UCRNumber!N17</f>
        <v>11771.369585253457</v>
      </c>
      <c r="O15" s="89">
        <f>CCNumber!O17+UCRNumber!O17</f>
        <v>460.32165898617507</v>
      </c>
      <c r="P15" s="1180">
        <f>CCNumber!P17+UCRNumber!P17</f>
        <v>41.207834101382481</v>
      </c>
      <c r="Q15" s="89">
        <f>CCNumber!Q18+UCRNumber!Q18</f>
        <v>355.61797171438428</v>
      </c>
      <c r="R15" s="89">
        <f>CCNumber!R18+UCRNumber!R18</f>
        <v>420.09261814418761</v>
      </c>
      <c r="S15" s="1180">
        <f>CCNumber!S18+UCRNumber!S18</f>
        <v>0</v>
      </c>
      <c r="T15" s="89">
        <f>CCNumber!T19+UCRNumber!T19</f>
        <v>0</v>
      </c>
      <c r="U15" s="89">
        <f>CCNumber!U19+UCRNumber!U19</f>
        <v>21.08863208139681</v>
      </c>
      <c r="V15" s="1180">
        <f>CCNumber!V19+UCRNumber!V19</f>
        <v>58.244793367667377</v>
      </c>
      <c r="W15" s="161">
        <f t="shared" si="0"/>
        <v>21850.475802032008</v>
      </c>
      <c r="X15" s="1186">
        <v>1984</v>
      </c>
      <c r="Y15" s="94"/>
      <c r="Z15" s="287">
        <f t="shared" si="2"/>
        <v>-20111.524197967992</v>
      </c>
      <c r="AA15" s="288">
        <f t="shared" si="3"/>
        <v>0.5207205519763598</v>
      </c>
      <c r="AB15">
        <f t="shared" si="4"/>
        <v>-0.6525417496932947</v>
      </c>
      <c r="AC15" s="604">
        <f t="shared" si="1"/>
        <v>0.34772933666846323</v>
      </c>
    </row>
    <row r="16" spans="1:29">
      <c r="A16" s="279">
        <v>1985</v>
      </c>
      <c r="B16" s="1187">
        <f>Total_Run_Size!C101</f>
        <v>8254</v>
      </c>
      <c r="C16" s="1177">
        <f>CCNumber!C14+UCRNumber!C14</f>
        <v>0</v>
      </c>
      <c r="D16" s="89">
        <f>CCNumber!D15+UCRNumber!D15</f>
        <v>13.100067301902163</v>
      </c>
      <c r="E16" s="1180">
        <f>CCNumber!E15+UCRNumber!E15</f>
        <v>43.666891006340542</v>
      </c>
      <c r="F16" s="89">
        <f>CCNumber!F16+UCRNumber!F16</f>
        <v>0</v>
      </c>
      <c r="G16" s="89">
        <f>CCNumber!G16+UCRNumber!G16</f>
        <v>792.5086678979942</v>
      </c>
      <c r="H16" s="1180">
        <f>CCNumber!H16+UCRNumber!H16</f>
        <v>62.196882797057782</v>
      </c>
      <c r="I16" s="89">
        <f>CCNumber!I17+UCRNumber!I17</f>
        <v>0</v>
      </c>
      <c r="J16" s="89">
        <f>CCNumber!J17+UCRNumber!J17</f>
        <v>5597.4829838087717</v>
      </c>
      <c r="K16" s="89">
        <f>CCNumber!K17+UCRNumber!K17</f>
        <v>280.41428571428565</v>
      </c>
      <c r="L16" s="1180">
        <f>CCNumber!L17+UCRNumber!L17</f>
        <v>0</v>
      </c>
      <c r="M16" s="89">
        <f>CCNumber!M18+UCRNumber!M18</f>
        <v>0</v>
      </c>
      <c r="N16" s="89">
        <f>CCNumber!N18+UCRNumber!N18</f>
        <v>12019.484477406002</v>
      </c>
      <c r="O16" s="89">
        <f>CCNumber!O18+UCRNumber!O18</f>
        <v>525.87133494308375</v>
      </c>
      <c r="P16" s="1180">
        <f>CCNumber!P18+UCRNumber!P18</f>
        <v>9.0667471541911002</v>
      </c>
      <c r="Q16" s="89">
        <f>CCNumber!Q19+UCRNumber!Q19</f>
        <v>365.536289410878</v>
      </c>
      <c r="R16" s="89">
        <f>CCNumber!R19+UCRNumber!R19</f>
        <v>1978.3145333500813</v>
      </c>
      <c r="S16" s="1180">
        <f>CCNumber!S19+UCRNumber!S19</f>
        <v>0</v>
      </c>
      <c r="T16" s="89">
        <f>CCNumber!T20+UCRNumber!T20</f>
        <v>0</v>
      </c>
      <c r="U16" s="89">
        <f>CCNumber!U20+UCRNumber!U20</f>
        <v>0</v>
      </c>
      <c r="V16" s="1180">
        <f>CCNumber!V20+UCRNumber!V20</f>
        <v>0</v>
      </c>
      <c r="W16" s="161">
        <f t="shared" si="0"/>
        <v>21687.643160790587</v>
      </c>
      <c r="X16" s="1186">
        <v>1985</v>
      </c>
      <c r="Y16" s="94"/>
      <c r="Z16" s="287">
        <f t="shared" si="2"/>
        <v>13433.643160790587</v>
      </c>
      <c r="AA16" s="288">
        <f t="shared" si="3"/>
        <v>2.6275312770524093</v>
      </c>
      <c r="AB16">
        <f t="shared" si="4"/>
        <v>0.96604472742881842</v>
      </c>
      <c r="AC16" s="604">
        <f t="shared" si="1"/>
        <v>0.25809549439325635</v>
      </c>
    </row>
    <row r="17" spans="1:29">
      <c r="A17" s="279">
        <v>1986</v>
      </c>
      <c r="B17" s="1187">
        <f>Total_Run_Size!C102</f>
        <v>55424</v>
      </c>
      <c r="C17" s="1177">
        <f>CCNumber!C15+UCRNumber!C15</f>
        <v>0</v>
      </c>
      <c r="D17" s="89">
        <f>CCNumber!D16+UCRNumber!D16</f>
        <v>0</v>
      </c>
      <c r="E17" s="1180">
        <f>CCNumber!E16+UCRNumber!E16</f>
        <v>45.142898804316133</v>
      </c>
      <c r="F17" s="89">
        <f>CCNumber!F17+UCRNumber!F17</f>
        <v>5.0253456221198158</v>
      </c>
      <c r="G17" s="89">
        <f>CCNumber!G17+UCRNumber!G17</f>
        <v>1269.4023041474654</v>
      </c>
      <c r="H17" s="1180">
        <f>CCNumber!H17+UCRNumber!H17</f>
        <v>46.233179723502303</v>
      </c>
      <c r="I17" s="89">
        <f>CCNumber!I18+UCRNumber!I18</f>
        <v>198.46102104173849</v>
      </c>
      <c r="J17" s="89">
        <f>CCNumber!J18+UCRNumber!J18</f>
        <v>19786.664539496378</v>
      </c>
      <c r="K17" s="89">
        <f>CCNumber!K18+UCRNumber!K18</f>
        <v>165.21628147637117</v>
      </c>
      <c r="L17" s="1180">
        <f>CCNumber!L18+UCRNumber!L18</f>
        <v>0</v>
      </c>
      <c r="M17" s="89">
        <f>CCNumber!M19+UCRNumber!M19</f>
        <v>19.080190930787591</v>
      </c>
      <c r="N17" s="89">
        <f>CCNumber!N19+UCRNumber!N19</f>
        <v>43279.314721733841</v>
      </c>
      <c r="O17" s="89">
        <f>CCNumber!O19+UCRNumber!O19</f>
        <v>759.85572466201552</v>
      </c>
      <c r="P17" s="1180">
        <f>CCNumber!P19+UCRNumber!P19</f>
        <v>36.15194071096596</v>
      </c>
      <c r="Q17" s="89">
        <f>CCNumber!Q20+UCRNumber!Q20</f>
        <v>401.36051401083193</v>
      </c>
      <c r="R17" s="89">
        <f>CCNumber!R20+UCRNumber!R20</f>
        <v>1605.2773607112003</v>
      </c>
      <c r="S17" s="1180">
        <f>CCNumber!S20+UCRNumber!S20</f>
        <v>0</v>
      </c>
      <c r="T17" s="89">
        <f>CCNumber!T21+UCRNumber!T21</f>
        <v>0</v>
      </c>
      <c r="U17" s="89">
        <f>CCNumber!U21+UCRNumber!U21</f>
        <v>0</v>
      </c>
      <c r="V17" s="1180">
        <f>CCNumber!V21+UCRNumber!V21</f>
        <v>0</v>
      </c>
      <c r="W17" s="161">
        <f t="shared" si="0"/>
        <v>67617.186023071525</v>
      </c>
      <c r="X17" s="1186">
        <v>1986</v>
      </c>
      <c r="Y17" s="94"/>
      <c r="Z17" s="287">
        <f t="shared" si="2"/>
        <v>12193.186023071525</v>
      </c>
      <c r="AA17" s="288">
        <f t="shared" si="3"/>
        <v>1.2199983044001068</v>
      </c>
      <c r="AB17">
        <f t="shared" si="4"/>
        <v>0.19884946890822133</v>
      </c>
      <c r="AC17" s="604">
        <f t="shared" si="1"/>
        <v>0.29262774308213607</v>
      </c>
    </row>
    <row r="18" spans="1:29">
      <c r="A18" s="279">
        <v>1987</v>
      </c>
      <c r="B18" s="1187">
        <f>Total_Run_Size!C103</f>
        <v>22744</v>
      </c>
      <c r="C18" s="1177">
        <f>CCNumber!C16+UCRNumber!C16</f>
        <v>0</v>
      </c>
      <c r="D18" s="89">
        <f>CCNumber!D17+UCRNumber!D17</f>
        <v>54.27373271889401</v>
      </c>
      <c r="E18" s="1180">
        <f>CCNumber!E17+UCRNumber!E17</f>
        <v>65.329493087557609</v>
      </c>
      <c r="F18" s="89">
        <f>CCNumber!F18+UCRNumber!F18</f>
        <v>175.29044498102795</v>
      </c>
      <c r="G18" s="89">
        <f>CCNumber!G18+UCRNumber!G18</f>
        <v>1146.4398068299413</v>
      </c>
      <c r="H18" s="1180">
        <f>CCNumber!H18+UCRNumber!H18</f>
        <v>42.311486719558467</v>
      </c>
      <c r="I18" s="89">
        <f>CCNumber!I19+UCRNumber!I19</f>
        <v>140.59088054264538</v>
      </c>
      <c r="J18" s="89">
        <f>CCNumber!J19+UCRNumber!J19</f>
        <v>9375.3263410620893</v>
      </c>
      <c r="K18" s="89">
        <f>CCNumber!K19+UCRNumber!K19</f>
        <v>502.7752573840354</v>
      </c>
      <c r="L18" s="1180">
        <f>CCNumber!L19+UCRNumber!L19</f>
        <v>0</v>
      </c>
      <c r="M18" s="89">
        <f>CCNumber!M20+UCRNumber!M20</f>
        <v>9.0759915228580077</v>
      </c>
      <c r="N18" s="89">
        <f>CCNumber!N20+UCRNumber!N20</f>
        <v>13878.379842417628</v>
      </c>
      <c r="O18" s="89">
        <f>CCNumber!O20+UCRNumber!O20</f>
        <v>1397.5913621731454</v>
      </c>
      <c r="P18" s="1180">
        <f>CCNumber!P20+UCRNumber!P20</f>
        <v>0</v>
      </c>
      <c r="Q18" s="89">
        <f>CCNumber!Q21+UCRNumber!Q21</f>
        <v>213.61000021249919</v>
      </c>
      <c r="R18" s="89">
        <f>CCNumber!R21+UCRNumber!R21</f>
        <v>551.61163518015383</v>
      </c>
      <c r="S18" s="1180">
        <f>CCNumber!S21+UCRNumber!S21</f>
        <v>0</v>
      </c>
      <c r="T18" s="89">
        <f>CCNumber!T22+UCRNumber!T22</f>
        <v>0</v>
      </c>
      <c r="U18" s="89">
        <f>CCNumber!U22+UCRNumber!U22</f>
        <v>0</v>
      </c>
      <c r="V18" s="1180">
        <f>CCNumber!V22+UCRNumber!V22</f>
        <v>0</v>
      </c>
      <c r="W18" s="161">
        <f t="shared" si="0"/>
        <v>27552.606274832029</v>
      </c>
      <c r="X18" s="1186">
        <v>1987</v>
      </c>
      <c r="Y18" s="94"/>
      <c r="Z18" s="287">
        <f t="shared" si="2"/>
        <v>4808.6062748320292</v>
      </c>
      <c r="AA18" s="288">
        <f t="shared" si="3"/>
        <v>1.2114230687140357</v>
      </c>
      <c r="AB18">
        <f t="shared" si="4"/>
        <v>0.19179575840306992</v>
      </c>
      <c r="AC18" s="604">
        <f t="shared" si="1"/>
        <v>0.34027003643666176</v>
      </c>
    </row>
    <row r="19" spans="1:29">
      <c r="A19" s="279">
        <v>1988</v>
      </c>
      <c r="B19" s="1187">
        <f>Total_Run_Size!C104</f>
        <v>19434</v>
      </c>
      <c r="C19" s="1177">
        <f>CCNumber!C17+UCRNumber!C17</f>
        <v>0</v>
      </c>
      <c r="D19" s="89">
        <f>CCNumber!D18+UCRNumber!D18</f>
        <v>80.593308037254218</v>
      </c>
      <c r="E19" s="1180">
        <f>CCNumber!E18+UCRNumber!E18</f>
        <v>87.645222490513973</v>
      </c>
      <c r="F19" s="89">
        <f>CCNumber!F19+UCRNumber!F19</f>
        <v>64.270116819495044</v>
      </c>
      <c r="G19" s="89">
        <f>CCNumber!G19+UCRNumber!G19</f>
        <v>3824.0334757690807</v>
      </c>
      <c r="H19" s="1180">
        <f>CCNumber!H19+UCRNumber!H19</f>
        <v>0</v>
      </c>
      <c r="I19" s="89">
        <f>CCNumber!I20+UCRNumber!I20</f>
        <v>36.303966091432031</v>
      </c>
      <c r="J19" s="89">
        <f>CCNumber!J20+UCRNumber!J20</f>
        <v>31347.880360364543</v>
      </c>
      <c r="K19" s="89">
        <f>CCNumber!K20+UCRNumber!K20</f>
        <v>57.481279644767383</v>
      </c>
      <c r="L19" s="1180">
        <f>CCNumber!L20+UCRNumber!L20</f>
        <v>0</v>
      </c>
      <c r="M19" s="89">
        <f>CCNumber!M21+UCRNumber!M21</f>
        <v>0</v>
      </c>
      <c r="N19" s="89">
        <f>CCNumber!N21+UCRNumber!N21</f>
        <v>36211.645151829012</v>
      </c>
      <c r="O19" s="89">
        <f>CCNumber!O21+UCRNumber!O21</f>
        <v>117.5366029877388</v>
      </c>
      <c r="P19" s="1180">
        <f>CCNumber!P21+UCRNumber!P21</f>
        <v>0</v>
      </c>
      <c r="Q19" s="89">
        <f>CCNumber!Q22+UCRNumber!Q22</f>
        <v>652.21661540335595</v>
      </c>
      <c r="R19" s="89">
        <f>CCNumber!R22+UCRNumber!R22</f>
        <v>267.1206389310891</v>
      </c>
      <c r="S19" s="1180">
        <f>CCNumber!S22+UCRNumber!S22</f>
        <v>0</v>
      </c>
      <c r="T19" s="89">
        <f>CCNumber!T23+UCRNumber!T23</f>
        <v>0</v>
      </c>
      <c r="U19" s="89">
        <f>CCNumber!U23+UCRNumber!U23</f>
        <v>24.059357366207816</v>
      </c>
      <c r="V19" s="1180">
        <f>CCNumber!V23+UCRNumber!V23</f>
        <v>0</v>
      </c>
      <c r="W19" s="161">
        <f t="shared" si="0"/>
        <v>72770.786095734482</v>
      </c>
      <c r="X19" s="1186">
        <v>1988</v>
      </c>
      <c r="Y19" s="94"/>
      <c r="Z19" s="287">
        <f t="shared" si="2"/>
        <v>53336.786095734482</v>
      </c>
      <c r="AA19" s="288">
        <f t="shared" si="3"/>
        <v>3.7445089068505961</v>
      </c>
      <c r="AB19">
        <f t="shared" si="4"/>
        <v>1.3202904753532996</v>
      </c>
      <c r="AC19" s="604">
        <f t="shared" si="1"/>
        <v>0.43077561810483211</v>
      </c>
    </row>
    <row r="20" spans="1:29">
      <c r="A20" s="279">
        <v>1989</v>
      </c>
      <c r="B20" s="1187">
        <f>Total_Run_Size!C105</f>
        <v>37080</v>
      </c>
      <c r="C20" s="1177">
        <f>CCNumber!C18+UCRNumber!C18</f>
        <v>9.0667471541911002</v>
      </c>
      <c r="D20" s="89">
        <f>CCNumber!D19+UCRNumber!D19</f>
        <v>0</v>
      </c>
      <c r="E20" s="1180">
        <f>CCNumber!E19+UCRNumber!E19</f>
        <v>757.16878182425785</v>
      </c>
      <c r="F20" s="89">
        <f>CCNumber!F20+UCRNumber!F20</f>
        <v>12.101322030477345</v>
      </c>
      <c r="G20" s="89">
        <f>CCNumber!G20+UCRNumber!G20</f>
        <v>4111.1481321755628</v>
      </c>
      <c r="H20" s="1180">
        <f>CCNumber!H20+UCRNumber!H20</f>
        <v>0</v>
      </c>
      <c r="I20" s="89">
        <f>CCNumber!I21+UCRNumber!I21</f>
        <v>44.970526360526151</v>
      </c>
      <c r="J20" s="89">
        <f>CCNumber!J21+UCRNumber!J21</f>
        <v>31720.521207855119</v>
      </c>
      <c r="K20" s="89">
        <f>CCNumber!K21+UCRNumber!K21</f>
        <v>0</v>
      </c>
      <c r="L20" s="1180">
        <f>CCNumber!L21+UCRNumber!L21</f>
        <v>0</v>
      </c>
      <c r="M20" s="89">
        <f>CCNumber!M22+UCRNumber!M22</f>
        <v>0</v>
      </c>
      <c r="N20" s="89">
        <f>CCNumber!N22+UCRNumber!N22</f>
        <v>31949.172801461413</v>
      </c>
      <c r="O20" s="89">
        <f>CCNumber!O22+UCRNumber!O22</f>
        <v>699.1884283150157</v>
      </c>
      <c r="P20" s="1180">
        <f>CCNumber!P22+UCRNumber!P22</f>
        <v>0</v>
      </c>
      <c r="Q20" s="89">
        <f>CCNumber!Q23+UCRNumber!Q23</f>
        <v>76.362308162311749</v>
      </c>
      <c r="R20" s="89">
        <f>CCNumber!R23+UCRNumber!R23</f>
        <v>261.51475398051969</v>
      </c>
      <c r="S20" s="1180">
        <f>CCNumber!S23+UCRNumber!S23</f>
        <v>0</v>
      </c>
      <c r="T20" s="89">
        <f>CCNumber!T24+UCRNumber!T24</f>
        <v>0</v>
      </c>
      <c r="U20" s="89">
        <f>CCNumber!U24+UCRNumber!U24</f>
        <v>0</v>
      </c>
      <c r="V20" s="1180">
        <f>CCNumber!V24+UCRNumber!V24</f>
        <v>0</v>
      </c>
      <c r="W20" s="161">
        <f t="shared" si="0"/>
        <v>69641.215009319392</v>
      </c>
      <c r="X20" s="1186">
        <v>1989</v>
      </c>
      <c r="Y20" s="94"/>
      <c r="Z20" s="287">
        <f t="shared" si="2"/>
        <v>32561.215009319392</v>
      </c>
      <c r="AA20" s="288">
        <f t="shared" si="3"/>
        <v>1.8781341696148703</v>
      </c>
      <c r="AB20">
        <f t="shared" si="4"/>
        <v>0.63027882105357425</v>
      </c>
      <c r="AC20" s="604">
        <f t="shared" si="1"/>
        <v>0.45548489071608356</v>
      </c>
    </row>
    <row r="21" spans="1:29">
      <c r="A21" s="279">
        <v>1990</v>
      </c>
      <c r="B21" s="1187">
        <f>Total_Run_Size!C106</f>
        <v>25466</v>
      </c>
      <c r="C21" s="1177">
        <f>CCNumber!C19+UCRNumber!C19</f>
        <v>0</v>
      </c>
      <c r="D21" s="89">
        <f>CCNumber!D20+UCRNumber!D20</f>
        <v>107.90345477175632</v>
      </c>
      <c r="E21" s="1180">
        <f>CCNumber!E20+UCRNumber!E20</f>
        <v>45.379957614290035</v>
      </c>
      <c r="F21" s="89">
        <f>CCNumber!F21+UCRNumber!F21</f>
        <v>0</v>
      </c>
      <c r="G21" s="89">
        <f>CCNumber!G21+UCRNumber!G21</f>
        <v>4110.4521949177479</v>
      </c>
      <c r="H21" s="1180">
        <f>CCNumber!H21+UCRNumber!H21</f>
        <v>0</v>
      </c>
      <c r="I21" s="89">
        <f>CCNumber!I22+UCRNumber!I22</f>
        <v>0</v>
      </c>
      <c r="J21" s="89">
        <f>CCNumber!J22+UCRNumber!J22</f>
        <v>55953.220203770397</v>
      </c>
      <c r="K21" s="89">
        <f>CCNumber!K22+UCRNumber!K22</f>
        <v>84.356092213052349</v>
      </c>
      <c r="L21" s="1180">
        <f>CCNumber!L22+UCRNumber!L22</f>
        <v>0</v>
      </c>
      <c r="M21" s="89">
        <f>CCNumber!M23+UCRNumber!M23</f>
        <v>0</v>
      </c>
      <c r="N21" s="89">
        <f>CCNumber!N23+UCRNumber!N23</f>
        <v>35391.488291243433</v>
      </c>
      <c r="O21" s="89">
        <f>CCNumber!O23+UCRNumber!O23</f>
        <v>1397.4993065641358</v>
      </c>
      <c r="P21" s="1180">
        <f>CCNumber!P23+UCRNumber!P23</f>
        <v>0</v>
      </c>
      <c r="Q21" s="89">
        <f>CCNumber!Q24+UCRNumber!Q24</f>
        <v>77.14289893513282</v>
      </c>
      <c r="R21" s="89">
        <f>CCNumber!R24+UCRNumber!R24</f>
        <v>515.65216419681337</v>
      </c>
      <c r="S21" s="1180">
        <f>CCNumber!S24+UCRNumber!S24</f>
        <v>0</v>
      </c>
      <c r="T21" s="89">
        <f>CCNumber!T25+UCRNumber!T25</f>
        <v>0</v>
      </c>
      <c r="U21" s="89">
        <f>CCNumber!U25+UCRNumber!U25</f>
        <v>0</v>
      </c>
      <c r="V21" s="1180">
        <f>CCNumber!V25+UCRNumber!V25</f>
        <v>0</v>
      </c>
      <c r="W21" s="161">
        <f t="shared" si="0"/>
        <v>97683.094564226747</v>
      </c>
      <c r="X21" s="1186">
        <v>1990</v>
      </c>
      <c r="Y21" s="94"/>
      <c r="Z21" s="287">
        <f t="shared" si="2"/>
        <v>72217.094564226747</v>
      </c>
      <c r="AA21" s="288">
        <f t="shared" si="3"/>
        <v>3.8358240227843692</v>
      </c>
      <c r="AB21">
        <f t="shared" si="4"/>
        <v>1.3443842807823367</v>
      </c>
      <c r="AC21" s="604">
        <f t="shared" si="1"/>
        <v>0.57280351787976058</v>
      </c>
    </row>
    <row r="22" spans="1:29">
      <c r="A22" s="279">
        <v>1991</v>
      </c>
      <c r="B22" s="1187">
        <f>Total_Run_Size!C107</f>
        <v>22956</v>
      </c>
      <c r="C22" s="1177">
        <f>CCNumber!C20+UCRNumber!C20</f>
        <v>0</v>
      </c>
      <c r="D22" s="89">
        <f>CCNumber!D21+UCRNumber!D21</f>
        <v>50.08081344694957</v>
      </c>
      <c r="E22" s="1180">
        <f>CCNumber!E21+UCRNumber!E21</f>
        <v>23.507320597547761</v>
      </c>
      <c r="F22" s="89">
        <f>CCNumber!F22+UCRNumber!F22</f>
        <v>0</v>
      </c>
      <c r="G22" s="89">
        <f>CCNumber!G22+UCRNumber!G22</f>
        <v>7142.7400904797742</v>
      </c>
      <c r="H22" s="1180">
        <f>CCNumber!H22+UCRNumber!H22</f>
        <v>0</v>
      </c>
      <c r="I22" s="89">
        <f>CCNumber!I23+UCRNumber!I23</f>
        <v>0</v>
      </c>
      <c r="J22" s="89">
        <f>CCNumber!J23+UCRNumber!J23</f>
        <v>42451.662253200571</v>
      </c>
      <c r="K22" s="89">
        <f>CCNumber!K23+UCRNumber!K23</f>
        <v>794.46405323893805</v>
      </c>
      <c r="L22" s="1180">
        <f>CCNumber!L23+UCRNumber!L23</f>
        <v>42.88841965280524</v>
      </c>
      <c r="M22" s="89">
        <f>CCNumber!M24+UCRNumber!M24</f>
        <v>0</v>
      </c>
      <c r="N22" s="89">
        <f>CCNumber!N24+UCRNumber!N24</f>
        <v>26200.636613478768</v>
      </c>
      <c r="O22" s="89">
        <f>CCNumber!O24+UCRNumber!O24</f>
        <v>1417.3564223794169</v>
      </c>
      <c r="P22" s="1180">
        <f>CCNumber!P24+UCRNumber!P24</f>
        <v>0</v>
      </c>
      <c r="Q22" s="89">
        <f>CCNumber!Q25+UCRNumber!Q25</f>
        <v>0</v>
      </c>
      <c r="R22" s="89">
        <f>CCNumber!R25+UCRNumber!R25</f>
        <v>642.8345707353219</v>
      </c>
      <c r="S22" s="1180">
        <f>CCNumber!S25+UCRNumber!S25</f>
        <v>0</v>
      </c>
      <c r="T22" s="89">
        <f>CCNumber!T26+UCRNumber!T26</f>
        <v>0</v>
      </c>
      <c r="U22" s="89">
        <f>CCNumber!U26+UCRNumber!U26</f>
        <v>0</v>
      </c>
      <c r="V22" s="1180">
        <f>CCNumber!V26+UCRNumber!V26</f>
        <v>0</v>
      </c>
      <c r="W22" s="161">
        <f t="shared" si="0"/>
        <v>78766.170557210105</v>
      </c>
      <c r="X22" s="1186">
        <v>1991</v>
      </c>
      <c r="Y22" s="94"/>
      <c r="Z22" s="287">
        <f t="shared" si="2"/>
        <v>55810.170557210105</v>
      </c>
      <c r="AA22" s="288">
        <f t="shared" si="3"/>
        <v>3.4311801079112261</v>
      </c>
      <c r="AB22">
        <f t="shared" si="4"/>
        <v>1.2329042567891872</v>
      </c>
      <c r="AC22" s="604">
        <f t="shared" si="1"/>
        <v>0.5389580571568694</v>
      </c>
    </row>
    <row r="23" spans="1:29">
      <c r="A23" s="279">
        <v>1992</v>
      </c>
      <c r="B23" s="1187">
        <f>Total_Run_Size!C108</f>
        <v>14933</v>
      </c>
      <c r="C23" s="1177">
        <f>CCNumber!C21+UCRNumber!C21</f>
        <v>0</v>
      </c>
      <c r="D23" s="89">
        <f>CCNumber!D22+UCRNumber!D22</f>
        <v>0</v>
      </c>
      <c r="E23" s="1180">
        <f>CCNumber!E22+UCRNumber!E22</f>
        <v>189.28684106343454</v>
      </c>
      <c r="F23" s="89">
        <f>CCNumber!F23+UCRNumber!F23</f>
        <v>0</v>
      </c>
      <c r="G23" s="89">
        <f>CCNumber!G23+UCRNumber!G23</f>
        <v>5839.0273979033991</v>
      </c>
      <c r="H23" s="1180">
        <f>CCNumber!H23+UCRNumber!H23</f>
        <v>85.77683930561048</v>
      </c>
      <c r="I23" s="89">
        <f>CCNumber!I24+UCRNumber!I24</f>
        <v>0</v>
      </c>
      <c r="J23" s="89">
        <f>CCNumber!J24+UCRNumber!J24</f>
        <v>56034.420564336666</v>
      </c>
      <c r="K23" s="89">
        <f>CCNumber!K24+UCRNumber!K24</f>
        <v>0</v>
      </c>
      <c r="L23" s="1180">
        <f>CCNumber!L24+UCRNumber!L24</f>
        <v>0</v>
      </c>
      <c r="M23" s="89">
        <f>CCNumber!M25+UCRNumber!M25</f>
        <v>0</v>
      </c>
      <c r="N23" s="89">
        <f>CCNumber!N25+UCRNumber!N25</f>
        <v>29707.135747092529</v>
      </c>
      <c r="O23" s="89">
        <f>CCNumber!O25+UCRNumber!O25</f>
        <v>348.67347116683862</v>
      </c>
      <c r="P23" s="1180">
        <f>CCNumber!P25+UCRNumber!P25</f>
        <v>0</v>
      </c>
      <c r="Q23" s="89">
        <f>CCNumber!Q26+UCRNumber!Q26</f>
        <v>460.52121340455903</v>
      </c>
      <c r="R23" s="89">
        <f>CCNumber!R26+UCRNumber!R26</f>
        <v>175.18056691852354</v>
      </c>
      <c r="S23" s="1180">
        <f>CCNumber!S26+UCRNumber!S26</f>
        <v>0</v>
      </c>
      <c r="T23" s="89">
        <f>CCNumber!T27+UCRNumber!T27</f>
        <v>0</v>
      </c>
      <c r="U23" s="89">
        <f>CCNumber!U27+UCRNumber!U27</f>
        <v>0</v>
      </c>
      <c r="V23" s="1180">
        <f>CCNumber!V27+UCRNumber!V27</f>
        <v>0</v>
      </c>
      <c r="W23" s="161">
        <f t="shared" si="0"/>
        <v>92840.022641191565</v>
      </c>
      <c r="X23" s="1186">
        <v>1992</v>
      </c>
      <c r="Y23" s="94"/>
      <c r="Z23" s="287">
        <f t="shared" si="2"/>
        <v>77907.022641191565</v>
      </c>
      <c r="AA23" s="288">
        <f t="shared" si="3"/>
        <v>6.2171045765212325</v>
      </c>
      <c r="AB23">
        <f t="shared" si="4"/>
        <v>1.8273042962043147</v>
      </c>
      <c r="AC23" s="604">
        <f t="shared" si="1"/>
        <v>0.60355888516850842</v>
      </c>
    </row>
    <row r="24" spans="1:29">
      <c r="A24" s="279">
        <v>1993</v>
      </c>
      <c r="B24" s="1187">
        <f>Total_Run_Size!C109</f>
        <v>22827</v>
      </c>
      <c r="C24" s="1177">
        <f>CCNumber!C22+UCRNumber!C22</f>
        <v>0</v>
      </c>
      <c r="D24" s="89">
        <f>CCNumber!D23+UCRNumber!D23</f>
        <v>0</v>
      </c>
      <c r="E24" s="1180">
        <f>CCNumber!E23+UCRNumber!E23</f>
        <v>1359.8411819909409</v>
      </c>
      <c r="F24" s="89">
        <f>CCNumber!F24+UCRNumber!F24</f>
        <v>272.9091755475954</v>
      </c>
      <c r="G24" s="89">
        <f>CCNumber!G24+UCRNumber!G24</f>
        <v>7114.2514069195649</v>
      </c>
      <c r="H24" s="1180">
        <f>CCNumber!H24+UCRNumber!H24</f>
        <v>0</v>
      </c>
      <c r="I24" s="89">
        <f>CCNumber!I25+UCRNumber!I25</f>
        <v>0</v>
      </c>
      <c r="J24" s="89">
        <f>CCNumber!J25+UCRNumber!J25</f>
        <v>68371.053617062018</v>
      </c>
      <c r="K24" s="89">
        <f>CCNumber!K25+UCRNumber!K25</f>
        <v>192.33610356400831</v>
      </c>
      <c r="L24" s="1180">
        <f>CCNumber!L25+UCRNumber!L25</f>
        <v>0</v>
      </c>
      <c r="M24" s="89">
        <f>CCNumber!M26+UCRNumber!M26</f>
        <v>0</v>
      </c>
      <c r="N24" s="89">
        <f>CCNumber!N26+UCRNumber!N26</f>
        <v>27830.432057365608</v>
      </c>
      <c r="O24" s="89">
        <f>CCNumber!O26+UCRNumber!O26</f>
        <v>964.06923271893095</v>
      </c>
      <c r="P24" s="1180">
        <f>CCNumber!P26+UCRNumber!P26</f>
        <v>0</v>
      </c>
      <c r="Q24" s="89">
        <f>CCNumber!Q27+UCRNumber!Q27</f>
        <v>77.188519999999983</v>
      </c>
      <c r="R24" s="89">
        <f>CCNumber!R27+UCRNumber!R27</f>
        <v>368.30258469135799</v>
      </c>
      <c r="S24" s="1180">
        <f>CCNumber!S27+UCRNumber!S27</f>
        <v>0</v>
      </c>
      <c r="T24" s="89">
        <f>CCNumber!T28+UCRNumber!T28</f>
        <v>0</v>
      </c>
      <c r="U24" s="89">
        <f>CCNumber!U28+UCRNumber!U28</f>
        <v>0</v>
      </c>
      <c r="V24" s="1180">
        <f>CCNumber!V28+UCRNumber!V28</f>
        <v>0</v>
      </c>
      <c r="W24" s="161">
        <f t="shared" si="0"/>
        <v>106550.38387986002</v>
      </c>
      <c r="X24" s="1186">
        <v>1993</v>
      </c>
      <c r="Y24" s="94"/>
      <c r="Z24" s="287">
        <f t="shared" si="2"/>
        <v>83723.383879860019</v>
      </c>
      <c r="AA24" s="288">
        <f t="shared" si="3"/>
        <v>4.6677348701038248</v>
      </c>
      <c r="AB24">
        <f t="shared" si="4"/>
        <v>1.5406739154899063</v>
      </c>
      <c r="AC24" s="604">
        <f t="shared" si="1"/>
        <v>0.6416781538220756</v>
      </c>
    </row>
    <row r="25" spans="1:29">
      <c r="A25" s="279">
        <v>1994</v>
      </c>
      <c r="B25" s="1187">
        <f>Total_Run_Size!C110</f>
        <v>29813</v>
      </c>
      <c r="C25" s="1177">
        <f>CCNumber!C23+UCRNumber!C23</f>
        <v>0</v>
      </c>
      <c r="D25" s="89">
        <f>CCNumber!D24+UCRNumber!D24</f>
        <v>0</v>
      </c>
      <c r="E25" s="1180">
        <f>CCNumber!E24+UCRNumber!E24</f>
        <v>132.68578616842842</v>
      </c>
      <c r="F25" s="89">
        <f>CCNumber!F25+UCRNumber!F25</f>
        <v>44.227018466590145</v>
      </c>
      <c r="G25" s="89">
        <f>CCNumber!G25+UCRNumber!G25</f>
        <v>6161.0748337952673</v>
      </c>
      <c r="H25" s="1180">
        <f>CCNumber!H25+UCRNumber!H25</f>
        <v>44.227018466590145</v>
      </c>
      <c r="I25" s="89">
        <f>CCNumber!I26+UCRNumber!I26</f>
        <v>0</v>
      </c>
      <c r="J25" s="89">
        <f>CCNumber!J26+UCRNumber!J26</f>
        <v>55667.160650015241</v>
      </c>
      <c r="K25" s="89">
        <f>CCNumber!K26+UCRNumber!K26</f>
        <v>253.0385966600895</v>
      </c>
      <c r="L25" s="1180">
        <f>CCNumber!L26+UCRNumber!L26</f>
        <v>0</v>
      </c>
      <c r="M25" s="89">
        <f>CCNumber!M27+UCRNumber!M27</f>
        <v>0</v>
      </c>
      <c r="N25" s="89">
        <f>CCNumber!N27+UCRNumber!N27</f>
        <v>16004.656581234569</v>
      </c>
      <c r="O25" s="89">
        <f>CCNumber!O27+UCRNumber!O27</f>
        <v>541.32261469135801</v>
      </c>
      <c r="P25" s="1180">
        <f>CCNumber!P27+UCRNumber!P27</f>
        <v>0</v>
      </c>
      <c r="Q25" s="89">
        <f>CCNumber!Q28+UCRNumber!Q28</f>
        <v>81.864116136101501</v>
      </c>
      <c r="R25" s="89">
        <f>CCNumber!R28+UCRNumber!R28</f>
        <v>135.60275227220299</v>
      </c>
      <c r="S25" s="1180">
        <f>CCNumber!S28+UCRNumber!S28</f>
        <v>0</v>
      </c>
      <c r="T25" s="89">
        <f>CCNumber!T29+UCRNumber!T29</f>
        <v>0</v>
      </c>
      <c r="U25" s="89">
        <f>CCNumber!U29+UCRNumber!U29</f>
        <v>0</v>
      </c>
      <c r="V25" s="1180">
        <f>CCNumber!V29+UCRNumber!V29</f>
        <v>0</v>
      </c>
      <c r="W25" s="161">
        <f t="shared" si="0"/>
        <v>79065.859967906421</v>
      </c>
      <c r="X25" s="1186">
        <v>1994</v>
      </c>
      <c r="Y25" s="94"/>
      <c r="Z25" s="287">
        <f t="shared" si="2"/>
        <v>49252.859967906421</v>
      </c>
      <c r="AA25" s="288">
        <f t="shared" si="3"/>
        <v>2.652059838590763</v>
      </c>
      <c r="AB25">
        <f t="shared" si="4"/>
        <v>0.97533663564024009</v>
      </c>
      <c r="AC25" s="604">
        <f t="shared" si="1"/>
        <v>0.70406064858601514</v>
      </c>
    </row>
    <row r="26" spans="1:29">
      <c r="A26" s="279">
        <v>1995</v>
      </c>
      <c r="B26" s="1187">
        <f>Total_Run_Size!C111</f>
        <v>15841</v>
      </c>
      <c r="C26" s="1177">
        <f>CCNumber!C24+UCRNumber!C24</f>
        <v>0</v>
      </c>
      <c r="D26" s="89">
        <f>CCNumber!D25+UCRNumber!D25</f>
        <v>44.227018466590145</v>
      </c>
      <c r="E26" s="1180">
        <f>CCNumber!E25+UCRNumber!E25</f>
        <v>179.99367980589017</v>
      </c>
      <c r="F26" s="89">
        <f>CCNumber!F26+UCRNumber!F26</f>
        <v>0</v>
      </c>
      <c r="G26" s="89">
        <f>CCNumber!G26+UCRNumber!G26</f>
        <v>10515.024349583715</v>
      </c>
      <c r="H26" s="1180">
        <f>CCNumber!H26+UCRNumber!H26</f>
        <v>0</v>
      </c>
      <c r="I26" s="89">
        <f>CCNumber!I27+UCRNumber!I27</f>
        <v>0</v>
      </c>
      <c r="J26" s="89">
        <f>CCNumber!J27+UCRNumber!J27</f>
        <v>48501.64199604938</v>
      </c>
      <c r="K26" s="89">
        <f>CCNumber!K27+UCRNumber!K27</f>
        <v>240.73440234567903</v>
      </c>
      <c r="L26" s="1180">
        <f>CCNumber!L27+UCRNumber!L27</f>
        <v>0</v>
      </c>
      <c r="M26" s="89">
        <f>CCNumber!M28+UCRNumber!M28</f>
        <v>0</v>
      </c>
      <c r="N26" s="89">
        <f>CCNumber!N28+UCRNumber!N28</f>
        <v>15064.974836101501</v>
      </c>
      <c r="O26" s="89">
        <f>CCNumber!O28+UCRNumber!O28</f>
        <v>762.45152908881187</v>
      </c>
      <c r="P26" s="1180">
        <f>CCNumber!P28+UCRNumber!P28</f>
        <v>0</v>
      </c>
      <c r="Q26" s="89">
        <f>CCNumber!Q29+UCRNumber!Q29</f>
        <v>28.155387956486891</v>
      </c>
      <c r="R26" s="89">
        <f>CCNumber!R29+UCRNumber!R29</f>
        <v>958.56158039450077</v>
      </c>
      <c r="S26" s="1180">
        <f>CCNumber!S29+UCRNumber!S29</f>
        <v>0</v>
      </c>
      <c r="T26" s="89">
        <f>CCNumber!T30+UCRNumber!T30</f>
        <v>0</v>
      </c>
      <c r="U26" s="89">
        <f>CCNumber!U30+UCRNumber!U30</f>
        <v>0</v>
      </c>
      <c r="V26" s="1180">
        <f>CCNumber!V30+UCRNumber!V30</f>
        <v>0</v>
      </c>
      <c r="W26" s="161">
        <f t="shared" si="0"/>
        <v>76295.764779792546</v>
      </c>
      <c r="X26" s="1186">
        <v>1995</v>
      </c>
      <c r="Y26" s="94"/>
      <c r="Z26" s="287">
        <f t="shared" si="2"/>
        <v>60454.764779792546</v>
      </c>
      <c r="AA26" s="288">
        <f t="shared" si="3"/>
        <v>4.816347754547853</v>
      </c>
      <c r="AB26">
        <f t="shared" si="4"/>
        <v>1.5720159135698708</v>
      </c>
      <c r="AC26" s="604">
        <f t="shared" si="1"/>
        <v>0.63570556158702229</v>
      </c>
    </row>
    <row r="27" spans="1:29">
      <c r="A27" s="279">
        <v>1996</v>
      </c>
      <c r="B27" s="1187">
        <f>Total_Run_Size!C112</f>
        <v>41484</v>
      </c>
      <c r="C27" s="1177">
        <f>CCNumber!C25+UCRNumber!C25</f>
        <v>0</v>
      </c>
      <c r="D27" s="89">
        <f>CCNumber!D26+UCRNumber!D26</f>
        <v>0</v>
      </c>
      <c r="E27" s="1180">
        <f>CCNumber!E26+UCRNumber!E26</f>
        <v>85.573333333333323</v>
      </c>
      <c r="F27" s="89">
        <f>CCNumber!F27+UCRNumber!F27</f>
        <v>0</v>
      </c>
      <c r="G27" s="89">
        <f>CCNumber!G27+UCRNumber!G27</f>
        <v>4772.5395462962961</v>
      </c>
      <c r="H27" s="1180">
        <f>CCNumber!H27+UCRNumber!H27</f>
        <v>0</v>
      </c>
      <c r="I27" s="89">
        <f>CCNumber!I28+UCRNumber!I28</f>
        <v>0</v>
      </c>
      <c r="J27" s="89">
        <f>CCNumber!J28+UCRNumber!J28</f>
        <v>55980.71813096886</v>
      </c>
      <c r="K27" s="89">
        <f>CCNumber!K28+UCRNumber!K28</f>
        <v>112.50192000000001</v>
      </c>
      <c r="L27" s="1180">
        <f>CCNumber!L28+UCRNumber!L28</f>
        <v>0</v>
      </c>
      <c r="M27" s="89">
        <f>CCNumber!M29+UCRNumber!M29</f>
        <v>0</v>
      </c>
      <c r="N27" s="89">
        <f>CCNumber!N29+UCRNumber!N29</f>
        <v>14143.73042540695</v>
      </c>
      <c r="O27" s="89">
        <f>CCNumber!O29+UCRNumber!O29</f>
        <v>1411.3014534310739</v>
      </c>
      <c r="P27" s="1180">
        <f>CCNumber!P29+UCRNumber!P29</f>
        <v>0</v>
      </c>
      <c r="Q27" s="89">
        <f>CCNumber!Q30+UCRNumber!Q30</f>
        <v>112.08257197499094</v>
      </c>
      <c r="R27" s="89">
        <f>CCNumber!R30+UCRNumber!R30</f>
        <v>362.98889127351299</v>
      </c>
      <c r="S27" s="1180">
        <f>CCNumber!S30+UCRNumber!S30</f>
        <v>0</v>
      </c>
      <c r="T27" s="89">
        <f>CCNumber!T31+UCRNumber!T31</f>
        <v>0</v>
      </c>
      <c r="U27" s="89">
        <f>CCNumber!U31+UCRNumber!U31</f>
        <v>0</v>
      </c>
      <c r="V27" s="1180">
        <f>CCNumber!V31+UCRNumber!V31</f>
        <v>0</v>
      </c>
      <c r="W27" s="161">
        <f t="shared" si="0"/>
        <v>76981.436272685023</v>
      </c>
      <c r="X27" s="1186">
        <v>1996</v>
      </c>
      <c r="Y27" s="94"/>
      <c r="Z27" s="287">
        <f t="shared" si="2"/>
        <v>35497.436272685023</v>
      </c>
      <c r="AA27" s="288">
        <f t="shared" si="3"/>
        <v>1.8556898146920504</v>
      </c>
      <c r="AB27">
        <f t="shared" si="4"/>
        <v>0.61825649469223787</v>
      </c>
      <c r="AC27" s="604">
        <f t="shared" si="1"/>
        <v>0.72719763155201411</v>
      </c>
    </row>
    <row r="28" spans="1:29">
      <c r="A28" s="279">
        <v>1997</v>
      </c>
      <c r="B28" s="1187">
        <f>Total_Run_Size!C113</f>
        <v>38642</v>
      </c>
      <c r="C28" s="1177">
        <f>CCNumber!C26+UCRNumber!C26</f>
        <v>0</v>
      </c>
      <c r="D28" s="89">
        <f>CCNumber!D27+UCRNumber!D27</f>
        <v>0</v>
      </c>
      <c r="E28" s="1180">
        <f>CCNumber!E27+UCRNumber!E27</f>
        <v>246.63254469135802</v>
      </c>
      <c r="F28" s="89">
        <f>CCNumber!F28+UCRNumber!F28</f>
        <v>0</v>
      </c>
      <c r="G28" s="89">
        <f>CCNumber!G28+UCRNumber!G28</f>
        <v>8614.6976308881203</v>
      </c>
      <c r="H28" s="1180">
        <f>CCNumber!H28+UCRNumber!H28</f>
        <v>98.439179999999993</v>
      </c>
      <c r="I28" s="89">
        <f>CCNumber!I29+UCRNumber!I29</f>
        <v>0</v>
      </c>
      <c r="J28" s="89">
        <f>CCNumber!J29+UCRNumber!J29</f>
        <v>49173.65452896271</v>
      </c>
      <c r="K28" s="89">
        <f>CCNumber!K29+UCRNumber!K29</f>
        <v>452.40659741199954</v>
      </c>
      <c r="L28" s="1180">
        <f>CCNumber!L29+UCRNumber!L29</f>
        <v>0</v>
      </c>
      <c r="M28" s="89">
        <f>CCNumber!M30+UCRNumber!M30</f>
        <v>0</v>
      </c>
      <c r="N28" s="89">
        <f>CCNumber!N30+UCRNumber!N30</f>
        <v>24229.01563333267</v>
      </c>
      <c r="O28" s="89">
        <f>CCNumber!O30+UCRNumber!O30</f>
        <v>1276.3780348928658</v>
      </c>
      <c r="P28" s="1180">
        <f>CCNumber!P30+UCRNumber!P30</f>
        <v>0</v>
      </c>
      <c r="Q28" s="89">
        <f>CCNumber!Q31+UCRNumber!Q31</f>
        <v>0</v>
      </c>
      <c r="R28" s="89">
        <f>CCNumber!R31+UCRNumber!R31</f>
        <v>265.95476439843895</v>
      </c>
      <c r="S28" s="1180">
        <f>CCNumber!S31+UCRNumber!S31</f>
        <v>0</v>
      </c>
      <c r="T28" s="89">
        <f>CCNumber!T32+UCRNumber!T32</f>
        <v>118.48828125</v>
      </c>
      <c r="U28" s="89">
        <f>CCNumber!U32+UCRNumber!U32</f>
        <v>0</v>
      </c>
      <c r="V28" s="1180">
        <f>CCNumber!V32+UCRNumber!V32</f>
        <v>0</v>
      </c>
      <c r="W28" s="161">
        <f t="shared" si="0"/>
        <v>84475.667195828166</v>
      </c>
      <c r="X28" s="1186">
        <v>1997</v>
      </c>
      <c r="Y28" s="94"/>
      <c r="Z28" s="287">
        <f t="shared" si="2"/>
        <v>45833.667195828166</v>
      </c>
      <c r="AA28" s="288">
        <f t="shared" si="3"/>
        <v>2.1861101184159248</v>
      </c>
      <c r="AB28">
        <f t="shared" si="4"/>
        <v>0.78212376287531848</v>
      </c>
      <c r="AC28" s="604">
        <f t="shared" si="1"/>
        <v>0.58210436402911481</v>
      </c>
    </row>
    <row r="29" spans="1:29">
      <c r="A29" s="279">
        <v>1998</v>
      </c>
      <c r="B29" s="1187">
        <f>Total_Run_Size!C114</f>
        <v>24952</v>
      </c>
      <c r="C29" s="1177">
        <f>CCNumber!C27+UCRNumber!C27</f>
        <v>0</v>
      </c>
      <c r="D29" s="89">
        <f>CCNumber!D28+UCRNumber!D28</f>
        <v>43.015439999999998</v>
      </c>
      <c r="E29" s="1180">
        <f>CCNumber!E28+UCRNumber!E28</f>
        <v>243.080024544406</v>
      </c>
      <c r="F29" s="89">
        <f>CCNumber!F29+UCRNumber!F29</f>
        <v>0</v>
      </c>
      <c r="G29" s="89">
        <f>CCNumber!G29+UCRNumber!G29</f>
        <v>6610.6088326264853</v>
      </c>
      <c r="H29" s="1180">
        <f>CCNumber!H29+UCRNumber!H29</f>
        <v>25.464136247746051</v>
      </c>
      <c r="I29" s="89">
        <f>CCNumber!I30+UCRNumber!I30</f>
        <v>0</v>
      </c>
      <c r="J29" s="89">
        <f>CCNumber!J30+UCRNumber!J30</f>
        <v>61859.065856016823</v>
      </c>
      <c r="K29" s="89">
        <f>CCNumber!K30+UCRNumber!K30</f>
        <v>197.6335540838852</v>
      </c>
      <c r="L29" s="1180">
        <f>CCNumber!L30+UCRNumber!L30</f>
        <v>0</v>
      </c>
      <c r="M29" s="89">
        <f>CCNumber!M31+UCRNumber!M31</f>
        <v>0</v>
      </c>
      <c r="N29" s="89">
        <f>CCNumber!N31+UCRNumber!N31</f>
        <v>26018.25851101712</v>
      </c>
      <c r="O29" s="89">
        <f>CCNumber!O31+UCRNumber!O31</f>
        <v>1056.0433368575088</v>
      </c>
      <c r="P29" s="1180">
        <f>CCNumber!P31+UCRNumber!P31</f>
        <v>0</v>
      </c>
      <c r="Q29" s="89">
        <f>CCNumber!Q32+UCRNumber!Q32</f>
        <v>13.961484270083435</v>
      </c>
      <c r="R29" s="89">
        <f>CCNumber!R32+UCRNumber!R32</f>
        <v>449.76587132775728</v>
      </c>
      <c r="S29" s="1180">
        <f>CCNumber!S32+UCRNumber!S32</f>
        <v>0</v>
      </c>
      <c r="T29" s="89">
        <f>CCNumber!T33+UCRNumber!T33</f>
        <v>0</v>
      </c>
      <c r="U29" s="89">
        <f>CCNumber!U33+UCRNumber!U33</f>
        <v>0</v>
      </c>
      <c r="V29" s="1180">
        <f>CCNumber!V33+UCRNumber!V33</f>
        <v>0</v>
      </c>
      <c r="W29" s="161">
        <f t="shared" si="0"/>
        <v>96516.897046991828</v>
      </c>
      <c r="X29" s="1186">
        <v>1998</v>
      </c>
      <c r="Y29" s="94"/>
      <c r="Z29" s="287">
        <f t="shared" si="2"/>
        <v>71564.897046991828</v>
      </c>
      <c r="AA29" s="288">
        <f t="shared" si="3"/>
        <v>3.8681026389464503</v>
      </c>
      <c r="AB29">
        <f t="shared" si="4"/>
        <v>1.3527641126439671</v>
      </c>
      <c r="AC29" s="604">
        <f t="shared" si="1"/>
        <v>0.64091436576021588</v>
      </c>
    </row>
    <row r="30" spans="1:29">
      <c r="A30" s="679">
        <v>1999</v>
      </c>
      <c r="B30" s="1187">
        <f>Total_Run_Size!C115</f>
        <v>16157</v>
      </c>
      <c r="C30" s="1178">
        <f>CCNumber!C28+UCRNumber!C28</f>
        <v>0</v>
      </c>
      <c r="D30" s="614">
        <f>CCNumber!D29+UCRNumber!D29</f>
        <v>10.246736121316594</v>
      </c>
      <c r="E30" s="1181">
        <f>CCNumber!E29+UCRNumber!E29</f>
        <v>159.87032144073362</v>
      </c>
      <c r="F30" s="614">
        <f>CCNumber!F30+UCRNumber!F30</f>
        <v>75.781025655397059</v>
      </c>
      <c r="G30" s="614">
        <f>CCNumber!G30+UCRNumber!G30</f>
        <v>5977.1853932395461</v>
      </c>
      <c r="H30" s="1181">
        <f>CCNumber!H30+UCRNumber!H30</f>
        <v>32.258563187442107</v>
      </c>
      <c r="I30" s="614">
        <f>CCNumber!I31+UCRNumber!I31</f>
        <v>0</v>
      </c>
      <c r="J30" s="89">
        <f>CCNumber!J31+UCRNumber!J31</f>
        <v>47494.232967996417</v>
      </c>
      <c r="K30" s="89">
        <f>CCNumber!K31+UCRNumber!K31</f>
        <v>206.00630828558241</v>
      </c>
      <c r="L30" s="1180">
        <f>CCNumber!L31+UCRNumber!L31</f>
        <v>0</v>
      </c>
      <c r="M30" s="89">
        <f>CCNumber!M32+UCRNumber!M32</f>
        <v>0</v>
      </c>
      <c r="N30" s="89">
        <f>CCNumber!N32+UCRNumber!N32</f>
        <v>20304.918322954902</v>
      </c>
      <c r="O30" s="89">
        <f>CCNumber!O32+UCRNumber!O32</f>
        <v>1381.9537555538345</v>
      </c>
      <c r="P30" s="1180">
        <f>CCNumber!P32+UCRNumber!P32</f>
        <v>0</v>
      </c>
      <c r="Q30" s="89">
        <f>CCNumber!Q33+UCRNumber!Q33</f>
        <v>413.87159666615844</v>
      </c>
      <c r="R30" s="89">
        <f>CCNumber!R33+UCRNumber!R33</f>
        <v>555.64754098360663</v>
      </c>
      <c r="S30" s="1180">
        <f>CCNumber!S33+UCRNumber!S33</f>
        <v>0</v>
      </c>
      <c r="T30" s="89">
        <f>CCNumber!T34+UCRNumber!T34</f>
        <v>0</v>
      </c>
      <c r="U30" s="89">
        <f>CCNumber!U34+UCRNumber!U34</f>
        <v>0</v>
      </c>
      <c r="V30" s="1180">
        <f>CCNumber!V34+UCRNumber!V34</f>
        <v>0</v>
      </c>
      <c r="W30" s="161">
        <f t="shared" si="0"/>
        <v>76611.972532084939</v>
      </c>
      <c r="X30" s="1186">
        <v>1999</v>
      </c>
      <c r="Y30" s="94"/>
      <c r="Z30" s="287">
        <f t="shared" ref="Z30:Z38" si="5">W30-B30</f>
        <v>60454.972532084939</v>
      </c>
      <c r="AA30" s="288">
        <f>W30/B30</f>
        <v>4.7417201542418113</v>
      </c>
      <c r="AB30">
        <f t="shared" si="4"/>
        <v>1.5563999716128547</v>
      </c>
      <c r="AC30" s="604">
        <f t="shared" si="1"/>
        <v>0.61993225599439994</v>
      </c>
    </row>
    <row r="31" spans="1:29">
      <c r="A31" s="279">
        <v>2000</v>
      </c>
      <c r="B31" s="1187">
        <f>Total_Run_Size!C116</f>
        <v>24492</v>
      </c>
      <c r="C31" s="1178">
        <f>CCNumber!C29+UCRNumber!C29</f>
        <v>0</v>
      </c>
      <c r="D31" s="614">
        <f>CCNumber!D30+UCRNumber!D30</f>
        <v>37.890512827698544</v>
      </c>
      <c r="E31" s="1181">
        <f>CCNumber!E30+UCRNumber!E30</f>
        <v>394.71996351516987</v>
      </c>
      <c r="F31" s="614">
        <f>CCNumber!F31+UCRNumber!F31</f>
        <v>115.23863636363636</v>
      </c>
      <c r="G31" s="614">
        <f>CCNumber!G31+UCRNumber!G31</f>
        <v>5019.5720853945559</v>
      </c>
      <c r="H31" s="1181">
        <f>CCNumber!H31+UCRNumber!H31</f>
        <v>19.820400698513343</v>
      </c>
      <c r="I31" s="614">
        <f>CCNumber!I32+UCRNumber!I32</f>
        <v>0</v>
      </c>
      <c r="J31" s="89">
        <f>CCNumber!J32+UCRNumber!J32</f>
        <v>37628.29584616753</v>
      </c>
      <c r="K31" s="89">
        <f>CCNumber!K32+UCRNumber!K32</f>
        <v>109.03859044184568</v>
      </c>
      <c r="L31" s="1180">
        <f>CCNumber!L32+UCRNumber!L32</f>
        <v>0</v>
      </c>
      <c r="M31" s="89">
        <f>CCNumber!M33+UCRNumber!M33</f>
        <v>0</v>
      </c>
      <c r="N31" s="89">
        <f>CCNumber!N33+UCRNumber!N33</f>
        <v>16359.593867404627</v>
      </c>
      <c r="O31" s="89">
        <f>CCNumber!O33+UCRNumber!O33</f>
        <v>3549.1644384477754</v>
      </c>
      <c r="P31" s="1180">
        <f>CCNumber!P33+UCRNumber!P33</f>
        <v>0</v>
      </c>
      <c r="Q31" s="89">
        <f>CCNumber!Q34+UCRNumber!Q34</f>
        <v>215.07656612529001</v>
      </c>
      <c r="R31" s="89">
        <f>CCNumber!R34+UCRNumber!R34</f>
        <v>379.02888039317679</v>
      </c>
      <c r="S31" s="1180">
        <f>CCNumber!S34+UCRNumber!S34</f>
        <v>0</v>
      </c>
      <c r="T31" s="89">
        <f>CCNumber!T35+UCRNumber!T35</f>
        <v>0</v>
      </c>
      <c r="U31" s="89">
        <f>CCNumber!U35+UCRNumber!U35</f>
        <v>0</v>
      </c>
      <c r="V31" s="1180">
        <f>CCNumber!V35+UCRNumber!V35</f>
        <v>0</v>
      </c>
      <c r="W31" s="161">
        <f t="shared" si="0"/>
        <v>63827.439787779818</v>
      </c>
      <c r="X31" s="1186">
        <v>2000</v>
      </c>
      <c r="Y31" s="94"/>
      <c r="Z31" s="287">
        <f t="shared" si="5"/>
        <v>39335.439787779818</v>
      </c>
      <c r="AA31" s="288">
        <f t="shared" ref="AA31:AA38" si="6">W31/B31</f>
        <v>2.6060525799354819</v>
      </c>
      <c r="AB31">
        <f t="shared" si="4"/>
        <v>0.95783665499008608</v>
      </c>
      <c r="AC31" s="604">
        <f t="shared" si="1"/>
        <v>0.58953164926053814</v>
      </c>
    </row>
    <row r="32" spans="1:29">
      <c r="A32" s="279">
        <v>2001</v>
      </c>
      <c r="B32" s="1187">
        <f>Total_Run_Size!C117</f>
        <v>28208</v>
      </c>
      <c r="C32" s="1178">
        <f>CCNumber!C30+UCRNumber!C30</f>
        <v>0</v>
      </c>
      <c r="D32" s="614">
        <f>CCNumber!D31+UCRNumber!D31</f>
        <v>0</v>
      </c>
      <c r="E32" s="1181">
        <f>CCNumber!E31+UCRNumber!E31</f>
        <v>370.87298898823303</v>
      </c>
      <c r="F32" s="614">
        <f>CCNumber!F32+UCRNumber!F32</f>
        <v>73.112228386500249</v>
      </c>
      <c r="G32" s="614">
        <f>CCNumber!G32+UCRNumber!G32</f>
        <v>5891.6632712260234</v>
      </c>
      <c r="H32" s="1181">
        <f>CCNumber!H32+UCRNumber!H32</f>
        <v>17.897595931576511</v>
      </c>
      <c r="I32" s="614">
        <f>CCNumber!I33+UCRNumber!I33</f>
        <v>0</v>
      </c>
      <c r="J32" s="89">
        <f>CCNumber!J33+UCRNumber!J33</f>
        <v>68219.100697904621</v>
      </c>
      <c r="K32" s="89">
        <f>CCNumber!K33+UCRNumber!K33</f>
        <v>850.7367863423442</v>
      </c>
      <c r="L32" s="1180">
        <f>CCNumber!L33+UCRNumber!L33</f>
        <v>0</v>
      </c>
      <c r="M32" s="89">
        <f>CCNumber!M34+UCRNumber!M34</f>
        <v>0</v>
      </c>
      <c r="N32" s="89">
        <f>CCNumber!N34+UCRNumber!N34</f>
        <v>22479.559690778486</v>
      </c>
      <c r="O32" s="89">
        <f>CCNumber!O34+UCRNumber!O34</f>
        <v>830.49572317121533</v>
      </c>
      <c r="P32" s="1180">
        <f>CCNumber!P34+UCRNumber!P34</f>
        <v>0</v>
      </c>
      <c r="Q32" s="89">
        <f>CCNumber!Q35+UCRNumber!Q35</f>
        <v>21.564461623527386</v>
      </c>
      <c r="R32" s="89">
        <f>CCNumber!R35+UCRNumber!R35</f>
        <v>24.584285074459746</v>
      </c>
      <c r="S32" s="1180">
        <f>CCNumber!S35+UCRNumber!S35</f>
        <v>0</v>
      </c>
      <c r="T32" s="89">
        <f>CCNumber!T36+UCRNumber!T36</f>
        <v>0</v>
      </c>
      <c r="U32" s="89">
        <f>CCNumber!U36+UCRNumber!U36</f>
        <v>0</v>
      </c>
      <c r="V32" s="1180">
        <f>CCNumber!V36+UCRNumber!V36</f>
        <v>0</v>
      </c>
      <c r="W32" s="161">
        <f t="shared" si="0"/>
        <v>98779.587729427003</v>
      </c>
      <c r="X32" s="1186">
        <v>2001</v>
      </c>
      <c r="Y32" s="94"/>
      <c r="Z32" s="287">
        <f t="shared" si="5"/>
        <v>70571.587729427003</v>
      </c>
      <c r="AA32" s="288">
        <f t="shared" si="6"/>
        <v>3.5018288332893861</v>
      </c>
      <c r="AB32">
        <f t="shared" si="4"/>
        <v>1.2532853558243127</v>
      </c>
      <c r="AC32" s="604">
        <f t="shared" si="1"/>
        <v>0.69061941101402025</v>
      </c>
    </row>
    <row r="33" spans="1:29">
      <c r="A33" s="279">
        <v>2002</v>
      </c>
      <c r="B33" s="1187">
        <f>Total_Run_Size!C118</f>
        <v>21502</v>
      </c>
      <c r="C33" s="1178">
        <f>CCNumber!C31+UCRNumber!C31</f>
        <v>0</v>
      </c>
      <c r="D33" s="614">
        <f>CCNumber!D32+UCRNumber!D32</f>
        <v>17.008083435991534</v>
      </c>
      <c r="E33" s="1181">
        <f>CCNumber!E32+UCRNumber!E32</f>
        <v>350.89666905394841</v>
      </c>
      <c r="F33" s="614">
        <f>CCNumber!F33+UCRNumber!F33</f>
        <v>0</v>
      </c>
      <c r="G33" s="614">
        <f>CCNumber!G33+UCRNumber!G33</f>
        <v>9564.4699599625565</v>
      </c>
      <c r="H33" s="1181">
        <f>CCNumber!H33+UCRNumber!H33</f>
        <v>0</v>
      </c>
      <c r="I33" s="614">
        <f>CCNumber!I34+UCRNumber!I34</f>
        <v>0</v>
      </c>
      <c r="J33" s="89">
        <f>CCNumber!J34+UCRNumber!J34</f>
        <v>57978.675515241623</v>
      </c>
      <c r="K33" s="89">
        <f>CCNumber!K34+UCRNumber!K34</f>
        <v>501.61568882727835</v>
      </c>
      <c r="L33" s="1180">
        <f>CCNumber!L34+UCRNumber!L34</f>
        <v>0</v>
      </c>
      <c r="M33" s="89">
        <f>CCNumber!M35+UCRNumber!M35</f>
        <v>0</v>
      </c>
      <c r="N33" s="89">
        <f>CCNumber!N35+UCRNumber!N35</f>
        <v>17049.005269657362</v>
      </c>
      <c r="O33" s="89">
        <f>CCNumber!O35+UCRNumber!O35</f>
        <v>395.68310076100681</v>
      </c>
      <c r="P33" s="1180">
        <f>CCNumber!P35+UCRNumber!P35</f>
        <v>0</v>
      </c>
      <c r="Q33" s="89">
        <f>CCNumber!Q36+UCRNumber!Q36</f>
        <v>35.687931143007823</v>
      </c>
      <c r="R33" s="89">
        <f>CCNumber!R36+UCRNumber!R36</f>
        <v>763.01004709440826</v>
      </c>
      <c r="S33" s="1180">
        <f>CCNumber!S36+UCRNumber!S36</f>
        <v>0</v>
      </c>
      <c r="T33" s="89">
        <f>CCNumber!T37+UCRNumber!T37</f>
        <v>0</v>
      </c>
      <c r="U33" s="89">
        <f>CCNumber!U37+UCRNumber!U37</f>
        <v>0</v>
      </c>
      <c r="V33" s="1180">
        <f>CCNumber!V37+UCRNumber!V37</f>
        <v>0</v>
      </c>
      <c r="W33" s="161">
        <f t="shared" si="0"/>
        <v>86656.05226517719</v>
      </c>
      <c r="X33" s="1186">
        <v>2002</v>
      </c>
      <c r="Y33" s="94"/>
      <c r="Z33" s="287">
        <f t="shared" si="5"/>
        <v>65154.05226517719</v>
      </c>
      <c r="AA33" s="288">
        <f t="shared" si="6"/>
        <v>4.0301391621792018</v>
      </c>
      <c r="AB33">
        <f t="shared" si="4"/>
        <v>1.3938009069205057</v>
      </c>
      <c r="AC33" s="604">
        <f t="shared" si="1"/>
        <v>0.66906666066232057</v>
      </c>
    </row>
    <row r="34" spans="1:29">
      <c r="A34" s="279">
        <v>2003</v>
      </c>
      <c r="B34" s="1187">
        <f>Total_Run_Size!C119</f>
        <v>34034</v>
      </c>
      <c r="C34" s="1178">
        <f>CCNumber!C32+UCRNumber!C32</f>
        <v>0</v>
      </c>
      <c r="D34" s="614">
        <f>CCNumber!D33+UCRNumber!D33</f>
        <v>0</v>
      </c>
      <c r="E34" s="1181">
        <f>CCNumber!E33+UCRNumber!E33</f>
        <v>364.41511228830996</v>
      </c>
      <c r="F34" s="614">
        <f>CCNumber!F34+UCRNumber!F34</f>
        <v>25.883314953656669</v>
      </c>
      <c r="G34" s="614">
        <f>CCNumber!G34+UCRNumber!G34</f>
        <v>5160.4207337804701</v>
      </c>
      <c r="H34" s="1181">
        <f>CCNumber!H34+UCRNumber!H34</f>
        <v>92.705603666156719</v>
      </c>
      <c r="I34" s="614">
        <f>CCNumber!I35+UCRNumber!I35</f>
        <v>0</v>
      </c>
      <c r="J34" s="89">
        <f>CCNumber!J35+UCRNumber!J35</f>
        <v>32189.833456419547</v>
      </c>
      <c r="K34" s="89">
        <f>CCNumber!K35+UCRNumber!K35</f>
        <v>199.05914895749413</v>
      </c>
      <c r="L34" s="1180">
        <f>CCNumber!L35+UCRNumber!L35</f>
        <v>0</v>
      </c>
      <c r="M34" s="89">
        <f>CCNumber!M36+UCRNumber!M36</f>
        <v>0</v>
      </c>
      <c r="N34" s="89">
        <f>CCNumber!N36+UCRNumber!N36</f>
        <v>9624.6385284530425</v>
      </c>
      <c r="O34" s="89">
        <f>CCNumber!O36+UCRNumber!O36</f>
        <v>352.97030579027296</v>
      </c>
      <c r="P34" s="1180">
        <f>CCNumber!P36+UCRNumber!P36</f>
        <v>0</v>
      </c>
      <c r="Q34" s="89">
        <f>CCNumber!Q37+UCRNumber!Q37</f>
        <v>0</v>
      </c>
      <c r="R34" s="89">
        <f>CCNumber!R37+UCRNumber!R37</f>
        <v>139.68343225782144</v>
      </c>
      <c r="S34" s="1180">
        <f>CCNumber!S37+UCRNumber!S37</f>
        <v>0</v>
      </c>
      <c r="T34" s="89">
        <f>CCNumber!T38+UCRNumber!T38</f>
        <v>0</v>
      </c>
      <c r="U34" s="89">
        <f>CCNumber!U38+UCRNumber!U38</f>
        <v>0</v>
      </c>
      <c r="V34" s="1180">
        <f>CCNumber!V38+UCRNumber!V38</f>
        <v>0</v>
      </c>
      <c r="W34" s="161">
        <f t="shared" si="0"/>
        <v>48149.609636566769</v>
      </c>
      <c r="X34" s="1186">
        <v>2003</v>
      </c>
      <c r="Y34" s="94"/>
      <c r="Z34" s="287">
        <f t="shared" si="5"/>
        <v>14115.609636566769</v>
      </c>
      <c r="AA34" s="288">
        <f t="shared" si="6"/>
        <v>1.4147502390717157</v>
      </c>
      <c r="AB34">
        <f t="shared" si="4"/>
        <v>0.34695300602561402</v>
      </c>
      <c r="AC34" s="604">
        <f t="shared" si="1"/>
        <v>0.66853778669003538</v>
      </c>
    </row>
    <row r="35" spans="1:29">
      <c r="A35" s="279">
        <v>2004</v>
      </c>
      <c r="B35" s="1187">
        <f>Total_Run_Size!C120</f>
        <v>30645</v>
      </c>
      <c r="C35" s="1178">
        <f>CCNumber!C33+UCRNumber!C33</f>
        <v>0</v>
      </c>
      <c r="D35" s="614">
        <f>CCNumber!D34+UCRNumber!D34</f>
        <v>0</v>
      </c>
      <c r="E35" s="1181">
        <f>CCNumber!E34+UCRNumber!E34</f>
        <v>107.53828306264501</v>
      </c>
      <c r="F35" s="614">
        <f>CCNumber!F35+UCRNumber!F35</f>
        <v>0</v>
      </c>
      <c r="G35" s="614">
        <f>CCNumber!G35+UCRNumber!G35</f>
        <v>3974.232174502526</v>
      </c>
      <c r="H35" s="1181">
        <f>CCNumber!H35+UCRNumber!H35</f>
        <v>15.858760917030567</v>
      </c>
      <c r="I35" s="614">
        <f>CCNumber!I36+UCRNumber!I36</f>
        <v>0</v>
      </c>
      <c r="J35" s="89">
        <f>CCNumber!J36+UCRNumber!J36</f>
        <v>27036.937247060858</v>
      </c>
      <c r="K35" s="89">
        <f>CCNumber!K36+UCRNumber!K36</f>
        <v>358.03424332749523</v>
      </c>
      <c r="L35" s="1180">
        <f>CCNumber!L36+UCRNumber!L36</f>
        <v>0</v>
      </c>
      <c r="M35" s="89">
        <f>CCNumber!M37+UCRNumber!M37</f>
        <v>0</v>
      </c>
      <c r="N35" s="89">
        <f>CCNumber!N37+UCRNumber!N37</f>
        <v>6759.2925226127109</v>
      </c>
      <c r="O35" s="89">
        <f>CCNumber!O37+UCRNumber!O37</f>
        <v>452.34997717026795</v>
      </c>
      <c r="P35" s="1180">
        <f>CCNumber!P37+UCRNumber!P37</f>
        <v>0</v>
      </c>
      <c r="Q35" s="89">
        <f>CCNumber!Q38+UCRNumber!Q38</f>
        <v>0</v>
      </c>
      <c r="R35" s="89">
        <f>CCNumber!R38+UCRNumber!R38</f>
        <v>17.089948578827844</v>
      </c>
      <c r="S35" s="1180">
        <f>CCNumber!S38+UCRNumber!S38</f>
        <v>0</v>
      </c>
      <c r="T35" s="89">
        <f>CCNumber!T39+UCRNumber!T39</f>
        <v>0</v>
      </c>
      <c r="U35" s="89">
        <f>CCNumber!U39+UCRNumber!U39</f>
        <v>0</v>
      </c>
      <c r="V35" s="1180">
        <f>CCNumber!V39+UCRNumber!V39</f>
        <v>0</v>
      </c>
      <c r="W35" s="161">
        <f t="shared" si="0"/>
        <v>38721.333157232359</v>
      </c>
      <c r="X35" s="1186">
        <v>2004</v>
      </c>
      <c r="Y35" s="94"/>
      <c r="Z35" s="287">
        <f t="shared" si="5"/>
        <v>8076.3331572323586</v>
      </c>
      <c r="AA35" s="288">
        <f t="shared" si="6"/>
        <v>1.263544890103846</v>
      </c>
      <c r="AB35">
        <f t="shared" si="4"/>
        <v>0.23392117559160344</v>
      </c>
      <c r="AC35" s="604">
        <f t="shared" si="1"/>
        <v>0.69824396637570074</v>
      </c>
    </row>
    <row r="36" spans="1:29">
      <c r="A36" s="279">
        <v>2005</v>
      </c>
      <c r="B36" s="1187">
        <f>Total_Run_Size!C121</f>
        <v>21528</v>
      </c>
      <c r="C36" s="1178">
        <f>CCNumber!C34+UCRNumber!C34</f>
        <v>0</v>
      </c>
      <c r="D36" s="89">
        <f>CCNumber!D35+UCRNumber!D35</f>
        <v>15.858760917030567</v>
      </c>
      <c r="E36" s="1180">
        <f>CCNumber!E35+UCRNumber!E35</f>
        <v>7.3205811700199144</v>
      </c>
      <c r="F36" s="89">
        <f>CCNumber!F36+UCRNumber!F36</f>
        <v>0</v>
      </c>
      <c r="G36" s="89">
        <f>CCNumber!G36+UCRNumber!G36</f>
        <v>4590.7362311379366</v>
      </c>
      <c r="H36" s="1180">
        <f>CCNumber!H36+UCRNumber!H36</f>
        <v>52.333564565996504</v>
      </c>
      <c r="I36" s="89">
        <f>CCNumber!I37+UCRNumber!I37</f>
        <v>0</v>
      </c>
      <c r="J36" s="89">
        <f>CCNumber!J37+UCRNumber!J37</f>
        <v>19724.564662776269</v>
      </c>
      <c r="K36" s="89">
        <f>CCNumber!K37+UCRNumber!K37</f>
        <v>221.57497149536761</v>
      </c>
      <c r="L36" s="1180">
        <f>CCNumber!L37+UCRNumber!L37</f>
        <v>0</v>
      </c>
      <c r="M36" s="89">
        <f>CCNumber!M38+UCRNumber!M38</f>
        <v>0</v>
      </c>
      <c r="N36" s="89">
        <f>CCNumber!N38+UCRNumber!N38</f>
        <v>6002.9711144944513</v>
      </c>
      <c r="O36" s="89">
        <f>CCNumber!O38+UCRNumber!O38</f>
        <v>1169.1191063463928</v>
      </c>
      <c r="P36" s="1180">
        <f>CCNumber!P38+UCRNumber!P38</f>
        <v>0</v>
      </c>
      <c r="Q36" s="89">
        <f>CCNumber!Q39+UCRNumber!Q39</f>
        <v>831.60874813937437</v>
      </c>
      <c r="R36" s="89">
        <f>CCNumber!R39+UCRNumber!R39</f>
        <v>31.344147845916613</v>
      </c>
      <c r="S36" s="1180">
        <f>CCNumber!S39+UCRNumber!S39</f>
        <v>0</v>
      </c>
      <c r="T36" s="89">
        <f>CCNumber!T40+UCRNumber!T40</f>
        <v>0</v>
      </c>
      <c r="U36" s="89">
        <f>CCNumber!U40+UCRNumber!U40</f>
        <v>0</v>
      </c>
      <c r="V36" s="1180">
        <f>CCNumber!V40+UCRNumber!V40</f>
        <v>0</v>
      </c>
      <c r="W36" s="161">
        <f t="shared" si="0"/>
        <v>32647.431888888754</v>
      </c>
      <c r="X36" s="1186">
        <v>2005</v>
      </c>
      <c r="Y36" s="94"/>
      <c r="Z36" s="287">
        <f t="shared" si="5"/>
        <v>11119.431888888754</v>
      </c>
      <c r="AA36" s="288">
        <f t="shared" si="6"/>
        <v>1.5165102140881064</v>
      </c>
      <c r="AB36">
        <f t="shared" si="4"/>
        <v>0.41641178342754659</v>
      </c>
      <c r="AC36" s="604">
        <f t="shared" si="1"/>
        <v>0.60416895055961017</v>
      </c>
    </row>
    <row r="37" spans="1:29">
      <c r="A37" s="279">
        <v>2006</v>
      </c>
      <c r="B37" s="1187">
        <f>Total_Run_Size!C122</f>
        <v>58454</v>
      </c>
      <c r="C37" s="1178">
        <f>CCNumber!C35+UCRNumber!C35</f>
        <v>0</v>
      </c>
      <c r="D37" s="89">
        <f>CCNumber!D36+UCRNumber!D36</f>
        <v>0</v>
      </c>
      <c r="E37" s="1180">
        <f>CCNumber!E36+UCRNumber!E36</f>
        <v>192.65190142698543</v>
      </c>
      <c r="F37" s="89">
        <f>CCNumber!F37+UCRNumber!F37</f>
        <v>0</v>
      </c>
      <c r="G37" s="89">
        <f>CCNumber!G37+UCRNumber!G37</f>
        <v>5400.9059432897675</v>
      </c>
      <c r="H37" s="1180">
        <f>CCNumber!H37+UCRNumber!H37</f>
        <v>128.10768918285595</v>
      </c>
      <c r="I37" s="89">
        <f>CCNumber!I38+UCRNumber!I38</f>
        <v>0</v>
      </c>
      <c r="J37" s="89">
        <f>CCNumber!J38+UCRNumber!J38</f>
        <v>41072.77581880783</v>
      </c>
      <c r="K37" s="89">
        <f>CCNumber!K38+UCRNumber!K38</f>
        <v>130.90607242499325</v>
      </c>
      <c r="L37" s="1180">
        <f>CCNumber!L38+UCRNumber!L38</f>
        <v>0</v>
      </c>
      <c r="M37" s="89">
        <f>CCNumber!M39+UCRNumber!M39</f>
        <v>0</v>
      </c>
      <c r="N37" s="89">
        <f>CCNumber!N39+UCRNumber!N39</f>
        <v>5328.7274734867533</v>
      </c>
      <c r="O37" s="89">
        <f>CCNumber!O39+UCRNumber!O39</f>
        <v>984.21491204150516</v>
      </c>
      <c r="P37" s="1180">
        <f>CCNumber!P39+UCRNumber!P39</f>
        <v>0</v>
      </c>
      <c r="Q37" s="89">
        <f>CCNumber!Q40+UCRNumber!Q40</f>
        <v>0</v>
      </c>
      <c r="R37" s="89">
        <f>CCNumber!R40+UCRNumber!R40</f>
        <v>0</v>
      </c>
      <c r="S37" s="1180">
        <f>CCNumber!S40+UCRNumber!S40</f>
        <v>6.2445207341944258</v>
      </c>
      <c r="T37" s="89">
        <f>CCNumber!T41+UCRNumber!T41</f>
        <v>0</v>
      </c>
      <c r="U37" s="89">
        <f>CCNumber!U41+UCRNumber!U41</f>
        <v>0</v>
      </c>
      <c r="V37" s="1180">
        <f>CCNumber!V41+UCRNumber!V41</f>
        <v>0</v>
      </c>
      <c r="W37" s="161">
        <f t="shared" si="0"/>
        <v>53244.534331394883</v>
      </c>
      <c r="X37" s="1186">
        <v>2006</v>
      </c>
      <c r="Y37" s="94"/>
      <c r="Z37" s="287">
        <f t="shared" si="5"/>
        <v>-5209.4656686051167</v>
      </c>
      <c r="AA37" s="288">
        <f t="shared" si="6"/>
        <v>0.91087922693733336</v>
      </c>
      <c r="AB37">
        <f t="shared" si="4"/>
        <v>-9.334496247841971E-2</v>
      </c>
      <c r="AC37" s="604">
        <f t="shared" si="1"/>
        <v>0.77139891135435945</v>
      </c>
    </row>
    <row r="38" spans="1:29">
      <c r="A38" s="279">
        <v>2007</v>
      </c>
      <c r="B38" s="1187">
        <f>Total_Run_Size!C123</f>
        <v>34575</v>
      </c>
      <c r="C38" s="1178">
        <f>CCNumber!C36+UCRNumber!C36</f>
        <v>0</v>
      </c>
      <c r="D38" s="89">
        <f>CCNumber!D37+UCRNumber!D37</f>
        <v>0</v>
      </c>
      <c r="E38" s="1180">
        <f>CCNumber!E37+UCRNumber!E37</f>
        <v>357.52080121494441</v>
      </c>
      <c r="F38" s="89">
        <f>CCNumber!F38+UCRNumber!F38</f>
        <v>0</v>
      </c>
      <c r="G38" s="89">
        <f>CCNumber!G38+UCRNumber!G38</f>
        <v>5474.316891495072</v>
      </c>
      <c r="H38" s="1180">
        <f>CCNumber!H38+UCRNumber!H38</f>
        <v>22.821047852435107</v>
      </c>
      <c r="I38" s="89">
        <f>CCNumber!I39+UCRNumber!I39</f>
        <v>0</v>
      </c>
      <c r="J38" s="89">
        <f>CCNumber!J39+UCRNumber!J39</f>
        <v>35349.079570382564</v>
      </c>
      <c r="K38" s="89">
        <f>CCNumber!K39+UCRNumber!K39</f>
        <v>68.950880068917485</v>
      </c>
      <c r="L38" s="1180">
        <f>CCNumber!L39+UCRNumber!L39</f>
        <v>0</v>
      </c>
      <c r="M38" s="89">
        <f>CCNumber!M40+UCRNumber!M40</f>
        <v>0</v>
      </c>
      <c r="N38" s="89">
        <f>CCNumber!N40+UCRNumber!N40</f>
        <v>4735.5815357155097</v>
      </c>
      <c r="O38" s="89">
        <f>CCNumber!O40+UCRNumber!O40</f>
        <v>1303.8897608641912</v>
      </c>
      <c r="P38" s="1180">
        <f>CCNumber!P40+UCRNumber!P40</f>
        <v>0</v>
      </c>
      <c r="Q38" s="89">
        <f>CCNumber!Q41+UCRNumber!Q41</f>
        <v>4.483364326492719</v>
      </c>
      <c r="R38" s="89">
        <f>CCNumber!R41+UCRNumber!R41</f>
        <v>119.600538584028</v>
      </c>
      <c r="S38" s="1180">
        <f>CCNumber!S41+UCRNumber!S41</f>
        <v>0</v>
      </c>
      <c r="T38" s="89">
        <f>CCNumber!T42+UCRNumber!T42</f>
        <v>0</v>
      </c>
      <c r="U38" s="89">
        <f>CCNumber!U42+UCRNumber!U42</f>
        <v>0</v>
      </c>
      <c r="V38" s="1180">
        <f>CCNumber!V42+UCRNumber!V42</f>
        <v>0</v>
      </c>
      <c r="W38" s="161">
        <f t="shared" si="0"/>
        <v>47436.244390504151</v>
      </c>
      <c r="X38" s="1186">
        <v>2007</v>
      </c>
      <c r="Y38" s="94"/>
      <c r="Z38" s="287">
        <f t="shared" si="5"/>
        <v>12861.244390504151</v>
      </c>
      <c r="AA38" s="288">
        <f t="shared" si="6"/>
        <v>1.3719810380478423</v>
      </c>
      <c r="AB38">
        <f t="shared" si="4"/>
        <v>0.31625570854334928</v>
      </c>
      <c r="AC38" s="604">
        <f>J38/W38</f>
        <v>0.74519136210240933</v>
      </c>
    </row>
    <row r="39" spans="1:29">
      <c r="A39" s="279">
        <v>2008</v>
      </c>
      <c r="B39" s="1187">
        <f>Total_Run_Size!C124</f>
        <v>32485</v>
      </c>
      <c r="C39" s="1178">
        <f>CCNumber!C37+UCRNumber!C37</f>
        <v>0</v>
      </c>
      <c r="D39" s="89">
        <f>CCNumber!D38+UCRNumber!D38</f>
        <v>0</v>
      </c>
      <c r="E39" s="1180">
        <f>CCNumber!E38+UCRNumber!E38</f>
        <v>0</v>
      </c>
      <c r="F39" s="89">
        <f>CCNumber!F39+UCRNumber!F39</f>
        <v>0</v>
      </c>
      <c r="G39" s="89">
        <f>CCNumber!G39+UCRNumber!G39</f>
        <v>3822.0338773893727</v>
      </c>
      <c r="H39" s="1180">
        <f>CCNumber!H39+UCRNumber!H39</f>
        <v>12.023296787949652</v>
      </c>
      <c r="I39" s="89">
        <f>CCNumber!I40+UCRNumber!I40</f>
        <v>0</v>
      </c>
      <c r="J39" s="89">
        <f>CCNumber!J40+UCRNumber!J40</f>
        <v>26390.095675036351</v>
      </c>
      <c r="K39" s="89">
        <f>CCNumber!K40+UCRNumber!K40</f>
        <v>162.98326312609075</v>
      </c>
      <c r="L39" s="1180">
        <f>CCNumber!L40+UCRNumber!L40</f>
        <v>0</v>
      </c>
      <c r="M39" s="89">
        <f>CCNumber!M41+UCRNumber!M41</f>
        <v>0</v>
      </c>
      <c r="N39" s="89">
        <f>CCNumber!N41+UCRNumber!N41</f>
        <v>8847.9708801162087</v>
      </c>
      <c r="O39" s="89">
        <f>CCNumber!O41+UCRNumber!O41</f>
        <v>585.68404835473541</v>
      </c>
      <c r="P39" s="1180">
        <f>CCNumber!P41+UCRNumber!P41</f>
        <v>0</v>
      </c>
      <c r="Q39" s="89">
        <f>CCNumber!Q42+UCRNumber!Q42</f>
        <v>287.25283374166622</v>
      </c>
      <c r="R39" s="89">
        <f>CCNumber!R42+UCRNumber!R42</f>
        <v>40.506744128332237</v>
      </c>
      <c r="S39" s="1180">
        <f>CCNumber!S42+UCRNumber!S42</f>
        <v>0</v>
      </c>
      <c r="T39" s="89">
        <f>CCNumber!T43+UCRNumber!T43</f>
        <v>0</v>
      </c>
      <c r="U39" s="89">
        <f>CCNumber!U43+UCRNumber!U43</f>
        <v>0</v>
      </c>
      <c r="V39" s="1180">
        <f>CCNumber!V43+UCRNumber!V43</f>
        <v>0</v>
      </c>
      <c r="W39" s="161">
        <f t="shared" si="0"/>
        <v>40148.550618680703</v>
      </c>
      <c r="X39" s="1186">
        <v>2008</v>
      </c>
      <c r="Y39" s="94"/>
      <c r="Z39" s="287">
        <f t="shared" ref="Z39:Z40" si="7">W39-B39</f>
        <v>7663.5506186807033</v>
      </c>
      <c r="AA39" s="288">
        <f t="shared" ref="AA39:AA40" si="8">W39/B39</f>
        <v>1.235910439239055</v>
      </c>
      <c r="AB39">
        <f t="shared" si="4"/>
        <v>0.21180789624755775</v>
      </c>
      <c r="AC39" s="604">
        <f t="shared" ref="AC39:AC40" si="9">J39/W39</f>
        <v>0.65731129189897364</v>
      </c>
    </row>
    <row r="40" spans="1:29">
      <c r="A40" s="279">
        <v>2009</v>
      </c>
      <c r="B40" s="1187">
        <f>Total_Run_Size!C125</f>
        <v>27787</v>
      </c>
      <c r="C40" s="1178">
        <f>CCNumber!C38+UCRNumber!C38</f>
        <v>0</v>
      </c>
      <c r="D40" s="89">
        <f>CCNumber!D39+UCRNumber!D39</f>
        <v>12.023296787949652</v>
      </c>
      <c r="E40" s="1180">
        <f>CCNumber!E39+UCRNumber!E39</f>
        <v>2.9937970696973846</v>
      </c>
      <c r="F40" s="89">
        <f>CCNumber!F40+UCRNumber!F40</f>
        <v>0</v>
      </c>
      <c r="G40" s="89">
        <f>CCNumber!G40+UCRNumber!G40</f>
        <v>5820.9729508568271</v>
      </c>
      <c r="H40" s="1180">
        <f>CCNumber!H40+UCRNumber!H40</f>
        <v>25.7470054583547</v>
      </c>
      <c r="I40" s="89">
        <f>CCNumber!I41+UCRNumber!I41</f>
        <v>0</v>
      </c>
      <c r="J40" s="89">
        <f>CCNumber!J41+UCRNumber!J41</f>
        <v>15966.534037066889</v>
      </c>
      <c r="K40" s="89">
        <f>CCNumber!K41+UCRNumber!K41</f>
        <v>436.58050839455848</v>
      </c>
      <c r="L40" s="1180">
        <f>CCNumber!L41+UCRNumber!L41</f>
        <v>0</v>
      </c>
      <c r="M40" s="89">
        <f>CCNumber!M42+UCRNumber!M42</f>
        <v>0</v>
      </c>
      <c r="N40" s="89">
        <f>CCNumber!N42+UCRNumber!N42</f>
        <v>11689.021396905018</v>
      </c>
      <c r="O40" s="89">
        <f>CCNumber!O42+UCRNumber!O42</f>
        <v>196.77063835740873</v>
      </c>
      <c r="P40" s="1180">
        <f>CCNumber!P42+UCRNumber!P42</f>
        <v>0</v>
      </c>
      <c r="Q40" s="89">
        <f>CCNumber!Q43+UCRNumber!Q43</f>
        <v>108.70535808693435</v>
      </c>
      <c r="R40" s="89">
        <f>CCNumber!R43+UCRNumber!R43</f>
        <v>29.687591133587858</v>
      </c>
      <c r="S40" s="1180">
        <f>CCNumber!S43+UCRNumber!S43</f>
        <v>6.9153347732181425</v>
      </c>
      <c r="T40" s="89">
        <f>CCNumber!T44+UCRNumber!T44</f>
        <v>0</v>
      </c>
      <c r="U40" s="89">
        <f>CCNumber!U44+UCRNumber!U44</f>
        <v>0</v>
      </c>
      <c r="V40" s="1180">
        <f>CCNumber!V44+UCRNumber!V44</f>
        <v>0</v>
      </c>
      <c r="W40" s="161">
        <f t="shared" si="0"/>
        <v>34295.951914890451</v>
      </c>
      <c r="X40" s="1186">
        <v>2009</v>
      </c>
      <c r="Y40" s="94"/>
      <c r="Z40" s="287">
        <f t="shared" si="7"/>
        <v>6508.951914890451</v>
      </c>
      <c r="AA40" s="288">
        <f t="shared" si="8"/>
        <v>1.2342444997621351</v>
      </c>
      <c r="AB40">
        <f t="shared" si="4"/>
        <v>0.21045904180672756</v>
      </c>
      <c r="AC40" s="604">
        <f t="shared" si="9"/>
        <v>0.46555156353991201</v>
      </c>
    </row>
    <row r="41" spans="1:29">
      <c r="A41" s="1278">
        <v>2010</v>
      </c>
      <c r="B41" s="1279">
        <f>Total_Run_Size!C126</f>
        <v>16771</v>
      </c>
      <c r="C41" s="1280">
        <f>CCNumber!C39+UCRNumber!C39</f>
        <v>0</v>
      </c>
      <c r="D41" s="551">
        <f>CCNumber!D40+UCRNumber!D40</f>
        <v>0</v>
      </c>
      <c r="E41" s="1281">
        <f>CCNumber!E40+UCRNumber!E40</f>
        <v>4456.4852882084833</v>
      </c>
      <c r="F41" s="551">
        <f>CCNumber!F41+UCRNumber!F41</f>
        <v>0</v>
      </c>
      <c r="G41" s="551">
        <f>CCNumber!G41+UCRNumber!G41</f>
        <v>8845.4023463963786</v>
      </c>
      <c r="H41" s="1281">
        <f>CCNumber!H41+UCRNumber!H41</f>
        <v>25.148485880967588</v>
      </c>
      <c r="I41" s="551">
        <f>CCNumber!I42+UCRNumber!I42</f>
        <v>0</v>
      </c>
      <c r="J41" s="551">
        <f>CCNumber!J42+UCRNumber!J42</f>
        <v>37214.22240730362</v>
      </c>
      <c r="K41" s="551">
        <f>CCNumber!K42+UCRNumber!K42</f>
        <v>142.08312168881176</v>
      </c>
      <c r="L41" s="1281">
        <f>CCNumber!L42+UCRNumber!L42</f>
        <v>0</v>
      </c>
      <c r="M41" s="551">
        <f>CCNumber!M43+UCRNumber!M43</f>
        <v>0</v>
      </c>
      <c r="N41" s="551">
        <f>CCNumber!N43+UCRNumber!N43</f>
        <v>2622.4116843751758</v>
      </c>
      <c r="O41" s="551">
        <f>CCNumber!O43+UCRNumber!O43</f>
        <v>2664.0291952140014</v>
      </c>
      <c r="P41" s="1281">
        <f>CCNumber!P43+UCRNumber!P43</f>
        <v>13.830669546436285</v>
      </c>
      <c r="Q41" s="551">
        <f>CCNumber!Q44+UCRNumber!Q44</f>
        <v>393.16899999999998</v>
      </c>
      <c r="R41" s="551">
        <f>CCNumber!R44+UCRNumber!R44</f>
        <v>112.334</v>
      </c>
      <c r="S41" s="1281">
        <f>CCNumber!S44+UCRNumber!S44</f>
        <v>0</v>
      </c>
      <c r="T41" s="1286"/>
      <c r="U41" s="1286"/>
      <c r="V41" s="1287"/>
      <c r="W41" s="552">
        <f t="shared" si="0"/>
        <v>56489.116198613876</v>
      </c>
      <c r="X41" s="1282">
        <v>2010</v>
      </c>
      <c r="Y41" s="1283"/>
      <c r="Z41" s="1288"/>
      <c r="AA41" s="1285">
        <f>W41/B41</f>
        <v>3.3682616539630241</v>
      </c>
      <c r="AB41">
        <f t="shared" si="4"/>
        <v>1.2143967815938077</v>
      </c>
    </row>
    <row r="42" spans="1:29">
      <c r="A42" s="279">
        <v>2011</v>
      </c>
      <c r="B42" s="1187">
        <f>Total_Run_Size!C127</f>
        <v>27994</v>
      </c>
      <c r="C42" s="1178">
        <f>CCNumber!C40+UCRNumber!C40</f>
        <v>0</v>
      </c>
      <c r="D42" s="89">
        <f>CCNumber!D41+UCRNumber!D41</f>
        <v>0</v>
      </c>
      <c r="E42" s="1180">
        <f>CCNumber!E41+UCRNumber!E41</f>
        <v>490.59579087974129</v>
      </c>
      <c r="F42" s="89">
        <f>CCNumber!F42+UCRNumber!F42</f>
        <v>25.948810289404083</v>
      </c>
      <c r="G42" s="89">
        <f>CCNumber!G42+UCRNumber!G42</f>
        <v>6464.9506057125072</v>
      </c>
      <c r="H42" s="1180">
        <f>CCNumber!H42+UCRNumber!H42</f>
        <v>8.8650737877153905</v>
      </c>
      <c r="I42" s="89">
        <f>CCNumber!I43+UCRNumber!I43</f>
        <v>9.6384133133201715</v>
      </c>
      <c r="J42" s="89">
        <f>CCNumber!J43+UCRNumber!J43</f>
        <v>18145.948658012669</v>
      </c>
      <c r="K42" s="89">
        <f>CCNumber!K43+UCRNumber!K43</f>
        <v>1267.5325155396354</v>
      </c>
      <c r="L42" s="1180">
        <f>CCNumber!L43+UCRNumber!L43</f>
        <v>0</v>
      </c>
      <c r="M42" s="89">
        <f>CCNumber!M44+UCRNumber!M44</f>
        <v>0</v>
      </c>
      <c r="N42" s="89">
        <f>CCNumber!N44+UCRNumber!N44</f>
        <v>21118.792000000001</v>
      </c>
      <c r="O42" s="89">
        <f>CCNumber!O44+UCRNumber!O44</f>
        <v>112.334</v>
      </c>
      <c r="P42" s="1180">
        <f>CCNumber!P44+UCRNumber!P44</f>
        <v>0</v>
      </c>
      <c r="Q42" s="92"/>
      <c r="R42" s="92"/>
      <c r="S42" s="1183"/>
      <c r="T42" s="92"/>
      <c r="U42" s="92"/>
      <c r="V42" s="1183"/>
      <c r="W42" s="497"/>
      <c r="X42" s="1186">
        <v>2011</v>
      </c>
      <c r="Y42" s="94"/>
      <c r="Z42" s="23"/>
    </row>
    <row r="43" spans="1:29">
      <c r="A43" s="279">
        <v>2012</v>
      </c>
      <c r="B43" s="1187">
        <f>Total_Run_Size!C128</f>
        <v>29965</v>
      </c>
      <c r="C43" s="1178">
        <f>CCNumber!C41+UCRNumber!C41</f>
        <v>0</v>
      </c>
      <c r="D43" s="89">
        <f>CCNumber!D42+UCRNumber!D42</f>
        <v>25.948810289404083</v>
      </c>
      <c r="E43" s="1180">
        <f>CCNumber!E42+UCRNumber!E42</f>
        <v>91.429557796111311</v>
      </c>
      <c r="F43" s="89">
        <f>CCNumber!F43+UCRNumber!F43</f>
        <v>139.81617572625768</v>
      </c>
      <c r="G43" s="89">
        <f>CCNumber!G43+UCRNumber!G43</f>
        <v>4129.0666291567468</v>
      </c>
      <c r="H43" s="1180">
        <f>CCNumber!H43+UCRNumber!H43</f>
        <v>7.7978646115690138</v>
      </c>
      <c r="I43" s="89">
        <f>CCNumber!I44+UCRNumber!I44</f>
        <v>0</v>
      </c>
      <c r="J43" s="89">
        <f>CCNumber!J44+UCRNumber!J44</f>
        <v>24825.814000000002</v>
      </c>
      <c r="K43" s="89">
        <f>CCNumber!K44+UCRNumber!K44</f>
        <v>56.167000000000002</v>
      </c>
      <c r="L43" s="1180">
        <f>CCNumber!L44+UCRNumber!L44</f>
        <v>0</v>
      </c>
      <c r="M43" s="89"/>
      <c r="N43" s="89"/>
      <c r="O43" s="89"/>
      <c r="P43" s="1180"/>
      <c r="Q43" s="92"/>
      <c r="R43" s="92"/>
      <c r="S43" s="1183"/>
      <c r="T43" s="92"/>
      <c r="U43" s="92"/>
      <c r="V43" s="1183"/>
      <c r="W43" s="286"/>
      <c r="X43" s="1186">
        <v>2012</v>
      </c>
      <c r="Y43" s="94"/>
      <c r="Z43" s="23"/>
    </row>
    <row r="44" spans="1:29">
      <c r="A44" s="279">
        <v>2013</v>
      </c>
      <c r="B44" s="1187">
        <f>Total_Run_Size!C129</f>
        <v>29012</v>
      </c>
      <c r="C44" s="1178">
        <f>CCNumber!C42+UCRNumber!C42</f>
        <v>0</v>
      </c>
      <c r="D44" s="89">
        <f>CCNumber!D43+UCRNumber!D43</f>
        <v>55.32267818574514</v>
      </c>
      <c r="E44" s="1180">
        <f>CCNumber!E43+UCRNumber!E43</f>
        <v>94.297232324704794</v>
      </c>
      <c r="F44" s="89">
        <f>CCNumber!F44+UCRNumber!F44</f>
        <v>56.167000000000002</v>
      </c>
      <c r="G44" s="89">
        <f>CCNumber!G44+UCRNumber!G44</f>
        <v>9379.8889999999992</v>
      </c>
      <c r="H44" s="1180">
        <f>CCNumber!H44+UCRNumber!H44</f>
        <v>56.167000000000002</v>
      </c>
      <c r="I44" s="91"/>
      <c r="J44" s="92"/>
      <c r="K44" s="92"/>
      <c r="L44" s="1183"/>
      <c r="M44" s="92"/>
      <c r="N44" s="547"/>
      <c r="O44" s="92"/>
      <c r="P44" s="1183"/>
      <c r="Q44" s="92"/>
      <c r="R44" s="92"/>
      <c r="S44" s="1183"/>
      <c r="T44" s="92"/>
      <c r="U44" s="92"/>
      <c r="V44" s="1183"/>
      <c r="W44" s="161"/>
      <c r="X44" s="1186">
        <v>2013</v>
      </c>
      <c r="Y44" s="94"/>
      <c r="Z44" s="23"/>
    </row>
    <row r="45" spans="1:29">
      <c r="A45" s="279">
        <v>2014</v>
      </c>
      <c r="B45" s="1187">
        <f>Total_Run_Size!C130</f>
        <v>20709</v>
      </c>
      <c r="C45" s="1178">
        <f>CCNumber!C43+UCRNumber!C43</f>
        <v>0</v>
      </c>
      <c r="D45" s="89">
        <f>CCNumber!D44+UCRNumber!D44</f>
        <v>0</v>
      </c>
      <c r="E45" s="1180">
        <f>CCNumber!E44+UCRNumber!E44</f>
        <v>56.167000000000002</v>
      </c>
      <c r="F45" s="89"/>
      <c r="G45" s="89"/>
      <c r="H45" s="1180"/>
      <c r="I45" s="91"/>
      <c r="J45" s="92"/>
      <c r="K45" s="92"/>
      <c r="L45" s="1183"/>
      <c r="M45" s="92"/>
      <c r="N45" s="547"/>
      <c r="O45" s="92"/>
      <c r="P45" s="1183"/>
      <c r="Q45" s="92"/>
      <c r="R45" s="92"/>
      <c r="S45" s="1183"/>
      <c r="T45" s="92"/>
      <c r="U45" s="92"/>
      <c r="V45" s="1183"/>
      <c r="W45" s="161"/>
      <c r="X45" s="1186">
        <v>2014</v>
      </c>
      <c r="Y45" s="94"/>
      <c r="Z45" s="23"/>
    </row>
    <row r="46" spans="1:29">
      <c r="A46" s="279">
        <v>2015</v>
      </c>
      <c r="B46" s="1187">
        <f>Total_Run_Size!C131</f>
        <v>26764</v>
      </c>
      <c r="C46" s="1178">
        <f>CCNumber!C44+UCRNumber!C44</f>
        <v>0</v>
      </c>
      <c r="D46" s="89"/>
      <c r="E46" s="1180"/>
      <c r="F46" s="89"/>
      <c r="G46" s="89"/>
      <c r="H46" s="1180"/>
      <c r="I46" s="91"/>
      <c r="J46" s="92"/>
      <c r="K46" s="92"/>
      <c r="L46" s="1183"/>
      <c r="M46" s="92"/>
      <c r="N46" s="547"/>
      <c r="O46" s="92"/>
      <c r="P46" s="1183"/>
      <c r="Q46" s="92"/>
      <c r="R46" s="92"/>
      <c r="S46" s="1183"/>
      <c r="T46" s="92"/>
      <c r="U46" s="92"/>
      <c r="V46" s="1183"/>
      <c r="W46" s="161"/>
      <c r="X46" s="1186"/>
      <c r="Y46" s="94"/>
      <c r="Z46" s="23"/>
    </row>
    <row r="47" spans="1:29">
      <c r="A47" s="279">
        <v>2016</v>
      </c>
      <c r="B47" s="1187">
        <f>Total_Run_Size!C132</f>
        <v>12485</v>
      </c>
      <c r="C47" s="1177"/>
      <c r="D47" s="89"/>
      <c r="E47" s="1180"/>
      <c r="F47" s="89"/>
      <c r="G47" s="89"/>
      <c r="H47" s="1180"/>
      <c r="I47" s="91"/>
      <c r="J47" s="92"/>
      <c r="K47" s="92"/>
      <c r="L47" s="1183"/>
      <c r="M47" s="92"/>
      <c r="N47" s="547"/>
      <c r="O47" s="92"/>
      <c r="P47" s="1183"/>
      <c r="Q47" s="92"/>
      <c r="R47" s="92"/>
      <c r="S47" s="1183"/>
      <c r="T47" s="92"/>
      <c r="U47" s="92"/>
      <c r="V47" s="1183"/>
      <c r="W47" s="161"/>
      <c r="X47" s="1186"/>
      <c r="Y47" s="94"/>
      <c r="Z47" s="23"/>
    </row>
    <row r="48" spans="1:29" ht="16.5" thickBot="1">
      <c r="A48" s="1273">
        <v>2017</v>
      </c>
      <c r="B48" s="1187">
        <f>Total_Run_Size!C133</f>
        <v>34731</v>
      </c>
      <c r="C48" s="89"/>
      <c r="D48" s="89"/>
      <c r="E48" s="89"/>
      <c r="F48" s="89"/>
      <c r="G48" s="89"/>
      <c r="H48" s="89"/>
      <c r="I48" s="91"/>
      <c r="J48" s="92"/>
      <c r="K48" s="92"/>
      <c r="L48" s="92"/>
      <c r="M48" s="92"/>
      <c r="N48" s="547"/>
      <c r="O48" s="92"/>
      <c r="P48" s="92"/>
      <c r="Q48" s="92"/>
      <c r="R48" s="92"/>
      <c r="S48" s="92"/>
      <c r="T48" s="92"/>
      <c r="U48" s="92"/>
      <c r="V48" s="92"/>
      <c r="W48" s="161"/>
      <c r="X48" s="13"/>
      <c r="Y48" s="94"/>
      <c r="Z48" s="23"/>
    </row>
    <row r="49" spans="1:25" ht="18" customHeight="1" thickBot="1">
      <c r="A49" s="158" t="s">
        <v>313</v>
      </c>
      <c r="B49" s="280"/>
      <c r="C49" s="337">
        <f>AVERAGE(C41:C45)</f>
        <v>0</v>
      </c>
      <c r="D49" s="337">
        <f>AVERAGE(D40:D44)</f>
        <v>18.658957052619776</v>
      </c>
      <c r="E49" s="337">
        <f>AVERAGE(E40:E44)</f>
        <v>1027.1603332557474</v>
      </c>
      <c r="F49" s="337">
        <f>AVERAGE(F39:F43)</f>
        <v>33.152997203132358</v>
      </c>
      <c r="G49" s="337">
        <f>AVERAGE(G39:G43)</f>
        <v>5816.4852819023663</v>
      </c>
      <c r="H49" s="337">
        <f>AVERAGE(H39:H43)</f>
        <v>15.916345305311268</v>
      </c>
      <c r="I49" s="337">
        <f>AVERAGE(I38:I42)</f>
        <v>1.9276826626640342</v>
      </c>
      <c r="J49" s="337">
        <f t="shared" ref="J49:K49" si="10">AVERAGE(J38:J42)</f>
        <v>26613.176069560413</v>
      </c>
      <c r="K49" s="337">
        <f t="shared" si="10"/>
        <v>415.62605776360277</v>
      </c>
      <c r="L49" s="337">
        <f t="shared" ref="L49" si="11">AVERAGE(L38:L42)</f>
        <v>0</v>
      </c>
      <c r="M49" s="337">
        <f>AVERAGE(M37:M41)</f>
        <v>0</v>
      </c>
      <c r="N49" s="337">
        <f t="shared" ref="N49:P49" si="12">AVERAGE(N37:N41)</f>
        <v>6644.7425941197334</v>
      </c>
      <c r="O49" s="337">
        <f t="shared" si="12"/>
        <v>1146.9177109663683</v>
      </c>
      <c r="P49" s="337">
        <f t="shared" si="12"/>
        <v>2.766133909287257</v>
      </c>
      <c r="Q49" s="337">
        <f>AVERAGE(Q36:Q40)</f>
        <v>246.41006085889353</v>
      </c>
      <c r="R49" s="337">
        <f t="shared" ref="R49:S49" si="13">AVERAGE(R36:R40)</f>
        <v>44.227804338372941</v>
      </c>
      <c r="S49" s="337">
        <f t="shared" si="13"/>
        <v>2.631971101482514</v>
      </c>
      <c r="T49" s="337">
        <f>AVERAGE(T35:T39)</f>
        <v>0</v>
      </c>
      <c r="U49" s="337">
        <f>AVERAGE(U35:U39)</f>
        <v>0</v>
      </c>
      <c r="V49" s="337">
        <f>AVERAGE(V35:V39)</f>
        <v>0</v>
      </c>
      <c r="W49" s="159">
        <f>SUM(C49:V49)</f>
        <v>42029.799999999996</v>
      </c>
      <c r="X49" s="6"/>
      <c r="Y49" s="6"/>
    </row>
    <row r="50" spans="1:25" ht="18" customHeight="1" thickBot="1">
      <c r="A50" s="154" t="s">
        <v>312</v>
      </c>
      <c r="B50" s="13"/>
      <c r="C50" s="515">
        <f>AVERAGE(C6:C41)</f>
        <v>0.27474991376336666</v>
      </c>
      <c r="D50" s="515">
        <f t="shared" ref="D50:V50" si="14">AVERAGE(D6:D41)</f>
        <v>18.812641645504272</v>
      </c>
      <c r="E50" s="515">
        <f t="shared" si="14"/>
        <v>306.38012966100166</v>
      </c>
      <c r="F50" s="515">
        <f t="shared" si="14"/>
        <v>49.397289017188733</v>
      </c>
      <c r="G50" s="515">
        <f t="shared" si="14"/>
        <v>4463.187354821277</v>
      </c>
      <c r="H50" s="515">
        <f t="shared" si="14"/>
        <v>25.402480379513413</v>
      </c>
      <c r="I50" s="515">
        <f t="shared" si="14"/>
        <v>16.821900266287798</v>
      </c>
      <c r="J50" s="515">
        <f t="shared" si="14"/>
        <v>32803.235831429796</v>
      </c>
      <c r="K50" s="515">
        <f t="shared" si="14"/>
        <v>213.11145952606313</v>
      </c>
      <c r="L50" s="515">
        <f t="shared" si="14"/>
        <v>1.1913449903557012</v>
      </c>
      <c r="M50" s="515">
        <f t="shared" si="14"/>
        <v>0.78211617926793331</v>
      </c>
      <c r="N50" s="515">
        <f t="shared" si="14"/>
        <v>18320.758607086827</v>
      </c>
      <c r="O50" s="515">
        <f t="shared" si="14"/>
        <v>1038.929050883783</v>
      </c>
      <c r="P50" s="515">
        <f t="shared" si="14"/>
        <v>2.7849219864715504</v>
      </c>
      <c r="Q50" s="515">
        <f t="shared" si="14"/>
        <v>224.78705189270732</v>
      </c>
      <c r="R50" s="515">
        <f t="shared" si="14"/>
        <v>647.62013127824207</v>
      </c>
      <c r="S50" s="515">
        <f t="shared" si="14"/>
        <v>3.0926324455744818</v>
      </c>
      <c r="T50" s="515">
        <f t="shared" si="14"/>
        <v>3.3853794642857142</v>
      </c>
      <c r="U50" s="515">
        <f t="shared" si="14"/>
        <v>3.9047318055767546</v>
      </c>
      <c r="V50" s="515">
        <f t="shared" si="14"/>
        <v>1.664136953361925</v>
      </c>
      <c r="W50" s="159">
        <f>SUM(C50:V50)</f>
        <v>58145.523941626852</v>
      </c>
      <c r="X50" s="6"/>
      <c r="Y50" s="6"/>
    </row>
    <row r="51" spans="1:25" ht="18" customHeight="1">
      <c r="A51" s="154" t="s">
        <v>58</v>
      </c>
      <c r="B51" s="13"/>
      <c r="C51" s="93">
        <f>C50/$W$50</f>
        <v>4.7252117641796836E-6</v>
      </c>
      <c r="D51" s="93">
        <f t="shared" ref="D51:V51" si="15">D50/$W$50</f>
        <v>3.2354410744308643E-4</v>
      </c>
      <c r="E51" s="93">
        <f t="shared" si="15"/>
        <v>5.2691954408834833E-3</v>
      </c>
      <c r="F51" s="93">
        <f t="shared" si="15"/>
        <v>8.4954585785105999E-4</v>
      </c>
      <c r="G51" s="93">
        <f t="shared" si="15"/>
        <v>7.6758915429189986E-2</v>
      </c>
      <c r="H51" s="93">
        <f t="shared" si="15"/>
        <v>4.3687765897535531E-4</v>
      </c>
      <c r="I51" s="93">
        <f t="shared" si="15"/>
        <v>2.8930688255858787E-4</v>
      </c>
      <c r="J51" s="93">
        <f t="shared" si="15"/>
        <v>0.56415754141903418</v>
      </c>
      <c r="K51" s="93">
        <f t="shared" si="15"/>
        <v>3.6651395512405883E-3</v>
      </c>
      <c r="L51" s="93">
        <f t="shared" si="15"/>
        <v>2.048902322303794E-5</v>
      </c>
      <c r="M51" s="93">
        <f t="shared" si="15"/>
        <v>1.3451012670435497E-5</v>
      </c>
      <c r="N51" s="93">
        <f t="shared" si="15"/>
        <v>0.31508459061232824</v>
      </c>
      <c r="O51" s="93">
        <f t="shared" si="15"/>
        <v>1.7867739087307551E-2</v>
      </c>
      <c r="P51" s="93">
        <f t="shared" si="15"/>
        <v>4.789572434272627E-5</v>
      </c>
      <c r="Q51" s="93">
        <f t="shared" si="15"/>
        <v>3.8659390552293303E-3</v>
      </c>
      <c r="R51" s="93">
        <f t="shared" si="15"/>
        <v>1.1137918920954216E-2</v>
      </c>
      <c r="S51" s="93">
        <f t="shared" si="15"/>
        <v>5.3187799093172177E-5</v>
      </c>
      <c r="T51" s="93">
        <f t="shared" si="15"/>
        <v>5.8222529178417007E-5</v>
      </c>
      <c r="U51" s="93">
        <f t="shared" si="15"/>
        <v>6.7154469353423871E-5</v>
      </c>
      <c r="V51" s="93">
        <f t="shared" si="15"/>
        <v>2.8620207378861642E-5</v>
      </c>
      <c r="W51" s="550">
        <f>SUM(C51:V51)</f>
        <v>1</v>
      </c>
      <c r="X51" s="6"/>
      <c r="Y51" s="6"/>
    </row>
    <row r="52" spans="1:25" ht="18" customHeight="1">
      <c r="A52" s="154" t="s">
        <v>148</v>
      </c>
      <c r="B52" s="13"/>
      <c r="C52" s="551">
        <f>COUNT(C41:C45)</f>
        <v>5</v>
      </c>
      <c r="D52" s="551">
        <f>COUNT(D38:D42)</f>
        <v>5</v>
      </c>
      <c r="E52" s="551">
        <f>COUNT(E38:E42)</f>
        <v>5</v>
      </c>
      <c r="F52" s="551">
        <f>COUNT(F37:F41)</f>
        <v>5</v>
      </c>
      <c r="G52" s="551">
        <f>COUNT(G37:G41)</f>
        <v>5</v>
      </c>
      <c r="H52" s="551">
        <f>COUNT(H37:H41)</f>
        <v>5</v>
      </c>
      <c r="I52" s="551">
        <f>COUNT(I36:I40)</f>
        <v>5</v>
      </c>
      <c r="J52" s="551">
        <f>COUNT(J36:J40)</f>
        <v>5</v>
      </c>
      <c r="K52" s="551">
        <f>COUNT(K36:K40)</f>
        <v>5</v>
      </c>
      <c r="L52" s="551">
        <f>COUNT(L36:L40)</f>
        <v>5</v>
      </c>
      <c r="M52" s="551">
        <f>COUNT(M35:M39)</f>
        <v>5</v>
      </c>
      <c r="N52" s="551">
        <f>COUNT(N35:N39)</f>
        <v>5</v>
      </c>
      <c r="O52" s="551">
        <f>COUNT(O35:O39)</f>
        <v>5</v>
      </c>
      <c r="P52" s="551">
        <f>COUNT(P35:P39)</f>
        <v>5</v>
      </c>
      <c r="Q52" s="551">
        <f>COUNT(Q34:Q38)</f>
        <v>5</v>
      </c>
      <c r="R52" s="551">
        <f>COUNT(R34:R38)</f>
        <v>5</v>
      </c>
      <c r="S52" s="551">
        <f>COUNT(S34:S38)</f>
        <v>5</v>
      </c>
      <c r="T52" s="551">
        <f>COUNT(T33:T37)</f>
        <v>5</v>
      </c>
      <c r="U52" s="551">
        <f>COUNT(U33:U37)</f>
        <v>5</v>
      </c>
      <c r="V52" s="551">
        <f>COUNT(V33:V37)</f>
        <v>5</v>
      </c>
      <c r="W52" s="160"/>
      <c r="X52" s="6"/>
      <c r="Y52" s="6"/>
    </row>
    <row r="53" spans="1:25" ht="18" customHeight="1">
      <c r="A53" s="154" t="s">
        <v>149</v>
      </c>
      <c r="B53" s="13"/>
      <c r="C53" s="552">
        <f>STDEVP(C41:C45)</f>
        <v>0</v>
      </c>
      <c r="D53" s="552">
        <f>STDEVP(D40:D44)</f>
        <v>20.677116584633257</v>
      </c>
      <c r="E53" s="552">
        <f>STDEVP(E40:E44)</f>
        <v>1722.957567548375</v>
      </c>
      <c r="F53" s="552">
        <f>STDEVP(F39:F43)</f>
        <v>54.270245314346504</v>
      </c>
      <c r="G53" s="552">
        <f t="shared" ref="G53:H53" si="16">STDEVP(G39:G43)</f>
        <v>1812.1856479697424</v>
      </c>
      <c r="H53" s="552">
        <f t="shared" si="16"/>
        <v>7.9077213431098095</v>
      </c>
      <c r="I53" s="552">
        <f>STDEVP(I38:I42)</f>
        <v>3.8553653253280684</v>
      </c>
      <c r="J53" s="552">
        <f t="shared" ref="J53:K53" si="17">STDEVP(J38:J42)</f>
        <v>8646.30423822804</v>
      </c>
      <c r="K53" s="552">
        <f t="shared" si="17"/>
        <v>443.85166445335392</v>
      </c>
      <c r="L53" s="552">
        <f t="shared" ref="L53" si="18">STDEVP(L38:L42)</f>
        <v>0</v>
      </c>
      <c r="M53" s="552">
        <f>STDEVP(M37:M41)</f>
        <v>0</v>
      </c>
      <c r="N53" s="552">
        <f t="shared" ref="N53:P53" si="19">STDEVP(N37:N41)</f>
        <v>3220.4006338526319</v>
      </c>
      <c r="O53" s="552">
        <f t="shared" si="19"/>
        <v>845.04465734054656</v>
      </c>
      <c r="P53" s="552">
        <f t="shared" si="19"/>
        <v>5.532267818574514</v>
      </c>
      <c r="Q53" s="552">
        <f>STDEVP(Q36:Q40)</f>
        <v>310.59126370348196</v>
      </c>
      <c r="R53" s="552">
        <f t="shared" ref="R53:S53" si="20">STDEVP(R36:R40)</f>
        <v>40.070938192167432</v>
      </c>
      <c r="S53" s="552">
        <f t="shared" si="20"/>
        <v>3.2304654410864302</v>
      </c>
      <c r="T53" s="552">
        <f>STDEVP(T35:T39)</f>
        <v>0</v>
      </c>
      <c r="U53" s="552">
        <f>STDEVP(U35:U39)</f>
        <v>0</v>
      </c>
      <c r="V53" s="552">
        <f>STDEVP(V35:V39)</f>
        <v>0</v>
      </c>
      <c r="W53" s="160"/>
      <c r="X53" s="6"/>
      <c r="Y53" s="6"/>
    </row>
    <row r="54" spans="1:25" ht="18" customHeight="1">
      <c r="A54" s="154" t="s">
        <v>150</v>
      </c>
      <c r="B54" s="13"/>
      <c r="C54" s="1009">
        <f>_xlfn.T.INV.2T(0.2,C52-1)</f>
        <v>1.5332062740589443</v>
      </c>
      <c r="D54" s="1009">
        <f t="shared" ref="D54:V54" si="21">_xlfn.T.INV.2T(0.2,D52-1)</f>
        <v>1.5332062740589443</v>
      </c>
      <c r="E54" s="1009">
        <f t="shared" si="21"/>
        <v>1.5332062740589443</v>
      </c>
      <c r="F54" s="1009">
        <f t="shared" si="21"/>
        <v>1.5332062740589443</v>
      </c>
      <c r="G54" s="1009">
        <f t="shared" si="21"/>
        <v>1.5332062740589443</v>
      </c>
      <c r="H54" s="1009">
        <f t="shared" si="21"/>
        <v>1.5332062740589443</v>
      </c>
      <c r="I54" s="1009">
        <f t="shared" si="21"/>
        <v>1.5332062740589443</v>
      </c>
      <c r="J54" s="1009">
        <f t="shared" si="21"/>
        <v>1.5332062740589443</v>
      </c>
      <c r="K54" s="1009">
        <f t="shared" si="21"/>
        <v>1.5332062740589443</v>
      </c>
      <c r="L54" s="1009">
        <f t="shared" si="21"/>
        <v>1.5332062740589443</v>
      </c>
      <c r="M54" s="1009">
        <f t="shared" si="21"/>
        <v>1.5332062740589443</v>
      </c>
      <c r="N54" s="1010">
        <f t="shared" si="21"/>
        <v>1.5332062740589443</v>
      </c>
      <c r="O54" s="1009">
        <f t="shared" si="21"/>
        <v>1.5332062740589443</v>
      </c>
      <c r="P54" s="1009">
        <f t="shared" si="21"/>
        <v>1.5332062740589443</v>
      </c>
      <c r="Q54" s="1009">
        <f t="shared" si="21"/>
        <v>1.5332062740589443</v>
      </c>
      <c r="R54" s="1009">
        <f t="shared" si="21"/>
        <v>1.5332062740589443</v>
      </c>
      <c r="S54" s="1009">
        <f t="shared" si="21"/>
        <v>1.5332062740589443</v>
      </c>
      <c r="T54" s="1009">
        <f t="shared" si="21"/>
        <v>1.5332062740589443</v>
      </c>
      <c r="U54" s="1009">
        <f t="shared" si="21"/>
        <v>1.5332062740589443</v>
      </c>
      <c r="V54" s="1009">
        <f t="shared" si="21"/>
        <v>1.5332062740589443</v>
      </c>
      <c r="W54" s="160"/>
      <c r="X54" s="6"/>
      <c r="Y54" s="6"/>
    </row>
    <row r="55" spans="1:25" ht="18" customHeight="1" thickBot="1">
      <c r="A55" s="162"/>
      <c r="B55" s="281"/>
      <c r="C55" s="163"/>
      <c r="D55" s="163"/>
      <c r="E55" s="163"/>
      <c r="F55" s="163"/>
      <c r="G55" s="163"/>
      <c r="H55" s="163"/>
      <c r="I55" s="163"/>
      <c r="J55" s="163"/>
      <c r="K55" s="163"/>
      <c r="L55" s="163"/>
      <c r="M55" s="163"/>
      <c r="N55" s="549"/>
      <c r="O55" s="163"/>
      <c r="P55" s="163"/>
      <c r="Q55" s="163"/>
      <c r="R55" s="163"/>
      <c r="S55" s="163"/>
      <c r="T55" s="163"/>
      <c r="U55" s="163"/>
      <c r="V55" s="163"/>
      <c r="W55" s="164"/>
      <c r="X55" s="6"/>
      <c r="Y55" s="6"/>
    </row>
    <row r="56" spans="1:25" ht="18" customHeight="1">
      <c r="C56" s="90"/>
      <c r="D56" s="90"/>
      <c r="E56" s="90"/>
      <c r="F56" s="90"/>
      <c r="G56" s="90"/>
      <c r="H56" s="90"/>
      <c r="I56" s="90"/>
      <c r="J56" s="90"/>
      <c r="K56" s="90"/>
      <c r="L56" s="90"/>
      <c r="M56" s="90"/>
      <c r="N56" s="90"/>
      <c r="O56" s="90"/>
      <c r="P56" s="90"/>
      <c r="Q56" s="90"/>
      <c r="R56" s="90"/>
      <c r="S56" s="90"/>
      <c r="T56" s="90"/>
      <c r="U56" s="90"/>
      <c r="V56" s="90"/>
      <c r="W56" s="6"/>
      <c r="X56" s="6"/>
      <c r="Y56" s="6"/>
    </row>
    <row r="57" spans="1:25" ht="18" customHeight="1">
      <c r="A57" s="6"/>
      <c r="B57" s="6"/>
      <c r="C57" s="90"/>
      <c r="D57" s="90"/>
      <c r="F57">
        <v>1</v>
      </c>
      <c r="G57">
        <v>2</v>
      </c>
      <c r="H57">
        <v>3</v>
      </c>
      <c r="I57">
        <v>4</v>
      </c>
      <c r="J57">
        <v>5</v>
      </c>
      <c r="Q57" s="90"/>
      <c r="R57" s="90"/>
      <c r="S57" s="90"/>
      <c r="T57" s="90"/>
      <c r="U57" s="90"/>
      <c r="V57" s="90"/>
      <c r="W57" s="6"/>
      <c r="X57" s="6"/>
      <c r="Y57" s="6"/>
    </row>
    <row r="58" spans="1:25" ht="18" customHeight="1">
      <c r="A58" s="6"/>
      <c r="B58" s="6"/>
      <c r="C58" t="s">
        <v>32</v>
      </c>
      <c r="E58">
        <v>0</v>
      </c>
      <c r="F58" s="1324">
        <f>C51</f>
        <v>4.7252117641796836E-6</v>
      </c>
      <c r="G58" s="1324">
        <f>D51</f>
        <v>3.2354410744308643E-4</v>
      </c>
      <c r="H58" s="1324">
        <f>F51</f>
        <v>8.4954585785105999E-4</v>
      </c>
      <c r="I58" s="1324">
        <f>I51</f>
        <v>2.8930688255858787E-4</v>
      </c>
      <c r="J58" s="1324">
        <f>M51</f>
        <v>1.3451012670435497E-5</v>
      </c>
      <c r="X58" s="6"/>
      <c r="Y58" s="6"/>
    </row>
    <row r="59" spans="1:25" ht="18" customHeight="1" thickBot="1">
      <c r="A59" s="6"/>
      <c r="B59" s="6"/>
      <c r="E59">
        <v>1</v>
      </c>
      <c r="F59" s="1324">
        <f>E51</f>
        <v>5.2691954408834833E-3</v>
      </c>
      <c r="G59" s="1324">
        <f>G51</f>
        <v>7.6758915429189986E-2</v>
      </c>
      <c r="H59" s="1324">
        <f>J51</f>
        <v>0.56415754141903418</v>
      </c>
      <c r="I59" s="1324">
        <f>N51</f>
        <v>0.31508459061232824</v>
      </c>
      <c r="J59" s="1324">
        <f>Q51</f>
        <v>3.8659390552293303E-3</v>
      </c>
      <c r="K59" s="1324">
        <f>T51</f>
        <v>5.8222529178417007E-5</v>
      </c>
      <c r="Y59" s="6">
        <v>2.8620207378861642E-5</v>
      </c>
    </row>
    <row r="60" spans="1:25" ht="18" customHeight="1">
      <c r="A60" s="6"/>
      <c r="B60" s="6"/>
      <c r="C60" s="997" t="s">
        <v>33</v>
      </c>
      <c r="D60" s="997"/>
      <c r="E60">
        <v>2</v>
      </c>
      <c r="F60" s="1324">
        <f>H51</f>
        <v>4.3687765897535531E-4</v>
      </c>
      <c r="G60" s="1324">
        <f>K51</f>
        <v>3.6651395512405883E-3</v>
      </c>
      <c r="H60" s="1324">
        <f>O51</f>
        <v>1.7867739087307551E-2</v>
      </c>
      <c r="I60" s="1324">
        <f>R51</f>
        <v>1.1137918920954216E-2</v>
      </c>
      <c r="J60" s="1324">
        <f>U51</f>
        <v>6.7154469353423871E-5</v>
      </c>
      <c r="X60" s="6"/>
      <c r="Y60" s="6"/>
    </row>
    <row r="61" spans="1:25" ht="18" customHeight="1">
      <c r="A61" s="6"/>
      <c r="B61" s="6"/>
      <c r="C61" s="19" t="s">
        <v>34</v>
      </c>
      <c r="D61" s="19">
        <v>0.64874113976838799</v>
      </c>
      <c r="E61">
        <v>3</v>
      </c>
      <c r="F61" s="1324">
        <f>L51</f>
        <v>2.048902322303794E-5</v>
      </c>
      <c r="G61" s="1324">
        <f>P51</f>
        <v>4.789572434272627E-5</v>
      </c>
      <c r="H61" s="1324">
        <f>S51</f>
        <v>5.3187799093172177E-5</v>
      </c>
      <c r="I61" s="1324">
        <f>V51</f>
        <v>2.8620207378861642E-5</v>
      </c>
      <c r="Q61" s="33"/>
      <c r="R61" s="33"/>
      <c r="S61" s="33"/>
      <c r="T61" s="33"/>
      <c r="U61" s="33"/>
      <c r="V61" s="33"/>
      <c r="W61" s="6"/>
      <c r="X61" s="6"/>
      <c r="Y61" s="6"/>
    </row>
    <row r="62" spans="1:25">
      <c r="C62" s="19" t="s">
        <v>35</v>
      </c>
      <c r="D62" s="19">
        <v>0.42086506642798716</v>
      </c>
      <c r="F62" s="1325">
        <f>SUM(F58:F61)</f>
        <v>5.731287334846057E-3</v>
      </c>
      <c r="G62" s="1325">
        <f t="shared" ref="G62:J62" si="22">SUM(G58:G61)</f>
        <v>8.0795494812216401E-2</v>
      </c>
      <c r="H62" s="1325">
        <f t="shared" si="22"/>
        <v>0.58292801416328588</v>
      </c>
      <c r="I62" s="1325">
        <f t="shared" si="22"/>
        <v>0.32654043662321991</v>
      </c>
      <c r="J62" s="1325">
        <f>SUM(J58:K61)</f>
        <v>4.004767066431607E-3</v>
      </c>
    </row>
    <row r="63" spans="1:25">
      <c r="C63" s="19" t="s">
        <v>36</v>
      </c>
      <c r="D63" s="19">
        <v>0.40089489630481429</v>
      </c>
    </row>
    <row r="64" spans="1:25">
      <c r="C64" s="19" t="s">
        <v>37</v>
      </c>
      <c r="D64" s="19">
        <v>0.46104147138087748</v>
      </c>
    </row>
    <row r="65" spans="3:11" ht="16.5" thickBot="1">
      <c r="C65" s="20" t="s">
        <v>38</v>
      </c>
      <c r="D65" s="20">
        <v>31</v>
      </c>
    </row>
    <row r="67" spans="3:11" ht="16.5" thickBot="1">
      <c r="C67" t="s">
        <v>39</v>
      </c>
    </row>
    <row r="68" spans="3:11">
      <c r="C68" s="996"/>
      <c r="D68" s="996" t="s">
        <v>43</v>
      </c>
      <c r="E68" s="996" t="s">
        <v>44</v>
      </c>
      <c r="F68" s="996" t="s">
        <v>45</v>
      </c>
      <c r="G68" s="996" t="s">
        <v>46</v>
      </c>
      <c r="H68" s="996" t="s">
        <v>47</v>
      </c>
    </row>
    <row r="69" spans="3:11">
      <c r="C69" s="19" t="s">
        <v>40</v>
      </c>
      <c r="D69" s="19">
        <v>1</v>
      </c>
      <c r="E69" s="19">
        <v>4.4796192225279814</v>
      </c>
      <c r="F69" s="19">
        <v>4.4796192225279814</v>
      </c>
      <c r="G69" s="19">
        <v>21.074686085905022</v>
      </c>
      <c r="H69" s="19">
        <v>7.9001512634291812E-5</v>
      </c>
    </row>
    <row r="70" spans="3:11">
      <c r="C70" s="19" t="s">
        <v>41</v>
      </c>
      <c r="D70" s="19">
        <v>29</v>
      </c>
      <c r="E70" s="19">
        <v>6.1642179116582891</v>
      </c>
      <c r="F70" s="19">
        <v>0.21255923833304399</v>
      </c>
      <c r="G70" s="19"/>
      <c r="H70" s="19"/>
    </row>
    <row r="71" spans="3:11" ht="16.5" thickBot="1">
      <c r="C71" s="20" t="s">
        <v>0</v>
      </c>
      <c r="D71" s="20">
        <v>30</v>
      </c>
      <c r="E71" s="20">
        <v>10.643837134186271</v>
      </c>
      <c r="F71" s="20"/>
      <c r="G71" s="20"/>
      <c r="H71" s="20"/>
    </row>
    <row r="72" spans="3:11" ht="16.5" thickBot="1"/>
    <row r="73" spans="3:11">
      <c r="C73" s="996"/>
      <c r="D73" s="996" t="s">
        <v>48</v>
      </c>
      <c r="E73" s="996" t="s">
        <v>37</v>
      </c>
      <c r="F73" s="996" t="s">
        <v>49</v>
      </c>
      <c r="G73" s="996" t="s">
        <v>50</v>
      </c>
      <c r="H73" s="996" t="s">
        <v>51</v>
      </c>
      <c r="I73" s="996" t="s">
        <v>52</v>
      </c>
      <c r="J73" s="996" t="s">
        <v>200</v>
      </c>
      <c r="K73" s="996" t="s">
        <v>201</v>
      </c>
    </row>
    <row r="74" spans="3:11">
      <c r="C74" s="19" t="s">
        <v>42</v>
      </c>
      <c r="D74" s="19">
        <v>1.7025708098188399</v>
      </c>
      <c r="E74" s="19">
        <v>0.21358892095362714</v>
      </c>
      <c r="F74" s="19">
        <v>7.9712505789965258</v>
      </c>
      <c r="G74" s="19">
        <v>8.6175950782719834E-9</v>
      </c>
      <c r="H74" s="19">
        <v>1.265732417453346</v>
      </c>
      <c r="I74" s="19">
        <v>2.1394092021843409</v>
      </c>
      <c r="J74" s="19">
        <v>1.265732417453346</v>
      </c>
      <c r="K74" s="19">
        <v>2.1394092021843409</v>
      </c>
    </row>
    <row r="75" spans="3:11" ht="16.5" thickBot="1">
      <c r="C75" s="20" t="s">
        <v>53</v>
      </c>
      <c r="D75" s="20">
        <v>-3.3177108662964102E-5</v>
      </c>
      <c r="E75" s="20">
        <v>7.2269987234460621E-6</v>
      </c>
      <c r="F75" s="20">
        <v>-4.5907173824909995</v>
      </c>
      <c r="G75" s="20">
        <v>7.9001512634292083E-5</v>
      </c>
      <c r="H75" s="20">
        <v>-4.7957980675811203E-5</v>
      </c>
      <c r="I75" s="20">
        <v>-1.8396236650116998E-5</v>
      </c>
      <c r="J75" s="20">
        <v>-4.7957980675811203E-5</v>
      </c>
      <c r="K75" s="20">
        <v>-1.8396236650116998E-5</v>
      </c>
    </row>
    <row r="109" spans="13:25">
      <c r="M109" s="4"/>
      <c r="N109" s="4"/>
      <c r="O109" s="4"/>
      <c r="P109" s="4"/>
      <c r="Q109" s="4"/>
      <c r="R109" s="4"/>
      <c r="S109" s="4"/>
      <c r="T109" s="4"/>
      <c r="U109" s="4"/>
      <c r="V109" s="4"/>
      <c r="W109" s="4"/>
      <c r="X109" s="4"/>
      <c r="Y109" s="4"/>
    </row>
    <row r="110" spans="13:25">
      <c r="M110" s="4"/>
      <c r="N110" s="4"/>
      <c r="O110" s="4"/>
      <c r="P110" s="4"/>
      <c r="Q110" s="4"/>
      <c r="R110" s="4"/>
      <c r="S110" s="4"/>
      <c r="T110" s="4"/>
      <c r="U110" s="4"/>
      <c r="V110" s="4"/>
      <c r="W110" s="4"/>
      <c r="X110" s="4"/>
      <c r="Y110" s="4"/>
    </row>
    <row r="111" spans="13:25">
      <c r="M111" s="4"/>
      <c r="N111" s="4"/>
      <c r="O111" s="4"/>
      <c r="P111" s="4"/>
      <c r="Q111" s="4"/>
      <c r="R111" s="4"/>
      <c r="S111" s="4"/>
      <c r="T111" s="4"/>
      <c r="U111" s="4"/>
      <c r="V111" s="4"/>
      <c r="W111" s="4"/>
      <c r="X111" s="4"/>
      <c r="Y111" s="4"/>
    </row>
  </sheetData>
  <mergeCells count="2">
    <mergeCell ref="Q4:S4"/>
    <mergeCell ref="T4:V4"/>
  </mergeCells>
  <phoneticPr fontId="47" type="noConversion"/>
  <pageMargins left="0.75" right="0.75" top="1" bottom="1" header="0.5" footer="0.5"/>
  <pageSetup scale="65"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3">
    <tabColor rgb="FF92D050"/>
  </sheetPr>
  <dimension ref="A1:AC55"/>
  <sheetViews>
    <sheetView workbookViewId="0">
      <selection activeCell="V25" sqref="V25"/>
    </sheetView>
  </sheetViews>
  <sheetFormatPr defaultRowHeight="15.75"/>
  <cols>
    <col min="1" max="1" width="13.75" customWidth="1"/>
    <col min="2" max="2" width="6.625" customWidth="1"/>
    <col min="3" max="3" width="6.5" customWidth="1"/>
    <col min="4" max="4" width="5.625" customWidth="1"/>
    <col min="5" max="5" width="7.125" customWidth="1"/>
    <col min="6" max="6" width="7.625" customWidth="1"/>
    <col min="7" max="7" width="5.625" customWidth="1"/>
    <col min="8" max="8" width="7.125" customWidth="1"/>
    <col min="9" max="9" width="7.625" customWidth="1"/>
    <col min="10" max="12" width="5.625" customWidth="1"/>
    <col min="13" max="14" width="7.625" customWidth="1"/>
    <col min="15" max="20" width="5.625" customWidth="1"/>
    <col min="21" max="21" width="6.25" customWidth="1"/>
    <col min="22" max="22" width="10.75" customWidth="1"/>
    <col min="23" max="23" width="12.75" customWidth="1"/>
    <col min="25" max="25" width="10.5" customWidth="1"/>
    <col min="26" max="28" width="14" customWidth="1"/>
  </cols>
  <sheetData>
    <row r="1" spans="1:29">
      <c r="A1" s="25" t="str">
        <f ca="1">CELL("filename",A1)</f>
        <v>C:\Projects\Shiny App\Aging Error\[Copprt Chinook brood.xlsx]Brood_Forecasts</v>
      </c>
      <c r="AB1" s="1064"/>
    </row>
    <row r="2" spans="1:29" ht="15.75" customHeight="1">
      <c r="Z2" s="1060" t="s">
        <v>339</v>
      </c>
      <c r="AA2" s="1061">
        <f>COUNT(W$6:W24)-1</f>
        <v>17</v>
      </c>
      <c r="AB2" s="628"/>
      <c r="AC2" s="628"/>
    </row>
    <row r="3" spans="1:29" ht="20.25">
      <c r="A3" s="621" t="s">
        <v>453</v>
      </c>
      <c r="Z3" s="1062" t="s">
        <v>340</v>
      </c>
      <c r="AA3" s="1063">
        <f>_xlfn.T.INV.2T(0.2,COUNT(Z$6:Z24)-1)</f>
        <v>1.3333793897216262</v>
      </c>
      <c r="AB3" s="1059"/>
      <c r="AC3" s="629"/>
    </row>
    <row r="4" spans="1:29">
      <c r="A4" s="4" t="s">
        <v>335</v>
      </c>
    </row>
    <row r="5" spans="1:29">
      <c r="A5" s="610" t="s">
        <v>12</v>
      </c>
      <c r="B5" s="615">
        <v>0.1</v>
      </c>
      <c r="C5" s="615">
        <v>0.2</v>
      </c>
      <c r="D5" s="615">
        <v>1.1000000000000001</v>
      </c>
      <c r="E5" s="615">
        <v>0.3</v>
      </c>
      <c r="F5" s="615">
        <v>1.2</v>
      </c>
      <c r="G5" s="615">
        <v>2.1</v>
      </c>
      <c r="H5" s="615">
        <v>0.4</v>
      </c>
      <c r="I5" s="616">
        <v>1.3</v>
      </c>
      <c r="J5" s="615">
        <v>2.2000000000000002</v>
      </c>
      <c r="K5" s="615">
        <v>3.1</v>
      </c>
      <c r="L5" s="615">
        <v>0.5</v>
      </c>
      <c r="M5" s="615">
        <v>1.4</v>
      </c>
      <c r="N5" s="615">
        <v>2.2999999999999998</v>
      </c>
      <c r="O5" s="615">
        <v>3.2</v>
      </c>
      <c r="P5" s="615">
        <v>1.5</v>
      </c>
      <c r="Q5" s="615">
        <v>2.4</v>
      </c>
      <c r="R5" s="615">
        <v>3.3</v>
      </c>
      <c r="S5" s="615">
        <v>1.6</v>
      </c>
      <c r="T5" s="615">
        <v>2.5</v>
      </c>
      <c r="U5" s="615">
        <v>3.4</v>
      </c>
      <c r="V5" s="674" t="s">
        <v>328</v>
      </c>
      <c r="W5" s="613" t="s">
        <v>329</v>
      </c>
      <c r="X5" s="618" t="s">
        <v>81</v>
      </c>
      <c r="Y5" s="612" t="s">
        <v>358</v>
      </c>
      <c r="Z5" s="612" t="s">
        <v>332</v>
      </c>
      <c r="AA5" s="611" t="s">
        <v>336</v>
      </c>
      <c r="AB5" s="630"/>
      <c r="AC5" s="630"/>
    </row>
    <row r="6" spans="1:29">
      <c r="A6" s="1">
        <v>1999</v>
      </c>
      <c r="B6" s="33">
        <f>RunXAge!B24</f>
        <v>0</v>
      </c>
      <c r="C6" s="33">
        <f>RunXAge!C24</f>
        <v>44.227018466590145</v>
      </c>
      <c r="D6" s="33">
        <f>RunXAge!D24</f>
        <v>179.99367980589017</v>
      </c>
      <c r="E6" s="33">
        <f>RunXAge!E24</f>
        <v>44.227018466590145</v>
      </c>
      <c r="F6" s="33">
        <f>RunXAge!F24</f>
        <v>6161.0748337952673</v>
      </c>
      <c r="G6" s="33">
        <f>RunXAge!G24</f>
        <v>44.227018466590145</v>
      </c>
      <c r="H6" s="33">
        <f>RunXAge!H24</f>
        <v>0</v>
      </c>
      <c r="I6" s="617">
        <f>'Ln1.3=Ln1.2_3'!L25</f>
        <v>53278.00816479628</v>
      </c>
      <c r="J6" s="33">
        <f>RunXAge!J24</f>
        <v>192.33610356400831</v>
      </c>
      <c r="K6" s="33">
        <f>RunXAge!K24</f>
        <v>0</v>
      </c>
      <c r="L6" s="33">
        <f>RunXAge!L24</f>
        <v>0</v>
      </c>
      <c r="M6" s="33">
        <f>RunXAge!M24</f>
        <v>29707.135747092529</v>
      </c>
      <c r="N6" s="33">
        <f>RunXAge!N24</f>
        <v>348.67347116683862</v>
      </c>
      <c r="O6" s="33">
        <f>RunXAge!O24</f>
        <v>0</v>
      </c>
      <c r="P6" s="33">
        <f>RunXAge!P24</f>
        <v>0</v>
      </c>
      <c r="Q6" s="33">
        <f>RunXAge!Q24</f>
        <v>642.8345707353219</v>
      </c>
      <c r="R6" s="33">
        <f>RunXAge!R24</f>
        <v>0</v>
      </c>
      <c r="S6" s="33">
        <f>RunXAge!S24</f>
        <v>0</v>
      </c>
      <c r="T6" s="33">
        <f>RunXAge!T24</f>
        <v>0</v>
      </c>
      <c r="U6" s="33">
        <f>RunXAge!U24</f>
        <v>0</v>
      </c>
      <c r="V6" s="33">
        <f>SUM(B6:U6)</f>
        <v>90642.737626355898</v>
      </c>
      <c r="W6" s="33">
        <f>Total_Run_Size!D115</f>
        <v>95951</v>
      </c>
      <c r="X6" s="238">
        <f>V6-W6</f>
        <v>-5308.2623736441019</v>
      </c>
      <c r="Y6" s="1255">
        <f>(V6-W6)/W6</f>
        <v>-5.5322637321592288E-2</v>
      </c>
      <c r="Z6" s="1255">
        <f>ABS(Y6)</f>
        <v>5.5322637321592288E-2</v>
      </c>
      <c r="AA6" s="33">
        <f>(W6-V6)^2</f>
        <v>28177649.427445713</v>
      </c>
      <c r="AB6" s="33"/>
      <c r="AC6" s="33"/>
    </row>
    <row r="7" spans="1:29">
      <c r="A7" s="1">
        <v>2000</v>
      </c>
      <c r="B7" s="33">
        <f>RunXAge!B25</f>
        <v>0</v>
      </c>
      <c r="C7" s="33">
        <f>RunXAge!C25</f>
        <v>0</v>
      </c>
      <c r="D7" s="33">
        <f>RunXAge!D25</f>
        <v>85.573333333333323</v>
      </c>
      <c r="E7" s="33">
        <f>RunXAge!E25</f>
        <v>0</v>
      </c>
      <c r="F7" s="33">
        <f>RunXAge!F25</f>
        <v>10515.024349583715</v>
      </c>
      <c r="G7" s="33">
        <f>RunXAge!G25</f>
        <v>0</v>
      </c>
      <c r="H7" s="33">
        <f>RunXAge!H25</f>
        <v>0</v>
      </c>
      <c r="I7" s="617">
        <f>'Ln1.3=Ln1.2_3'!L26</f>
        <v>86437.604449545877</v>
      </c>
      <c r="J7" s="33">
        <f>RunXAge!J25</f>
        <v>253.0385966600895</v>
      </c>
      <c r="K7" s="33">
        <f>RunXAge!K25</f>
        <v>0</v>
      </c>
      <c r="L7" s="33">
        <f>RunXAge!L25</f>
        <v>0</v>
      </c>
      <c r="M7" s="33">
        <f>RunXAge!M25</f>
        <v>27830.432057365608</v>
      </c>
      <c r="N7" s="33">
        <f>RunXAge!N25</f>
        <v>964.06923271893095</v>
      </c>
      <c r="O7" s="33">
        <f>RunXAge!O25</f>
        <v>0</v>
      </c>
      <c r="P7" s="33">
        <f>RunXAge!P25</f>
        <v>460.52121340455903</v>
      </c>
      <c r="Q7" s="33">
        <f>RunXAge!Q25</f>
        <v>175.18056691852354</v>
      </c>
      <c r="R7" s="33">
        <f>RunXAge!R25</f>
        <v>0</v>
      </c>
      <c r="S7" s="33">
        <f>RunXAge!S25</f>
        <v>0</v>
      </c>
      <c r="T7" s="33">
        <f>RunXAge!T25</f>
        <v>0</v>
      </c>
      <c r="U7" s="33">
        <f>RunXAge!U25</f>
        <v>0</v>
      </c>
      <c r="V7" s="33">
        <f t="shared" ref="V7:V23" si="0">SUM(B7:U7)</f>
        <v>126721.44379953065</v>
      </c>
      <c r="W7" s="33">
        <f>Total_Run_Size!D116</f>
        <v>70754</v>
      </c>
      <c r="X7" s="238">
        <f t="shared" ref="X7:X23" si="1">V7-W7</f>
        <v>55967.443799530651</v>
      </c>
      <c r="Y7" s="1255">
        <f t="shared" ref="Y7:Y23" si="2">(V7-W7)/W7</f>
        <v>0.79101455464752024</v>
      </c>
      <c r="Z7" s="1255">
        <f t="shared" ref="Z7:Z23" si="3">ABS(Y7)</f>
        <v>0.79101455464752024</v>
      </c>
      <c r="AA7" s="33">
        <f t="shared" ref="AA7:AA23" si="4">(W7-V7)^2</f>
        <v>3132354765.4536219</v>
      </c>
      <c r="AB7" s="33"/>
      <c r="AC7" s="33"/>
    </row>
    <row r="8" spans="1:29">
      <c r="A8" s="1">
        <v>2001</v>
      </c>
      <c r="B8" s="33">
        <f>RunXAge!B26</f>
        <v>0</v>
      </c>
      <c r="C8" s="33">
        <f>RunXAge!C26</f>
        <v>0</v>
      </c>
      <c r="D8" s="33">
        <f>RunXAge!D26</f>
        <v>246.63254469135802</v>
      </c>
      <c r="E8" s="33">
        <f>RunXAge!E26</f>
        <v>0</v>
      </c>
      <c r="F8" s="33">
        <f>RunXAge!F26</f>
        <v>4772.5395462962961</v>
      </c>
      <c r="G8" s="33">
        <f>RunXAge!G26</f>
        <v>0</v>
      </c>
      <c r="H8" s="33">
        <f>RunXAge!H26</f>
        <v>0</v>
      </c>
      <c r="I8" s="617">
        <f>'Ln1.3=Ln1.2_3'!L27</f>
        <v>40610.730003976947</v>
      </c>
      <c r="J8" s="33">
        <f>RunXAge!J26</f>
        <v>240.73440234567903</v>
      </c>
      <c r="K8" s="33">
        <f>RunXAge!K26</f>
        <v>0</v>
      </c>
      <c r="L8" s="33">
        <f>RunXAge!L26</f>
        <v>0</v>
      </c>
      <c r="M8" s="33">
        <f>RunXAge!M26</f>
        <v>16004.656581234569</v>
      </c>
      <c r="N8" s="33">
        <f>RunXAge!N26</f>
        <v>541.32261469135801</v>
      </c>
      <c r="O8" s="33">
        <f>RunXAge!O26</f>
        <v>0</v>
      </c>
      <c r="P8" s="33">
        <f>RunXAge!P26</f>
        <v>77.188519999999983</v>
      </c>
      <c r="Q8" s="33">
        <f>RunXAge!Q26</f>
        <v>368.30258469135799</v>
      </c>
      <c r="R8" s="33">
        <f>RunXAge!R26</f>
        <v>0</v>
      </c>
      <c r="S8" s="33">
        <f>RunXAge!S26</f>
        <v>0</v>
      </c>
      <c r="T8" s="33">
        <f>RunXAge!T26</f>
        <v>0</v>
      </c>
      <c r="U8" s="33">
        <f>RunXAge!U26</f>
        <v>0</v>
      </c>
      <c r="V8" s="33">
        <f t="shared" si="0"/>
        <v>62862.106797927576</v>
      </c>
      <c r="W8" s="33">
        <f>Total_Run_Size!D117</f>
        <v>81139</v>
      </c>
      <c r="X8" s="238">
        <f t="shared" si="1"/>
        <v>-18276.893202072424</v>
      </c>
      <c r="Y8" s="1255">
        <f t="shared" si="2"/>
        <v>-0.22525410963990714</v>
      </c>
      <c r="Z8" s="1255">
        <f t="shared" si="3"/>
        <v>0.22525410963990714</v>
      </c>
      <c r="AA8" s="33">
        <f t="shared" si="4"/>
        <v>334044825.1199612</v>
      </c>
      <c r="AB8" s="33"/>
      <c r="AC8" s="33"/>
    </row>
    <row r="9" spans="1:29">
      <c r="A9" s="1">
        <v>2002</v>
      </c>
      <c r="B9" s="33">
        <f>RunXAge!B27</f>
        <v>0</v>
      </c>
      <c r="C9" s="33">
        <f>RunXAge!C27</f>
        <v>43.015439999999998</v>
      </c>
      <c r="D9" s="33">
        <f>RunXAge!D27</f>
        <v>243.080024544406</v>
      </c>
      <c r="E9" s="33">
        <f>RunXAge!E27</f>
        <v>0</v>
      </c>
      <c r="F9" s="33">
        <f>RunXAge!F27</f>
        <v>8614.6976308881203</v>
      </c>
      <c r="G9" s="33">
        <f>RunXAge!G27</f>
        <v>98.439179999999993</v>
      </c>
      <c r="H9" s="33">
        <f>RunXAge!H27</f>
        <v>0</v>
      </c>
      <c r="I9" s="617">
        <f>'Ln1.3=Ln1.2_3'!L28</f>
        <v>68906.304236423181</v>
      </c>
      <c r="J9" s="33">
        <f>RunXAge!J27</f>
        <v>112.50192000000001</v>
      </c>
      <c r="K9" s="33">
        <f>RunXAge!K27</f>
        <v>0</v>
      </c>
      <c r="L9" s="33">
        <f>RunXAge!L27</f>
        <v>0</v>
      </c>
      <c r="M9" s="33">
        <f>RunXAge!M27</f>
        <v>15064.974836101501</v>
      </c>
      <c r="N9" s="33">
        <f>RunXAge!N27</f>
        <v>762.45152908881187</v>
      </c>
      <c r="O9" s="33">
        <f>RunXAge!O27</f>
        <v>0</v>
      </c>
      <c r="P9" s="33">
        <f>RunXAge!P27</f>
        <v>81.864116136101501</v>
      </c>
      <c r="Q9" s="33">
        <f>RunXAge!Q27</f>
        <v>135.60275227220299</v>
      </c>
      <c r="R9" s="33">
        <f>RunXAge!R27</f>
        <v>0</v>
      </c>
      <c r="S9" s="33">
        <f>RunXAge!S27</f>
        <v>0</v>
      </c>
      <c r="T9" s="33">
        <f>RunXAge!T27</f>
        <v>0</v>
      </c>
      <c r="U9" s="33">
        <f>RunXAge!U27</f>
        <v>0</v>
      </c>
      <c r="V9" s="33">
        <f t="shared" si="0"/>
        <v>94062.931665454307</v>
      </c>
      <c r="W9" s="33">
        <f>Total_Run_Size!D118</f>
        <v>72974</v>
      </c>
      <c r="X9" s="238">
        <f t="shared" si="1"/>
        <v>21088.931665454307</v>
      </c>
      <c r="Y9" s="1255">
        <f t="shared" si="2"/>
        <v>0.28899240367054441</v>
      </c>
      <c r="Z9" s="1255">
        <f t="shared" si="3"/>
        <v>0.28899240367054441</v>
      </c>
      <c r="AA9" s="33">
        <f t="shared" si="4"/>
        <v>444743038.79020137</v>
      </c>
      <c r="AB9" s="33"/>
      <c r="AC9" s="33"/>
    </row>
    <row r="10" spans="1:29">
      <c r="A10" s="1">
        <v>2003</v>
      </c>
      <c r="B10" s="33">
        <f>RunXAge!B28</f>
        <v>0</v>
      </c>
      <c r="C10" s="33">
        <f>RunXAge!C28</f>
        <v>10.246736121316594</v>
      </c>
      <c r="D10" s="33">
        <f>RunXAge!D28</f>
        <v>159.87032144073362</v>
      </c>
      <c r="E10" s="33">
        <f>RunXAge!E28</f>
        <v>0</v>
      </c>
      <c r="F10" s="33">
        <f>RunXAge!F28</f>
        <v>6610.6088326264853</v>
      </c>
      <c r="G10" s="33">
        <f>RunXAge!G28</f>
        <v>25.464136247746051</v>
      </c>
      <c r="H10" s="33">
        <f>RunXAge!H28</f>
        <v>0</v>
      </c>
      <c r="I10" s="617">
        <f>'Ln1.3=Ln1.2_3'!L29</f>
        <v>53358.542874510029</v>
      </c>
      <c r="J10" s="33">
        <f>RunXAge!J28</f>
        <v>452.40659741199954</v>
      </c>
      <c r="K10" s="33">
        <f>RunXAge!K28</f>
        <v>0</v>
      </c>
      <c r="L10" s="33">
        <f>RunXAge!L28</f>
        <v>0</v>
      </c>
      <c r="M10" s="33">
        <f>RunXAge!M28</f>
        <v>14143.73042540695</v>
      </c>
      <c r="N10" s="33">
        <f>RunXAge!N28</f>
        <v>1411.3014534310739</v>
      </c>
      <c r="O10" s="33">
        <f>RunXAge!O28</f>
        <v>0</v>
      </c>
      <c r="P10" s="33">
        <f>RunXAge!P28</f>
        <v>28.155387956486891</v>
      </c>
      <c r="Q10" s="33">
        <f>RunXAge!Q28</f>
        <v>958.56158039450077</v>
      </c>
      <c r="R10" s="33">
        <f>RunXAge!R28</f>
        <v>0</v>
      </c>
      <c r="S10" s="33">
        <f>RunXAge!S28</f>
        <v>0</v>
      </c>
      <c r="T10" s="33">
        <f>RunXAge!T28</f>
        <v>0</v>
      </c>
      <c r="U10" s="33">
        <f>RunXAge!U28</f>
        <v>0</v>
      </c>
      <c r="V10" s="33">
        <f t="shared" si="0"/>
        <v>77158.888345547326</v>
      </c>
      <c r="W10" s="33">
        <f>Total_Run_Size!D119</f>
        <v>94555</v>
      </c>
      <c r="X10" s="238">
        <f t="shared" si="1"/>
        <v>-17396.111654452674</v>
      </c>
      <c r="Y10" s="1255">
        <f t="shared" si="2"/>
        <v>-0.1839787600280543</v>
      </c>
      <c r="Z10" s="1255">
        <f t="shared" si="3"/>
        <v>0.1839787600280543</v>
      </c>
      <c r="AA10" s="33">
        <f t="shared" si="4"/>
        <v>302624700.69418412</v>
      </c>
      <c r="AB10" s="33"/>
      <c r="AC10" s="33"/>
    </row>
    <row r="11" spans="1:29">
      <c r="A11" s="1">
        <v>2004</v>
      </c>
      <c r="B11" s="33">
        <f>RunXAge!B29</f>
        <v>0</v>
      </c>
      <c r="C11" s="33">
        <f>RunXAge!C29</f>
        <v>37.890512827698544</v>
      </c>
      <c r="D11" s="33">
        <f>RunXAge!D29</f>
        <v>394.71996351516987</v>
      </c>
      <c r="E11" s="33">
        <f>RunXAge!E29</f>
        <v>75.781025655397059</v>
      </c>
      <c r="F11" s="33">
        <f>RunXAge!F29</f>
        <v>5977.1853932395461</v>
      </c>
      <c r="G11" s="33">
        <f>RunXAge!G29</f>
        <v>32.258563187442107</v>
      </c>
      <c r="H11" s="33">
        <f>RunXAge!H29</f>
        <v>0</v>
      </c>
      <c r="I11" s="617">
        <f>'Ln1.3=Ln1.2_3'!L30</f>
        <v>49909.811277466746</v>
      </c>
      <c r="J11" s="33">
        <f>RunXAge!J29</f>
        <v>197.6335540838852</v>
      </c>
      <c r="K11" s="33">
        <f>RunXAge!K29</f>
        <v>0</v>
      </c>
      <c r="L11" s="33">
        <f>RunXAge!L29</f>
        <v>0</v>
      </c>
      <c r="M11" s="33">
        <f>RunXAge!M29</f>
        <v>24229.01563333267</v>
      </c>
      <c r="N11" s="33">
        <f>RunXAge!N29</f>
        <v>1276.3780348928658</v>
      </c>
      <c r="O11" s="33">
        <f>RunXAge!O29</f>
        <v>0</v>
      </c>
      <c r="P11" s="33">
        <f>RunXAge!P29</f>
        <v>112.08257197499094</v>
      </c>
      <c r="Q11" s="33">
        <f>RunXAge!Q29</f>
        <v>362.98889127351299</v>
      </c>
      <c r="R11" s="33">
        <f>RunXAge!R29</f>
        <v>0</v>
      </c>
      <c r="S11" s="33">
        <f>RunXAge!S29</f>
        <v>0</v>
      </c>
      <c r="T11" s="33">
        <f>RunXAge!T29</f>
        <v>0</v>
      </c>
      <c r="U11" s="33">
        <f>RunXAge!U29</f>
        <v>0</v>
      </c>
      <c r="V11" s="33">
        <f t="shared" si="0"/>
        <v>82605.74542144993</v>
      </c>
      <c r="W11" s="33">
        <f>Total_Run_Size!D120</f>
        <v>80566</v>
      </c>
      <c r="X11" s="238">
        <f t="shared" si="1"/>
        <v>2039.7454214499303</v>
      </c>
      <c r="Y11" s="1255">
        <f t="shared" si="2"/>
        <v>2.5317695075465212E-2</v>
      </c>
      <c r="Z11" s="1255">
        <f t="shared" si="3"/>
        <v>2.5317695075465212E-2</v>
      </c>
      <c r="AA11" s="33">
        <f t="shared" si="4"/>
        <v>4160561.3843259537</v>
      </c>
      <c r="AB11" s="33"/>
      <c r="AC11" s="33"/>
    </row>
    <row r="12" spans="1:29">
      <c r="A12" s="1">
        <v>2005</v>
      </c>
      <c r="B12" s="33">
        <f>RunXAge!B30</f>
        <v>0</v>
      </c>
      <c r="C12" s="33">
        <f>RunXAge!C30</f>
        <v>0</v>
      </c>
      <c r="D12" s="33">
        <f>RunXAge!D30</f>
        <v>370.87298898823303</v>
      </c>
      <c r="E12" s="33">
        <f>RunXAge!E30</f>
        <v>115.23863636363636</v>
      </c>
      <c r="F12" s="33">
        <f>RunXAge!F30</f>
        <v>5019.5720853945559</v>
      </c>
      <c r="G12" s="33">
        <f>RunXAge!G30</f>
        <v>19.820400698513343</v>
      </c>
      <c r="H12" s="33">
        <f>RunXAge!H30</f>
        <v>0</v>
      </c>
      <c r="I12" s="617">
        <f>'Ln1.3=Ln1.2_3'!L31</f>
        <v>43049.095970666749</v>
      </c>
      <c r="J12" s="33">
        <f>RunXAge!J30</f>
        <v>206.00630828558241</v>
      </c>
      <c r="K12" s="33">
        <f>RunXAge!K30</f>
        <v>0</v>
      </c>
      <c r="L12" s="33">
        <f>RunXAge!L30</f>
        <v>0</v>
      </c>
      <c r="M12" s="33">
        <f>RunXAge!M30</f>
        <v>26018.25851101712</v>
      </c>
      <c r="N12" s="33">
        <f>RunXAge!N30</f>
        <v>1056.0433368575088</v>
      </c>
      <c r="O12" s="33">
        <f>RunXAge!O30</f>
        <v>0</v>
      </c>
      <c r="P12" s="33">
        <f>RunXAge!P30</f>
        <v>0</v>
      </c>
      <c r="Q12" s="33">
        <f>RunXAge!Q30</f>
        <v>265.95476439843895</v>
      </c>
      <c r="R12" s="33">
        <f>RunXAge!R30</f>
        <v>0</v>
      </c>
      <c r="S12" s="33">
        <f>RunXAge!S30</f>
        <v>0</v>
      </c>
      <c r="T12" s="33">
        <f>RunXAge!T30</f>
        <v>0</v>
      </c>
      <c r="U12" s="33">
        <f>RunXAge!U30</f>
        <v>0</v>
      </c>
      <c r="V12" s="33">
        <f t="shared" si="0"/>
        <v>76120.863002670347</v>
      </c>
      <c r="W12" s="33">
        <f>Total_Run_Size!D121</f>
        <v>66357</v>
      </c>
      <c r="X12" s="238">
        <f t="shared" si="1"/>
        <v>9763.8630026703468</v>
      </c>
      <c r="Y12" s="1255">
        <f t="shared" si="2"/>
        <v>0.1471414169216563</v>
      </c>
      <c r="Z12" s="1255">
        <f t="shared" si="3"/>
        <v>0.1471414169216563</v>
      </c>
      <c r="AA12" s="33">
        <f t="shared" si="4"/>
        <v>95333020.734914795</v>
      </c>
      <c r="AB12" s="33"/>
      <c r="AC12" s="33"/>
    </row>
    <row r="13" spans="1:29">
      <c r="A13" s="1">
        <v>2006</v>
      </c>
      <c r="B13" s="33">
        <f>RunXAge!B31</f>
        <v>0</v>
      </c>
      <c r="C13" s="33">
        <f>RunXAge!C31</f>
        <v>17.008083435991534</v>
      </c>
      <c r="D13" s="33">
        <f>RunXAge!D31</f>
        <v>350.89666905394841</v>
      </c>
      <c r="E13" s="33">
        <f>RunXAge!E31</f>
        <v>73.112228386500249</v>
      </c>
      <c r="F13" s="33">
        <f>RunXAge!F31</f>
        <v>5891.6632712260234</v>
      </c>
      <c r="G13" s="33">
        <f>RunXAge!G31</f>
        <v>17.897595931576511</v>
      </c>
      <c r="H13" s="33">
        <f>RunXAge!H31</f>
        <v>0</v>
      </c>
      <c r="I13" s="617">
        <f>'Ln1.3=Ln1.2_3'!L32</f>
        <v>48876.175935726336</v>
      </c>
      <c r="J13" s="33">
        <f>RunXAge!J31</f>
        <v>109.03859044184568</v>
      </c>
      <c r="K13" s="33">
        <f>RunXAge!K31</f>
        <v>0</v>
      </c>
      <c r="L13" s="33">
        <f>RunXAge!L31</f>
        <v>0</v>
      </c>
      <c r="M13" s="33">
        <f>RunXAge!M31</f>
        <v>20304.918322954902</v>
      </c>
      <c r="N13" s="33">
        <f>RunXAge!N31</f>
        <v>1381.9537555538345</v>
      </c>
      <c r="O13" s="33">
        <f>RunXAge!O31</f>
        <v>0</v>
      </c>
      <c r="P13" s="33">
        <f>RunXAge!P31</f>
        <v>13.961484270083435</v>
      </c>
      <c r="Q13" s="33">
        <f>RunXAge!Q31</f>
        <v>449.76587132775728</v>
      </c>
      <c r="R13" s="33">
        <f>RunXAge!R31</f>
        <v>0</v>
      </c>
      <c r="S13" s="33">
        <f>RunXAge!S31</f>
        <v>118.48828125</v>
      </c>
      <c r="T13" s="33">
        <f>RunXAge!T31</f>
        <v>0</v>
      </c>
      <c r="U13" s="33">
        <f>RunXAge!U31</f>
        <v>0</v>
      </c>
      <c r="V13" s="33">
        <f t="shared" si="0"/>
        <v>77604.880089558807</v>
      </c>
      <c r="W13" s="33">
        <f>Total_Run_Size!D122</f>
        <v>99877</v>
      </c>
      <c r="X13" s="238">
        <f t="shared" si="1"/>
        <v>-22272.119910441193</v>
      </c>
      <c r="Y13" s="1255">
        <f t="shared" si="2"/>
        <v>-0.22299548354917742</v>
      </c>
      <c r="Z13" s="1255">
        <f t="shared" si="3"/>
        <v>0.22299548354917742</v>
      </c>
      <c r="AA13" s="33">
        <f t="shared" si="4"/>
        <v>496047325.30507106</v>
      </c>
      <c r="AB13" s="33"/>
      <c r="AC13" s="33"/>
    </row>
    <row r="14" spans="1:29">
      <c r="A14" s="1">
        <v>2007</v>
      </c>
      <c r="B14" s="33">
        <f>RunXAge!B32</f>
        <v>0</v>
      </c>
      <c r="C14" s="33">
        <f>RunXAge!C32</f>
        <v>0</v>
      </c>
      <c r="D14" s="33">
        <f>RunXAge!D32</f>
        <v>364.41511228830996</v>
      </c>
      <c r="E14" s="33">
        <f>RunXAge!E32</f>
        <v>0</v>
      </c>
      <c r="F14" s="33">
        <f>RunXAge!F32</f>
        <v>9564.4699599625565</v>
      </c>
      <c r="G14" s="33">
        <f>RunXAge!G32</f>
        <v>0</v>
      </c>
      <c r="H14" s="33">
        <f>RunXAge!H32</f>
        <v>0</v>
      </c>
      <c r="I14" s="617">
        <f>'Ln1.3=Ln1.2_3'!L33</f>
        <v>75724.169208457504</v>
      </c>
      <c r="J14" s="33">
        <f>RunXAge!J32</f>
        <v>850.7367863423442</v>
      </c>
      <c r="K14" s="33">
        <f>RunXAge!K32</f>
        <v>0</v>
      </c>
      <c r="L14" s="33">
        <f>RunXAge!L32</f>
        <v>0</v>
      </c>
      <c r="M14" s="33">
        <f>RunXAge!M32</f>
        <v>16359.593867404627</v>
      </c>
      <c r="N14" s="33">
        <f>RunXAge!N32</f>
        <v>3549.1644384477754</v>
      </c>
      <c r="O14" s="33">
        <f>RunXAge!O32</f>
        <v>0</v>
      </c>
      <c r="P14" s="33">
        <f>RunXAge!P32</f>
        <v>413.87159666615844</v>
      </c>
      <c r="Q14" s="33">
        <f>RunXAge!Q32</f>
        <v>555.64754098360663</v>
      </c>
      <c r="R14" s="33">
        <f>RunXAge!R32</f>
        <v>0</v>
      </c>
      <c r="S14" s="33">
        <f>RunXAge!S32</f>
        <v>0</v>
      </c>
      <c r="T14" s="33">
        <f>RunXAge!T32</f>
        <v>0</v>
      </c>
      <c r="U14" s="33">
        <f>RunXAge!U32</f>
        <v>0</v>
      </c>
      <c r="V14" s="33">
        <f t="shared" si="0"/>
        <v>107382.06851055287</v>
      </c>
      <c r="W14" s="33">
        <f>Total_Run_Size!D123</f>
        <v>87771</v>
      </c>
      <c r="X14" s="238">
        <f t="shared" si="1"/>
        <v>19611.068510552868</v>
      </c>
      <c r="Y14" s="1255">
        <f t="shared" si="2"/>
        <v>0.22343448873264368</v>
      </c>
      <c r="Z14" s="1255">
        <f t="shared" si="3"/>
        <v>0.22343448873264368</v>
      </c>
      <c r="AA14" s="33">
        <f t="shared" si="4"/>
        <v>384594008.12559831</v>
      </c>
      <c r="AB14" s="33"/>
      <c r="AC14" s="33"/>
    </row>
    <row r="15" spans="1:29">
      <c r="A15" s="1">
        <v>2008</v>
      </c>
      <c r="B15" s="33">
        <f>RunXAge!B33</f>
        <v>0</v>
      </c>
      <c r="C15" s="33">
        <f>RunXAge!C33</f>
        <v>0</v>
      </c>
      <c r="D15" s="33">
        <f>RunXAge!D33</f>
        <v>107.53828306264501</v>
      </c>
      <c r="E15" s="33">
        <f>RunXAge!E33</f>
        <v>25.883314953656669</v>
      </c>
      <c r="F15" s="33">
        <f>RunXAge!F33</f>
        <v>5160.4207337804701</v>
      </c>
      <c r="G15" s="33">
        <f>RunXAge!G33</f>
        <v>92.705603666156719</v>
      </c>
      <c r="H15" s="33">
        <f>RunXAge!H33</f>
        <v>0</v>
      </c>
      <c r="I15" s="617">
        <f>'Ln1.3=Ln1.2_3'!L34</f>
        <v>44138.611422345159</v>
      </c>
      <c r="J15" s="33">
        <f>RunXAge!J33</f>
        <v>501.61568882727835</v>
      </c>
      <c r="K15" s="33">
        <f>RunXAge!K33</f>
        <v>0</v>
      </c>
      <c r="L15" s="33">
        <f>RunXAge!L33</f>
        <v>0</v>
      </c>
      <c r="M15" s="33">
        <f>RunXAge!M33</f>
        <v>22479.559690778486</v>
      </c>
      <c r="N15" s="33">
        <f>RunXAge!N33</f>
        <v>830.49572317121533</v>
      </c>
      <c r="O15" s="33">
        <f>RunXAge!O33</f>
        <v>0</v>
      </c>
      <c r="P15" s="33">
        <f>RunXAge!P33</f>
        <v>215.07656612529001</v>
      </c>
      <c r="Q15" s="33">
        <f>RunXAge!Q33</f>
        <v>379.02888039317679</v>
      </c>
      <c r="R15" s="33">
        <f>RunXAge!R33</f>
        <v>0</v>
      </c>
      <c r="S15" s="33">
        <f>RunXAge!S33</f>
        <v>0</v>
      </c>
      <c r="T15" s="33">
        <f>RunXAge!T33</f>
        <v>0</v>
      </c>
      <c r="U15" s="33">
        <f>RunXAge!U33</f>
        <v>0</v>
      </c>
      <c r="V15" s="33">
        <f t="shared" si="0"/>
        <v>73930.935907103543</v>
      </c>
      <c r="W15" s="33">
        <f>Total_Run_Size!D124</f>
        <v>53893</v>
      </c>
      <c r="X15" s="238">
        <f t="shared" si="1"/>
        <v>20037.935907103543</v>
      </c>
      <c r="Y15" s="1255">
        <f t="shared" si="2"/>
        <v>0.37180962104732607</v>
      </c>
      <c r="Z15" s="1255">
        <f t="shared" si="3"/>
        <v>0.37180962104732607</v>
      </c>
      <c r="AA15" s="33">
        <f t="shared" si="4"/>
        <v>401518875.41718948</v>
      </c>
      <c r="AB15" s="33"/>
      <c r="AC15" s="33"/>
    </row>
    <row r="16" spans="1:29">
      <c r="A16" s="1">
        <v>2009</v>
      </c>
      <c r="B16" s="33">
        <f>RunXAge!B34</f>
        <v>0</v>
      </c>
      <c r="C16" s="33">
        <f>RunXAge!C34</f>
        <v>15.858760917030567</v>
      </c>
      <c r="D16" s="33">
        <f>RunXAge!D34</f>
        <v>7.3205811700199144</v>
      </c>
      <c r="E16" s="33">
        <f>RunXAge!E34</f>
        <v>0</v>
      </c>
      <c r="F16" s="33">
        <f>RunXAge!F34</f>
        <v>3974.232174502526</v>
      </c>
      <c r="G16" s="33">
        <f>RunXAge!G34</f>
        <v>15.858760917030567</v>
      </c>
      <c r="H16" s="33">
        <f>RunXAge!H34</f>
        <v>0</v>
      </c>
      <c r="I16" s="617">
        <f>'Ln1.3=Ln1.2_3'!L35</f>
        <v>35048.232098451852</v>
      </c>
      <c r="J16" s="33">
        <f>RunXAge!J34</f>
        <v>199.05914895749413</v>
      </c>
      <c r="K16" s="33">
        <f>RunXAge!K34</f>
        <v>0</v>
      </c>
      <c r="L16" s="33">
        <f>RunXAge!L34</f>
        <v>0</v>
      </c>
      <c r="M16" s="33">
        <f>RunXAge!M34</f>
        <v>17049.005269657362</v>
      </c>
      <c r="N16" s="33">
        <f>RunXAge!N34</f>
        <v>395.68310076100681</v>
      </c>
      <c r="O16" s="33">
        <f>RunXAge!O34</f>
        <v>0</v>
      </c>
      <c r="P16" s="33">
        <f>RunXAge!P34</f>
        <v>21.564461623527386</v>
      </c>
      <c r="Q16" s="33">
        <f>RunXAge!Q34</f>
        <v>24.584285074459746</v>
      </c>
      <c r="R16" s="33">
        <f>RunXAge!R34</f>
        <v>0</v>
      </c>
      <c r="S16" s="33">
        <f>RunXAge!S34</f>
        <v>0</v>
      </c>
      <c r="T16" s="33">
        <f>RunXAge!T34</f>
        <v>0</v>
      </c>
      <c r="U16" s="33">
        <f>RunXAge!U34</f>
        <v>0</v>
      </c>
      <c r="V16" s="33">
        <f t="shared" si="0"/>
        <v>56751.398642032313</v>
      </c>
      <c r="W16" s="33">
        <f>Total_Run_Size!D125</f>
        <v>43007</v>
      </c>
      <c r="X16" s="238">
        <f t="shared" si="1"/>
        <v>13744.398642032313</v>
      </c>
      <c r="Y16" s="1255">
        <f t="shared" si="2"/>
        <v>0.31958515223178346</v>
      </c>
      <c r="Z16" s="1255">
        <f t="shared" si="3"/>
        <v>0.31958515223178346</v>
      </c>
      <c r="AA16" s="33">
        <f t="shared" si="4"/>
        <v>188908494.03109968</v>
      </c>
      <c r="AB16" s="33"/>
      <c r="AC16" s="33"/>
    </row>
    <row r="17" spans="1:29">
      <c r="A17" s="1">
        <v>2010</v>
      </c>
      <c r="B17" s="33">
        <f>RunXAge!B35</f>
        <v>0</v>
      </c>
      <c r="C17" s="33">
        <f>RunXAge!C35</f>
        <v>0</v>
      </c>
      <c r="D17" s="33">
        <f>RunXAge!D35</f>
        <v>192.65190142698543</v>
      </c>
      <c r="E17" s="33">
        <f>RunXAge!E35</f>
        <v>0</v>
      </c>
      <c r="F17" s="33">
        <f>RunXAge!F35</f>
        <v>4590.7362311379366</v>
      </c>
      <c r="G17" s="33">
        <f>RunXAge!G35</f>
        <v>52.333564565996504</v>
      </c>
      <c r="H17" s="33">
        <f>RunXAge!H35</f>
        <v>0</v>
      </c>
      <c r="I17" s="617">
        <f>'Ln1.3=Ln1.2_3'!L36</f>
        <v>39148.202843495048</v>
      </c>
      <c r="J17" s="33">
        <f>RunXAge!J35</f>
        <v>358.03424332749523</v>
      </c>
      <c r="K17" s="33">
        <f>RunXAge!K35</f>
        <v>0</v>
      </c>
      <c r="L17" s="33">
        <f>RunXAge!L35</f>
        <v>0</v>
      </c>
      <c r="M17" s="33">
        <f>RunXAge!M35</f>
        <v>9624.6385284530425</v>
      </c>
      <c r="N17" s="33">
        <f>RunXAge!N35</f>
        <v>352.97030579027296</v>
      </c>
      <c r="O17" s="33">
        <f>RunXAge!O35</f>
        <v>0</v>
      </c>
      <c r="P17" s="33">
        <f>RunXAge!P35</f>
        <v>35.687931143007823</v>
      </c>
      <c r="Q17" s="33">
        <f>RunXAge!Q35</f>
        <v>763.01004709440826</v>
      </c>
      <c r="R17" s="33">
        <f>RunXAge!R35</f>
        <v>0</v>
      </c>
      <c r="S17" s="33">
        <f>RunXAge!S35</f>
        <v>0</v>
      </c>
      <c r="T17" s="33">
        <f>RunXAge!T35</f>
        <v>0</v>
      </c>
      <c r="U17" s="33">
        <f>RunXAge!U35</f>
        <v>0</v>
      </c>
      <c r="V17" s="33">
        <f t="shared" si="0"/>
        <v>55118.26559643419</v>
      </c>
      <c r="W17" s="33">
        <f>Total_Run_Size!D126</f>
        <v>33184</v>
      </c>
      <c r="X17" s="238">
        <f t="shared" si="1"/>
        <v>21934.26559643419</v>
      </c>
      <c r="Y17" s="1255">
        <f t="shared" si="2"/>
        <v>0.66098919950681623</v>
      </c>
      <c r="Z17" s="1255">
        <f t="shared" si="3"/>
        <v>0.66098919950681623</v>
      </c>
      <c r="AA17" s="33">
        <f t="shared" si="4"/>
        <v>481112007.25491655</v>
      </c>
      <c r="AB17" s="33"/>
      <c r="AC17" s="33"/>
    </row>
    <row r="18" spans="1:29">
      <c r="A18" s="1">
        <v>2011</v>
      </c>
      <c r="B18" s="33">
        <f>RunXAge!B36</f>
        <v>0</v>
      </c>
      <c r="C18" s="33">
        <f>RunXAge!C36</f>
        <v>0</v>
      </c>
      <c r="D18" s="33">
        <f>RunXAge!D36</f>
        <v>357.52080121494441</v>
      </c>
      <c r="E18" s="33">
        <f>RunXAge!E36</f>
        <v>0</v>
      </c>
      <c r="F18" s="33">
        <f>RunXAge!F36</f>
        <v>5400.9059432897675</v>
      </c>
      <c r="G18" s="33">
        <f>RunXAge!G36</f>
        <v>128.10768918285595</v>
      </c>
      <c r="H18" s="33">
        <f>RunXAge!H36</f>
        <v>0</v>
      </c>
      <c r="I18" s="617">
        <f>'Ln1.3=Ln1.2_3'!L37</f>
        <v>43836.316088607928</v>
      </c>
      <c r="J18" s="33">
        <f>RunXAge!J36</f>
        <v>221.57497149536761</v>
      </c>
      <c r="K18" s="33">
        <f>RunXAge!K36</f>
        <v>0</v>
      </c>
      <c r="L18" s="33">
        <f>RunXAge!L36</f>
        <v>0</v>
      </c>
      <c r="M18" s="33">
        <f>RunXAge!M36</f>
        <v>6759.2925226127109</v>
      </c>
      <c r="N18" s="33">
        <f>RunXAge!N36</f>
        <v>452.34997717026795</v>
      </c>
      <c r="O18" s="33">
        <f>RunXAge!O36</f>
        <v>0</v>
      </c>
      <c r="P18" s="33">
        <f>RunXAge!P36</f>
        <v>0</v>
      </c>
      <c r="Q18" s="33">
        <f>RunXAge!Q36</f>
        <v>139.68343225782144</v>
      </c>
      <c r="R18" s="33">
        <f>RunXAge!R36</f>
        <v>0</v>
      </c>
      <c r="S18" s="33">
        <f>RunXAge!S36</f>
        <v>0</v>
      </c>
      <c r="T18" s="33">
        <f>RunXAge!T36</f>
        <v>0</v>
      </c>
      <c r="U18" s="33">
        <f>RunXAge!U36</f>
        <v>0</v>
      </c>
      <c r="V18" s="33">
        <f t="shared" si="0"/>
        <v>57295.751425831673</v>
      </c>
      <c r="W18" s="33">
        <f>Total_Run_Size!D127</f>
        <v>53890</v>
      </c>
      <c r="X18" s="238">
        <f t="shared" si="1"/>
        <v>3405.7514258316733</v>
      </c>
      <c r="Y18" s="1255">
        <f t="shared" si="2"/>
        <v>6.3198207938980761E-2</v>
      </c>
      <c r="Z18" s="1255">
        <f t="shared" si="3"/>
        <v>6.3198207938980761E-2</v>
      </c>
      <c r="AA18" s="33">
        <f t="shared" si="4"/>
        <v>11599142.774554476</v>
      </c>
      <c r="AB18" s="33"/>
      <c r="AC18" s="33"/>
    </row>
    <row r="19" spans="1:29">
      <c r="A19" s="1">
        <v>2012</v>
      </c>
      <c r="B19" s="33">
        <f>RunXAge!B37</f>
        <v>0</v>
      </c>
      <c r="C19" s="33">
        <f>RunXAge!C37</f>
        <v>0</v>
      </c>
      <c r="D19" s="33">
        <f>RunXAge!D37</f>
        <v>0</v>
      </c>
      <c r="E19" s="33">
        <f>RunXAge!E37</f>
        <v>0</v>
      </c>
      <c r="F19" s="33">
        <f>RunXAge!F37</f>
        <v>5474.316891495072</v>
      </c>
      <c r="G19" s="33">
        <f>RunXAge!G37</f>
        <v>22.821047852435107</v>
      </c>
      <c r="H19" s="33">
        <f>RunXAge!H37</f>
        <v>0</v>
      </c>
      <c r="I19" s="617">
        <f>'Ln1.3=Ln1.2_3'!L38</f>
        <v>44221.206837851569</v>
      </c>
      <c r="J19" s="33">
        <f>RunXAge!J37</f>
        <v>130.90607242499325</v>
      </c>
      <c r="K19" s="33">
        <f>RunXAge!K37</f>
        <v>0</v>
      </c>
      <c r="L19" s="33">
        <f>RunXAge!L37</f>
        <v>0</v>
      </c>
      <c r="M19" s="33">
        <f>RunXAge!M37</f>
        <v>6002.9711144944513</v>
      </c>
      <c r="N19" s="33">
        <f>RunXAge!N37</f>
        <v>1169.1191063463928</v>
      </c>
      <c r="O19" s="33">
        <f>RunXAge!O37</f>
        <v>0</v>
      </c>
      <c r="P19" s="33">
        <f>RunXAge!P37</f>
        <v>0</v>
      </c>
      <c r="Q19" s="33">
        <f>RunXAge!Q37</f>
        <v>17.089948578827844</v>
      </c>
      <c r="R19" s="33">
        <f>RunXAge!R37</f>
        <v>0</v>
      </c>
      <c r="S19" s="33">
        <f>RunXAge!S37</f>
        <v>0</v>
      </c>
      <c r="T19" s="33">
        <f>RunXAge!T37</f>
        <v>0</v>
      </c>
      <c r="U19" s="33">
        <f>RunXAge!U37</f>
        <v>0</v>
      </c>
      <c r="V19" s="33">
        <f t="shared" si="0"/>
        <v>57038.431019043739</v>
      </c>
      <c r="W19" s="33">
        <f>Total_Run_Size!D128</f>
        <v>46443</v>
      </c>
      <c r="X19" s="238">
        <f t="shared" si="1"/>
        <v>10595.431019043739</v>
      </c>
      <c r="Y19" s="1255">
        <f t="shared" si="2"/>
        <v>0.22813838509665049</v>
      </c>
      <c r="Z19" s="1255">
        <f t="shared" si="3"/>
        <v>0.22813838509665049</v>
      </c>
      <c r="AA19" s="33">
        <f t="shared" si="4"/>
        <v>112263158.47931425</v>
      </c>
      <c r="AB19" s="33"/>
      <c r="AC19" s="33"/>
    </row>
    <row r="20" spans="1:29">
      <c r="A20" s="1">
        <v>2013</v>
      </c>
      <c r="B20" s="33">
        <f>RunXAge!B38</f>
        <v>0</v>
      </c>
      <c r="C20" s="33">
        <f>RunXAge!C38</f>
        <v>12.023296787949652</v>
      </c>
      <c r="D20" s="33">
        <f>RunXAge!D38</f>
        <v>2.9937970696973846</v>
      </c>
      <c r="E20" s="33">
        <f>RunXAge!E38</f>
        <v>0</v>
      </c>
      <c r="F20" s="33">
        <f>RunXAge!F38</f>
        <v>3822.0338773893727</v>
      </c>
      <c r="G20" s="33">
        <f>RunXAge!G38</f>
        <v>12.023296787949652</v>
      </c>
      <c r="H20" s="33">
        <f>RunXAge!H38</f>
        <v>0</v>
      </c>
      <c r="I20" s="617">
        <f>'Ln1.3=Ln1.2_3'!L39</f>
        <v>32705.055491861429</v>
      </c>
      <c r="J20" s="33">
        <f>RunXAge!J38</f>
        <v>68.950880068917485</v>
      </c>
      <c r="K20" s="33">
        <f>RunXAge!K38</f>
        <v>0</v>
      </c>
      <c r="L20" s="33">
        <f>RunXAge!L38</f>
        <v>0</v>
      </c>
      <c r="M20" s="33">
        <f>RunXAge!M38</f>
        <v>5328.7274734867533</v>
      </c>
      <c r="N20" s="33">
        <f>RunXAge!N38</f>
        <v>984.21491204150516</v>
      </c>
      <c r="O20" s="33">
        <f>RunXAge!O38</f>
        <v>0</v>
      </c>
      <c r="P20" s="33">
        <f>RunXAge!P38</f>
        <v>831.60874813937437</v>
      </c>
      <c r="Q20" s="33">
        <f>RunXAge!Q38</f>
        <v>31.344147845916613</v>
      </c>
      <c r="R20" s="33">
        <f>RunXAge!R38</f>
        <v>0</v>
      </c>
      <c r="S20" s="33">
        <f>RunXAge!S38</f>
        <v>0</v>
      </c>
      <c r="T20" s="33">
        <f>RunXAge!T38</f>
        <v>0</v>
      </c>
      <c r="U20" s="33">
        <f>RunXAge!U38</f>
        <v>0</v>
      </c>
      <c r="V20" s="33">
        <f t="shared" si="0"/>
        <v>43798.975921478865</v>
      </c>
      <c r="W20" s="33">
        <f>Total_Run_Size!D129</f>
        <v>42902</v>
      </c>
      <c r="X20" s="238">
        <f t="shared" si="1"/>
        <v>896.97592147886462</v>
      </c>
      <c r="Y20" s="1255">
        <f t="shared" si="2"/>
        <v>2.0907554927016563E-2</v>
      </c>
      <c r="Z20" s="1255">
        <f t="shared" si="3"/>
        <v>2.0907554927016563E-2</v>
      </c>
      <c r="AA20" s="33">
        <f t="shared" si="4"/>
        <v>804565.80371285835</v>
      </c>
      <c r="AB20" s="33"/>
      <c r="AC20" s="33"/>
    </row>
    <row r="21" spans="1:29">
      <c r="A21" s="680">
        <v>2014</v>
      </c>
      <c r="B21" s="33">
        <f>RunXAge!B39</f>
        <v>0</v>
      </c>
      <c r="C21" s="33">
        <f>RunXAge!C39</f>
        <v>0</v>
      </c>
      <c r="D21" s="33">
        <f>RunXAge!D39</f>
        <v>4456.4852882084833</v>
      </c>
      <c r="E21" s="33">
        <f>RunXAge!E39</f>
        <v>0</v>
      </c>
      <c r="F21" s="33">
        <f>RunXAge!F39</f>
        <v>5820.9729508568271</v>
      </c>
      <c r="G21" s="33">
        <f>RunXAge!G39</f>
        <v>25.7470054583547</v>
      </c>
      <c r="H21" s="33">
        <f>RunXAge!H39</f>
        <v>0</v>
      </c>
      <c r="I21" s="617">
        <f>'Ln1.3=Ln1.2_3'!L40</f>
        <v>45775.707688623937</v>
      </c>
      <c r="J21" s="33">
        <f>RunXAge!J39</f>
        <v>162.98326312609075</v>
      </c>
      <c r="K21" s="33">
        <f>RunXAge!K39</f>
        <v>0</v>
      </c>
      <c r="L21" s="33">
        <f>RunXAge!L39</f>
        <v>0</v>
      </c>
      <c r="M21" s="33">
        <f>RunXAge!M39</f>
        <v>4735.5815357155097</v>
      </c>
      <c r="N21" s="33">
        <f>RunXAge!N39</f>
        <v>1303.8897608641912</v>
      </c>
      <c r="O21" s="33">
        <f>RunXAge!O39</f>
        <v>0</v>
      </c>
      <c r="P21" s="33">
        <f>RunXAge!P39</f>
        <v>0</v>
      </c>
      <c r="Q21" s="33">
        <f>RunXAge!Q39</f>
        <v>0</v>
      </c>
      <c r="R21" s="33">
        <f>RunXAge!R39</f>
        <v>6.2445207341944258</v>
      </c>
      <c r="S21" s="33">
        <f>RunXAge!S39</f>
        <v>0</v>
      </c>
      <c r="T21" s="33">
        <f>RunXAge!T39</f>
        <v>0</v>
      </c>
      <c r="U21" s="33">
        <f>RunXAge!U39</f>
        <v>0</v>
      </c>
      <c r="V21" s="277">
        <f t="shared" si="0"/>
        <v>62287.61201358759</v>
      </c>
      <c r="W21" s="33">
        <f>Total_Run_Size!D130</f>
        <v>35322</v>
      </c>
      <c r="X21" s="238">
        <f t="shared" si="1"/>
        <v>26965.61201358759</v>
      </c>
      <c r="Y21" s="1255">
        <f t="shared" si="2"/>
        <v>0.76342256988810342</v>
      </c>
      <c r="Z21" s="1255">
        <f t="shared" si="3"/>
        <v>0.76342256988810342</v>
      </c>
      <c r="AA21" s="33">
        <f t="shared" si="4"/>
        <v>727144231.26733935</v>
      </c>
      <c r="AB21" s="33"/>
    </row>
    <row r="22" spans="1:29">
      <c r="A22" s="680">
        <v>2015</v>
      </c>
      <c r="B22" s="33">
        <f>RunXAge!B40</f>
        <v>0</v>
      </c>
      <c r="C22" s="33">
        <f>RunXAge!C40</f>
        <v>0</v>
      </c>
      <c r="D22" s="33">
        <f>RunXAge!D40</f>
        <v>490.59579087974129</v>
      </c>
      <c r="E22" s="33">
        <f>RunXAge!E40</f>
        <v>0</v>
      </c>
      <c r="F22" s="33">
        <f>RunXAge!F40</f>
        <v>8845.4023463963786</v>
      </c>
      <c r="G22" s="33">
        <f>RunXAge!G40</f>
        <v>25.148485880967588</v>
      </c>
      <c r="H22" s="33">
        <f>RunXAge!H40</f>
        <v>0</v>
      </c>
      <c r="I22" s="617">
        <f>'Ln1.3=Ln1.2_3'!L41</f>
        <v>61808.12780276173</v>
      </c>
      <c r="J22" s="33">
        <f>RunXAge!J40</f>
        <v>436.58050839455848</v>
      </c>
      <c r="K22" s="33">
        <f>RunXAge!K40</f>
        <v>0</v>
      </c>
      <c r="L22" s="33">
        <f>RunXAge!L40</f>
        <v>0</v>
      </c>
      <c r="M22" s="33">
        <f>RunXAge!M40</f>
        <v>8847.9708801162087</v>
      </c>
      <c r="N22" s="33">
        <f>RunXAge!N40</f>
        <v>585.68404835473541</v>
      </c>
      <c r="O22" s="33">
        <f>RunXAge!O40</f>
        <v>0</v>
      </c>
      <c r="P22" s="33">
        <f>RunXAge!P40</f>
        <v>4.483364326492719</v>
      </c>
      <c r="Q22" s="33">
        <f>RunXAge!Q40</f>
        <v>119.600538584028</v>
      </c>
      <c r="R22" s="33">
        <f>RunXAge!R40</f>
        <v>0</v>
      </c>
      <c r="S22" s="33">
        <f>RunXAge!S40</f>
        <v>0</v>
      </c>
      <c r="T22" s="33">
        <f>RunXAge!T40</f>
        <v>0</v>
      </c>
      <c r="U22" s="33">
        <f>RunXAge!U40</f>
        <v>0</v>
      </c>
      <c r="V22" s="33">
        <f t="shared" si="0"/>
        <v>81163.593765694837</v>
      </c>
      <c r="W22" s="33">
        <f>Total_Run_Size!D131</f>
        <v>56187</v>
      </c>
      <c r="X22" s="238">
        <f t="shared" si="1"/>
        <v>24976.593765694837</v>
      </c>
      <c r="Y22" s="1255">
        <f t="shared" si="2"/>
        <v>0.44452620295966749</v>
      </c>
      <c r="Z22" s="1255">
        <f t="shared" si="3"/>
        <v>0.44452620295966749</v>
      </c>
      <c r="AA22" s="33">
        <f t="shared" si="4"/>
        <v>623830236.13654625</v>
      </c>
      <c r="AB22" s="33"/>
    </row>
    <row r="23" spans="1:29">
      <c r="A23" s="680">
        <v>2016</v>
      </c>
      <c r="B23" s="33">
        <f>RunXAge!B41</f>
        <v>0</v>
      </c>
      <c r="C23" s="33">
        <f>RunXAge!C41</f>
        <v>25.948810289404083</v>
      </c>
      <c r="D23" s="33">
        <f>RunXAge!D41</f>
        <v>91.429557796111311</v>
      </c>
      <c r="E23" s="33">
        <f>RunXAge!E41</f>
        <v>25.948810289404083</v>
      </c>
      <c r="F23" s="33">
        <f>RunXAge!F41</f>
        <v>6464.9506057125072</v>
      </c>
      <c r="G23" s="33">
        <f>RunXAge!G41</f>
        <v>8.8650737877153905</v>
      </c>
      <c r="H23" s="33">
        <f>RunXAge!H41</f>
        <v>0</v>
      </c>
      <c r="I23" s="617">
        <f>'Ln1.3=Ln1.2_3'!L42</f>
        <v>47146.844866187581</v>
      </c>
      <c r="J23" s="33">
        <f>RunXAge!J41</f>
        <v>142.08312168881176</v>
      </c>
      <c r="K23" s="33">
        <f>RunXAge!K41</f>
        <v>0</v>
      </c>
      <c r="L23" s="33">
        <f>RunXAge!L41</f>
        <v>0</v>
      </c>
      <c r="M23" s="33">
        <f>RunXAge!M41</f>
        <v>11689.021396905018</v>
      </c>
      <c r="N23" s="33">
        <f>RunXAge!N41</f>
        <v>196.77063835740873</v>
      </c>
      <c r="O23" s="33">
        <f>RunXAge!O41</f>
        <v>0</v>
      </c>
      <c r="P23" s="33">
        <f>RunXAge!P41</f>
        <v>287.25283374166622</v>
      </c>
      <c r="Q23" s="33">
        <f>RunXAge!Q41</f>
        <v>40.506744128332237</v>
      </c>
      <c r="R23" s="33">
        <f>RunXAge!R41</f>
        <v>0</v>
      </c>
      <c r="S23" s="33">
        <f>RunXAge!S41</f>
        <v>0</v>
      </c>
      <c r="T23" s="33">
        <f>RunXAge!T41</f>
        <v>0</v>
      </c>
      <c r="U23" s="33">
        <f>RunXAge!U41</f>
        <v>0</v>
      </c>
      <c r="V23" s="277">
        <f t="shared" si="0"/>
        <v>66119.622458883969</v>
      </c>
      <c r="W23" s="33">
        <f>Total_Run_Size!D132</f>
        <v>29295</v>
      </c>
      <c r="X23" s="238">
        <f t="shared" si="1"/>
        <v>36824.622458883969</v>
      </c>
      <c r="Y23" s="1255">
        <f t="shared" si="2"/>
        <v>1.2570275630272731</v>
      </c>
      <c r="Z23" s="1255">
        <f t="shared" si="3"/>
        <v>1.2570275630272731</v>
      </c>
      <c r="AA23" s="33">
        <f t="shared" si="4"/>
        <v>1356052819.2393415</v>
      </c>
      <c r="AB23" s="33"/>
    </row>
    <row r="24" spans="1:29">
      <c r="A24" s="755">
        <v>2017</v>
      </c>
      <c r="B24" s="33">
        <f>RunXAge!B42</f>
        <v>0</v>
      </c>
      <c r="C24" s="33">
        <f>RunXAge!C42</f>
        <v>55.32267818574514</v>
      </c>
      <c r="D24" s="33">
        <f>RunXAge!D42</f>
        <v>94.297232324704794</v>
      </c>
      <c r="E24" s="33">
        <f>RunXAge!E42</f>
        <v>139.81617572625768</v>
      </c>
      <c r="F24" s="33">
        <f>RunXAge!F42</f>
        <v>4129.0666291567468</v>
      </c>
      <c r="G24" s="33">
        <f>RunXAge!G42</f>
        <v>7.7978646115690138</v>
      </c>
      <c r="H24" s="33">
        <f>RunXAge!H42</f>
        <v>9.6384133133201715</v>
      </c>
      <c r="I24" s="617">
        <f>'Ln1.3=Ln1.2_3'!L43</f>
        <v>32778.887950698823</v>
      </c>
      <c r="J24" s="33">
        <f>RunXAge!J42</f>
        <v>1267.5325155396354</v>
      </c>
      <c r="K24" s="33">
        <f>RunXAge!K42</f>
        <v>0</v>
      </c>
      <c r="L24" s="33">
        <f>RunXAge!L42</f>
        <v>0</v>
      </c>
      <c r="M24" s="33">
        <f>RunXAge!M42</f>
        <v>2622.4116843751758</v>
      </c>
      <c r="N24" s="33">
        <f>RunXAge!N42</f>
        <v>2664.0291952140014</v>
      </c>
      <c r="O24" s="33">
        <f>RunXAge!O42</f>
        <v>13.830669546436285</v>
      </c>
      <c r="P24" s="33">
        <f>RunXAge!P42</f>
        <v>108.70535808693435</v>
      </c>
      <c r="Q24" s="33">
        <f>RunXAge!Q42</f>
        <v>29.687591133587858</v>
      </c>
      <c r="R24" s="33">
        <f>RunXAge!R42</f>
        <v>6.9153347732181425</v>
      </c>
      <c r="S24" s="33">
        <f>RunXAge!S42</f>
        <v>0</v>
      </c>
      <c r="T24" s="33">
        <f>RunXAge!T42</f>
        <v>0</v>
      </c>
      <c r="U24" s="33">
        <f>RunXAge!U42</f>
        <v>0</v>
      </c>
      <c r="V24" s="617">
        <f>SUM(B24:U24)</f>
        <v>43927.939292686155</v>
      </c>
      <c r="W24" s="33"/>
      <c r="X24" s="238"/>
      <c r="Y24" s="620"/>
      <c r="Z24" s="619"/>
      <c r="AA24" s="33"/>
      <c r="AB24" s="33"/>
    </row>
    <row r="25" spans="1:29">
      <c r="A25" s="680"/>
      <c r="B25" s="33"/>
      <c r="C25" s="33"/>
      <c r="D25" s="33"/>
      <c r="E25" s="33"/>
      <c r="F25" s="33"/>
      <c r="G25" s="33"/>
      <c r="H25" s="33"/>
      <c r="I25" s="277"/>
      <c r="J25" s="33"/>
      <c r="K25" s="33"/>
      <c r="L25" s="33"/>
      <c r="M25" s="33"/>
      <c r="N25" s="33"/>
      <c r="O25" s="33"/>
      <c r="P25" s="33"/>
      <c r="Q25" s="33"/>
      <c r="R25" s="33"/>
      <c r="S25" s="33"/>
      <c r="T25" s="33"/>
      <c r="U25" s="33"/>
      <c r="V25" s="617"/>
      <c r="W25" s="33"/>
      <c r="X25" s="238"/>
      <c r="Y25" s="620"/>
      <c r="Z25" s="619"/>
      <c r="AA25" s="33"/>
      <c r="AB25" s="33"/>
    </row>
    <row r="26" spans="1:29" ht="16.5" thickBot="1">
      <c r="A26" s="1251" t="s">
        <v>524</v>
      </c>
      <c r="D26" s="35"/>
      <c r="E26" s="35"/>
      <c r="F26" s="35"/>
      <c r="G26" s="35"/>
      <c r="H26" s="35"/>
      <c r="V26" s="35"/>
      <c r="W26" s="35"/>
    </row>
    <row r="27" spans="1:29">
      <c r="A27" s="639" t="s">
        <v>343</v>
      </c>
      <c r="B27" s="208">
        <f>MAX(B$24-(RunXAge!B$51*(RunXAge!B$50/SQRT(RunXAge!B$49))),0)</f>
        <v>0</v>
      </c>
      <c r="C27" s="208">
        <f>MAX(C$24-(RunXAge!C$51*(RunXAge!C$50/SQRT(RunXAge!C$49))),0)</f>
        <v>41.144985380334468</v>
      </c>
      <c r="D27" s="208">
        <f>MAX(D$24-(RunXAge!D$51*(RunXAge!D$50/SQRT(RunXAge!D$49))),0)</f>
        <v>0</v>
      </c>
      <c r="E27" s="208">
        <f>MAX(E$24-(RunXAge!E$51*(RunXAge!E$50/SQRT(RunXAge!E$49))),0)</f>
        <v>102.60465914986509</v>
      </c>
      <c r="F27" s="208">
        <f>MAX(F$24-(RunXAge!F$51*(RunXAge!F$50/SQRT(RunXAge!F$49))),0)</f>
        <v>2886.5040446625803</v>
      </c>
      <c r="G27" s="208">
        <f>MAX(G$24-(RunXAge!G$51*(RunXAge!G$50/SQRT(RunXAge!G$49))),0)</f>
        <v>2.3757718582341392</v>
      </c>
      <c r="H27" s="208">
        <f>MAX(H$24-(RunXAge!H$51*(RunXAge!H$50/SQRT(RunXAge!H$49))),0)</f>
        <v>6.9949023087076778</v>
      </c>
      <c r="I27" s="1199">
        <f>'Ln1.3=Ln1.2_3'!L48</f>
        <v>19093.35905517036</v>
      </c>
      <c r="J27" s="208">
        <f>MAX(J$24-(RunXAge!J$51*(RunXAge!J$50/SQRT(RunXAge!J$49))),0)</f>
        <v>963.19643830986729</v>
      </c>
      <c r="K27" s="208">
        <f>MAX(K$24-(RunXAge!K$51*(RunXAge!K$50/SQRT(RunXAge!K$49))),0)</f>
        <v>0</v>
      </c>
      <c r="L27" s="208">
        <f>MAX(L$24-(RunXAge!L$51*(RunXAge!L$50/SQRT(RunXAge!L$49))),0)</f>
        <v>0</v>
      </c>
      <c r="M27" s="208">
        <f>MAX(M$24-(RunXAge!M$51*(RunXAge!M$50/SQRT(RunXAge!M$49))),0)</f>
        <v>414.27735818753627</v>
      </c>
      <c r="N27" s="208">
        <f>MAX(N$24-(RunXAge!N$51*(RunXAge!N$50/SQRT(RunXAge!N$49))),0)</f>
        <v>2084.6068415415543</v>
      </c>
      <c r="O27" s="208">
        <f>MAX(O$24-(RunXAge!O$51*(RunXAge!O$50/SQRT(RunXAge!O$49))),0)</f>
        <v>10.03735565143703</v>
      </c>
      <c r="P27" s="208">
        <f>MAX(P$24-(RunXAge!P$51*(RunXAge!P$50/SQRT(RunXAge!P$49))),0)</f>
        <v>0</v>
      </c>
      <c r="Q27" s="208">
        <f>MAX(Q$24-(RunXAge!Q$51*(RunXAge!Q$50/SQRT(RunXAge!Q$49))),0)</f>
        <v>2.2121232757843039</v>
      </c>
      <c r="R27" s="208">
        <f>MAX(R$24-(RunXAge!R$51*(RunXAge!R$50/SQRT(RunXAge!R$49))),0)</f>
        <v>4.7002993037051075</v>
      </c>
      <c r="S27" s="208">
        <f>MAX(S$24-(RunXAge!S$51*(RunXAge!S$50/SQRT(RunXAge!S$49))),0)</f>
        <v>0</v>
      </c>
      <c r="T27" s="208">
        <f>MAX(T$24-(RunXAge!T$51*(RunXAge!T$50/SQRT(RunXAge!T$49))),0)</f>
        <v>0</v>
      </c>
      <c r="U27" s="208">
        <f>MAX(U$24-(RunXAge!U$51*(RunXAge!U$50/SQRT(RunXAge!U$49))),0)</f>
        <v>0</v>
      </c>
      <c r="W27" s="622" t="s">
        <v>147</v>
      </c>
      <c r="X27" s="623">
        <f>COUNT(X6:X26)</f>
        <v>18</v>
      </c>
      <c r="Y27" s="623">
        <f>COUNT(Y6:Y26)</f>
        <v>18</v>
      </c>
      <c r="Z27" s="623">
        <f>COUNT(Z6:Z26)</f>
        <v>18</v>
      </c>
      <c r="AA27" s="1162">
        <f>COUNT(AA6:AA26)</f>
        <v>18</v>
      </c>
      <c r="AB27" s="23"/>
      <c r="AC27" s="23"/>
    </row>
    <row r="28" spans="1:29">
      <c r="A28" s="333" t="s">
        <v>342</v>
      </c>
      <c r="B28" s="640">
        <f>MAX(B$24+(RunXAge!B$51*(RunXAge!B$50/SQRT(RunXAge!B$49))),0)</f>
        <v>0</v>
      </c>
      <c r="C28" s="640">
        <f>MAX(C$24+(RunXAge!C$51*(RunXAge!C$50/SQRT(RunXAge!C$49))),0)</f>
        <v>69.500370991155805</v>
      </c>
      <c r="D28" s="640">
        <f>MAX(D$24+(RunXAge!D$51*(RunXAge!D$50/SQRT(RunXAge!D$49))),0)</f>
        <v>1275.678737307486</v>
      </c>
      <c r="E28" s="640">
        <f>MAX(E$24+(RunXAge!E$51*(RunXAge!E$50/SQRT(RunXAge!E$49))),0)</f>
        <v>177.02769230265028</v>
      </c>
      <c r="F28" s="640">
        <f>MAX(F$24+(RunXAge!F$51*(RunXAge!F$50/SQRT(RunXAge!F$49))),0)</f>
        <v>5371.6292136509128</v>
      </c>
      <c r="G28" s="640">
        <f>MAX(G$24+(RunXAge!G$51*(RunXAge!G$50/SQRT(RunXAge!G$49))),0)</f>
        <v>13.219957364903888</v>
      </c>
      <c r="H28" s="640">
        <f>MAX(H$24+(RunXAge!H$51*(RunXAge!H$50/SQRT(RunXAge!H$49))),0)</f>
        <v>12.281924317932665</v>
      </c>
      <c r="I28" s="1200">
        <f>'Ln1.3=Ln1.2_3'!L50</f>
        <v>56188.395120003726</v>
      </c>
      <c r="J28" s="640">
        <f>MAX(J$24+(RunXAge!J$51*(RunXAge!J$50/SQRT(RunXAge!J$49))),0)</f>
        <v>1571.8685927694034</v>
      </c>
      <c r="K28" s="640">
        <f>MAX(K$24+(RunXAge!K$51*(RunXAge!K$50/SQRT(RunXAge!K$49))),0)</f>
        <v>0</v>
      </c>
      <c r="L28" s="640">
        <f>MAX(L$24+(RunXAge!L$51*(RunXAge!L$50/SQRT(RunXAge!L$49))),0)</f>
        <v>0</v>
      </c>
      <c r="M28" s="640">
        <f>MAX(M$24+(RunXAge!M$51*(RunXAge!M$50/SQRT(RunXAge!M$49))),0)</f>
        <v>4830.5460105628154</v>
      </c>
      <c r="N28" s="640">
        <f>MAX(N$24+(RunXAge!N$51*(RunXAge!N$50/SQRT(RunXAge!N$49))),0)</f>
        <v>3243.4515488864486</v>
      </c>
      <c r="O28" s="640">
        <f>MAX(O$24+(RunXAge!O$51*(RunXAge!O$50/SQRT(RunXAge!O$49))),0)</f>
        <v>17.623983441435541</v>
      </c>
      <c r="P28" s="640">
        <f>MAX(P$24+(RunXAge!P$51*(RunXAge!P$50/SQRT(RunXAge!P$49))),0)</f>
        <v>321.66868432289596</v>
      </c>
      <c r="Q28" s="640">
        <f>MAX(Q$24+(RunXAge!Q$51*(RunXAge!Q$50/SQRT(RunXAge!Q$49))),0)</f>
        <v>57.163058991391409</v>
      </c>
      <c r="R28" s="640">
        <f>MAX(R$24+(RunXAge!R$51*(RunXAge!R$50/SQRT(RunXAge!R$49))),0)</f>
        <v>9.1303702427311784</v>
      </c>
      <c r="S28" s="640">
        <f>MAX(S$24+(RunXAge!S$51*(RunXAge!S$50/SQRT(RunXAge!S$49))),0)</f>
        <v>0</v>
      </c>
      <c r="T28" s="640">
        <f>MAX(T$24+(RunXAge!T$51*(RunXAge!T$50/SQRT(RunXAge!T$49))),0)</f>
        <v>0</v>
      </c>
      <c r="U28" s="640">
        <f>MAX(U$24+(RunXAge!U$51*(RunXAge!U$50/SQRT(RunXAge!U$49))),0)</f>
        <v>0</v>
      </c>
      <c r="W28" s="624" t="s">
        <v>333</v>
      </c>
      <c r="X28" s="638">
        <f>SUM(X6:X26)</f>
        <v>204599.25200913841</v>
      </c>
      <c r="Y28" s="1078">
        <f>SUM(Y6:Y26)</f>
        <v>4.9179540251327172</v>
      </c>
      <c r="Z28" s="754">
        <f>SUM(Z6:Z26)</f>
        <v>6.293056006210179</v>
      </c>
      <c r="AA28" s="29"/>
      <c r="AB28" s="23"/>
      <c r="AC28" s="23"/>
    </row>
    <row r="29" spans="1:29" ht="16.5" thickBot="1">
      <c r="D29" s="675"/>
      <c r="E29" s="675"/>
      <c r="F29" s="675"/>
      <c r="G29" s="675"/>
      <c r="H29" s="675"/>
      <c r="I29" s="675"/>
      <c r="J29" s="675"/>
      <c r="K29" s="675"/>
      <c r="L29" s="675"/>
      <c r="M29" s="675"/>
      <c r="N29" s="675"/>
      <c r="O29" s="675"/>
      <c r="P29" s="675"/>
      <c r="Q29" s="675"/>
      <c r="R29" s="675"/>
      <c r="S29" s="675"/>
      <c r="T29" s="675"/>
      <c r="U29" s="675"/>
      <c r="W29" s="624" t="s">
        <v>219</v>
      </c>
      <c r="X29" s="638">
        <f>AVERAGE(X6:X26)</f>
        <v>11366.6251116188</v>
      </c>
      <c r="Y29" s="638">
        <f>AVERAGE(Y6:Y26)</f>
        <v>0.27321966806292874</v>
      </c>
      <c r="Z29" s="1256">
        <f>AVERAGE(Z6:Z26)</f>
        <v>0.34961422256723218</v>
      </c>
      <c r="AA29" s="625" t="s">
        <v>334</v>
      </c>
      <c r="AB29" s="605"/>
      <c r="AC29" s="605"/>
    </row>
    <row r="30" spans="1:29" ht="16.5" thickBot="1">
      <c r="A30" s="331" t="s">
        <v>351</v>
      </c>
      <c r="B30" s="33">
        <f t="shared" ref="B30:U30" si="5">B24-B27</f>
        <v>0</v>
      </c>
      <c r="C30" s="33">
        <f t="shared" si="5"/>
        <v>14.177692805410672</v>
      </c>
      <c r="D30" s="33">
        <f t="shared" si="5"/>
        <v>94.297232324704794</v>
      </c>
      <c r="E30" s="33">
        <f t="shared" si="5"/>
        <v>37.211516576392597</v>
      </c>
      <c r="F30" s="33">
        <f t="shared" si="5"/>
        <v>1242.5625844941665</v>
      </c>
      <c r="G30" s="33">
        <f t="shared" si="5"/>
        <v>5.4220927533348746</v>
      </c>
      <c r="H30" s="33">
        <f t="shared" si="5"/>
        <v>2.6435110046124937</v>
      </c>
      <c r="I30" s="33">
        <f t="shared" si="5"/>
        <v>13685.528895528463</v>
      </c>
      <c r="J30" s="33">
        <f t="shared" si="5"/>
        <v>304.33607722976808</v>
      </c>
      <c r="K30" s="33">
        <f t="shared" si="5"/>
        <v>0</v>
      </c>
      <c r="L30" s="33">
        <f t="shared" si="5"/>
        <v>0</v>
      </c>
      <c r="M30" s="33">
        <f t="shared" si="5"/>
        <v>2208.1343261876395</v>
      </c>
      <c r="N30" s="33">
        <f t="shared" si="5"/>
        <v>579.42235367244712</v>
      </c>
      <c r="O30" s="33">
        <f t="shared" si="5"/>
        <v>3.7933138949992546</v>
      </c>
      <c r="P30" s="33">
        <f t="shared" si="5"/>
        <v>108.70535808693435</v>
      </c>
      <c r="Q30" s="33">
        <f t="shared" si="5"/>
        <v>27.475467857803554</v>
      </c>
      <c r="R30" s="33">
        <f t="shared" si="5"/>
        <v>2.215035469513035</v>
      </c>
      <c r="S30" s="33">
        <f t="shared" si="5"/>
        <v>0</v>
      </c>
      <c r="T30" s="33">
        <f t="shared" si="5"/>
        <v>0</v>
      </c>
      <c r="U30" s="33">
        <f t="shared" si="5"/>
        <v>0</v>
      </c>
      <c r="V30" s="1165">
        <f>SQRT(SUMSQ(B30:U30))</f>
        <v>13934.309310191276</v>
      </c>
      <c r="W30" s="626" t="s">
        <v>241</v>
      </c>
      <c r="X30" s="627">
        <f>STDEV(X6:X26)</f>
        <v>19999.574156839735</v>
      </c>
      <c r="Y30" s="627">
        <f>STDEV(Y6:Y26)</f>
        <v>0.39626391287709878</v>
      </c>
      <c r="Z30" s="1257">
        <f>STDEV(Z6:Z26)</f>
        <v>0.32656558571429545</v>
      </c>
      <c r="AA30" s="31"/>
      <c r="AB30" s="23"/>
      <c r="AC30" s="23"/>
    </row>
    <row r="31" spans="1:29" ht="16.5" thickBot="1">
      <c r="A31" s="331" t="s">
        <v>352</v>
      </c>
      <c r="B31" s="33">
        <f t="shared" ref="B31:U31" si="6">B28-B24</f>
        <v>0</v>
      </c>
      <c r="C31" s="33">
        <f t="shared" si="6"/>
        <v>14.177692805410665</v>
      </c>
      <c r="D31" s="33">
        <f t="shared" si="6"/>
        <v>1181.3815049827813</v>
      </c>
      <c r="E31" s="33">
        <f t="shared" si="6"/>
        <v>37.211516576392597</v>
      </c>
      <c r="F31" s="33">
        <f t="shared" si="6"/>
        <v>1242.562584494166</v>
      </c>
      <c r="G31" s="33">
        <f t="shared" si="6"/>
        <v>5.4220927533348737</v>
      </c>
      <c r="H31" s="33">
        <f t="shared" si="6"/>
        <v>2.6435110046124937</v>
      </c>
      <c r="I31" s="33">
        <f t="shared" si="6"/>
        <v>23409.507169304903</v>
      </c>
      <c r="J31" s="33">
        <f t="shared" si="6"/>
        <v>304.33607722976808</v>
      </c>
      <c r="K31" s="33">
        <f t="shared" si="6"/>
        <v>0</v>
      </c>
      <c r="L31" s="33">
        <f t="shared" si="6"/>
        <v>0</v>
      </c>
      <c r="M31" s="33">
        <f t="shared" si="6"/>
        <v>2208.1343261876395</v>
      </c>
      <c r="N31" s="33">
        <f t="shared" si="6"/>
        <v>579.42235367244712</v>
      </c>
      <c r="O31" s="33">
        <f t="shared" si="6"/>
        <v>3.7933138949992564</v>
      </c>
      <c r="P31" s="33">
        <f t="shared" si="6"/>
        <v>212.9633262359616</v>
      </c>
      <c r="Q31" s="33">
        <f t="shared" si="6"/>
        <v>27.475467857803551</v>
      </c>
      <c r="R31" s="33">
        <f t="shared" si="6"/>
        <v>2.2150354695130359</v>
      </c>
      <c r="S31" s="33">
        <f t="shared" si="6"/>
        <v>0</v>
      </c>
      <c r="T31" s="33">
        <f t="shared" si="6"/>
        <v>0</v>
      </c>
      <c r="U31" s="33">
        <f t="shared" si="6"/>
        <v>0</v>
      </c>
      <c r="V31" s="1166">
        <f>SQRT(SUMSQ(B31:U31))</f>
        <v>23585.940887045665</v>
      </c>
    </row>
    <row r="32" spans="1:29" ht="16.5" thickBot="1">
      <c r="A32" s="331"/>
      <c r="B32" s="33"/>
      <c r="C32" s="33"/>
      <c r="D32" s="33"/>
      <c r="E32" s="33"/>
      <c r="F32" s="33"/>
      <c r="G32" s="33"/>
      <c r="H32" s="33"/>
      <c r="I32" s="33"/>
      <c r="J32" s="33"/>
      <c r="K32" s="33"/>
      <c r="L32" s="33"/>
      <c r="M32" s="33"/>
      <c r="N32" s="33"/>
      <c r="O32" s="33"/>
      <c r="P32" s="33"/>
      <c r="Q32" s="33"/>
      <c r="R32" s="33"/>
      <c r="S32" s="33"/>
      <c r="T32" s="33"/>
      <c r="U32" s="33"/>
    </row>
    <row r="33" spans="1:28" ht="16.5" thickBot="1">
      <c r="A33" s="671" t="s">
        <v>418</v>
      </c>
      <c r="B33" s="527"/>
      <c r="C33" s="527"/>
      <c r="D33" s="527"/>
      <c r="E33" s="527"/>
      <c r="F33" s="672" t="s">
        <v>419</v>
      </c>
      <c r="G33" s="527"/>
      <c r="H33" s="527"/>
      <c r="I33" s="527"/>
      <c r="J33" s="527"/>
      <c r="K33" s="672" t="s">
        <v>420</v>
      </c>
      <c r="L33" s="527"/>
      <c r="M33" s="527"/>
      <c r="N33" s="527"/>
      <c r="O33" s="527"/>
      <c r="P33" s="527"/>
      <c r="Q33" s="26"/>
      <c r="R33" s="26"/>
      <c r="S33" s="26"/>
      <c r="T33" s="27"/>
      <c r="AA33" s="53"/>
      <c r="AB33" s="33"/>
    </row>
    <row r="34" spans="1:28">
      <c r="A34" s="658" t="s">
        <v>353</v>
      </c>
      <c r="B34" s="660">
        <f>B35-V30</f>
        <v>29993.62998249488</v>
      </c>
      <c r="C34" s="663">
        <f>MROUND(B34,1000)</f>
        <v>30000</v>
      </c>
      <c r="D34" s="23"/>
      <c r="E34" s="23"/>
      <c r="F34" s="666" t="s">
        <v>353</v>
      </c>
      <c r="G34" s="669"/>
      <c r="H34" s="663">
        <f>IF(C34-$H$38&lt;0, 0, C34-$H$38)</f>
        <v>6000</v>
      </c>
      <c r="I34" s="23"/>
      <c r="J34" s="23"/>
      <c r="K34" s="666" t="s">
        <v>353</v>
      </c>
      <c r="L34" s="669"/>
      <c r="M34" s="676">
        <f ca="1">H34*$S$38</f>
        <v>4262.4633522029017</v>
      </c>
      <c r="N34" s="663">
        <f ca="1">MROUND(M34,1000)</f>
        <v>4000</v>
      </c>
      <c r="O34" s="23"/>
      <c r="P34" s="23"/>
      <c r="Q34" s="23"/>
      <c r="R34" s="23"/>
      <c r="S34" s="23"/>
      <c r="T34" s="29"/>
      <c r="Y34" s="631"/>
      <c r="Z34" s="632" t="s">
        <v>337</v>
      </c>
      <c r="AA34" s="633">
        <f>SUM(AA6:AA24)</f>
        <v>9125313425.4393368</v>
      </c>
      <c r="AB34" s="33"/>
    </row>
    <row r="35" spans="1:28">
      <c r="A35" s="659" t="s">
        <v>354</v>
      </c>
      <c r="B35" s="661">
        <f>V24</f>
        <v>43927.939292686155</v>
      </c>
      <c r="C35" s="664">
        <f>MROUND(B35,1000)</f>
        <v>44000</v>
      </c>
      <c r="D35" s="23"/>
      <c r="E35" s="23"/>
      <c r="F35" s="667" t="s">
        <v>354</v>
      </c>
      <c r="G35" s="595"/>
      <c r="H35" s="664">
        <f>C35-$H$38</f>
        <v>20000</v>
      </c>
      <c r="I35" s="23"/>
      <c r="J35" s="23"/>
      <c r="K35" s="667" t="s">
        <v>354</v>
      </c>
      <c r="L35" s="595"/>
      <c r="M35" s="677">
        <f ca="1">H35*$S$38</f>
        <v>14208.211174009673</v>
      </c>
      <c r="N35" s="664">
        <f ca="1">MROUND(M35,1000)</f>
        <v>14000</v>
      </c>
      <c r="O35" s="23"/>
      <c r="P35" s="23"/>
      <c r="Q35" s="23"/>
      <c r="R35" s="23"/>
      <c r="S35" s="23"/>
      <c r="T35" s="29"/>
      <c r="Y35" s="634"/>
      <c r="Z35" s="1163" t="s">
        <v>503</v>
      </c>
      <c r="AA35" s="1164">
        <f>SQRT(AA34/AA27)</f>
        <v>22515.813486721992</v>
      </c>
    </row>
    <row r="36" spans="1:28" ht="16.5" thickBot="1">
      <c r="A36" s="659" t="s">
        <v>355</v>
      </c>
      <c r="B36" s="661">
        <f>B35+V31</f>
        <v>67513.880179731816</v>
      </c>
      <c r="C36" s="665">
        <f>MROUND(B36,1000)</f>
        <v>68000</v>
      </c>
      <c r="D36" s="23"/>
      <c r="E36" s="23"/>
      <c r="F36" s="668" t="s">
        <v>355</v>
      </c>
      <c r="G36" s="670"/>
      <c r="H36" s="665">
        <f>C36-$H$38</f>
        <v>44000</v>
      </c>
      <c r="I36" s="23"/>
      <c r="J36" s="23"/>
      <c r="K36" s="668" t="s">
        <v>355</v>
      </c>
      <c r="L36" s="670"/>
      <c r="M36" s="678">
        <f ca="1">H36*$S$38</f>
        <v>31258.06458282128</v>
      </c>
      <c r="N36" s="665">
        <f ca="1">MROUND(M36,1000)</f>
        <v>31000</v>
      </c>
      <c r="O36" s="23"/>
      <c r="P36" s="23"/>
      <c r="Q36" s="23"/>
      <c r="R36" s="23"/>
      <c r="S36" s="23"/>
      <c r="T36" s="29"/>
      <c r="Y36" s="635"/>
      <c r="Z36" s="636" t="s">
        <v>341</v>
      </c>
      <c r="AA36" s="637">
        <f>AA35*AA3</f>
        <v>30022.121646011332</v>
      </c>
    </row>
    <row r="37" spans="1:28">
      <c r="C37" s="23"/>
      <c r="D37" s="23"/>
      <c r="E37" s="23"/>
      <c r="F37" s="23"/>
      <c r="G37" s="23"/>
      <c r="H37" s="23"/>
      <c r="I37" s="23"/>
      <c r="J37" s="23"/>
      <c r="K37" s="23"/>
      <c r="L37" s="23"/>
      <c r="M37" s="23"/>
      <c r="N37" s="23"/>
      <c r="O37" s="23"/>
      <c r="P37" s="23"/>
      <c r="Q37" s="23"/>
      <c r="R37" s="23"/>
      <c r="S37" s="23"/>
      <c r="T37" s="29"/>
    </row>
    <row r="38" spans="1:28">
      <c r="C38" s="23"/>
      <c r="D38" s="595"/>
      <c r="E38" s="732"/>
      <c r="F38" s="595"/>
      <c r="G38" s="730" t="s">
        <v>373</v>
      </c>
      <c r="H38" s="673">
        <v>24000</v>
      </c>
      <c r="I38" s="23"/>
      <c r="J38" s="23"/>
      <c r="K38" s="662" t="s">
        <v>357</v>
      </c>
      <c r="L38" s="595"/>
      <c r="M38" s="595"/>
      <c r="N38" s="595"/>
      <c r="O38" s="595"/>
      <c r="P38" s="595"/>
      <c r="Q38" s="595"/>
      <c r="R38" s="595"/>
      <c r="S38" s="1007">
        <f ca="1">Harvests!S139</f>
        <v>0.71041055870048364</v>
      </c>
      <c r="T38" s="29"/>
    </row>
    <row r="39" spans="1:28" ht="16.5" thickBot="1">
      <c r="A39" s="32"/>
      <c r="B39" s="30"/>
      <c r="C39" s="30"/>
      <c r="D39" s="30"/>
      <c r="E39" s="30"/>
      <c r="F39" s="30"/>
      <c r="G39" s="30"/>
      <c r="H39" s="30"/>
      <c r="I39" s="30"/>
      <c r="J39" s="30"/>
      <c r="K39" s="30"/>
      <c r="L39" s="30"/>
      <c r="M39" s="30"/>
      <c r="N39" s="30"/>
      <c r="O39" s="30"/>
      <c r="P39" s="30"/>
      <c r="Q39" s="30"/>
      <c r="R39" s="30"/>
      <c r="S39" s="30"/>
      <c r="T39" s="31"/>
    </row>
    <row r="41" spans="1:28">
      <c r="A41" s="641" t="s">
        <v>344</v>
      </c>
      <c r="B41" s="641"/>
      <c r="C41" s="641"/>
      <c r="D41" s="641"/>
      <c r="E41" s="641"/>
      <c r="F41" s="641"/>
      <c r="G41" s="641"/>
      <c r="H41" s="641"/>
      <c r="I41" s="641"/>
      <c r="J41" s="641"/>
    </row>
    <row r="42" spans="1:28">
      <c r="A42" s="641" t="s">
        <v>356</v>
      </c>
      <c r="B42" s="641"/>
      <c r="C42" s="641"/>
      <c r="D42" s="641"/>
      <c r="E42" s="641"/>
      <c r="F42" s="641"/>
      <c r="G42" s="641"/>
      <c r="H42" s="641"/>
      <c r="I42" s="641"/>
      <c r="J42" s="641"/>
    </row>
    <row r="43" spans="1:28" ht="26.25">
      <c r="A43" s="642"/>
      <c r="B43" s="643" t="s">
        <v>78</v>
      </c>
      <c r="C43" s="643" t="s">
        <v>79</v>
      </c>
      <c r="D43" s="642"/>
      <c r="E43" s="643" t="s">
        <v>80</v>
      </c>
      <c r="F43" s="641"/>
      <c r="G43" s="641"/>
      <c r="H43" s="816" t="s">
        <v>345</v>
      </c>
      <c r="I43" s="816" t="s">
        <v>346</v>
      </c>
      <c r="J43" s="641"/>
    </row>
    <row r="44" spans="1:28">
      <c r="A44" s="644" t="s">
        <v>347</v>
      </c>
      <c r="B44" s="645">
        <v>12169</v>
      </c>
      <c r="C44" s="645">
        <v>7158</v>
      </c>
      <c r="D44" s="646" t="s">
        <v>1</v>
      </c>
      <c r="E44" s="647">
        <v>16703</v>
      </c>
      <c r="F44" s="641"/>
      <c r="G44" s="641"/>
      <c r="H44" s="648">
        <f>B44-C44</f>
        <v>5011</v>
      </c>
      <c r="I44" s="648">
        <f>E44-B44</f>
        <v>4534</v>
      </c>
      <c r="J44" s="641"/>
    </row>
    <row r="45" spans="1:28">
      <c r="A45" s="644" t="s">
        <v>348</v>
      </c>
      <c r="B45" s="645">
        <v>7217</v>
      </c>
      <c r="C45" s="645">
        <v>5850</v>
      </c>
      <c r="D45" s="646" t="s">
        <v>1</v>
      </c>
      <c r="E45" s="647">
        <v>8584</v>
      </c>
      <c r="F45" s="641"/>
      <c r="G45" s="641"/>
      <c r="H45" s="648">
        <f>B45-C45</f>
        <v>1367</v>
      </c>
      <c r="I45" s="648">
        <f>E45-B45</f>
        <v>1367</v>
      </c>
      <c r="J45" s="641"/>
    </row>
    <row r="46" spans="1:28">
      <c r="A46" s="644" t="s">
        <v>349</v>
      </c>
      <c r="B46" s="645">
        <v>4211</v>
      </c>
      <c r="C46" s="645">
        <v>3103</v>
      </c>
      <c r="D46" s="646" t="s">
        <v>1</v>
      </c>
      <c r="E46" s="647">
        <v>5319</v>
      </c>
      <c r="F46" s="641"/>
      <c r="G46" s="641"/>
      <c r="H46" s="648">
        <f>B46-C46</f>
        <v>1108</v>
      </c>
      <c r="I46" s="648">
        <f>E46-B46</f>
        <v>1108</v>
      </c>
      <c r="J46" s="641"/>
    </row>
    <row r="47" spans="1:28">
      <c r="A47" s="649" t="s">
        <v>350</v>
      </c>
      <c r="B47" s="650">
        <v>6143</v>
      </c>
      <c r="C47" s="650">
        <v>4450</v>
      </c>
      <c r="D47" s="651" t="s">
        <v>1</v>
      </c>
      <c r="E47" s="652">
        <v>7835</v>
      </c>
      <c r="F47" s="653"/>
      <c r="G47" s="654"/>
      <c r="H47" s="655">
        <f>B47-C47</f>
        <v>1693</v>
      </c>
      <c r="I47" s="655">
        <f>E47-B47</f>
        <v>1692</v>
      </c>
      <c r="J47" s="641"/>
    </row>
    <row r="48" spans="1:28">
      <c r="A48" s="656" t="s">
        <v>333</v>
      </c>
      <c r="B48" s="648">
        <f>SUM(B44:B47)</f>
        <v>29740</v>
      </c>
      <c r="C48" s="648">
        <f>B48-H48</f>
        <v>24165.708744602591</v>
      </c>
      <c r="D48" s="656"/>
      <c r="E48" s="657">
        <f>B48+I48</f>
        <v>34889.405111272565</v>
      </c>
      <c r="F48" s="641"/>
      <c r="G48" s="641"/>
      <c r="H48" s="648">
        <f>SQRT(SUMSQ(H44:H47))</f>
        <v>5574.2912553974074</v>
      </c>
      <c r="I48" s="648">
        <f>SQRT(SUMSQ(I44:I47))</f>
        <v>5149.4051112725629</v>
      </c>
      <c r="J48" s="641"/>
    </row>
    <row r="49" spans="1:10">
      <c r="A49" s="641"/>
      <c r="B49" s="641"/>
      <c r="C49" s="641"/>
      <c r="D49" s="641"/>
      <c r="E49" s="641"/>
      <c r="F49" s="641"/>
      <c r="G49" s="641"/>
      <c r="H49" s="641"/>
      <c r="I49" s="641"/>
      <c r="J49" s="641"/>
    </row>
    <row r="51" spans="1:10">
      <c r="A51" t="s">
        <v>468</v>
      </c>
    </row>
    <row r="52" spans="1:10">
      <c r="A52" t="s">
        <v>469</v>
      </c>
    </row>
    <row r="54" spans="1:10">
      <c r="B54" s="33"/>
    </row>
    <row r="55" spans="1:10">
      <c r="B55" s="33"/>
    </row>
  </sheetData>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3333FF"/>
    <pageSetUpPr fitToPage="1"/>
  </sheetPr>
  <dimension ref="A1:R47"/>
  <sheetViews>
    <sheetView zoomScale="85" zoomScaleNormal="85" workbookViewId="0">
      <selection activeCell="D31" sqref="D31"/>
    </sheetView>
  </sheetViews>
  <sheetFormatPr defaultRowHeight="15.75"/>
  <cols>
    <col min="1" max="1" width="11.25" customWidth="1"/>
    <col min="2" max="2" width="13.125" customWidth="1"/>
    <col min="3" max="3" width="16.25" customWidth="1"/>
    <col min="4" max="4" width="4.5" customWidth="1"/>
    <col min="5" max="5" width="18.125" customWidth="1"/>
    <col min="6" max="6" width="13.125" customWidth="1"/>
    <col min="7" max="7" width="20.125" customWidth="1"/>
    <col min="8" max="8" width="19.125" customWidth="1"/>
    <col min="9" max="9" width="14.75" customWidth="1"/>
    <col min="10" max="10" width="15.625" customWidth="1"/>
    <col min="11" max="11" width="13.75" customWidth="1"/>
    <col min="12" max="12" width="13.625" customWidth="1"/>
    <col min="13" max="13" width="17.75" customWidth="1"/>
    <col min="14" max="14" width="19.125" customWidth="1"/>
    <col min="15" max="15" width="8.125" customWidth="1"/>
    <col min="16" max="16" width="22.125" customWidth="1"/>
    <col min="17" max="17" width="23.5" customWidth="1"/>
    <col min="18" max="18" width="36.125" customWidth="1"/>
  </cols>
  <sheetData>
    <row r="1" spans="1:18">
      <c r="A1" s="331" t="s">
        <v>114</v>
      </c>
      <c r="B1" s="25" t="str">
        <f ca="1">CELL("filename",B2)</f>
        <v>C:\Projects\Shiny App\Aging Error\[Copprt Chinook brood.xlsx]Sibling_Forecast_Sumry</v>
      </c>
      <c r="C1" s="331"/>
      <c r="D1" s="331"/>
      <c r="E1" s="331"/>
      <c r="F1" s="331"/>
      <c r="G1" s="331"/>
      <c r="H1" s="331"/>
      <c r="I1" s="331"/>
      <c r="J1" s="331"/>
      <c r="K1" s="331"/>
      <c r="L1" s="331"/>
      <c r="M1" s="331"/>
      <c r="N1" s="756"/>
      <c r="O1" s="757"/>
      <c r="P1" s="757"/>
      <c r="Q1" s="757"/>
      <c r="R1" s="331"/>
    </row>
    <row r="2" spans="1:18">
      <c r="A2" s="331" t="s">
        <v>137</v>
      </c>
      <c r="B2" s="758">
        <v>36469</v>
      </c>
      <c r="C2" s="758" t="s">
        <v>55</v>
      </c>
      <c r="D2" s="758"/>
      <c r="E2" s="331"/>
      <c r="F2" s="331"/>
      <c r="G2" s="331"/>
      <c r="H2" s="331"/>
      <c r="I2" s="331"/>
      <c r="J2" s="331"/>
      <c r="K2" s="331"/>
      <c r="L2" s="331"/>
      <c r="M2" s="331"/>
      <c r="N2" s="756"/>
      <c r="O2" s="757"/>
      <c r="P2" s="757"/>
      <c r="Q2" s="757"/>
      <c r="R2" s="331"/>
    </row>
    <row r="3" spans="1:18" ht="22.5">
      <c r="A3" s="759" t="s">
        <v>138</v>
      </c>
      <c r="B3" s="529">
        <v>2018</v>
      </c>
      <c r="C3" s="176"/>
      <c r="D3" s="176"/>
      <c r="E3" s="331"/>
      <c r="F3" s="331"/>
      <c r="G3" s="331"/>
      <c r="H3" s="331"/>
      <c r="I3" s="331"/>
      <c r="J3" s="662"/>
      <c r="K3" s="331"/>
      <c r="L3" s="331"/>
      <c r="M3" s="331"/>
      <c r="N3" s="756"/>
      <c r="O3" s="757"/>
      <c r="P3" s="757"/>
      <c r="Q3" s="757"/>
      <c r="R3" s="331"/>
    </row>
    <row r="4" spans="1:18">
      <c r="A4" s="760" t="s">
        <v>139</v>
      </c>
      <c r="B4" s="509" t="str">
        <f>"COPPER RIVER CHINOOK SALMON - "&amp;FIXED(B3,0,TRUE)&amp;" Forecast"</f>
        <v>COPPER RIVER CHINOOK SALMON - 2018 Forecast</v>
      </c>
      <c r="C4" s="266"/>
      <c r="D4" s="266"/>
      <c r="E4" s="331"/>
      <c r="F4" s="331"/>
      <c r="G4" s="331"/>
      <c r="H4" s="331"/>
      <c r="I4" s="760"/>
      <c r="J4" s="331"/>
      <c r="K4" s="331"/>
      <c r="L4" s="331"/>
      <c r="M4" s="331"/>
      <c r="N4" s="756"/>
      <c r="O4" s="757"/>
      <c r="P4" s="757"/>
      <c r="Q4" s="757"/>
      <c r="R4" s="331"/>
    </row>
    <row r="5" spans="1:18" ht="16.5" thickBot="1">
      <c r="A5" s="331"/>
      <c r="B5" s="331"/>
      <c r="C5" s="331"/>
      <c r="D5" s="331"/>
      <c r="E5" s="331"/>
      <c r="F5" s="331"/>
      <c r="G5" s="331"/>
      <c r="H5" s="331"/>
      <c r="I5" s="760"/>
      <c r="J5" s="509"/>
      <c r="K5" s="331"/>
      <c r="L5" s="331"/>
      <c r="M5" s="331"/>
      <c r="N5" s="756"/>
      <c r="O5" s="331"/>
      <c r="P5" s="331"/>
      <c r="Q5" s="331"/>
      <c r="R5" s="757"/>
    </row>
    <row r="6" spans="1:18" ht="22.5">
      <c r="A6" s="145" t="s">
        <v>178</v>
      </c>
      <c r="B6" s="761"/>
      <c r="C6" s="761"/>
      <c r="D6" s="761"/>
      <c r="E6" s="761"/>
      <c r="F6" s="761"/>
      <c r="G6" s="761"/>
      <c r="H6" s="762"/>
      <c r="I6" s="761"/>
      <c r="J6" s="761"/>
      <c r="K6" s="761"/>
      <c r="L6" s="761"/>
      <c r="M6" s="761"/>
      <c r="N6" s="761"/>
      <c r="O6" s="763"/>
      <c r="P6" s="764"/>
      <c r="Q6" s="764"/>
      <c r="R6" s="765"/>
    </row>
    <row r="7" spans="1:18" ht="23.25" thickBot="1">
      <c r="A7" s="146"/>
      <c r="B7" s="605"/>
      <c r="C7" s="605"/>
      <c r="D7" s="605"/>
      <c r="E7" s="605"/>
      <c r="F7" s="605"/>
      <c r="G7" s="605"/>
      <c r="H7" s="766"/>
      <c r="I7" s="605"/>
      <c r="J7" s="605"/>
      <c r="K7" s="605"/>
      <c r="L7" s="605"/>
      <c r="M7" s="605"/>
      <c r="N7" s="605"/>
      <c r="O7" s="767"/>
      <c r="P7" s="768"/>
      <c r="Q7" s="768"/>
      <c r="R7" s="625"/>
    </row>
    <row r="8" spans="1:18">
      <c r="A8" s="769" t="s">
        <v>27</v>
      </c>
      <c r="B8" s="770"/>
      <c r="C8" s="770" t="s">
        <v>140</v>
      </c>
      <c r="D8" s="770"/>
      <c r="E8" s="771" t="s">
        <v>314</v>
      </c>
      <c r="F8" s="772" t="s">
        <v>166</v>
      </c>
      <c r="G8" s="773"/>
      <c r="H8" s="774"/>
      <c r="I8" s="775" t="s">
        <v>78</v>
      </c>
      <c r="J8" s="776" t="s">
        <v>72</v>
      </c>
      <c r="K8" s="777"/>
      <c r="L8" s="778" t="s">
        <v>116</v>
      </c>
      <c r="M8" s="812" t="s">
        <v>309</v>
      </c>
      <c r="N8" s="779" t="s">
        <v>181</v>
      </c>
      <c r="O8" s="780"/>
      <c r="P8" s="781"/>
      <c r="Q8" s="781"/>
      <c r="R8" s="625"/>
    </row>
    <row r="9" spans="1:18" ht="22.5" thickBot="1">
      <c r="A9" s="782" t="s">
        <v>12</v>
      </c>
      <c r="B9" s="783" t="s">
        <v>141</v>
      </c>
      <c r="C9" s="784" t="s">
        <v>58</v>
      </c>
      <c r="D9" s="785"/>
      <c r="E9" s="786" t="s">
        <v>374</v>
      </c>
      <c r="F9" s="787" t="s">
        <v>142</v>
      </c>
      <c r="G9" s="788" t="s">
        <v>143</v>
      </c>
      <c r="H9" s="789" t="s">
        <v>144</v>
      </c>
      <c r="I9" s="790" t="s">
        <v>115</v>
      </c>
      <c r="J9" s="791" t="s">
        <v>142</v>
      </c>
      <c r="K9" s="792" t="s">
        <v>143</v>
      </c>
      <c r="L9" s="785" t="s">
        <v>145</v>
      </c>
      <c r="M9" s="813" t="s">
        <v>254</v>
      </c>
      <c r="N9" s="793" t="s">
        <v>182</v>
      </c>
      <c r="O9" s="794" t="s">
        <v>375</v>
      </c>
      <c r="P9" s="794" t="s">
        <v>310</v>
      </c>
      <c r="Q9" s="794" t="s">
        <v>311</v>
      </c>
      <c r="R9" s="794" t="s">
        <v>146</v>
      </c>
    </row>
    <row r="10" spans="1:18">
      <c r="A10" s="795"/>
      <c r="B10" s="605"/>
      <c r="C10" s="605"/>
      <c r="D10" s="605"/>
      <c r="E10" s="605"/>
      <c r="F10" s="605"/>
      <c r="G10" s="625"/>
      <c r="H10" s="796"/>
      <c r="I10" s="605"/>
      <c r="J10" s="605"/>
      <c r="K10" s="605"/>
      <c r="L10" s="605"/>
      <c r="M10" s="605"/>
      <c r="N10" s="605"/>
      <c r="O10" s="625"/>
      <c r="P10" s="543"/>
      <c r="Q10" s="543"/>
      <c r="R10" s="625"/>
    </row>
    <row r="11" spans="1:18">
      <c r="A11" s="797">
        <f>FcastYR-3</f>
        <v>2015</v>
      </c>
      <c r="B11" s="798">
        <v>1.1000000000000001</v>
      </c>
      <c r="C11" s="799">
        <f>Brood_Tab!E51</f>
        <v>5.2691954408834833E-3</v>
      </c>
      <c r="D11" s="799"/>
      <c r="E11" s="814">
        <f>Brood_Tab!E49</f>
        <v>1027.1603332557474</v>
      </c>
      <c r="F11" s="53">
        <f>E11-(Brood_Tab!$E$54*(Brood_Tab!$E$53/SQRT(Brood_Tab!$E$52)))</f>
        <v>-154.22117172703383</v>
      </c>
      <c r="G11" s="801">
        <f>E11+(Brood_Tab!$E$54*(Brood_Tab!$E$53/SQRT(Brood_Tab!$E$52)))</f>
        <v>2208.5418382385287</v>
      </c>
      <c r="H11" s="796"/>
      <c r="I11" s="605"/>
      <c r="J11" s="605"/>
      <c r="K11" s="605"/>
      <c r="L11" s="605"/>
      <c r="M11" s="605"/>
      <c r="N11" s="605"/>
      <c r="O11" s="625"/>
      <c r="P11" s="543">
        <f>E11-F11</f>
        <v>1181.3815049827813</v>
      </c>
      <c r="Q11" s="543">
        <f>G11-E11</f>
        <v>1181.3815049827813</v>
      </c>
      <c r="R11" s="625"/>
    </row>
    <row r="12" spans="1:18">
      <c r="A12" s="795"/>
      <c r="B12" s="798"/>
      <c r="C12" s="605"/>
      <c r="D12" s="605"/>
      <c r="E12" s="605"/>
      <c r="F12" s="605"/>
      <c r="G12" s="625"/>
      <c r="H12" s="796"/>
      <c r="I12" s="605"/>
      <c r="J12" s="605"/>
      <c r="K12" s="605"/>
      <c r="L12" s="605"/>
      <c r="M12" s="605"/>
      <c r="N12" s="605"/>
      <c r="O12" s="625"/>
      <c r="P12" s="543"/>
      <c r="Q12" s="543"/>
      <c r="R12" s="625"/>
    </row>
    <row r="13" spans="1:18">
      <c r="A13" s="797">
        <f>FcastYR-4</f>
        <v>2014</v>
      </c>
      <c r="B13" s="798">
        <v>1.2</v>
      </c>
      <c r="C13" s="799">
        <f>Brood_Tab!G51</f>
        <v>7.6758915429189986E-2</v>
      </c>
      <c r="D13" s="799"/>
      <c r="E13" s="814">
        <f>Brood_Tab!G49</f>
        <v>5816.4852819023663</v>
      </c>
      <c r="F13" s="53">
        <f>E13-(Brood_Tab!$G$54*(Brood_Tab!$G$53/SQRT(Brood_Tab!$G$52)))</f>
        <v>4573.9226974081994</v>
      </c>
      <c r="G13" s="801">
        <f>E13+(Brood_Tab!$G$54*(Brood_Tab!$G$53/SQRT(Brood_Tab!$G$52)))</f>
        <v>7059.0478663965332</v>
      </c>
      <c r="H13" s="796"/>
      <c r="I13" s="605"/>
      <c r="J13" s="605"/>
      <c r="K13" s="605"/>
      <c r="L13" s="605"/>
      <c r="M13" s="605"/>
      <c r="N13" s="605"/>
      <c r="O13" s="625"/>
      <c r="P13" s="543">
        <f>E13-F13</f>
        <v>1242.5625844941669</v>
      </c>
      <c r="Q13" s="543">
        <f>G13-E13</f>
        <v>1242.5625844941669</v>
      </c>
      <c r="R13" s="625"/>
    </row>
    <row r="14" spans="1:18">
      <c r="A14" s="795"/>
      <c r="B14" s="798"/>
      <c r="C14" s="605"/>
      <c r="D14" s="605"/>
      <c r="E14" s="605"/>
      <c r="F14" s="605"/>
      <c r="G14" s="625"/>
      <c r="H14" s="796"/>
      <c r="I14" s="605"/>
      <c r="J14" s="605"/>
      <c r="K14" s="605"/>
      <c r="L14" s="605"/>
      <c r="M14" s="605"/>
      <c r="N14" s="605"/>
      <c r="O14" s="625"/>
      <c r="P14" s="543"/>
      <c r="Q14" s="543"/>
      <c r="R14" s="625"/>
    </row>
    <row r="15" spans="1:18">
      <c r="A15" s="797">
        <f>FcastYR-5</f>
        <v>2013</v>
      </c>
      <c r="B15" s="798">
        <v>1.3</v>
      </c>
      <c r="C15" s="799">
        <f>Brood_Tab!J51</f>
        <v>0.56415754141903418</v>
      </c>
      <c r="D15" s="799"/>
      <c r="E15" s="53">
        <f>Brood_Tab!J49</f>
        <v>26613.176069560413</v>
      </c>
      <c r="F15" s="53">
        <f>E15-(Brood_Tab!$J$54*(Brood_Tab!$J$53/SQRT(Brood_Tab!$J$52)))</f>
        <v>20684.658672564186</v>
      </c>
      <c r="G15" s="801">
        <f>E15+(Brood_Tab!$J$54*(Brood_Tab!$J$53/SQRT(Brood_Tab!$J$52)))</f>
        <v>32541.69346655664</v>
      </c>
      <c r="H15" s="796" t="s">
        <v>151</v>
      </c>
      <c r="I15" s="815">
        <f>'Ln1.3=ln1.2'!U47</f>
        <v>0</v>
      </c>
      <c r="J15" s="802">
        <f>'Ln1.3=ln1.2'!V47</f>
        <v>0</v>
      </c>
      <c r="K15" s="802">
        <f>'Ln1.3=ln1.2'!W47</f>
        <v>0</v>
      </c>
      <c r="L15" s="803">
        <f>'Ln1.3=ln1.2'!X52</f>
        <v>4.7949702924664848E-2</v>
      </c>
      <c r="M15" s="803">
        <f>'Ln1.3=ln1.2'!Y52</f>
        <v>0.35227187296631335</v>
      </c>
      <c r="N15" s="53">
        <f>'Ln1.3=ln1.2'!T52</f>
        <v>168090582.63578165</v>
      </c>
      <c r="O15" s="804">
        <f>'Ln1.3=ln1.2'!L47</f>
        <v>0</v>
      </c>
      <c r="P15" s="544">
        <f>I15-J15</f>
        <v>0</v>
      </c>
      <c r="Q15" s="544">
        <f>K15-I15</f>
        <v>0</v>
      </c>
      <c r="R15" s="625"/>
    </row>
    <row r="16" spans="1:18">
      <c r="A16" s="797">
        <f>FcastYR-5</f>
        <v>2013</v>
      </c>
      <c r="B16" s="798">
        <v>2.2000000000000002</v>
      </c>
      <c r="C16" s="799">
        <f>Brood_Tab!K51</f>
        <v>3.6651395512405883E-3</v>
      </c>
      <c r="D16" s="799"/>
      <c r="E16" s="814">
        <f>Brood_Tab!K49</f>
        <v>415.62605776360277</v>
      </c>
      <c r="F16" s="53">
        <f>E16-(Brood_Tab!$K$54*(Brood_Tab!$K$53/SQRT(Brood_Tab!$K$52)))</f>
        <v>111.28998053383464</v>
      </c>
      <c r="G16" s="801">
        <f>E16+(Brood_Tab!$K$54*(Brood_Tab!$K$53/SQRT(Brood_Tab!$K$52)))</f>
        <v>719.96213499337091</v>
      </c>
      <c r="H16" s="796"/>
      <c r="I16" s="605"/>
      <c r="J16" s="605"/>
      <c r="K16" s="605"/>
      <c r="L16" s="605"/>
      <c r="M16" s="605"/>
      <c r="N16" s="805"/>
      <c r="O16" s="806"/>
      <c r="P16" s="543">
        <f>E16-F16</f>
        <v>304.33607722976814</v>
      </c>
      <c r="Q16" s="543">
        <f>G16-E16</f>
        <v>304.33607722976814</v>
      </c>
      <c r="R16" s="625"/>
    </row>
    <row r="17" spans="1:18">
      <c r="A17" s="795"/>
      <c r="B17" s="798"/>
      <c r="C17" s="605"/>
      <c r="D17" s="605"/>
      <c r="E17" s="605"/>
      <c r="F17" s="605"/>
      <c r="G17" s="625"/>
      <c r="H17" s="796"/>
      <c r="I17" s="605"/>
      <c r="J17" s="605"/>
      <c r="K17" s="605"/>
      <c r="L17" s="605"/>
      <c r="M17" s="605"/>
      <c r="N17" s="805"/>
      <c r="O17" s="806"/>
      <c r="P17" s="543"/>
      <c r="Q17" s="543"/>
      <c r="R17" s="625"/>
    </row>
    <row r="18" spans="1:18">
      <c r="A18" s="797">
        <f>FcastYR-6</f>
        <v>2012</v>
      </c>
      <c r="B18" s="798">
        <v>1.4</v>
      </c>
      <c r="C18" s="799">
        <f>Brood_Tab!N51</f>
        <v>0.31508459061232824</v>
      </c>
      <c r="D18" s="799"/>
      <c r="E18" s="814">
        <f>Brood_Tab!N49</f>
        <v>6644.7425941197334</v>
      </c>
      <c r="F18" s="53">
        <f>E18-(Brood_Tab!$N$54*(Brood_Tab!$N$53/SQRT(Brood_Tab!$N$52)))</f>
        <v>4436.6082679320934</v>
      </c>
      <c r="G18" s="801">
        <f>E18+(Brood_Tab!$N$54*(Brood_Tab!$N$53/SQRT(Brood_Tab!$N$52)))</f>
        <v>8852.8769203073734</v>
      </c>
      <c r="H18" s="796" t="s">
        <v>152</v>
      </c>
      <c r="I18" s="807">
        <f>'Ln1.4=Ln1.3'!U48</f>
        <v>14662.133307570532</v>
      </c>
      <c r="J18" s="802">
        <f>'Ln1.4=Ln1.3'!V48</f>
        <v>7087.2732574389693</v>
      </c>
      <c r="K18" s="802">
        <f>'Ln1.4=Ln1.3'!W48</f>
        <v>30332.984960516802</v>
      </c>
      <c r="L18" s="803">
        <f>'Ln1.4=Ln1.3'!X51</f>
        <v>0.27695963557269232</v>
      </c>
      <c r="M18" s="803">
        <f>'Ln1.4=Ln1.3'!Y51</f>
        <v>0.63434079119044218</v>
      </c>
      <c r="N18" s="53">
        <f>'Ln1.4=Ln1.3'!T51</f>
        <v>100288666.08211716</v>
      </c>
      <c r="O18" s="804">
        <f>'Ln1.4=Ln1.3'!L48</f>
        <v>4.6560137268218754E-2</v>
      </c>
      <c r="P18" s="543">
        <f>E18-F18</f>
        <v>2208.13432618764</v>
      </c>
      <c r="Q18" s="543">
        <f>G18-E18</f>
        <v>2208.13432618764</v>
      </c>
      <c r="R18" s="625"/>
    </row>
    <row r="19" spans="1:18">
      <c r="A19" s="797">
        <f>FcastYR-6</f>
        <v>2012</v>
      </c>
      <c r="B19" s="798">
        <v>2.2999999999999998</v>
      </c>
      <c r="C19" s="799">
        <f>Brood_Tab!O51</f>
        <v>1.7867739087307551E-2</v>
      </c>
      <c r="D19" s="799"/>
      <c r="E19" s="814">
        <f>Brood_Tab!O49</f>
        <v>1146.9177109663683</v>
      </c>
      <c r="F19" s="53">
        <f>E19-(Brood_Tab!$O$54*(Brood_Tab!$O$53/SQRT(Brood_Tab!$O$52)))</f>
        <v>567.49535729392119</v>
      </c>
      <c r="G19" s="801">
        <f>E19+(Brood_Tab!$O$54*(Brood_Tab!$O$53/SQRT(Brood_Tab!$O$52)))</f>
        <v>1726.3400646388154</v>
      </c>
      <c r="H19" s="796"/>
      <c r="I19" s="605"/>
      <c r="J19" s="605"/>
      <c r="K19" s="605"/>
      <c r="L19" s="605"/>
      <c r="M19" s="605"/>
      <c r="N19" s="605"/>
      <c r="O19" s="806"/>
      <c r="P19" s="543">
        <f>E19-F19</f>
        <v>579.42235367244712</v>
      </c>
      <c r="Q19" s="543">
        <f>G19-E19</f>
        <v>579.42235367244712</v>
      </c>
      <c r="R19" s="625"/>
    </row>
    <row r="20" spans="1:18">
      <c r="A20" s="795"/>
      <c r="B20" s="798"/>
      <c r="C20" s="605"/>
      <c r="D20" s="605"/>
      <c r="E20" s="605"/>
      <c r="F20" s="605"/>
      <c r="G20" s="625"/>
      <c r="H20" s="796"/>
      <c r="I20" s="605"/>
      <c r="J20" s="605"/>
      <c r="K20" s="605"/>
      <c r="L20" s="605"/>
      <c r="M20" s="605"/>
      <c r="N20" s="605"/>
      <c r="O20" s="625"/>
      <c r="P20" s="543"/>
      <c r="Q20" s="543"/>
      <c r="R20" s="625"/>
    </row>
    <row r="21" spans="1:18">
      <c r="A21" s="797">
        <f>FcastYR-7</f>
        <v>2011</v>
      </c>
      <c r="B21" s="798">
        <v>1.5</v>
      </c>
      <c r="C21" s="803">
        <f>Brood_Tab!Q51</f>
        <v>3.8659390552293303E-3</v>
      </c>
      <c r="D21" s="803"/>
      <c r="E21" s="814">
        <f>Brood_Tab!Q49</f>
        <v>246.41006085889353</v>
      </c>
      <c r="F21" s="53">
        <f>E21-(Brood_Tab!$Q$54*(Brood_Tab!$Q$53/SQRT(Brood_Tab!$Q$52)))</f>
        <v>33.446734622931928</v>
      </c>
      <c r="G21" s="801">
        <f>E21+(Brood_Tab!$Q$54*(Brood_Tab!$Q$53/SQRT(Brood_Tab!$Q$52)))</f>
        <v>459.37338709485516</v>
      </c>
      <c r="H21" s="796"/>
      <c r="I21" s="605"/>
      <c r="J21" s="605"/>
      <c r="K21" s="605"/>
      <c r="L21" s="605"/>
      <c r="M21" s="605"/>
      <c r="N21" s="605"/>
      <c r="O21" s="625"/>
      <c r="P21" s="543">
        <f>E21-F21</f>
        <v>212.9633262359616</v>
      </c>
      <c r="Q21" s="543">
        <f>G21-E21</f>
        <v>212.96332623596163</v>
      </c>
      <c r="R21" s="625"/>
    </row>
    <row r="22" spans="1:18">
      <c r="A22" s="797">
        <f>FcastYR-7</f>
        <v>2011</v>
      </c>
      <c r="B22" s="798">
        <v>2.4</v>
      </c>
      <c r="C22" s="799">
        <f>Brood_Tab!R51</f>
        <v>1.1137918920954216E-2</v>
      </c>
      <c r="D22" s="799"/>
      <c r="E22" s="814">
        <f>Brood_Tab!R49</f>
        <v>44.227804338372941</v>
      </c>
      <c r="F22" s="53">
        <f>E22-(Brood_Tab!$R$54*(Brood_Tab!$R$53/SQRT(Brood_Tab!$R$52)))</f>
        <v>16.752336480569387</v>
      </c>
      <c r="G22" s="801">
        <f>E22+(Brood_Tab!$R$54*(Brood_Tab!$R$53/SQRT(Brood_Tab!$R$52)))</f>
        <v>71.703272196176499</v>
      </c>
      <c r="H22" s="796"/>
      <c r="I22" s="605"/>
      <c r="J22" s="605"/>
      <c r="K22" s="605"/>
      <c r="L22" s="605"/>
      <c r="M22" s="605"/>
      <c r="N22" s="605"/>
      <c r="O22" s="625"/>
      <c r="P22" s="543">
        <f>E22-F22</f>
        <v>27.475467857803554</v>
      </c>
      <c r="Q22" s="543">
        <f>G22-E22</f>
        <v>27.475467857803558</v>
      </c>
      <c r="R22" s="625"/>
    </row>
    <row r="23" spans="1:18" ht="16.5" thickBot="1">
      <c r="A23" s="808"/>
      <c r="B23" s="809"/>
      <c r="C23" s="809"/>
      <c r="D23" s="809"/>
      <c r="E23" s="809"/>
      <c r="F23" s="809"/>
      <c r="G23" s="810"/>
      <c r="H23" s="808"/>
      <c r="I23" s="809"/>
      <c r="J23" s="809"/>
      <c r="K23" s="809"/>
      <c r="L23" s="809"/>
      <c r="M23" s="809"/>
      <c r="N23" s="809"/>
      <c r="O23" s="810"/>
      <c r="P23" s="545"/>
      <c r="Q23" s="545"/>
      <c r="R23" s="810"/>
    </row>
    <row r="24" spans="1:18">
      <c r="A24" s="795"/>
      <c r="B24" s="605"/>
      <c r="C24" s="605"/>
      <c r="D24" s="605"/>
      <c r="E24" s="605"/>
      <c r="F24" s="605"/>
      <c r="G24" s="605"/>
      <c r="H24" s="605"/>
      <c r="I24" s="605"/>
      <c r="J24" s="605"/>
      <c r="K24" s="605"/>
      <c r="L24" s="605"/>
      <c r="M24" s="605"/>
      <c r="N24" s="605"/>
      <c r="O24" s="605"/>
      <c r="P24" s="605"/>
      <c r="Q24" s="605"/>
      <c r="R24" s="625"/>
    </row>
    <row r="25" spans="1:18">
      <c r="A25" s="214" t="s">
        <v>160</v>
      </c>
      <c r="B25" s="605"/>
      <c r="C25" s="605"/>
      <c r="D25" s="605"/>
      <c r="E25" s="800">
        <f>SUM(E11:E22)</f>
        <v>41954.745912765495</v>
      </c>
      <c r="F25" s="800">
        <f>SUM(F11:F22)</f>
        <v>30269.952875108705</v>
      </c>
      <c r="G25" s="800">
        <f>SUM(G11:G22)</f>
        <v>53639.538950422299</v>
      </c>
      <c r="H25" s="605"/>
      <c r="I25" s="811">
        <f>SUM(I15)</f>
        <v>0</v>
      </c>
      <c r="J25" s="811">
        <f>SUM(J15)</f>
        <v>0</v>
      </c>
      <c r="K25" s="811">
        <f>SUM(K15)</f>
        <v>0</v>
      </c>
      <c r="L25" s="605"/>
      <c r="M25" s="605"/>
      <c r="N25" s="605"/>
      <c r="O25" s="605"/>
      <c r="P25" s="605"/>
      <c r="Q25" s="605"/>
      <c r="R25" s="625"/>
    </row>
    <row r="26" spans="1:18">
      <c r="A26" s="795"/>
      <c r="B26" s="605"/>
      <c r="C26" s="605"/>
      <c r="D26" s="605"/>
      <c r="E26" s="605"/>
      <c r="F26" s="605"/>
      <c r="G26" s="605"/>
      <c r="H26" s="605"/>
      <c r="I26" s="605"/>
      <c r="J26" s="605"/>
      <c r="K26" s="605"/>
      <c r="L26" s="605"/>
      <c r="M26" s="605"/>
      <c r="N26" s="605"/>
      <c r="O26" s="605"/>
      <c r="P26" s="605"/>
      <c r="Q26" s="605"/>
      <c r="R26" s="625"/>
    </row>
    <row r="27" spans="1:18" ht="21" thickBot="1">
      <c r="A27" s="795"/>
      <c r="B27" s="605"/>
      <c r="C27" s="605"/>
      <c r="D27" s="605"/>
      <c r="E27" s="605"/>
      <c r="F27" s="605"/>
      <c r="G27" s="216" t="s">
        <v>161</v>
      </c>
      <c r="H27" s="216"/>
      <c r="I27" s="1202">
        <f>E11+E13+I15+E16+E18+E19+E21+E22</f>
        <v>15341.569843205085</v>
      </c>
      <c r="J27" s="53">
        <f>I27-P27</f>
        <v>12462.344212817157</v>
      </c>
      <c r="K27" s="53">
        <f>I27+Q27</f>
        <v>18220.795473593011</v>
      </c>
      <c r="L27" s="605"/>
      <c r="M27" s="331"/>
      <c r="N27" s="605"/>
      <c r="O27" s="605"/>
      <c r="P27" s="546">
        <f>SQRT(SUMSQ(P10:P23))</f>
        <v>2879.2256303879276</v>
      </c>
      <c r="Q27" s="546">
        <f>SQRT(SUMSQ(Q10:Q23))</f>
        <v>2879.2256303879276</v>
      </c>
      <c r="R27" s="625"/>
    </row>
    <row r="28" spans="1:18" ht="20.25">
      <c r="A28" s="795"/>
      <c r="B28" s="605"/>
      <c r="C28" s="605"/>
      <c r="D28" s="605"/>
      <c r="E28" s="605"/>
      <c r="F28" s="605"/>
      <c r="G28" s="147"/>
      <c r="H28" s="147"/>
      <c r="I28" s="148"/>
      <c r="J28" s="805"/>
      <c r="K28" s="805"/>
      <c r="L28" s="605"/>
      <c r="M28" s="605"/>
      <c r="N28" s="605"/>
      <c r="O28" s="605"/>
      <c r="P28" s="605"/>
      <c r="Q28" s="605"/>
      <c r="R28" s="625"/>
    </row>
    <row r="29" spans="1:18">
      <c r="A29" s="795"/>
      <c r="B29" s="605"/>
      <c r="C29" s="605"/>
      <c r="D29" s="605"/>
      <c r="E29" s="605"/>
      <c r="F29" s="605"/>
      <c r="G29" s="605"/>
      <c r="H29" s="605"/>
      <c r="I29" s="605"/>
      <c r="J29" s="605"/>
      <c r="K29" s="605"/>
      <c r="L29" s="605"/>
      <c r="M29" s="605"/>
      <c r="N29" s="605"/>
      <c r="O29" s="605"/>
      <c r="P29" s="605"/>
      <c r="Q29" s="605"/>
      <c r="R29" s="625"/>
    </row>
    <row r="30" spans="1:18" ht="19.5" thickBot="1">
      <c r="A30" s="149"/>
      <c r="B30" s="150"/>
      <c r="C30" s="150"/>
      <c r="D30" s="150"/>
      <c r="E30" s="142" t="s">
        <v>162</v>
      </c>
      <c r="F30" s="138"/>
      <c r="G30" s="138"/>
      <c r="H30" s="138"/>
      <c r="I30" s="138"/>
      <c r="J30" s="138"/>
      <c r="K30" s="150"/>
      <c r="L30" s="150"/>
      <c r="M30" s="150"/>
      <c r="N30" s="150"/>
      <c r="O30" s="150"/>
      <c r="P30" s="150"/>
      <c r="Q30" s="150"/>
      <c r="R30" s="151"/>
    </row>
    <row r="31" spans="1:18" ht="18.75">
      <c r="A31" s="149"/>
      <c r="B31" s="150"/>
      <c r="C31" s="150"/>
      <c r="D31" s="150"/>
      <c r="E31" s="150"/>
      <c r="F31" s="150"/>
      <c r="G31" s="150"/>
      <c r="H31" s="152"/>
      <c r="I31" s="139" t="s">
        <v>165</v>
      </c>
      <c r="J31" s="139"/>
      <c r="K31" s="150"/>
      <c r="L31" s="150"/>
      <c r="M31" s="150"/>
      <c r="N31" s="150"/>
      <c r="O31" s="150"/>
      <c r="P31" s="150"/>
      <c r="Q31" s="150"/>
      <c r="R31" s="151"/>
    </row>
    <row r="32" spans="1:18" ht="19.5" thickBot="1">
      <c r="A32" s="149"/>
      <c r="B32" s="150"/>
      <c r="C32" s="150"/>
      <c r="D32" s="150"/>
      <c r="E32" s="140"/>
      <c r="F32" s="140"/>
      <c r="G32" s="140"/>
      <c r="H32" s="141" t="s">
        <v>78</v>
      </c>
      <c r="I32" s="141" t="s">
        <v>79</v>
      </c>
      <c r="J32" s="141" t="s">
        <v>80</v>
      </c>
      <c r="K32" s="150"/>
      <c r="L32" s="150"/>
      <c r="M32" s="150"/>
      <c r="N32" s="150"/>
      <c r="O32" s="150"/>
      <c r="P32" s="150"/>
      <c r="Q32" s="150"/>
      <c r="R32" s="151"/>
    </row>
    <row r="33" spans="1:18" ht="19.5" thickTop="1">
      <c r="A33" s="149"/>
      <c r="B33" s="150"/>
      <c r="C33" s="150"/>
      <c r="D33" s="150"/>
      <c r="E33" s="150" t="s">
        <v>163</v>
      </c>
      <c r="F33" s="150"/>
      <c r="G33" s="150"/>
      <c r="H33" s="598">
        <f>I27</f>
        <v>15341.569843205085</v>
      </c>
      <c r="I33" s="598">
        <f>J27</f>
        <v>12462.344212817157</v>
      </c>
      <c r="J33" s="598">
        <f>K27</f>
        <v>18220.795473593011</v>
      </c>
      <c r="K33" s="150"/>
      <c r="L33" s="150"/>
      <c r="M33" s="150"/>
      <c r="N33" s="150"/>
      <c r="O33" s="150"/>
      <c r="P33" s="150"/>
      <c r="Q33" s="150"/>
      <c r="R33" s="151"/>
    </row>
    <row r="34" spans="1:18" ht="18.75">
      <c r="A34" s="149"/>
      <c r="B34" s="150"/>
      <c r="C34" s="150"/>
      <c r="D34" s="150"/>
      <c r="E34" s="150"/>
      <c r="F34" s="150"/>
      <c r="G34" s="150"/>
      <c r="H34" s="563"/>
      <c r="I34" s="563"/>
      <c r="J34" s="563"/>
      <c r="K34" s="150"/>
      <c r="L34" s="150"/>
      <c r="M34" s="150"/>
      <c r="N34" s="150"/>
      <c r="O34" s="150"/>
      <c r="P34" s="150"/>
      <c r="Q34" s="150"/>
      <c r="R34" s="151"/>
    </row>
    <row r="35" spans="1:18" ht="19.5" thickBot="1">
      <c r="A35" s="149"/>
      <c r="B35" s="150"/>
      <c r="C35" s="150"/>
      <c r="D35" s="150"/>
      <c r="E35" s="138" t="s">
        <v>177</v>
      </c>
      <c r="F35" s="138"/>
      <c r="G35" s="138"/>
      <c r="H35" s="603">
        <v>27000</v>
      </c>
      <c r="I35" s="603">
        <v>27000</v>
      </c>
      <c r="J35" s="603">
        <v>27000</v>
      </c>
      <c r="K35" s="150"/>
      <c r="L35" s="150"/>
      <c r="M35" s="150"/>
      <c r="N35" s="150"/>
      <c r="O35" s="150"/>
      <c r="P35" s="150"/>
      <c r="Q35" s="150"/>
      <c r="R35" s="151"/>
    </row>
    <row r="36" spans="1:18" ht="18.75">
      <c r="A36" s="149"/>
      <c r="B36" s="150"/>
      <c r="C36" s="150"/>
      <c r="D36" s="150"/>
      <c r="E36" s="150" t="s">
        <v>136</v>
      </c>
      <c r="F36" s="150"/>
      <c r="G36" s="150"/>
      <c r="H36" s="152"/>
      <c r="I36" s="152"/>
      <c r="J36" s="152"/>
      <c r="K36" s="150"/>
      <c r="L36" s="150"/>
      <c r="M36" s="150"/>
      <c r="N36" s="150"/>
      <c r="O36" s="150"/>
      <c r="P36" s="150"/>
      <c r="Q36" s="150"/>
      <c r="R36" s="151"/>
    </row>
    <row r="37" spans="1:18" ht="18.75">
      <c r="A37" s="149"/>
      <c r="B37" s="150"/>
      <c r="C37" s="150"/>
      <c r="D37" s="150"/>
      <c r="E37" s="150"/>
      <c r="F37" s="150" t="s">
        <v>326</v>
      </c>
      <c r="G37" s="150"/>
      <c r="H37" s="596">
        <f>H33-H35</f>
        <v>-11658.430156794915</v>
      </c>
      <c r="I37" s="596">
        <f>I33-I35</f>
        <v>-14537.655787182843</v>
      </c>
      <c r="J37" s="596">
        <f>J33-J35</f>
        <v>-8779.2045264069893</v>
      </c>
      <c r="K37" s="150"/>
      <c r="L37" s="150"/>
      <c r="M37" s="150"/>
      <c r="N37" s="150"/>
      <c r="O37" s="150"/>
      <c r="P37" s="150"/>
      <c r="Q37" s="150"/>
      <c r="R37" s="151"/>
    </row>
    <row r="38" spans="1:18" ht="18.75">
      <c r="A38" s="149"/>
      <c r="B38" s="150"/>
      <c r="C38" s="150"/>
      <c r="D38" s="150"/>
      <c r="E38" s="150"/>
      <c r="F38" s="150" t="s">
        <v>315</v>
      </c>
      <c r="G38" s="150"/>
      <c r="H38" s="153">
        <f>H37/H33</f>
        <v>-0.75992419784592879</v>
      </c>
      <c r="I38" s="153">
        <f>I37/I33</f>
        <v>-1.1665265811091374</v>
      </c>
      <c r="J38" s="153">
        <f>J37/J33</f>
        <v>-0.48182333966321578</v>
      </c>
      <c r="K38" s="150"/>
      <c r="L38" s="150"/>
      <c r="M38" s="150"/>
      <c r="N38" s="150"/>
      <c r="O38" s="150"/>
      <c r="P38" s="150"/>
      <c r="Q38" s="150"/>
      <c r="R38" s="151"/>
    </row>
    <row r="39" spans="1:18" ht="18.75">
      <c r="A39" s="149"/>
      <c r="B39" s="150"/>
      <c r="C39" s="150"/>
      <c r="D39" s="150"/>
      <c r="E39" s="143"/>
      <c r="F39" s="143"/>
      <c r="G39" s="143"/>
      <c r="H39" s="144"/>
      <c r="I39" s="144"/>
      <c r="J39" s="144"/>
      <c r="K39" s="150"/>
      <c r="L39" s="150"/>
      <c r="M39" s="150"/>
      <c r="N39" s="152"/>
      <c r="O39" s="150"/>
      <c r="P39" s="150"/>
      <c r="Q39" s="150"/>
      <c r="R39" s="151"/>
    </row>
    <row r="40" spans="1:18" ht="18.75">
      <c r="A40" s="149"/>
      <c r="B40" s="150"/>
      <c r="C40" s="150"/>
      <c r="D40" s="150"/>
      <c r="E40" s="597" t="s">
        <v>316</v>
      </c>
      <c r="F40" s="597"/>
      <c r="G40" s="597"/>
      <c r="H40" s="598"/>
      <c r="I40" s="598"/>
      <c r="J40" s="598"/>
      <c r="K40" s="150"/>
      <c r="L40" s="150"/>
      <c r="M40" s="150"/>
      <c r="N40" s="150"/>
      <c r="O40" s="150"/>
      <c r="P40" s="150"/>
      <c r="Q40" s="150"/>
      <c r="R40" s="151"/>
    </row>
    <row r="41" spans="1:18" ht="18.75">
      <c r="A41" s="149"/>
      <c r="B41" s="150"/>
      <c r="C41" s="150"/>
      <c r="D41" s="150"/>
      <c r="E41" s="597"/>
      <c r="F41" s="599" t="s">
        <v>317</v>
      </c>
      <c r="G41" s="1203">
        <f ca="1">Harvests!S139</f>
        <v>0.71041055870048364</v>
      </c>
      <c r="H41" s="600">
        <f ca="1">$G41*$H$37</f>
        <v>-8282.2718812592429</v>
      </c>
      <c r="I41" s="600">
        <f ca="1">$G41*$I$37</f>
        <v>-10327.704169967883</v>
      </c>
      <c r="J41" s="600">
        <f ca="1">$G41*$J$37</f>
        <v>-6236.8395925506038</v>
      </c>
      <c r="K41" s="150"/>
      <c r="L41" s="150"/>
      <c r="M41" s="150"/>
      <c r="N41" s="150"/>
      <c r="O41" s="150"/>
      <c r="P41" s="150"/>
      <c r="Q41" s="150"/>
      <c r="R41" s="151"/>
    </row>
    <row r="42" spans="1:18" ht="18.75">
      <c r="A42" s="149"/>
      <c r="B42" s="150"/>
      <c r="C42" s="150"/>
      <c r="D42" s="150"/>
      <c r="E42" s="597"/>
      <c r="F42" s="599" t="s">
        <v>318</v>
      </c>
      <c r="G42" s="1203">
        <f ca="1">Harvests!S140</f>
        <v>0.67500814742978565</v>
      </c>
      <c r="H42" s="600">
        <f ca="1">$G42*$H$37</f>
        <v>-7869.535342077681</v>
      </c>
      <c r="I42" s="600">
        <f ca="1">$G42*$I$37</f>
        <v>-9813.0361008781929</v>
      </c>
      <c r="J42" s="600">
        <f ca="1">$G42*$J$37</f>
        <v>-5926.0345832771709</v>
      </c>
      <c r="K42" s="150"/>
      <c r="L42" s="150"/>
      <c r="M42" s="150"/>
      <c r="N42" s="150"/>
      <c r="O42" s="150"/>
      <c r="P42" s="150"/>
      <c r="Q42" s="150"/>
      <c r="R42" s="151"/>
    </row>
    <row r="43" spans="1:18" ht="18.75">
      <c r="A43" s="149"/>
      <c r="B43" s="150"/>
      <c r="C43" s="150"/>
      <c r="D43" s="150"/>
      <c r="E43" s="601"/>
      <c r="F43" s="601"/>
      <c r="G43" s="601"/>
      <c r="H43" s="602"/>
      <c r="I43" s="602"/>
      <c r="J43" s="602"/>
      <c r="K43" s="150"/>
      <c r="L43" s="150"/>
      <c r="M43" s="150"/>
      <c r="N43" s="150"/>
      <c r="O43" s="150"/>
      <c r="P43" s="150"/>
      <c r="Q43" s="150"/>
      <c r="R43" s="151"/>
    </row>
    <row r="44" spans="1:18">
      <c r="A44" s="154"/>
      <c r="B44" s="13"/>
      <c r="C44" s="13"/>
      <c r="D44" s="13"/>
      <c r="E44" s="13"/>
      <c r="F44" s="13"/>
      <c r="G44" s="13"/>
      <c r="H44" s="155"/>
      <c r="I44" s="155"/>
      <c r="J44" s="155"/>
      <c r="K44" s="13"/>
      <c r="L44" s="13"/>
      <c r="M44" s="13"/>
      <c r="N44" s="605"/>
      <c r="O44" s="605"/>
      <c r="P44" s="605"/>
      <c r="Q44" s="605"/>
      <c r="R44" s="625"/>
    </row>
    <row r="45" spans="1:18" ht="16.5" thickBot="1">
      <c r="A45" s="808"/>
      <c r="B45" s="809"/>
      <c r="C45" s="809"/>
      <c r="D45" s="809"/>
      <c r="E45" s="809"/>
      <c r="F45" s="809"/>
      <c r="G45" s="809"/>
      <c r="H45" s="809"/>
      <c r="I45" s="809"/>
      <c r="J45" s="809"/>
      <c r="K45" s="809"/>
      <c r="L45" s="809"/>
      <c r="M45" s="809"/>
      <c r="N45" s="809"/>
      <c r="O45" s="809"/>
      <c r="P45" s="809"/>
      <c r="Q45" s="809"/>
      <c r="R45" s="810"/>
    </row>
    <row r="46" spans="1:18" ht="22.5">
      <c r="A46" s="137" t="s">
        <v>19</v>
      </c>
      <c r="B46" s="1201" t="s">
        <v>520</v>
      </c>
      <c r="C46" s="331"/>
      <c r="D46" s="331"/>
      <c r="E46" s="331"/>
      <c r="F46" s="331"/>
      <c r="G46" s="331"/>
      <c r="H46" s="331"/>
      <c r="I46" s="331"/>
      <c r="J46" s="331"/>
      <c r="K46" s="331"/>
      <c r="L46" s="331"/>
      <c r="M46" s="331"/>
      <c r="N46" s="331"/>
      <c r="O46" s="331"/>
      <c r="P46" s="331"/>
      <c r="Q46" s="331"/>
      <c r="R46" s="331"/>
    </row>
    <row r="47" spans="1:18">
      <c r="H47" s="3"/>
      <c r="I47" s="3"/>
      <c r="J47" s="3"/>
    </row>
  </sheetData>
  <phoneticPr fontId="47" type="noConversion"/>
  <pageMargins left="0.5" right="0.5" top="0.5" bottom="0.5" header="0.5" footer="0.5"/>
  <pageSetup scale="39" orientation="landscape"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5"/>
  <dimension ref="A2:BY101"/>
  <sheetViews>
    <sheetView topLeftCell="A16" workbookViewId="0">
      <selection activeCell="B48" sqref="B48:B49"/>
    </sheetView>
  </sheetViews>
  <sheetFormatPr defaultRowHeight="15.75"/>
  <cols>
    <col min="8" max="8" width="2.625" customWidth="1"/>
    <col min="9" max="10" width="9.75" bestFit="1" customWidth="1"/>
    <col min="11" max="13" width="10.75" bestFit="1" customWidth="1"/>
    <col min="14" max="14" width="2.625" customWidth="1"/>
    <col min="20" max="20" width="2.625" customWidth="1"/>
    <col min="26" max="26" width="3.625" style="1207" customWidth="1"/>
    <col min="34" max="34" width="1.625" customWidth="1"/>
    <col min="35" max="35" width="9.625" customWidth="1"/>
    <col min="40" max="40" width="1.625" customWidth="1"/>
    <col min="46" max="46" width="1.625" customWidth="1"/>
    <col min="52" max="52" width="3.625" style="1207" customWidth="1"/>
    <col min="60" max="60" width="1.625" customWidth="1"/>
    <col min="66" max="66" width="1.625" customWidth="1"/>
    <col min="72" max="72" width="1.625" customWidth="1"/>
  </cols>
  <sheetData>
    <row r="2" spans="1:77" ht="27.75">
      <c r="A2" s="1029" t="s">
        <v>431</v>
      </c>
    </row>
    <row r="3" spans="1:77" ht="18.75">
      <c r="A3" s="493" t="s">
        <v>59</v>
      </c>
      <c r="AA3" t="s">
        <v>62</v>
      </c>
      <c r="BA3" t="s">
        <v>63</v>
      </c>
    </row>
    <row r="4" spans="1:77" ht="27.75">
      <c r="A4" s="1030"/>
      <c r="B4" s="283"/>
      <c r="C4" s="1015" t="s">
        <v>413</v>
      </c>
      <c r="D4" s="1015" t="s">
        <v>414</v>
      </c>
      <c r="E4" s="1015" t="s">
        <v>415</v>
      </c>
      <c r="F4" s="1015" t="s">
        <v>416</v>
      </c>
      <c r="G4" s="1015" t="s">
        <v>417</v>
      </c>
      <c r="AA4" s="1030"/>
      <c r="AB4" s="283"/>
      <c r="AC4" s="1015" t="s">
        <v>413</v>
      </c>
      <c r="AD4" s="1015" t="s">
        <v>414</v>
      </c>
      <c r="AE4" s="1015" t="s">
        <v>415</v>
      </c>
      <c r="AF4" s="1015" t="s">
        <v>416</v>
      </c>
      <c r="AG4" s="1015" t="s">
        <v>417</v>
      </c>
      <c r="BA4" s="1030"/>
      <c r="BB4" s="283"/>
      <c r="BC4" s="1015" t="s">
        <v>413</v>
      </c>
      <c r="BD4" s="1015" t="s">
        <v>414</v>
      </c>
      <c r="BE4" s="1015" t="s">
        <v>415</v>
      </c>
      <c r="BF4" s="1015" t="s">
        <v>416</v>
      </c>
      <c r="BG4" s="1015" t="s">
        <v>417</v>
      </c>
    </row>
    <row r="5" spans="1:77">
      <c r="A5" s="1205" t="s">
        <v>521</v>
      </c>
      <c r="B5" s="2" t="s">
        <v>334</v>
      </c>
      <c r="C5" s="1031">
        <f>U51</f>
        <v>0.43550196274973302</v>
      </c>
      <c r="D5" s="1031">
        <f t="shared" ref="D5:G5" si="0">V51</f>
        <v>0.53522550118027801</v>
      </c>
      <c r="E5" s="1031">
        <f t="shared" si="0"/>
        <v>0.47522084301008116</v>
      </c>
      <c r="F5" s="1031">
        <f t="shared" si="0"/>
        <v>0.49268986505298018</v>
      </c>
      <c r="G5" s="1031">
        <f t="shared" si="0"/>
        <v>0.60675258961597667</v>
      </c>
      <c r="AA5" s="1205" t="s">
        <v>521</v>
      </c>
      <c r="AB5" s="2" t="s">
        <v>334</v>
      </c>
      <c r="AC5" s="1031">
        <f>AU51</f>
        <v>0.44437313274372719</v>
      </c>
      <c r="AD5" s="1031">
        <f t="shared" ref="AD5:AG5" si="1">AV51</f>
        <v>0.52473769626963429</v>
      </c>
      <c r="AE5" s="1031">
        <f t="shared" si="1"/>
        <v>0.5377054532788873</v>
      </c>
      <c r="AF5" s="1031">
        <f t="shared" si="1"/>
        <v>0.57990892082466527</v>
      </c>
      <c r="AG5" s="1031">
        <f t="shared" si="1"/>
        <v>0.65952546317155403</v>
      </c>
      <c r="BA5" s="1205" t="s">
        <v>521</v>
      </c>
      <c r="BB5" s="2" t="s">
        <v>334</v>
      </c>
      <c r="BC5" s="1031">
        <f>BU51</f>
        <v>0.44957142070489059</v>
      </c>
      <c r="BD5" s="1031">
        <f t="shared" ref="BD5" si="2">BV51</f>
        <v>0.49813170163483927</v>
      </c>
      <c r="BE5" s="1031">
        <f t="shared" ref="BE5" si="3">BW51</f>
        <v>0.58870859106821227</v>
      </c>
      <c r="BF5" s="1031">
        <f t="shared" ref="BF5" si="4">BX51</f>
        <v>0.66679789325984007</v>
      </c>
      <c r="BG5" s="1031">
        <f t="shared" ref="BG5" si="5">BY51</f>
        <v>0.78309830538415126</v>
      </c>
    </row>
    <row r="6" spans="1:77">
      <c r="A6" s="1206"/>
      <c r="B6" s="283"/>
      <c r="C6" s="1015" t="s">
        <v>413</v>
      </c>
      <c r="D6" s="1028" t="s">
        <v>427</v>
      </c>
      <c r="E6" s="1028" t="s">
        <v>428</v>
      </c>
      <c r="F6" s="1028" t="s">
        <v>429</v>
      </c>
      <c r="G6" s="1028" t="s">
        <v>430</v>
      </c>
      <c r="AA6" s="1206"/>
      <c r="AB6" s="283"/>
      <c r="AC6" s="1015" t="s">
        <v>413</v>
      </c>
      <c r="AD6" s="1028" t="s">
        <v>427</v>
      </c>
      <c r="AE6" s="1028" t="s">
        <v>428</v>
      </c>
      <c r="AF6" s="1028" t="s">
        <v>429</v>
      </c>
      <c r="AG6" s="1028" t="s">
        <v>430</v>
      </c>
      <c r="BA6" s="1206"/>
      <c r="BB6" s="283"/>
      <c r="BC6" s="1015" t="s">
        <v>413</v>
      </c>
      <c r="BD6" s="1028" t="s">
        <v>427</v>
      </c>
      <c r="BE6" s="1028" t="s">
        <v>428</v>
      </c>
      <c r="BF6" s="1028" t="s">
        <v>429</v>
      </c>
      <c r="BG6" s="1028" t="s">
        <v>430</v>
      </c>
    </row>
    <row r="7" spans="1:77">
      <c r="A7" s="1205" t="s">
        <v>522</v>
      </c>
      <c r="B7" s="2" t="s">
        <v>334</v>
      </c>
      <c r="C7" s="1032">
        <f>U96</f>
        <v>0.43550196274973302</v>
      </c>
      <c r="D7" s="1032">
        <f t="shared" ref="D7:G7" si="6">V96</f>
        <v>0.42245564556513748</v>
      </c>
      <c r="E7" s="1032">
        <f t="shared" si="6"/>
        <v>0.40923083137629818</v>
      </c>
      <c r="F7" s="1032">
        <f t="shared" si="6"/>
        <v>0.38430989979852254</v>
      </c>
      <c r="G7" s="1032">
        <f t="shared" si="6"/>
        <v>0.39849830694023225</v>
      </c>
      <c r="AA7" s="1205" t="s">
        <v>522</v>
      </c>
      <c r="AB7" s="2" t="s">
        <v>334</v>
      </c>
      <c r="AC7" s="1032">
        <f>AU96</f>
        <v>0.44437313274372719</v>
      </c>
      <c r="AD7" s="1032">
        <f t="shared" ref="AD7:AG7" si="7">AV96</f>
        <v>0.4483611461576047</v>
      </c>
      <c r="AE7" s="1032">
        <f t="shared" si="7"/>
        <v>0.43676598321312521</v>
      </c>
      <c r="AF7" s="1032">
        <f t="shared" si="7"/>
        <v>0.43533251366690284</v>
      </c>
      <c r="AG7" s="1032">
        <f t="shared" si="7"/>
        <v>0.45321799178045152</v>
      </c>
      <c r="BA7" s="1205" t="s">
        <v>522</v>
      </c>
      <c r="BB7" s="2" t="s">
        <v>334</v>
      </c>
      <c r="BC7" s="1032">
        <f>BU96</f>
        <v>0.44957142070489059</v>
      </c>
      <c r="BD7" s="1032">
        <f t="shared" ref="BD7" si="8">BV96</f>
        <v>0.44579976711407127</v>
      </c>
      <c r="BE7" s="1032">
        <f t="shared" ref="BE7" si="9">BW96</f>
        <v>0.46899324009086829</v>
      </c>
      <c r="BF7" s="1032">
        <f t="shared" ref="BF7" si="10">BX96</f>
        <v>0.49681798796238524</v>
      </c>
      <c r="BG7" s="1032">
        <f t="shared" ref="BG7" si="11">BY96</f>
        <v>0.5365236374833654</v>
      </c>
    </row>
    <row r="8" spans="1:77" ht="27.75">
      <c r="A8" s="1029"/>
    </row>
    <row r="10" spans="1:77" ht="26.25">
      <c r="B10" s="1023" t="s">
        <v>59</v>
      </c>
      <c r="C10" s="732"/>
      <c r="I10" s="316" t="s">
        <v>81</v>
      </c>
      <c r="O10" t="s">
        <v>254</v>
      </c>
      <c r="U10" t="s">
        <v>423</v>
      </c>
      <c r="AB10" s="1023" t="s">
        <v>62</v>
      </c>
      <c r="AC10" s="732"/>
      <c r="AI10" s="316" t="s">
        <v>81</v>
      </c>
      <c r="AO10" t="s">
        <v>254</v>
      </c>
      <c r="AU10" t="s">
        <v>423</v>
      </c>
      <c r="BB10" s="1023" t="s">
        <v>63</v>
      </c>
      <c r="BC10" s="732"/>
      <c r="BI10" s="316" t="s">
        <v>81</v>
      </c>
      <c r="BO10" t="s">
        <v>254</v>
      </c>
      <c r="BU10" t="s">
        <v>423</v>
      </c>
    </row>
    <row r="11" spans="1:77">
      <c r="A11" s="615" t="s">
        <v>321</v>
      </c>
      <c r="B11" s="1015" t="s">
        <v>421</v>
      </c>
      <c r="C11" s="1015" t="s">
        <v>413</v>
      </c>
      <c r="D11" s="1015" t="s">
        <v>414</v>
      </c>
      <c r="E11" s="1015" t="s">
        <v>415</v>
      </c>
      <c r="F11" s="1015" t="s">
        <v>416</v>
      </c>
      <c r="G11" s="1015" t="s">
        <v>417</v>
      </c>
      <c r="I11" s="1015" t="s">
        <v>413</v>
      </c>
      <c r="J11" s="1015" t="s">
        <v>414</v>
      </c>
      <c r="K11" s="1015" t="s">
        <v>415</v>
      </c>
      <c r="L11" s="1015" t="s">
        <v>416</v>
      </c>
      <c r="M11" s="1015" t="s">
        <v>417</v>
      </c>
      <c r="O11" s="1015" t="s">
        <v>413</v>
      </c>
      <c r="P11" s="1015" t="s">
        <v>414</v>
      </c>
      <c r="Q11" s="1015" t="s">
        <v>415</v>
      </c>
      <c r="R11" s="1015" t="s">
        <v>416</v>
      </c>
      <c r="S11" s="1015" t="s">
        <v>417</v>
      </c>
      <c r="U11" s="1015" t="s">
        <v>413</v>
      </c>
      <c r="V11" s="1015" t="s">
        <v>414</v>
      </c>
      <c r="W11" s="1015" t="s">
        <v>415</v>
      </c>
      <c r="X11" s="1015" t="s">
        <v>416</v>
      </c>
      <c r="Y11" s="1015" t="s">
        <v>417</v>
      </c>
      <c r="AA11" s="615" t="s">
        <v>321</v>
      </c>
      <c r="AB11" s="1015" t="s">
        <v>421</v>
      </c>
      <c r="AC11" s="1015" t="s">
        <v>413</v>
      </c>
      <c r="AD11" s="1015" t="s">
        <v>414</v>
      </c>
      <c r="AE11" s="1015" t="s">
        <v>415</v>
      </c>
      <c r="AF11" s="1015" t="s">
        <v>416</v>
      </c>
      <c r="AG11" s="1015" t="s">
        <v>417</v>
      </c>
      <c r="AI11" s="1015" t="s">
        <v>413</v>
      </c>
      <c r="AJ11" s="1015" t="s">
        <v>414</v>
      </c>
      <c r="AK11" s="1015" t="s">
        <v>415</v>
      </c>
      <c r="AL11" s="1015" t="s">
        <v>416</v>
      </c>
      <c r="AM11" s="1015" t="s">
        <v>417</v>
      </c>
      <c r="AO11" s="1015" t="s">
        <v>413</v>
      </c>
      <c r="AP11" s="1015" t="s">
        <v>414</v>
      </c>
      <c r="AQ11" s="1015" t="s">
        <v>415</v>
      </c>
      <c r="AR11" s="1015" t="s">
        <v>416</v>
      </c>
      <c r="AS11" s="1015" t="s">
        <v>417</v>
      </c>
      <c r="AU11" s="1015" t="s">
        <v>413</v>
      </c>
      <c r="AV11" s="1015" t="s">
        <v>414</v>
      </c>
      <c r="AW11" s="1015" t="s">
        <v>415</v>
      </c>
      <c r="AX11" s="1015" t="s">
        <v>416</v>
      </c>
      <c r="AY11" s="1015" t="s">
        <v>417</v>
      </c>
      <c r="BA11" s="615" t="s">
        <v>321</v>
      </c>
      <c r="BB11" s="1015" t="s">
        <v>421</v>
      </c>
      <c r="BC11" s="1015" t="s">
        <v>413</v>
      </c>
      <c r="BD11" s="1015" t="s">
        <v>414</v>
      </c>
      <c r="BE11" s="1015" t="s">
        <v>415</v>
      </c>
      <c r="BF11" s="1015" t="s">
        <v>416</v>
      </c>
      <c r="BG11" s="1015" t="s">
        <v>417</v>
      </c>
      <c r="BI11" s="1015" t="s">
        <v>413</v>
      </c>
      <c r="BJ11" s="1015" t="s">
        <v>414</v>
      </c>
      <c r="BK11" s="1015" t="s">
        <v>415</v>
      </c>
      <c r="BL11" s="1015" t="s">
        <v>416</v>
      </c>
      <c r="BM11" s="1015" t="s">
        <v>417</v>
      </c>
      <c r="BO11" s="1015" t="s">
        <v>413</v>
      </c>
      <c r="BP11" s="1015" t="s">
        <v>414</v>
      </c>
      <c r="BQ11" s="1015" t="s">
        <v>415</v>
      </c>
      <c r="BR11" s="1015" t="s">
        <v>416</v>
      </c>
      <c r="BS11" s="1015" t="s">
        <v>417</v>
      </c>
      <c r="BU11" s="1015" t="s">
        <v>413</v>
      </c>
      <c r="BV11" s="1015" t="s">
        <v>414</v>
      </c>
      <c r="BW11" s="1015" t="s">
        <v>415</v>
      </c>
      <c r="BX11" s="1015" t="s">
        <v>416</v>
      </c>
      <c r="BY11" s="1015" t="s">
        <v>417</v>
      </c>
    </row>
    <row r="12" spans="1:77">
      <c r="A12" s="1011">
        <v>1980</v>
      </c>
      <c r="B12" s="1012">
        <f>RunXAge!$F6</f>
        <v>77.378995433789953</v>
      </c>
      <c r="C12" s="1013"/>
      <c r="D12" s="1013"/>
      <c r="E12" s="1013"/>
      <c r="F12" s="1013"/>
      <c r="G12" s="1013"/>
      <c r="AA12" s="1011">
        <v>1980</v>
      </c>
      <c r="AB12" s="1012">
        <f>RunXAge!$I6</f>
        <v>2398.7488584474886</v>
      </c>
      <c r="AC12" s="1013"/>
      <c r="AD12" s="1013"/>
      <c r="AE12" s="1013"/>
      <c r="AF12" s="1013"/>
      <c r="AG12" s="1013"/>
      <c r="BA12" s="1011">
        <v>1980</v>
      </c>
      <c r="BB12" s="1012">
        <f>RunXAge!$M6</f>
        <v>4681.4292237442924</v>
      </c>
      <c r="BC12" s="1013"/>
      <c r="BD12" s="1013"/>
      <c r="BE12" s="1013"/>
      <c r="BF12" s="1013"/>
      <c r="BG12" s="1013"/>
    </row>
    <row r="13" spans="1:77">
      <c r="A13" s="1011">
        <v>1981</v>
      </c>
      <c r="B13" s="1012">
        <f>RunXAge!$F7</f>
        <v>1059.1259259259259</v>
      </c>
      <c r="C13" s="1012">
        <f>B12</f>
        <v>77.378995433789953</v>
      </c>
      <c r="D13" s="1013"/>
      <c r="E13" s="1013"/>
      <c r="F13" s="1013"/>
      <c r="G13" s="1013"/>
      <c r="I13" s="1018">
        <f>C13-$B13</f>
        <v>-981.74693049213602</v>
      </c>
      <c r="J13" s="1019"/>
      <c r="K13" s="1019"/>
      <c r="L13" s="1019"/>
      <c r="M13" s="1019"/>
      <c r="O13" s="1016">
        <f>I13/$B13</f>
        <v>-0.92694070314052368</v>
      </c>
      <c r="U13" s="1022">
        <f>ABS(O13)</f>
        <v>0.92694070314052368</v>
      </c>
      <c r="AA13" s="1011">
        <v>1981</v>
      </c>
      <c r="AB13" s="1012">
        <f>RunXAge!$I7</f>
        <v>8624.3111111111102</v>
      </c>
      <c r="AC13" s="1012">
        <f>AB12</f>
        <v>2398.7488584474886</v>
      </c>
      <c r="AD13" s="1013"/>
      <c r="AE13" s="1013"/>
      <c r="AF13" s="1013"/>
      <c r="AG13" s="1013"/>
      <c r="AI13" s="1018">
        <f>AC13-$AB13</f>
        <v>-6225.5622526636216</v>
      </c>
      <c r="AJ13" s="1019"/>
      <c r="AK13" s="1019"/>
      <c r="AL13" s="1019"/>
      <c r="AM13" s="1019"/>
      <c r="AO13" s="1016">
        <f>AI13/$AB13</f>
        <v>-0.72186197511392347</v>
      </c>
      <c r="AU13" s="1022">
        <f>ABS(AO13)</f>
        <v>0.72186197511392347</v>
      </c>
      <c r="BA13" s="1011">
        <v>1981</v>
      </c>
      <c r="BB13" s="1012">
        <f>RunXAge!$M7</f>
        <v>8321.7037037037026</v>
      </c>
      <c r="BC13" s="1012">
        <f>BB12</f>
        <v>4681.4292237442924</v>
      </c>
      <c r="BD13" s="1013"/>
      <c r="BE13" s="1013"/>
      <c r="BF13" s="1013"/>
      <c r="BG13" s="1013"/>
      <c r="BI13" s="1018">
        <f>BC13-$BB13</f>
        <v>-3640.2744799594102</v>
      </c>
      <c r="BJ13" s="1019"/>
      <c r="BK13" s="1019"/>
      <c r="BL13" s="1019"/>
      <c r="BM13" s="1019"/>
      <c r="BO13" s="1016">
        <f>BI13/$BB13</f>
        <v>-0.4374434141820322</v>
      </c>
      <c r="BU13" s="1022">
        <f>ABS(BO13)</f>
        <v>0.4374434141820322</v>
      </c>
    </row>
    <row r="14" spans="1:77">
      <c r="A14" s="1011">
        <v>1982</v>
      </c>
      <c r="B14" s="1012">
        <f>RunXAge!$F8</f>
        <v>3576.5243073918882</v>
      </c>
      <c r="C14" s="1012">
        <f t="shared" ref="C14:C49" si="12">B13</f>
        <v>1059.1259259259259</v>
      </c>
      <c r="D14" s="1012">
        <f>B12</f>
        <v>77.378995433789953</v>
      </c>
      <c r="E14" s="1013"/>
      <c r="F14" s="1013"/>
      <c r="G14" s="1013"/>
      <c r="I14" s="1018">
        <f t="shared" ref="I14:J17" si="13">C14-$B14</f>
        <v>-2517.3983814659623</v>
      </c>
      <c r="J14" s="1018">
        <f t="shared" si="13"/>
        <v>-3499.1453119580983</v>
      </c>
      <c r="K14" s="1019"/>
      <c r="L14" s="1019"/>
      <c r="M14" s="1019"/>
      <c r="O14" s="1016">
        <f t="shared" ref="O14:O48" si="14">I14/$B14</f>
        <v>-0.70386726472487671</v>
      </c>
      <c r="P14" s="1016">
        <f>J14/$B14</f>
        <v>-0.97836475058372607</v>
      </c>
      <c r="U14" s="1022">
        <f t="shared" ref="U14:V48" si="15">ABS(O14)</f>
        <v>0.70386726472487671</v>
      </c>
      <c r="V14" s="1022">
        <f t="shared" si="15"/>
        <v>0.97836475058372607</v>
      </c>
      <c r="AA14" s="1011">
        <v>1982</v>
      </c>
      <c r="AB14" s="1012">
        <f>RunXAge!$I8</f>
        <v>25211.19913754526</v>
      </c>
      <c r="AC14" s="1012">
        <f t="shared" ref="AC14:AC49" si="16">AB13</f>
        <v>8624.3111111111102</v>
      </c>
      <c r="AD14" s="1012">
        <f>AB12</f>
        <v>2398.7488584474886</v>
      </c>
      <c r="AE14" s="1013"/>
      <c r="AF14" s="1013"/>
      <c r="AG14" s="1013"/>
      <c r="AI14" s="1018">
        <f t="shared" ref="AI14:AJ17" si="17">AC14-$AB14</f>
        <v>-16586.88802643415</v>
      </c>
      <c r="AJ14" s="1018">
        <f t="shared" si="17"/>
        <v>-22812.450279097771</v>
      </c>
      <c r="AK14" s="1019"/>
      <c r="AL14" s="1019"/>
      <c r="AM14" s="1019"/>
      <c r="AO14" s="1016">
        <f>AI14/$AB14</f>
        <v>-0.65791745707694116</v>
      </c>
      <c r="AP14" s="1016">
        <f>AJ14/$AB14</f>
        <v>-0.90485383716337386</v>
      </c>
      <c r="AU14" s="1022">
        <f t="shared" ref="AU14:AU48" si="18">ABS(AO14)</f>
        <v>0.65791745707694116</v>
      </c>
      <c r="AV14" s="1022">
        <f t="shared" ref="AV14:AV48" si="19">ABS(AP14)</f>
        <v>0.90485383716337386</v>
      </c>
      <c r="BA14" s="1011">
        <v>1982</v>
      </c>
      <c r="BB14" s="1012">
        <f>RunXAge!$M8</f>
        <v>12053.313616207641</v>
      </c>
      <c r="BC14" s="1012">
        <f t="shared" ref="BC14:BC49" si="20">BB13</f>
        <v>8321.7037037037026</v>
      </c>
      <c r="BD14" s="1012">
        <f>BB12</f>
        <v>4681.4292237442924</v>
      </c>
      <c r="BE14" s="1013"/>
      <c r="BF14" s="1013"/>
      <c r="BG14" s="1013"/>
      <c r="BI14" s="1018">
        <f t="shared" ref="BI14:BJ17" si="21">BC14-$BB14</f>
        <v>-3731.6099125039382</v>
      </c>
      <c r="BJ14" s="1018">
        <f t="shared" si="21"/>
        <v>-7371.8843924633484</v>
      </c>
      <c r="BK14" s="1019"/>
      <c r="BL14" s="1019"/>
      <c r="BM14" s="1019"/>
      <c r="BO14" s="1016">
        <f t="shared" ref="BO14:BP17" si="22">BI14/$BB14</f>
        <v>-0.3095920367894669</v>
      </c>
      <c r="BP14" s="1016">
        <f t="shared" si="22"/>
        <v>-0.6116064533947454</v>
      </c>
      <c r="BU14" s="1022">
        <f t="shared" ref="BU14:BU48" si="23">ABS(BO14)</f>
        <v>0.3095920367894669</v>
      </c>
      <c r="BV14" s="1022">
        <f t="shared" ref="BV14:BV48" si="24">ABS(BP14)</f>
        <v>0.6116064533947454</v>
      </c>
    </row>
    <row r="15" spans="1:77">
      <c r="A15" s="1011">
        <v>1983</v>
      </c>
      <c r="B15" s="1012">
        <f>RunXAge!$F9</f>
        <v>2052.1924353284553</v>
      </c>
      <c r="C15" s="1012">
        <f t="shared" si="12"/>
        <v>3576.5243073918882</v>
      </c>
      <c r="D15" s="1012">
        <f t="shared" ref="D15:D49" si="25">B13</f>
        <v>1059.1259259259259</v>
      </c>
      <c r="E15" s="1012">
        <f>B12</f>
        <v>77.378995433789953</v>
      </c>
      <c r="F15" s="1013"/>
      <c r="G15" s="1013"/>
      <c r="I15" s="1018">
        <f t="shared" si="13"/>
        <v>1524.3318720634329</v>
      </c>
      <c r="J15" s="1018">
        <f t="shared" ref="J15:J17" si="26">D15-$B15</f>
        <v>-993.06650940252939</v>
      </c>
      <c r="K15" s="1018">
        <f t="shared" ref="K15:K17" si="27">E15-$B15</f>
        <v>-1974.8134398946654</v>
      </c>
      <c r="L15" s="1019"/>
      <c r="M15" s="1019"/>
      <c r="O15" s="1016">
        <f t="shared" si="14"/>
        <v>0.74278213184206687</v>
      </c>
      <c r="P15" s="1016">
        <f t="shared" ref="P15:P17" si="28">J15/$B15</f>
        <v>-0.48390516030899811</v>
      </c>
      <c r="Q15" s="1016">
        <f t="shared" ref="Q15:Q17" si="29">K15/$B15</f>
        <v>-0.96229447389937128</v>
      </c>
      <c r="U15" s="1022">
        <f t="shared" si="15"/>
        <v>0.74278213184206687</v>
      </c>
      <c r="V15" s="1022">
        <f t="shared" ref="V15:V17" si="30">ABS(P15)</f>
        <v>0.48390516030899811</v>
      </c>
      <c r="W15" s="1022">
        <f t="shared" ref="W15:W17" si="31">ABS(Q15)</f>
        <v>0.96229447389937128</v>
      </c>
      <c r="AA15" s="1011">
        <v>1983</v>
      </c>
      <c r="AB15" s="1012">
        <f>RunXAge!$I9</f>
        <v>33917.530726480349</v>
      </c>
      <c r="AC15" s="1012">
        <f t="shared" si="16"/>
        <v>25211.19913754526</v>
      </c>
      <c r="AD15" s="1012">
        <f t="shared" ref="AD15:AD49" si="32">AB13</f>
        <v>8624.3111111111102</v>
      </c>
      <c r="AE15" s="1012">
        <f>AB12</f>
        <v>2398.7488584474886</v>
      </c>
      <c r="AF15" s="1013"/>
      <c r="AG15" s="1013"/>
      <c r="AI15" s="1018">
        <f t="shared" si="17"/>
        <v>-8706.3315889350888</v>
      </c>
      <c r="AJ15" s="1018">
        <f t="shared" ref="AJ15:AJ17" si="33">AD15-$AB15</f>
        <v>-25293.219615369238</v>
      </c>
      <c r="AK15" s="1018">
        <f t="shared" ref="AK15:AK17" si="34">AE15-$AB15</f>
        <v>-31518.78186803286</v>
      </c>
      <c r="AL15" s="1019"/>
      <c r="AM15" s="1019"/>
      <c r="AO15" s="1016">
        <f>AI15/$AB15</f>
        <v>-0.25669119780992244</v>
      </c>
      <c r="AP15" s="1016">
        <f t="shared" ref="AP15:AQ17" si="35">AJ15/$AB15</f>
        <v>-0.74572703476972535</v>
      </c>
      <c r="AQ15" s="1016">
        <f t="shared" si="35"/>
        <v>-0.9292770196689254</v>
      </c>
      <c r="AU15" s="1022">
        <f t="shared" si="18"/>
        <v>0.25669119780992244</v>
      </c>
      <c r="AV15" s="1022">
        <f t="shared" si="19"/>
        <v>0.74572703476972535</v>
      </c>
      <c r="AW15" s="1022">
        <f t="shared" ref="AW15:AW48" si="36">ABS(AQ15)</f>
        <v>0.9292770196689254</v>
      </c>
      <c r="BA15" s="1011">
        <v>1983</v>
      </c>
      <c r="BB15" s="1012">
        <f>RunXAge!$M9</f>
        <v>16990.664727519888</v>
      </c>
      <c r="BC15" s="1012">
        <f t="shared" si="20"/>
        <v>12053.313616207641</v>
      </c>
      <c r="BD15" s="1012">
        <f t="shared" ref="BD15:BD49" si="37">BB13</f>
        <v>8321.7037037037026</v>
      </c>
      <c r="BE15" s="1012">
        <f>BB12</f>
        <v>4681.4292237442924</v>
      </c>
      <c r="BF15" s="1013"/>
      <c r="BG15" s="1013"/>
      <c r="BI15" s="1018">
        <f t="shared" si="21"/>
        <v>-4937.3511113122477</v>
      </c>
      <c r="BJ15" s="1018">
        <f t="shared" ref="BJ15:BJ17" si="38">BD15-$BB15</f>
        <v>-8668.9610238161858</v>
      </c>
      <c r="BK15" s="1018">
        <f t="shared" ref="BK15:BK17" si="39">BE15-$BB15</f>
        <v>-12309.235503775595</v>
      </c>
      <c r="BL15" s="1019"/>
      <c r="BM15" s="1019"/>
      <c r="BO15" s="1016">
        <f t="shared" si="22"/>
        <v>-0.29059199216115356</v>
      </c>
      <c r="BP15" s="1016">
        <f t="shared" ref="BP15:BP17" si="40">BJ15/$BB15</f>
        <v>-0.51021906222274016</v>
      </c>
      <c r="BQ15" s="1016">
        <f t="shared" ref="BQ15:BQ17" si="41">BK15/$BB15</f>
        <v>-0.72447050784530209</v>
      </c>
      <c r="BU15" s="1022">
        <f t="shared" si="23"/>
        <v>0.29059199216115356</v>
      </c>
      <c r="BV15" s="1022">
        <f t="shared" si="24"/>
        <v>0.51021906222274016</v>
      </c>
      <c r="BW15" s="1022">
        <f t="shared" ref="BW15:BW48" si="42">ABS(BQ15)</f>
        <v>0.72447050784530209</v>
      </c>
    </row>
    <row r="16" spans="1:77">
      <c r="A16" s="1011">
        <v>1984</v>
      </c>
      <c r="B16" s="1012">
        <f>RunXAge!$F10</f>
        <v>899.67646527006423</v>
      </c>
      <c r="C16" s="1012">
        <f t="shared" si="12"/>
        <v>2052.1924353284553</v>
      </c>
      <c r="D16" s="1012">
        <f t="shared" si="25"/>
        <v>3576.5243073918882</v>
      </c>
      <c r="E16" s="1012">
        <f t="shared" ref="E16:E49" si="43">B13</f>
        <v>1059.1259259259259</v>
      </c>
      <c r="F16" s="1012">
        <f>B12</f>
        <v>77.378995433789953</v>
      </c>
      <c r="G16" s="1012"/>
      <c r="I16" s="1018">
        <f>C16-$B16</f>
        <v>1152.5159700583911</v>
      </c>
      <c r="J16" s="1018">
        <f t="shared" si="26"/>
        <v>2676.8478421218242</v>
      </c>
      <c r="K16" s="1018">
        <f t="shared" si="27"/>
        <v>159.44946065586169</v>
      </c>
      <c r="L16" s="1018">
        <f>F16-$B16</f>
        <v>-822.29746983627433</v>
      </c>
      <c r="M16" s="1019"/>
      <c r="O16" s="1016">
        <f t="shared" si="14"/>
        <v>1.2810338099846035</v>
      </c>
      <c r="P16" s="1016">
        <f t="shared" si="28"/>
        <v>2.9753449661687994</v>
      </c>
      <c r="Q16" s="1016">
        <f t="shared" si="29"/>
        <v>0.17722977849375915</v>
      </c>
      <c r="R16" s="1016">
        <f t="shared" ref="R16:R17" si="44">L16/$B16</f>
        <v>-0.91399242014120896</v>
      </c>
      <c r="U16" s="1022">
        <f t="shared" si="15"/>
        <v>1.2810338099846035</v>
      </c>
      <c r="V16" s="1022">
        <f t="shared" si="30"/>
        <v>2.9753449661687994</v>
      </c>
      <c r="W16" s="1022">
        <f t="shared" si="31"/>
        <v>0.17722977849375915</v>
      </c>
      <c r="X16" s="1022">
        <f t="shared" ref="X16:X17" si="45">ABS(R16)</f>
        <v>0.91399242014120896</v>
      </c>
      <c r="AA16" s="1011">
        <v>1984</v>
      </c>
      <c r="AB16" s="1012">
        <f>RunXAge!$I10</f>
        <v>13184.072404618604</v>
      </c>
      <c r="AC16" s="1012">
        <f t="shared" si="16"/>
        <v>33917.530726480349</v>
      </c>
      <c r="AD16" s="1012">
        <f t="shared" si="32"/>
        <v>25211.19913754526</v>
      </c>
      <c r="AE16" s="1012">
        <f t="shared" ref="AE16:AE49" si="46">AB13</f>
        <v>8624.3111111111102</v>
      </c>
      <c r="AF16" s="1012">
        <f>AB12</f>
        <v>2398.7488584474886</v>
      </c>
      <c r="AG16" s="1012"/>
      <c r="AI16" s="1018">
        <f t="shared" si="17"/>
        <v>20733.458321861744</v>
      </c>
      <c r="AJ16" s="1018">
        <f t="shared" si="33"/>
        <v>12027.126732926656</v>
      </c>
      <c r="AK16" s="1018">
        <f t="shared" si="34"/>
        <v>-4559.761293507494</v>
      </c>
      <c r="AL16" s="1018">
        <f t="shared" ref="AL16:AL17" si="47">AF16-$AB16</f>
        <v>-10785.323546171116</v>
      </c>
      <c r="AM16" s="1019"/>
      <c r="AO16" s="1016">
        <f>AI16/$AB16</f>
        <v>1.5726141123586717</v>
      </c>
      <c r="AP16" s="1016">
        <f t="shared" si="35"/>
        <v>0.91224671435461391</v>
      </c>
      <c r="AQ16" s="1016">
        <f t="shared" si="35"/>
        <v>-0.34585378125730953</v>
      </c>
      <c r="AR16" s="1016">
        <f t="shared" ref="AR16:AR17" si="48">AL16/$AB16</f>
        <v>-0.81805706273221268</v>
      </c>
      <c r="AU16" s="1022">
        <f t="shared" si="18"/>
        <v>1.5726141123586717</v>
      </c>
      <c r="AV16" s="1022">
        <f t="shared" si="19"/>
        <v>0.91224671435461391</v>
      </c>
      <c r="AW16" s="1022">
        <f t="shared" si="36"/>
        <v>0.34585378125730953</v>
      </c>
      <c r="AX16" s="1022">
        <f t="shared" ref="AX16:AX48" si="49">ABS(AR16)</f>
        <v>0.81805706273221268</v>
      </c>
      <c r="BA16" s="1011">
        <v>1984</v>
      </c>
      <c r="BB16" s="1012">
        <f>RunXAge!$M10</f>
        <v>22116.792291994938</v>
      </c>
      <c r="BC16" s="1012">
        <f t="shared" si="20"/>
        <v>16990.664727519888</v>
      </c>
      <c r="BD16" s="1012">
        <f t="shared" si="37"/>
        <v>12053.313616207641</v>
      </c>
      <c r="BE16" s="1012">
        <f t="shared" ref="BE16:BE49" si="50">BB13</f>
        <v>8321.7037037037026</v>
      </c>
      <c r="BF16" s="1012">
        <f>BB12</f>
        <v>4681.4292237442924</v>
      </c>
      <c r="BG16" s="1012"/>
      <c r="BI16" s="1018">
        <f t="shared" si="21"/>
        <v>-5126.1275644750494</v>
      </c>
      <c r="BJ16" s="1018">
        <f t="shared" si="38"/>
        <v>-10063.478675787297</v>
      </c>
      <c r="BK16" s="1018">
        <f t="shared" si="39"/>
        <v>-13795.088588291235</v>
      </c>
      <c r="BL16" s="1018">
        <f t="shared" ref="BL16:BL17" si="51">BF16-$BB16</f>
        <v>-17435.363068250645</v>
      </c>
      <c r="BM16" s="1019"/>
      <c r="BO16" s="1016">
        <f t="shared" si="22"/>
        <v>-0.23177536311766267</v>
      </c>
      <c r="BP16" s="1016">
        <f t="shared" si="40"/>
        <v>-0.45501529077657987</v>
      </c>
      <c r="BQ16" s="1016">
        <f t="shared" si="41"/>
        <v>-0.62373821692417386</v>
      </c>
      <c r="BR16" s="1016">
        <f t="shared" ref="BR16:BR17" si="52">BL16/$BB16</f>
        <v>-0.78833145593908238</v>
      </c>
      <c r="BU16" s="1022">
        <f t="shared" si="23"/>
        <v>0.23177536311766267</v>
      </c>
      <c r="BV16" s="1022">
        <f t="shared" si="24"/>
        <v>0.45501529077657987</v>
      </c>
      <c r="BW16" s="1022">
        <f t="shared" si="42"/>
        <v>0.62373821692417386</v>
      </c>
      <c r="BX16" s="1022">
        <f t="shared" ref="BX16:BX48" si="53">ABS(BR16)</f>
        <v>0.78833145593908238</v>
      </c>
    </row>
    <row r="17" spans="1:77">
      <c r="A17" s="1011">
        <v>1985</v>
      </c>
      <c r="B17" s="1012">
        <f>RunXAge!$F11</f>
        <v>2828.907969661886</v>
      </c>
      <c r="C17" s="1012">
        <f t="shared" si="12"/>
        <v>899.67646527006423</v>
      </c>
      <c r="D17" s="1012">
        <f t="shared" si="25"/>
        <v>2052.1924353284553</v>
      </c>
      <c r="E17" s="1012">
        <f t="shared" si="43"/>
        <v>3576.5243073918882</v>
      </c>
      <c r="F17" s="1012">
        <f t="shared" ref="F17:F49" si="54">B13</f>
        <v>1059.1259259259259</v>
      </c>
      <c r="G17" s="1012">
        <f>B12</f>
        <v>77.378995433789953</v>
      </c>
      <c r="I17" s="1018">
        <f t="shared" si="13"/>
        <v>-1929.2315043918218</v>
      </c>
      <c r="J17" s="1018">
        <f t="shared" si="26"/>
        <v>-776.7155343334307</v>
      </c>
      <c r="K17" s="1018">
        <f t="shared" si="27"/>
        <v>747.61633773000221</v>
      </c>
      <c r="L17" s="1018">
        <f t="shared" ref="L17" si="55">F17-$B17</f>
        <v>-1769.7820437359601</v>
      </c>
      <c r="M17" s="1018">
        <f t="shared" ref="M17" si="56">G17-$B17</f>
        <v>-2751.5289742280961</v>
      </c>
      <c r="O17" s="1016">
        <f t="shared" si="14"/>
        <v>-0.68197040168203338</v>
      </c>
      <c r="P17" s="1016">
        <f t="shared" si="28"/>
        <v>-0.27456373366089548</v>
      </c>
      <c r="Q17" s="1016">
        <f t="shared" si="29"/>
        <v>0.26427736276601393</v>
      </c>
      <c r="R17" s="1016">
        <f t="shared" si="44"/>
        <v>-0.6256060864176809</v>
      </c>
      <c r="S17" s="1016">
        <f>M17/$B17</f>
        <v>-0.97264704392520829</v>
      </c>
      <c r="U17" s="1022">
        <f t="shared" si="15"/>
        <v>0.68197040168203338</v>
      </c>
      <c r="V17" s="1022">
        <f t="shared" si="30"/>
        <v>0.27456373366089548</v>
      </c>
      <c r="W17" s="1022">
        <f t="shared" si="31"/>
        <v>0.26427736276601393</v>
      </c>
      <c r="X17" s="1022">
        <f t="shared" si="45"/>
        <v>0.6256060864176809</v>
      </c>
      <c r="Y17" s="1022">
        <f t="shared" ref="Y17" si="57">ABS(S17)</f>
        <v>0.97264704392520829</v>
      </c>
      <c r="AA17" s="1011">
        <v>1985</v>
      </c>
      <c r="AB17" s="1012">
        <f>RunXAge!$I11</f>
        <v>12239.848971008672</v>
      </c>
      <c r="AC17" s="1012">
        <f t="shared" si="16"/>
        <v>13184.072404618604</v>
      </c>
      <c r="AD17" s="1012">
        <f t="shared" si="32"/>
        <v>33917.530726480349</v>
      </c>
      <c r="AE17" s="1012">
        <f t="shared" si="46"/>
        <v>25211.19913754526</v>
      </c>
      <c r="AF17" s="1012">
        <f t="shared" ref="AF17:AF49" si="58">AB13</f>
        <v>8624.3111111111102</v>
      </c>
      <c r="AG17" s="1012">
        <f>AB12</f>
        <v>2398.7488584474886</v>
      </c>
      <c r="AI17" s="1018">
        <f t="shared" si="17"/>
        <v>944.22343360993182</v>
      </c>
      <c r="AJ17" s="1018">
        <f t="shared" si="33"/>
        <v>21677.681755471676</v>
      </c>
      <c r="AK17" s="1018">
        <f t="shared" si="34"/>
        <v>12971.350166536587</v>
      </c>
      <c r="AL17" s="1018">
        <f t="shared" si="47"/>
        <v>-3615.5378598975622</v>
      </c>
      <c r="AM17" s="1018">
        <f t="shared" ref="AM17" si="59">AG17-$AB17</f>
        <v>-9841.1001125611838</v>
      </c>
      <c r="AO17" s="1016">
        <f>AI17/$AB17</f>
        <v>7.7143389256388792E-2</v>
      </c>
      <c r="AP17" s="1016">
        <f t="shared" si="35"/>
        <v>1.7710742842348359</v>
      </c>
      <c r="AQ17" s="1016">
        <f t="shared" si="35"/>
        <v>1.0597639069943223</v>
      </c>
      <c r="AR17" s="1016">
        <f t="shared" si="48"/>
        <v>-0.29539072487424733</v>
      </c>
      <c r="AS17" s="1016">
        <f t="shared" ref="AS17" si="60">AM17/$AB17</f>
        <v>-0.80402136790011303</v>
      </c>
      <c r="AU17" s="1022">
        <f t="shared" si="18"/>
        <v>7.7143389256388792E-2</v>
      </c>
      <c r="AV17" s="1022">
        <f t="shared" si="19"/>
        <v>1.7710742842348359</v>
      </c>
      <c r="AW17" s="1022">
        <f t="shared" si="36"/>
        <v>1.0597639069943223</v>
      </c>
      <c r="AX17" s="1022">
        <f t="shared" si="49"/>
        <v>0.29539072487424733</v>
      </c>
      <c r="AY17" s="1022">
        <f t="shared" ref="AY17:AY48" si="61">ABS(AS17)</f>
        <v>0.80402136790011303</v>
      </c>
      <c r="BA17" s="1011">
        <v>1985</v>
      </c>
      <c r="BB17" s="1012">
        <f>RunXAge!$M11</f>
        <v>25990.591971268575</v>
      </c>
      <c r="BC17" s="1012">
        <f t="shared" si="20"/>
        <v>22116.792291994938</v>
      </c>
      <c r="BD17" s="1012">
        <f t="shared" si="37"/>
        <v>16990.664727519888</v>
      </c>
      <c r="BE17" s="1012">
        <f t="shared" si="50"/>
        <v>12053.313616207641</v>
      </c>
      <c r="BF17" s="1012">
        <f t="shared" ref="BF17:BF49" si="62">BB13</f>
        <v>8321.7037037037026</v>
      </c>
      <c r="BG17" s="1012">
        <f>BB12</f>
        <v>4681.4292237442924</v>
      </c>
      <c r="BI17" s="1018">
        <f t="shared" si="21"/>
        <v>-3873.7996792736376</v>
      </c>
      <c r="BJ17" s="1018">
        <f t="shared" si="38"/>
        <v>-8999.927243748687</v>
      </c>
      <c r="BK17" s="1018">
        <f t="shared" si="39"/>
        <v>-13937.278355060935</v>
      </c>
      <c r="BL17" s="1018">
        <f t="shared" si="51"/>
        <v>-17668.888267564871</v>
      </c>
      <c r="BM17" s="1018">
        <f t="shared" ref="BM17" si="63">BG17-$BB17</f>
        <v>-21309.162747524282</v>
      </c>
      <c r="BO17" s="1016">
        <f t="shared" si="22"/>
        <v>-0.14904622732548561</v>
      </c>
      <c r="BP17" s="1016">
        <f t="shared" si="40"/>
        <v>-0.34627634698346615</v>
      </c>
      <c r="BQ17" s="1016">
        <f t="shared" si="41"/>
        <v>-0.53624320563640748</v>
      </c>
      <c r="BR17" s="1016">
        <f t="shared" si="52"/>
        <v>-0.6798186161783859</v>
      </c>
      <c r="BS17" s="1016">
        <f t="shared" ref="BS17" si="64">BM17/$BB17</f>
        <v>-0.81987985387484053</v>
      </c>
      <c r="BU17" s="1022">
        <f t="shared" si="23"/>
        <v>0.14904622732548561</v>
      </c>
      <c r="BV17" s="1022">
        <f t="shared" si="24"/>
        <v>0.34627634698346615</v>
      </c>
      <c r="BW17" s="1022">
        <f t="shared" si="42"/>
        <v>0.53624320563640748</v>
      </c>
      <c r="BX17" s="1022">
        <f t="shared" si="53"/>
        <v>0.6798186161783859</v>
      </c>
      <c r="BY17" s="1022">
        <f t="shared" ref="BY17:BY48" si="65">ABS(BS17)</f>
        <v>0.81987985387484053</v>
      </c>
    </row>
    <row r="18" spans="1:77">
      <c r="A18" s="1011">
        <v>1986</v>
      </c>
      <c r="B18" s="1012">
        <f>RunXAge!$F12</f>
        <v>2352.3127612490775</v>
      </c>
      <c r="C18" s="1012">
        <f t="shared" si="12"/>
        <v>2828.907969661886</v>
      </c>
      <c r="D18" s="1012">
        <f t="shared" si="25"/>
        <v>899.67646527006423</v>
      </c>
      <c r="E18" s="1012">
        <f t="shared" si="43"/>
        <v>2052.1924353284553</v>
      </c>
      <c r="F18" s="1012">
        <f t="shared" si="54"/>
        <v>3576.5243073918882</v>
      </c>
      <c r="G18" s="1012">
        <f t="shared" ref="G18:G49" si="66">B13</f>
        <v>1059.1259259259259</v>
      </c>
      <c r="I18" s="1018">
        <f t="shared" ref="I18:I48" si="67">C18-$B18</f>
        <v>476.59520841280846</v>
      </c>
      <c r="J18" s="1018">
        <f t="shared" ref="J18:J48" si="68">D18-$B18</f>
        <v>-1452.6362959790133</v>
      </c>
      <c r="K18" s="1018">
        <f t="shared" ref="K18:K48" si="69">E18-$B18</f>
        <v>-300.12032592062224</v>
      </c>
      <c r="L18" s="1018">
        <f t="shared" ref="L18:L48" si="70">F18-$B18</f>
        <v>1224.2115461428107</v>
      </c>
      <c r="M18" s="1018">
        <f t="shared" ref="M18:M48" si="71">G18-$B18</f>
        <v>-1293.1868353231516</v>
      </c>
      <c r="O18" s="1016">
        <f t="shared" si="14"/>
        <v>0.20260707515769991</v>
      </c>
      <c r="P18" s="1016">
        <f t="shared" ref="P18:P48" si="72">J18/$B18</f>
        <v>-0.61753535495325196</v>
      </c>
      <c r="Q18" s="1016">
        <f t="shared" ref="Q18:Q48" si="73">K18/$B18</f>
        <v>-0.12758521352460733</v>
      </c>
      <c r="R18" s="1016">
        <f t="shared" ref="R18:R48" si="74">L18/$B18</f>
        <v>0.52042890142412634</v>
      </c>
      <c r="S18" s="1016">
        <f t="shared" ref="S18:S48" si="75">M18/$B18</f>
        <v>-0.54975123062992259</v>
      </c>
      <c r="U18" s="1022">
        <f t="shared" si="15"/>
        <v>0.20260707515769991</v>
      </c>
      <c r="V18" s="1022">
        <f t="shared" ref="V18:V48" si="76">ABS(P18)</f>
        <v>0.61753535495325196</v>
      </c>
      <c r="W18" s="1022">
        <f t="shared" ref="W18:W48" si="77">ABS(Q18)</f>
        <v>0.12758521352460733</v>
      </c>
      <c r="X18" s="1022">
        <f t="shared" ref="X18:X48" si="78">ABS(R18)</f>
        <v>0.52042890142412634</v>
      </c>
      <c r="Y18" s="1022">
        <f t="shared" ref="Y18:Y48" si="79">ABS(S18)</f>
        <v>0.54975123062992259</v>
      </c>
      <c r="AA18" s="1011">
        <v>1986</v>
      </c>
      <c r="AB18" s="1012">
        <f>RunXAge!$I12</f>
        <v>21883.545512662899</v>
      </c>
      <c r="AC18" s="1012">
        <f t="shared" si="16"/>
        <v>12239.848971008672</v>
      </c>
      <c r="AD18" s="1012">
        <f t="shared" si="32"/>
        <v>13184.072404618604</v>
      </c>
      <c r="AE18" s="1012">
        <f t="shared" si="46"/>
        <v>33917.530726480349</v>
      </c>
      <c r="AF18" s="1012">
        <f t="shared" si="58"/>
        <v>25211.19913754526</v>
      </c>
      <c r="AG18" s="1012">
        <f t="shared" ref="AG18:AG49" si="80">AB13</f>
        <v>8624.3111111111102</v>
      </c>
      <c r="AI18" s="1018">
        <f t="shared" ref="AI18:AI48" si="81">AC18-$AB18</f>
        <v>-9643.6965416542262</v>
      </c>
      <c r="AJ18" s="1018">
        <f t="shared" ref="AJ18:AJ48" si="82">AD18-$AB18</f>
        <v>-8699.4731080442943</v>
      </c>
      <c r="AK18" s="1018">
        <f t="shared" ref="AK18:AK48" si="83">AE18-$AB18</f>
        <v>12033.98521381745</v>
      </c>
      <c r="AL18" s="1018">
        <f t="shared" ref="AL18:AL48" si="84">AF18-$AB18</f>
        <v>3327.6536248823613</v>
      </c>
      <c r="AM18" s="1018">
        <f t="shared" ref="AM18:AM48" si="85">AG18-$AB18</f>
        <v>-13259.234401551788</v>
      </c>
      <c r="AO18" s="1016">
        <f t="shared" ref="AO18:AO48" si="86">AI18/$AB18</f>
        <v>-0.44068254552599384</v>
      </c>
      <c r="AP18" s="1016">
        <f t="shared" ref="AP18:AP48" si="87">AJ18/$AB18</f>
        <v>-0.39753490141761305</v>
      </c>
      <c r="AQ18" s="1016">
        <f t="shared" ref="AQ18:AQ48" si="88">AK18/$AB18</f>
        <v>0.54991021481660696</v>
      </c>
      <c r="AR18" s="1016">
        <f t="shared" ref="AR18:AR48" si="89">AL18/$AB18</f>
        <v>0.15206190527749797</v>
      </c>
      <c r="AS18" s="1016">
        <f t="shared" ref="AS18:AS48" si="90">AM18/$AB18</f>
        <v>-0.60589973383788931</v>
      </c>
      <c r="AU18" s="1022">
        <f t="shared" si="18"/>
        <v>0.44068254552599384</v>
      </c>
      <c r="AV18" s="1022">
        <f t="shared" si="19"/>
        <v>0.39753490141761305</v>
      </c>
      <c r="AW18" s="1022">
        <f t="shared" si="36"/>
        <v>0.54991021481660696</v>
      </c>
      <c r="AX18" s="1022">
        <f t="shared" si="49"/>
        <v>0.15206190527749797</v>
      </c>
      <c r="AY18" s="1022">
        <f t="shared" si="61"/>
        <v>0.60589973383788931</v>
      </c>
      <c r="BA18" s="1011">
        <v>1986</v>
      </c>
      <c r="BB18" s="1012">
        <f>RunXAge!$M12</f>
        <v>14046.524022621099</v>
      </c>
      <c r="BC18" s="1012">
        <f t="shared" si="20"/>
        <v>25990.591971268575</v>
      </c>
      <c r="BD18" s="1012">
        <f t="shared" si="37"/>
        <v>22116.792291994938</v>
      </c>
      <c r="BE18" s="1012">
        <f t="shared" si="50"/>
        <v>16990.664727519888</v>
      </c>
      <c r="BF18" s="1012">
        <f t="shared" si="62"/>
        <v>12053.313616207641</v>
      </c>
      <c r="BG18" s="1012">
        <f t="shared" ref="BG18:BG49" si="91">BB13</f>
        <v>8321.7037037037026</v>
      </c>
      <c r="BI18" s="1018">
        <f t="shared" ref="BI18:BI48" si="92">BC18-$BB18</f>
        <v>11944.067948647476</v>
      </c>
      <c r="BJ18" s="1018">
        <f t="shared" ref="BJ18:BJ48" si="93">BD18-$BB18</f>
        <v>8070.2682693738388</v>
      </c>
      <c r="BK18" s="1018">
        <f t="shared" ref="BK18:BK48" si="94">BE18-$BB18</f>
        <v>2944.1407048987894</v>
      </c>
      <c r="BL18" s="1018">
        <f t="shared" ref="BL18:BL48" si="95">BF18-$BB18</f>
        <v>-1993.2104064134583</v>
      </c>
      <c r="BM18" s="1018">
        <f t="shared" ref="BM18:BM48" si="96">BG18-$BB18</f>
        <v>-5724.8203189173964</v>
      </c>
      <c r="BO18" s="1016">
        <f t="shared" ref="BO18:BO48" si="97">BI18/$BB18</f>
        <v>0.85032196786993419</v>
      </c>
      <c r="BP18" s="1016">
        <f t="shared" ref="BP18:BP48" si="98">BJ18/$BB18</f>
        <v>0.57453845922145208</v>
      </c>
      <c r="BQ18" s="1016">
        <f t="shared" ref="BQ18:BQ48" si="99">BK18/$BB18</f>
        <v>0.20959923609267492</v>
      </c>
      <c r="BR18" s="1016">
        <f t="shared" ref="BR18:BR48" si="100">BL18/$BB18</f>
        <v>-0.141900615640105</v>
      </c>
      <c r="BS18" s="1016">
        <f t="shared" ref="BS18:BS48" si="101">BM18/$BB18</f>
        <v>-0.40756135181187253</v>
      </c>
      <c r="BU18" s="1022">
        <f t="shared" si="23"/>
        <v>0.85032196786993419</v>
      </c>
      <c r="BV18" s="1022">
        <f t="shared" si="24"/>
        <v>0.57453845922145208</v>
      </c>
      <c r="BW18" s="1022">
        <f t="shared" si="42"/>
        <v>0.20959923609267492</v>
      </c>
      <c r="BX18" s="1022">
        <f t="shared" si="53"/>
        <v>0.141900615640105</v>
      </c>
      <c r="BY18" s="1022">
        <f t="shared" si="65"/>
        <v>0.40756135181187253</v>
      </c>
    </row>
    <row r="19" spans="1:77">
      <c r="A19" s="1011">
        <v>1987</v>
      </c>
      <c r="B19" s="1012">
        <f>RunXAge!$F13</f>
        <v>829.0813769662476</v>
      </c>
      <c r="C19" s="1012">
        <f t="shared" si="12"/>
        <v>2352.3127612490775</v>
      </c>
      <c r="D19" s="1012">
        <f t="shared" si="25"/>
        <v>2828.907969661886</v>
      </c>
      <c r="E19" s="1012">
        <f t="shared" si="43"/>
        <v>899.67646527006423</v>
      </c>
      <c r="F19" s="1012">
        <f t="shared" si="54"/>
        <v>2052.1924353284553</v>
      </c>
      <c r="G19" s="1012">
        <f t="shared" si="66"/>
        <v>3576.5243073918882</v>
      </c>
      <c r="I19" s="1018">
        <f t="shared" si="67"/>
        <v>1523.2313842828298</v>
      </c>
      <c r="J19" s="1018">
        <f t="shared" si="68"/>
        <v>1999.8265926956383</v>
      </c>
      <c r="K19" s="1018">
        <f t="shared" si="69"/>
        <v>70.595088303816624</v>
      </c>
      <c r="L19" s="1018">
        <f t="shared" si="70"/>
        <v>1223.1110583622076</v>
      </c>
      <c r="M19" s="1018">
        <f t="shared" si="71"/>
        <v>2747.4429304256405</v>
      </c>
      <c r="O19" s="1016">
        <f t="shared" si="14"/>
        <v>1.8372519593391392</v>
      </c>
      <c r="P19" s="1016">
        <f t="shared" si="72"/>
        <v>2.4120992803062955</v>
      </c>
      <c r="Q19" s="1016">
        <f t="shared" si="73"/>
        <v>8.5148563536834324E-2</v>
      </c>
      <c r="R19" s="1016">
        <f t="shared" si="74"/>
        <v>1.4752605622837445</v>
      </c>
      <c r="S19" s="1016">
        <f t="shared" si="75"/>
        <v>3.3138398796014576</v>
      </c>
      <c r="U19" s="1022">
        <f t="shared" si="15"/>
        <v>1.8372519593391392</v>
      </c>
      <c r="V19" s="1022">
        <f t="shared" si="76"/>
        <v>2.4120992803062955</v>
      </c>
      <c r="W19" s="1022">
        <f t="shared" si="77"/>
        <v>8.5148563536834324E-2</v>
      </c>
      <c r="X19" s="1022">
        <f t="shared" si="78"/>
        <v>1.4752605622837445</v>
      </c>
      <c r="Y19" s="1022">
        <f t="shared" si="79"/>
        <v>3.3138398796014576</v>
      </c>
      <c r="AA19" s="1011">
        <v>1987</v>
      </c>
      <c r="AB19" s="1012">
        <f>RunXAge!$I13</f>
        <v>9999.4706742550006</v>
      </c>
      <c r="AC19" s="1012">
        <f t="shared" si="16"/>
        <v>21883.545512662899</v>
      </c>
      <c r="AD19" s="1012">
        <f t="shared" si="32"/>
        <v>12239.848971008672</v>
      </c>
      <c r="AE19" s="1012">
        <f t="shared" si="46"/>
        <v>13184.072404618604</v>
      </c>
      <c r="AF19" s="1012">
        <f t="shared" si="58"/>
        <v>33917.530726480349</v>
      </c>
      <c r="AG19" s="1012">
        <f t="shared" si="80"/>
        <v>25211.19913754526</v>
      </c>
      <c r="AI19" s="1018">
        <f t="shared" si="81"/>
        <v>11884.074838407898</v>
      </c>
      <c r="AJ19" s="1018">
        <f t="shared" si="82"/>
        <v>2240.3782967536717</v>
      </c>
      <c r="AK19" s="1018">
        <f t="shared" si="83"/>
        <v>3184.6017303636036</v>
      </c>
      <c r="AL19" s="1018">
        <f t="shared" si="84"/>
        <v>23918.060052225348</v>
      </c>
      <c r="AM19" s="1018">
        <f t="shared" si="85"/>
        <v>15211.728463290259</v>
      </c>
      <c r="AO19" s="1016">
        <f t="shared" si="86"/>
        <v>1.1884703926383891</v>
      </c>
      <c r="AP19" s="1016">
        <f t="shared" si="87"/>
        <v>0.22404968920223256</v>
      </c>
      <c r="AQ19" s="1016">
        <f t="shared" si="88"/>
        <v>0.31847703084552209</v>
      </c>
      <c r="AR19" s="1016">
        <f t="shared" si="89"/>
        <v>2.3919326163739498</v>
      </c>
      <c r="AS19" s="1016">
        <f t="shared" si="90"/>
        <v>1.5212533701863766</v>
      </c>
      <c r="AU19" s="1022">
        <f t="shared" si="18"/>
        <v>1.1884703926383891</v>
      </c>
      <c r="AV19" s="1022">
        <f t="shared" si="19"/>
        <v>0.22404968920223256</v>
      </c>
      <c r="AW19" s="1022">
        <f t="shared" si="36"/>
        <v>0.31847703084552209</v>
      </c>
      <c r="AX19" s="1022">
        <f t="shared" si="49"/>
        <v>2.3919326163739498</v>
      </c>
      <c r="AY19" s="1022">
        <f t="shared" si="61"/>
        <v>1.5212533701863766</v>
      </c>
      <c r="BA19" s="1011">
        <v>1987</v>
      </c>
      <c r="BB19" s="1012">
        <f>RunXAge!$M13</f>
        <v>26330.256303849499</v>
      </c>
      <c r="BC19" s="1012">
        <f t="shared" si="20"/>
        <v>14046.524022621099</v>
      </c>
      <c r="BD19" s="1012">
        <f t="shared" si="37"/>
        <v>25990.591971268575</v>
      </c>
      <c r="BE19" s="1012">
        <f t="shared" si="50"/>
        <v>22116.792291994938</v>
      </c>
      <c r="BF19" s="1012">
        <f t="shared" si="62"/>
        <v>16990.664727519888</v>
      </c>
      <c r="BG19" s="1012">
        <f t="shared" si="91"/>
        <v>12053.313616207641</v>
      </c>
      <c r="BI19" s="1018">
        <f t="shared" si="92"/>
        <v>-12283.7322812284</v>
      </c>
      <c r="BJ19" s="1018">
        <f t="shared" si="93"/>
        <v>-339.66433258092366</v>
      </c>
      <c r="BK19" s="1018">
        <f t="shared" si="94"/>
        <v>-4213.4640118545612</v>
      </c>
      <c r="BL19" s="1018">
        <f t="shared" si="95"/>
        <v>-9339.5915763296107</v>
      </c>
      <c r="BM19" s="1018">
        <f t="shared" si="96"/>
        <v>-14276.942687641858</v>
      </c>
      <c r="BO19" s="1016">
        <f t="shared" si="97"/>
        <v>-0.466525359247358</v>
      </c>
      <c r="BP19" s="1016">
        <f t="shared" si="98"/>
        <v>-1.2900152913865275E-2</v>
      </c>
      <c r="BQ19" s="1016">
        <f t="shared" si="99"/>
        <v>-0.16002366111561742</v>
      </c>
      <c r="BR19" s="1016">
        <f t="shared" si="100"/>
        <v>-0.35470948207079006</v>
      </c>
      <c r="BS19" s="1016">
        <f t="shared" si="101"/>
        <v>-0.54222573919854178</v>
      </c>
      <c r="BU19" s="1022">
        <f t="shared" si="23"/>
        <v>0.466525359247358</v>
      </c>
      <c r="BV19" s="1022">
        <f t="shared" si="24"/>
        <v>1.2900152913865275E-2</v>
      </c>
      <c r="BW19" s="1022">
        <f t="shared" si="42"/>
        <v>0.16002366111561742</v>
      </c>
      <c r="BX19" s="1022">
        <f t="shared" si="53"/>
        <v>0.35470948207079006</v>
      </c>
      <c r="BY19" s="1022">
        <f t="shared" si="65"/>
        <v>0.54222573919854178</v>
      </c>
    </row>
    <row r="20" spans="1:77">
      <c r="A20" s="1011">
        <v>1988</v>
      </c>
      <c r="B20" s="1012">
        <f>RunXAge!$F14</f>
        <v>970.49665261591872</v>
      </c>
      <c r="C20" s="1012">
        <f t="shared" si="12"/>
        <v>829.0813769662476</v>
      </c>
      <c r="D20" s="1012">
        <f t="shared" si="25"/>
        <v>2352.3127612490775</v>
      </c>
      <c r="E20" s="1012">
        <f t="shared" si="43"/>
        <v>2828.907969661886</v>
      </c>
      <c r="F20" s="1012">
        <f t="shared" si="54"/>
        <v>899.67646527006423</v>
      </c>
      <c r="G20" s="1012">
        <f t="shared" si="66"/>
        <v>2052.1924353284553</v>
      </c>
      <c r="I20" s="1018">
        <f t="shared" si="67"/>
        <v>-141.41527564967112</v>
      </c>
      <c r="J20" s="1018">
        <f t="shared" si="68"/>
        <v>1381.8161086331588</v>
      </c>
      <c r="K20" s="1018">
        <f t="shared" si="69"/>
        <v>1858.4113170459673</v>
      </c>
      <c r="L20" s="1018">
        <f t="shared" si="70"/>
        <v>-70.820187345854492</v>
      </c>
      <c r="M20" s="1018">
        <f t="shared" si="71"/>
        <v>1081.6957827125366</v>
      </c>
      <c r="O20" s="1016">
        <f t="shared" si="14"/>
        <v>-0.14571433633335495</v>
      </c>
      <c r="P20" s="1016">
        <f t="shared" si="72"/>
        <v>1.4238236730735256</v>
      </c>
      <c r="Q20" s="1016">
        <f t="shared" si="73"/>
        <v>1.9149074981729457</v>
      </c>
      <c r="R20" s="1016">
        <f t="shared" si="74"/>
        <v>-7.2973139222028943E-2</v>
      </c>
      <c r="S20" s="1016">
        <f t="shared" si="75"/>
        <v>1.1145796121984417</v>
      </c>
      <c r="U20" s="1022">
        <f t="shared" si="15"/>
        <v>0.14571433633335495</v>
      </c>
      <c r="V20" s="1022">
        <f t="shared" si="76"/>
        <v>1.4238236730735256</v>
      </c>
      <c r="W20" s="1022">
        <f t="shared" si="77"/>
        <v>1.9149074981729457</v>
      </c>
      <c r="X20" s="1022">
        <f t="shared" si="78"/>
        <v>7.2973139222028943E-2</v>
      </c>
      <c r="Y20" s="1022">
        <f t="shared" si="79"/>
        <v>1.1145796121984417</v>
      </c>
      <c r="AA20" s="1011">
        <v>1988</v>
      </c>
      <c r="AB20" s="1012">
        <f>RunXAge!$I14</f>
        <v>7774.8899436789352</v>
      </c>
      <c r="AC20" s="1012">
        <f t="shared" si="16"/>
        <v>9999.4706742550006</v>
      </c>
      <c r="AD20" s="1012">
        <f t="shared" si="32"/>
        <v>21883.545512662899</v>
      </c>
      <c r="AE20" s="1012">
        <f t="shared" si="46"/>
        <v>12239.848971008672</v>
      </c>
      <c r="AF20" s="1012">
        <f t="shared" si="58"/>
        <v>13184.072404618604</v>
      </c>
      <c r="AG20" s="1012">
        <f t="shared" si="80"/>
        <v>33917.530726480349</v>
      </c>
      <c r="AI20" s="1018">
        <f t="shared" si="81"/>
        <v>2224.5807305760654</v>
      </c>
      <c r="AJ20" s="1018">
        <f t="shared" si="82"/>
        <v>14108.655568983962</v>
      </c>
      <c r="AK20" s="1018">
        <f t="shared" si="83"/>
        <v>4464.9590273297372</v>
      </c>
      <c r="AL20" s="1018">
        <f t="shared" si="84"/>
        <v>5409.182460939669</v>
      </c>
      <c r="AM20" s="1018">
        <f t="shared" si="85"/>
        <v>26142.640782801413</v>
      </c>
      <c r="AO20" s="1016">
        <f t="shared" si="86"/>
        <v>0.28612375823849084</v>
      </c>
      <c r="AP20" s="1016">
        <f t="shared" si="87"/>
        <v>1.8146437661737507</v>
      </c>
      <c r="AQ20" s="1016">
        <f t="shared" si="88"/>
        <v>0.57427938654743205</v>
      </c>
      <c r="AR20" s="1016">
        <f t="shared" si="89"/>
        <v>0.69572463406216956</v>
      </c>
      <c r="AS20" s="1016">
        <f t="shared" si="90"/>
        <v>3.3624451242625817</v>
      </c>
      <c r="AU20" s="1022">
        <f t="shared" si="18"/>
        <v>0.28612375823849084</v>
      </c>
      <c r="AV20" s="1022">
        <f t="shared" si="19"/>
        <v>1.8146437661737507</v>
      </c>
      <c r="AW20" s="1022">
        <f t="shared" si="36"/>
        <v>0.57427938654743205</v>
      </c>
      <c r="AX20" s="1022">
        <f t="shared" si="49"/>
        <v>0.69572463406216956</v>
      </c>
      <c r="AY20" s="1022">
        <f t="shared" si="61"/>
        <v>3.3624451242625817</v>
      </c>
      <c r="BA20" s="1011">
        <v>1988</v>
      </c>
      <c r="BB20" s="1012">
        <f>RunXAge!$M14</f>
        <v>19096.623109347878</v>
      </c>
      <c r="BC20" s="1012">
        <f t="shared" si="20"/>
        <v>26330.256303849499</v>
      </c>
      <c r="BD20" s="1012">
        <f t="shared" si="37"/>
        <v>14046.524022621099</v>
      </c>
      <c r="BE20" s="1012">
        <f t="shared" si="50"/>
        <v>25990.591971268575</v>
      </c>
      <c r="BF20" s="1012">
        <f t="shared" si="62"/>
        <v>22116.792291994938</v>
      </c>
      <c r="BG20" s="1012">
        <f t="shared" si="91"/>
        <v>16990.664727519888</v>
      </c>
      <c r="BI20" s="1018">
        <f t="shared" si="92"/>
        <v>7233.6331945016209</v>
      </c>
      <c r="BJ20" s="1018">
        <f t="shared" si="93"/>
        <v>-5050.0990867267792</v>
      </c>
      <c r="BK20" s="1018">
        <f t="shared" si="94"/>
        <v>6893.9688619206972</v>
      </c>
      <c r="BL20" s="1018">
        <f t="shared" si="95"/>
        <v>3020.1691826470596</v>
      </c>
      <c r="BM20" s="1018">
        <f t="shared" si="96"/>
        <v>-2105.9583818279898</v>
      </c>
      <c r="BO20" s="1016">
        <f t="shared" si="97"/>
        <v>0.37879122152024497</v>
      </c>
      <c r="BP20" s="1016">
        <f t="shared" si="98"/>
        <v>-0.26444984842659092</v>
      </c>
      <c r="BQ20" s="1016">
        <f t="shared" si="99"/>
        <v>0.36100460392633871</v>
      </c>
      <c r="BR20" s="1016">
        <f t="shared" si="100"/>
        <v>0.1581520023385011</v>
      </c>
      <c r="BS20" s="1016">
        <f t="shared" si="101"/>
        <v>-0.1102790985489531</v>
      </c>
      <c r="BU20" s="1022">
        <f t="shared" si="23"/>
        <v>0.37879122152024497</v>
      </c>
      <c r="BV20" s="1022">
        <f t="shared" si="24"/>
        <v>0.26444984842659092</v>
      </c>
      <c r="BW20" s="1022">
        <f t="shared" si="42"/>
        <v>0.36100460392633871</v>
      </c>
      <c r="BX20" s="1022">
        <f t="shared" si="53"/>
        <v>0.1581520023385011</v>
      </c>
      <c r="BY20" s="1022">
        <f t="shared" si="65"/>
        <v>0.1102790985489531</v>
      </c>
    </row>
    <row r="21" spans="1:77">
      <c r="A21" s="1011">
        <v>1989</v>
      </c>
      <c r="B21" s="1012">
        <f>RunXAge!$F15</f>
        <v>792.5086678979942</v>
      </c>
      <c r="C21" s="1012">
        <f t="shared" si="12"/>
        <v>970.49665261591872</v>
      </c>
      <c r="D21" s="1012">
        <f t="shared" si="25"/>
        <v>829.0813769662476</v>
      </c>
      <c r="E21" s="1012">
        <f t="shared" si="43"/>
        <v>2352.3127612490775</v>
      </c>
      <c r="F21" s="1012">
        <f t="shared" si="54"/>
        <v>2828.907969661886</v>
      </c>
      <c r="G21" s="1012">
        <f t="shared" si="66"/>
        <v>899.67646527006423</v>
      </c>
      <c r="I21" s="1018">
        <f t="shared" si="67"/>
        <v>177.98798471792452</v>
      </c>
      <c r="J21" s="1018">
        <f t="shared" si="68"/>
        <v>36.572709068253403</v>
      </c>
      <c r="K21" s="1018">
        <f t="shared" si="69"/>
        <v>1559.8040933510833</v>
      </c>
      <c r="L21" s="1018">
        <f t="shared" si="70"/>
        <v>2036.3993017638918</v>
      </c>
      <c r="M21" s="1018">
        <f t="shared" si="71"/>
        <v>107.16779737207003</v>
      </c>
      <c r="O21" s="1016">
        <f t="shared" si="14"/>
        <v>0.22458806058236552</v>
      </c>
      <c r="P21" s="1016">
        <f t="shared" si="72"/>
        <v>4.6148024052855875E-2</v>
      </c>
      <c r="Q21" s="1016">
        <f t="shared" si="73"/>
        <v>1.9681855310027343</v>
      </c>
      <c r="R21" s="1016">
        <f t="shared" si="74"/>
        <v>2.5695609199646028</v>
      </c>
      <c r="S21" s="1016">
        <f t="shared" si="75"/>
        <v>0.13522602554785415</v>
      </c>
      <c r="U21" s="1022">
        <f t="shared" si="15"/>
        <v>0.22458806058236552</v>
      </c>
      <c r="V21" s="1022">
        <f t="shared" si="76"/>
        <v>4.6148024052855875E-2</v>
      </c>
      <c r="W21" s="1022">
        <f t="shared" si="77"/>
        <v>1.9681855310027343</v>
      </c>
      <c r="X21" s="1022">
        <f t="shared" si="78"/>
        <v>2.5695609199646028</v>
      </c>
      <c r="Y21" s="1022">
        <f t="shared" si="79"/>
        <v>0.13522602554785415</v>
      </c>
      <c r="AA21" s="1011">
        <v>1989</v>
      </c>
      <c r="AB21" s="1012">
        <f>RunXAge!$I15</f>
        <v>7598.0514565308968</v>
      </c>
      <c r="AC21" s="1012">
        <f t="shared" si="16"/>
        <v>7774.8899436789352</v>
      </c>
      <c r="AD21" s="1012">
        <f t="shared" si="32"/>
        <v>9999.4706742550006</v>
      </c>
      <c r="AE21" s="1012">
        <f t="shared" si="46"/>
        <v>21883.545512662899</v>
      </c>
      <c r="AF21" s="1012">
        <f t="shared" si="58"/>
        <v>12239.848971008672</v>
      </c>
      <c r="AG21" s="1012">
        <f t="shared" si="80"/>
        <v>13184.072404618604</v>
      </c>
      <c r="AI21" s="1018">
        <f t="shared" si="81"/>
        <v>176.83848714803844</v>
      </c>
      <c r="AJ21" s="1018">
        <f t="shared" si="82"/>
        <v>2401.4192177241039</v>
      </c>
      <c r="AK21" s="1018">
        <f t="shared" si="83"/>
        <v>14285.494056132002</v>
      </c>
      <c r="AL21" s="1018">
        <f t="shared" si="84"/>
        <v>4641.7975144777756</v>
      </c>
      <c r="AM21" s="1018">
        <f t="shared" si="85"/>
        <v>5586.0209480877074</v>
      </c>
      <c r="AO21" s="1016">
        <f t="shared" si="86"/>
        <v>2.3274189199658173E-2</v>
      </c>
      <c r="AP21" s="1016">
        <f t="shared" si="87"/>
        <v>0.31605724592190892</v>
      </c>
      <c r="AQ21" s="1016">
        <f t="shared" si="88"/>
        <v>1.8801523177173169</v>
      </c>
      <c r="AR21" s="1016">
        <f t="shared" si="89"/>
        <v>0.61091946284305876</v>
      </c>
      <c r="AS21" s="1016">
        <f t="shared" si="90"/>
        <v>0.73519125002585362</v>
      </c>
      <c r="AU21" s="1022">
        <f t="shared" si="18"/>
        <v>2.3274189199658173E-2</v>
      </c>
      <c r="AV21" s="1022">
        <f t="shared" si="19"/>
        <v>0.31605724592190892</v>
      </c>
      <c r="AW21" s="1022">
        <f t="shared" si="36"/>
        <v>1.8801523177173169</v>
      </c>
      <c r="AX21" s="1022">
        <f t="shared" si="49"/>
        <v>0.61091946284305876</v>
      </c>
      <c r="AY21" s="1022">
        <f t="shared" si="61"/>
        <v>0.73519125002585362</v>
      </c>
      <c r="BA21" s="1011">
        <v>1989</v>
      </c>
      <c r="BB21" s="1012">
        <f>RunXAge!$M15</f>
        <v>19097.45254528369</v>
      </c>
      <c r="BC21" s="1012">
        <f t="shared" si="20"/>
        <v>19096.623109347878</v>
      </c>
      <c r="BD21" s="1012">
        <f t="shared" si="37"/>
        <v>26330.256303849499</v>
      </c>
      <c r="BE21" s="1012">
        <f t="shared" si="50"/>
        <v>14046.524022621099</v>
      </c>
      <c r="BF21" s="1012">
        <f t="shared" si="62"/>
        <v>25990.591971268575</v>
      </c>
      <c r="BG21" s="1012">
        <f t="shared" si="91"/>
        <v>22116.792291994938</v>
      </c>
      <c r="BI21" s="1018">
        <f t="shared" si="92"/>
        <v>-0.82943593581148889</v>
      </c>
      <c r="BJ21" s="1018">
        <f t="shared" si="93"/>
        <v>7232.8037585658094</v>
      </c>
      <c r="BK21" s="1018">
        <f t="shared" si="94"/>
        <v>-5050.9285226625907</v>
      </c>
      <c r="BL21" s="1018">
        <f t="shared" si="95"/>
        <v>6893.1394259848857</v>
      </c>
      <c r="BM21" s="1018">
        <f t="shared" si="96"/>
        <v>3019.3397467112482</v>
      </c>
      <c r="BO21" s="1016">
        <f t="shared" si="97"/>
        <v>-4.3431757918745374E-5</v>
      </c>
      <c r="BP21" s="1016">
        <f t="shared" si="98"/>
        <v>0.37873133819369137</v>
      </c>
      <c r="BQ21" s="1016">
        <f t="shared" si="99"/>
        <v>-0.2644817946627111</v>
      </c>
      <c r="BR21" s="1016">
        <f t="shared" si="100"/>
        <v>0.36094549310385465</v>
      </c>
      <c r="BS21" s="1016">
        <f t="shared" si="101"/>
        <v>0.15810170176110241</v>
      </c>
      <c r="BU21" s="1022">
        <f t="shared" si="23"/>
        <v>4.3431757918745374E-5</v>
      </c>
      <c r="BV21" s="1022">
        <f t="shared" si="24"/>
        <v>0.37873133819369137</v>
      </c>
      <c r="BW21" s="1022">
        <f t="shared" si="42"/>
        <v>0.2644817946627111</v>
      </c>
      <c r="BX21" s="1022">
        <f t="shared" si="53"/>
        <v>0.36094549310385465</v>
      </c>
      <c r="BY21" s="1022">
        <f t="shared" si="65"/>
        <v>0.15810170176110241</v>
      </c>
    </row>
    <row r="22" spans="1:77">
      <c r="A22" s="1011">
        <v>1990</v>
      </c>
      <c r="B22" s="1012">
        <f>RunXAge!$F16</f>
        <v>1269.4023041474654</v>
      </c>
      <c r="C22" s="1012">
        <f t="shared" si="12"/>
        <v>792.5086678979942</v>
      </c>
      <c r="D22" s="1012">
        <f t="shared" si="25"/>
        <v>970.49665261591872</v>
      </c>
      <c r="E22" s="1012">
        <f t="shared" si="43"/>
        <v>829.0813769662476</v>
      </c>
      <c r="F22" s="1012">
        <f t="shared" si="54"/>
        <v>2352.3127612490775</v>
      </c>
      <c r="G22" s="1012">
        <f t="shared" si="66"/>
        <v>2828.907969661886</v>
      </c>
      <c r="I22" s="1018">
        <f t="shared" si="67"/>
        <v>-476.89363624947123</v>
      </c>
      <c r="J22" s="1018">
        <f t="shared" si="68"/>
        <v>-298.90565153154671</v>
      </c>
      <c r="K22" s="1018">
        <f t="shared" si="69"/>
        <v>-440.32092718121783</v>
      </c>
      <c r="L22" s="1018">
        <f t="shared" si="70"/>
        <v>1082.9104571016121</v>
      </c>
      <c r="M22" s="1018">
        <f t="shared" si="71"/>
        <v>1559.5056655144206</v>
      </c>
      <c r="O22" s="1016">
        <f t="shared" si="14"/>
        <v>-0.37568360691589769</v>
      </c>
      <c r="P22" s="1016">
        <f t="shared" si="72"/>
        <v>-0.23546959900336142</v>
      </c>
      <c r="Q22" s="1016">
        <f t="shared" si="73"/>
        <v>-0.34687263899126031</v>
      </c>
      <c r="R22" s="1016">
        <f t="shared" si="74"/>
        <v>0.85308688472004801</v>
      </c>
      <c r="S22" s="1016">
        <f t="shared" si="75"/>
        <v>1.2285353984462708</v>
      </c>
      <c r="U22" s="1022">
        <f t="shared" si="15"/>
        <v>0.37568360691589769</v>
      </c>
      <c r="V22" s="1022">
        <f t="shared" si="76"/>
        <v>0.23546959900336142</v>
      </c>
      <c r="W22" s="1022">
        <f t="shared" si="77"/>
        <v>0.34687263899126031</v>
      </c>
      <c r="X22" s="1022">
        <f t="shared" si="78"/>
        <v>0.85308688472004801</v>
      </c>
      <c r="Y22" s="1022">
        <f t="shared" si="79"/>
        <v>1.2285353984462708</v>
      </c>
      <c r="AA22" s="1011">
        <v>1990</v>
      </c>
      <c r="AB22" s="1012">
        <f>RunXAge!$I16</f>
        <v>5597.4829838087717</v>
      </c>
      <c r="AC22" s="1012">
        <f t="shared" si="16"/>
        <v>7598.0514565308968</v>
      </c>
      <c r="AD22" s="1012">
        <f t="shared" si="32"/>
        <v>7774.8899436789352</v>
      </c>
      <c r="AE22" s="1012">
        <f t="shared" si="46"/>
        <v>9999.4706742550006</v>
      </c>
      <c r="AF22" s="1012">
        <f t="shared" si="58"/>
        <v>21883.545512662899</v>
      </c>
      <c r="AG22" s="1012">
        <f t="shared" si="80"/>
        <v>12239.848971008672</v>
      </c>
      <c r="AI22" s="1018">
        <f t="shared" si="81"/>
        <v>2000.5684727221251</v>
      </c>
      <c r="AJ22" s="1018">
        <f t="shared" si="82"/>
        <v>2177.4069598701635</v>
      </c>
      <c r="AK22" s="1018">
        <f t="shared" si="83"/>
        <v>4401.987690446229</v>
      </c>
      <c r="AL22" s="1018">
        <f t="shared" si="84"/>
        <v>16286.062528854127</v>
      </c>
      <c r="AM22" s="1018">
        <f t="shared" si="85"/>
        <v>6642.3659871999007</v>
      </c>
      <c r="AO22" s="1016">
        <f t="shared" si="86"/>
        <v>0.35740501195071983</v>
      </c>
      <c r="AP22" s="1016">
        <f t="shared" si="87"/>
        <v>0.38899751301942515</v>
      </c>
      <c r="AQ22" s="1016">
        <f t="shared" si="88"/>
        <v>0.78642270162846029</v>
      </c>
      <c r="AR22" s="1016">
        <f t="shared" si="89"/>
        <v>2.9095331912509681</v>
      </c>
      <c r="AS22" s="1016">
        <f t="shared" si="90"/>
        <v>1.1866701527121293</v>
      </c>
      <c r="AU22" s="1022">
        <f t="shared" si="18"/>
        <v>0.35740501195071983</v>
      </c>
      <c r="AV22" s="1022">
        <f t="shared" si="19"/>
        <v>0.38899751301942515</v>
      </c>
      <c r="AW22" s="1022">
        <f t="shared" si="36"/>
        <v>0.78642270162846029</v>
      </c>
      <c r="AX22" s="1022">
        <f t="shared" si="49"/>
        <v>2.9095331912509681</v>
      </c>
      <c r="AY22" s="1022">
        <f t="shared" si="61"/>
        <v>1.1866701527121293</v>
      </c>
      <c r="BA22" s="1011">
        <v>1990</v>
      </c>
      <c r="BB22" s="1012">
        <f>RunXAge!$M16</f>
        <v>11771.369585253457</v>
      </c>
      <c r="BC22" s="1012">
        <f t="shared" si="20"/>
        <v>19097.45254528369</v>
      </c>
      <c r="BD22" s="1012">
        <f t="shared" si="37"/>
        <v>19096.623109347878</v>
      </c>
      <c r="BE22" s="1012">
        <f t="shared" si="50"/>
        <v>26330.256303849499</v>
      </c>
      <c r="BF22" s="1012">
        <f t="shared" si="62"/>
        <v>14046.524022621099</v>
      </c>
      <c r="BG22" s="1012">
        <f t="shared" si="91"/>
        <v>25990.591971268575</v>
      </c>
      <c r="BI22" s="1018">
        <f t="shared" si="92"/>
        <v>7326.0829600302332</v>
      </c>
      <c r="BJ22" s="1018">
        <f t="shared" si="93"/>
        <v>7325.2535240944217</v>
      </c>
      <c r="BK22" s="1018">
        <f t="shared" si="94"/>
        <v>14558.886718596043</v>
      </c>
      <c r="BL22" s="1018">
        <f t="shared" si="95"/>
        <v>2275.1544373676425</v>
      </c>
      <c r="BM22" s="1018">
        <f t="shared" si="96"/>
        <v>14219.222386015119</v>
      </c>
      <c r="BO22" s="1016">
        <f t="shared" si="97"/>
        <v>0.62236453515213375</v>
      </c>
      <c r="BP22" s="1016">
        <f t="shared" si="98"/>
        <v>0.62229407300838713</v>
      </c>
      <c r="BQ22" s="1016">
        <f t="shared" si="99"/>
        <v>1.2368048265882874</v>
      </c>
      <c r="BR22" s="1016">
        <f t="shared" si="100"/>
        <v>0.19327865129796235</v>
      </c>
      <c r="BS22" s="1016">
        <f t="shared" si="101"/>
        <v>1.2079497022868266</v>
      </c>
      <c r="BU22" s="1022">
        <f t="shared" si="23"/>
        <v>0.62236453515213375</v>
      </c>
      <c r="BV22" s="1022">
        <f t="shared" si="24"/>
        <v>0.62229407300838713</v>
      </c>
      <c r="BW22" s="1022">
        <f t="shared" si="42"/>
        <v>1.2368048265882874</v>
      </c>
      <c r="BX22" s="1022">
        <f t="shared" si="53"/>
        <v>0.19327865129796235</v>
      </c>
      <c r="BY22" s="1022">
        <f t="shared" si="65"/>
        <v>1.2079497022868266</v>
      </c>
    </row>
    <row r="23" spans="1:77">
      <c r="A23" s="1011">
        <v>1991</v>
      </c>
      <c r="B23" s="1012">
        <f>RunXAge!$F17</f>
        <v>1146.4398068299413</v>
      </c>
      <c r="C23" s="1012">
        <f t="shared" si="12"/>
        <v>1269.4023041474654</v>
      </c>
      <c r="D23" s="1012">
        <f t="shared" si="25"/>
        <v>792.5086678979942</v>
      </c>
      <c r="E23" s="1012">
        <f t="shared" si="43"/>
        <v>970.49665261591872</v>
      </c>
      <c r="F23" s="1012">
        <f t="shared" si="54"/>
        <v>829.0813769662476</v>
      </c>
      <c r="G23" s="1012">
        <f t="shared" si="66"/>
        <v>2352.3127612490775</v>
      </c>
      <c r="I23" s="1018">
        <f t="shared" si="67"/>
        <v>122.96249731752414</v>
      </c>
      <c r="J23" s="1018">
        <f t="shared" si="68"/>
        <v>-353.93113893194709</v>
      </c>
      <c r="K23" s="1018">
        <f t="shared" si="69"/>
        <v>-175.94315421402257</v>
      </c>
      <c r="L23" s="1018">
        <f t="shared" si="70"/>
        <v>-317.35842986369369</v>
      </c>
      <c r="M23" s="1018">
        <f t="shared" si="71"/>
        <v>1205.8729544191362</v>
      </c>
      <c r="O23" s="1016">
        <f t="shared" si="14"/>
        <v>0.10725595586002183</v>
      </c>
      <c r="P23" s="1016">
        <f t="shared" si="72"/>
        <v>-0.30872195541658121</v>
      </c>
      <c r="Q23" s="1016">
        <f t="shared" si="73"/>
        <v>-0.15346916006042116</v>
      </c>
      <c r="R23" s="1016">
        <f t="shared" si="74"/>
        <v>-0.27682083958793441</v>
      </c>
      <c r="S23" s="1016">
        <f t="shared" si="75"/>
        <v>1.0518414898323667</v>
      </c>
      <c r="U23" s="1022">
        <f t="shared" si="15"/>
        <v>0.10725595586002183</v>
      </c>
      <c r="V23" s="1022">
        <f t="shared" si="76"/>
        <v>0.30872195541658121</v>
      </c>
      <c r="W23" s="1022">
        <f t="shared" si="77"/>
        <v>0.15346916006042116</v>
      </c>
      <c r="X23" s="1022">
        <f t="shared" si="78"/>
        <v>0.27682083958793441</v>
      </c>
      <c r="Y23" s="1022">
        <f t="shared" si="79"/>
        <v>1.0518414898323667</v>
      </c>
      <c r="AA23" s="1011">
        <v>1991</v>
      </c>
      <c r="AB23" s="1012">
        <f>RunXAge!$I17</f>
        <v>19786.664539496378</v>
      </c>
      <c r="AC23" s="1012">
        <f t="shared" si="16"/>
        <v>5597.4829838087717</v>
      </c>
      <c r="AD23" s="1012">
        <f t="shared" si="32"/>
        <v>7598.0514565308968</v>
      </c>
      <c r="AE23" s="1012">
        <f t="shared" si="46"/>
        <v>7774.8899436789352</v>
      </c>
      <c r="AF23" s="1012">
        <f t="shared" si="58"/>
        <v>9999.4706742550006</v>
      </c>
      <c r="AG23" s="1012">
        <f t="shared" si="80"/>
        <v>21883.545512662899</v>
      </c>
      <c r="AI23" s="1018">
        <f t="shared" si="81"/>
        <v>-14189.181555687606</v>
      </c>
      <c r="AJ23" s="1018">
        <f t="shared" si="82"/>
        <v>-12188.613082965481</v>
      </c>
      <c r="AK23" s="1018">
        <f t="shared" si="83"/>
        <v>-12011.774595817442</v>
      </c>
      <c r="AL23" s="1018">
        <f t="shared" si="84"/>
        <v>-9787.1938652413774</v>
      </c>
      <c r="AM23" s="1018">
        <f t="shared" si="85"/>
        <v>2096.8809731665206</v>
      </c>
      <c r="AO23" s="1016">
        <f t="shared" si="86"/>
        <v>-0.71710830935473868</v>
      </c>
      <c r="AP23" s="1016">
        <f t="shared" si="87"/>
        <v>-0.61600140127890968</v>
      </c>
      <c r="AQ23" s="1016">
        <f t="shared" si="88"/>
        <v>-0.6070641452398714</v>
      </c>
      <c r="AR23" s="1016">
        <f t="shared" si="89"/>
        <v>-0.49463586172924962</v>
      </c>
      <c r="AS23" s="1016">
        <f t="shared" si="90"/>
        <v>0.1059744541067502</v>
      </c>
      <c r="AU23" s="1022">
        <f t="shared" si="18"/>
        <v>0.71710830935473868</v>
      </c>
      <c r="AV23" s="1022">
        <f t="shared" si="19"/>
        <v>0.61600140127890968</v>
      </c>
      <c r="AW23" s="1022">
        <f t="shared" si="36"/>
        <v>0.6070641452398714</v>
      </c>
      <c r="AX23" s="1022">
        <f t="shared" si="49"/>
        <v>0.49463586172924962</v>
      </c>
      <c r="AY23" s="1022">
        <f t="shared" si="61"/>
        <v>0.1059744541067502</v>
      </c>
      <c r="BA23" s="1011">
        <v>1991</v>
      </c>
      <c r="BB23" s="1012">
        <f>RunXAge!$M17</f>
        <v>12019.484477406002</v>
      </c>
      <c r="BC23" s="1012">
        <f t="shared" si="20"/>
        <v>11771.369585253457</v>
      </c>
      <c r="BD23" s="1012">
        <f t="shared" si="37"/>
        <v>19097.45254528369</v>
      </c>
      <c r="BE23" s="1012">
        <f t="shared" si="50"/>
        <v>19096.623109347878</v>
      </c>
      <c r="BF23" s="1012">
        <f t="shared" si="62"/>
        <v>26330.256303849499</v>
      </c>
      <c r="BG23" s="1012">
        <f t="shared" si="91"/>
        <v>14046.524022621099</v>
      </c>
      <c r="BI23" s="1018">
        <f t="shared" si="92"/>
        <v>-248.11489215254551</v>
      </c>
      <c r="BJ23" s="1018">
        <f t="shared" si="93"/>
        <v>7077.9680678776876</v>
      </c>
      <c r="BK23" s="1018">
        <f t="shared" si="94"/>
        <v>7077.1386319418762</v>
      </c>
      <c r="BL23" s="1018">
        <f t="shared" si="95"/>
        <v>14310.771826443497</v>
      </c>
      <c r="BM23" s="1018">
        <f t="shared" si="96"/>
        <v>2027.039545215097</v>
      </c>
      <c r="BO23" s="1016">
        <f t="shared" si="97"/>
        <v>-2.0642723289750666E-2</v>
      </c>
      <c r="BP23" s="1016">
        <f t="shared" si="98"/>
        <v>0.58887451297788329</v>
      </c>
      <c r="BQ23" s="1016">
        <f t="shared" si="99"/>
        <v>0.58880550536467235</v>
      </c>
      <c r="BR23" s="1016">
        <f t="shared" si="100"/>
        <v>1.1906310834998468</v>
      </c>
      <c r="BS23" s="1016">
        <f t="shared" si="101"/>
        <v>0.16864613029165162</v>
      </c>
      <c r="BU23" s="1022">
        <f t="shared" si="23"/>
        <v>2.0642723289750666E-2</v>
      </c>
      <c r="BV23" s="1022">
        <f t="shared" si="24"/>
        <v>0.58887451297788329</v>
      </c>
      <c r="BW23" s="1022">
        <f t="shared" si="42"/>
        <v>0.58880550536467235</v>
      </c>
      <c r="BX23" s="1022">
        <f t="shared" si="53"/>
        <v>1.1906310834998468</v>
      </c>
      <c r="BY23" s="1022">
        <f t="shared" si="65"/>
        <v>0.16864613029165162</v>
      </c>
    </row>
    <row r="24" spans="1:77">
      <c r="A24" s="1011">
        <v>1992</v>
      </c>
      <c r="B24" s="1012">
        <f>RunXAge!$F18</f>
        <v>3824.0334757690807</v>
      </c>
      <c r="C24" s="1012">
        <f t="shared" si="12"/>
        <v>1146.4398068299413</v>
      </c>
      <c r="D24" s="1012">
        <f t="shared" si="25"/>
        <v>1269.4023041474654</v>
      </c>
      <c r="E24" s="1012">
        <f t="shared" si="43"/>
        <v>792.5086678979942</v>
      </c>
      <c r="F24" s="1012">
        <f t="shared" si="54"/>
        <v>970.49665261591872</v>
      </c>
      <c r="G24" s="1012">
        <f t="shared" si="66"/>
        <v>829.0813769662476</v>
      </c>
      <c r="I24" s="1018">
        <f t="shared" si="67"/>
        <v>-2677.5936689391392</v>
      </c>
      <c r="J24" s="1018">
        <f t="shared" si="68"/>
        <v>-2554.6311716216151</v>
      </c>
      <c r="K24" s="1018">
        <f t="shared" si="69"/>
        <v>-3031.5248078710865</v>
      </c>
      <c r="L24" s="1018">
        <f t="shared" si="70"/>
        <v>-2853.536823153162</v>
      </c>
      <c r="M24" s="1018">
        <f t="shared" si="71"/>
        <v>-2994.952098802833</v>
      </c>
      <c r="O24" s="1016">
        <f t="shared" si="14"/>
        <v>-0.7002014197589177</v>
      </c>
      <c r="P24" s="1016">
        <f t="shared" si="72"/>
        <v>-0.66804623646968297</v>
      </c>
      <c r="Q24" s="1016">
        <f t="shared" si="73"/>
        <v>-0.79275582368205955</v>
      </c>
      <c r="R24" s="1016">
        <f t="shared" si="74"/>
        <v>-0.74621125605582339</v>
      </c>
      <c r="S24" s="1016">
        <f t="shared" si="75"/>
        <v>-0.78319191444852487</v>
      </c>
      <c r="U24" s="1022">
        <f t="shared" si="15"/>
        <v>0.7002014197589177</v>
      </c>
      <c r="V24" s="1022">
        <f t="shared" si="76"/>
        <v>0.66804623646968297</v>
      </c>
      <c r="W24" s="1022">
        <f t="shared" si="77"/>
        <v>0.79275582368205955</v>
      </c>
      <c r="X24" s="1022">
        <f t="shared" si="78"/>
        <v>0.74621125605582339</v>
      </c>
      <c r="Y24" s="1022">
        <f t="shared" si="79"/>
        <v>0.78319191444852487</v>
      </c>
      <c r="AA24" s="1011">
        <v>1992</v>
      </c>
      <c r="AB24" s="1012">
        <f>RunXAge!$I18</f>
        <v>9375.3263410620893</v>
      </c>
      <c r="AC24" s="1012">
        <f t="shared" si="16"/>
        <v>19786.664539496378</v>
      </c>
      <c r="AD24" s="1012">
        <f t="shared" si="32"/>
        <v>5597.4829838087717</v>
      </c>
      <c r="AE24" s="1012">
        <f t="shared" si="46"/>
        <v>7598.0514565308968</v>
      </c>
      <c r="AF24" s="1012">
        <f t="shared" si="58"/>
        <v>7774.8899436789352</v>
      </c>
      <c r="AG24" s="1012">
        <f t="shared" si="80"/>
        <v>9999.4706742550006</v>
      </c>
      <c r="AI24" s="1018">
        <f t="shared" si="81"/>
        <v>10411.338198434289</v>
      </c>
      <c r="AJ24" s="1018">
        <f t="shared" si="82"/>
        <v>-3777.8433572533177</v>
      </c>
      <c r="AK24" s="1018">
        <f t="shared" si="83"/>
        <v>-1777.2748845311926</v>
      </c>
      <c r="AL24" s="1018">
        <f t="shared" si="84"/>
        <v>-1600.4363973831541</v>
      </c>
      <c r="AM24" s="1018">
        <f t="shared" si="85"/>
        <v>624.14433319291129</v>
      </c>
      <c r="AO24" s="1016">
        <f t="shared" si="86"/>
        <v>1.1105040848375241</v>
      </c>
      <c r="AP24" s="1016">
        <f t="shared" si="87"/>
        <v>-0.40295593132658275</v>
      </c>
      <c r="AQ24" s="1016">
        <f t="shared" si="88"/>
        <v>-0.18956938882725366</v>
      </c>
      <c r="AR24" s="1016">
        <f t="shared" si="89"/>
        <v>-0.17070727344962455</v>
      </c>
      <c r="AS24" s="1016">
        <f t="shared" si="90"/>
        <v>6.6573078150813966E-2</v>
      </c>
      <c r="AU24" s="1022">
        <f t="shared" si="18"/>
        <v>1.1105040848375241</v>
      </c>
      <c r="AV24" s="1022">
        <f t="shared" si="19"/>
        <v>0.40295593132658275</v>
      </c>
      <c r="AW24" s="1022">
        <f t="shared" si="36"/>
        <v>0.18956938882725366</v>
      </c>
      <c r="AX24" s="1022">
        <f t="shared" si="49"/>
        <v>0.17070727344962455</v>
      </c>
      <c r="AY24" s="1022">
        <f t="shared" si="61"/>
        <v>6.6573078150813966E-2</v>
      </c>
      <c r="BA24" s="1011">
        <v>1992</v>
      </c>
      <c r="BB24" s="1012">
        <f>RunXAge!$M18</f>
        <v>43279.314721733841</v>
      </c>
      <c r="BC24" s="1012">
        <f t="shared" si="20"/>
        <v>12019.484477406002</v>
      </c>
      <c r="BD24" s="1012">
        <f t="shared" si="37"/>
        <v>11771.369585253457</v>
      </c>
      <c r="BE24" s="1012">
        <f t="shared" si="50"/>
        <v>19097.45254528369</v>
      </c>
      <c r="BF24" s="1012">
        <f t="shared" si="62"/>
        <v>19096.623109347878</v>
      </c>
      <c r="BG24" s="1012">
        <f t="shared" si="91"/>
        <v>26330.256303849499</v>
      </c>
      <c r="BI24" s="1018">
        <f t="shared" si="92"/>
        <v>-31259.830244327837</v>
      </c>
      <c r="BJ24" s="1018">
        <f t="shared" si="93"/>
        <v>-31507.945136480383</v>
      </c>
      <c r="BK24" s="1018">
        <f t="shared" si="94"/>
        <v>-24181.862176450151</v>
      </c>
      <c r="BL24" s="1018">
        <f t="shared" si="95"/>
        <v>-24182.691612385963</v>
      </c>
      <c r="BM24" s="1018">
        <f t="shared" si="96"/>
        <v>-16949.058417884342</v>
      </c>
      <c r="BO24" s="1016">
        <f t="shared" si="97"/>
        <v>-0.7222810815123627</v>
      </c>
      <c r="BP24" s="1016">
        <f t="shared" si="98"/>
        <v>-0.72801395629903176</v>
      </c>
      <c r="BQ24" s="1016">
        <f t="shared" si="99"/>
        <v>-0.55873948864321077</v>
      </c>
      <c r="BR24" s="1016">
        <f t="shared" si="100"/>
        <v>-0.55875865336291919</v>
      </c>
      <c r="BS24" s="1016">
        <f t="shared" si="101"/>
        <v>-0.39162030468502146</v>
      </c>
      <c r="BU24" s="1022">
        <f t="shared" si="23"/>
        <v>0.7222810815123627</v>
      </c>
      <c r="BV24" s="1022">
        <f t="shared" si="24"/>
        <v>0.72801395629903176</v>
      </c>
      <c r="BW24" s="1022">
        <f t="shared" si="42"/>
        <v>0.55873948864321077</v>
      </c>
      <c r="BX24" s="1022">
        <f t="shared" si="53"/>
        <v>0.55875865336291919</v>
      </c>
      <c r="BY24" s="1022">
        <f t="shared" si="65"/>
        <v>0.39162030468502146</v>
      </c>
    </row>
    <row r="25" spans="1:77">
      <c r="A25" s="1011">
        <v>1993</v>
      </c>
      <c r="B25" s="1012">
        <f>RunXAge!$F19</f>
        <v>4111.1481321755628</v>
      </c>
      <c r="C25" s="1012">
        <f t="shared" si="12"/>
        <v>3824.0334757690807</v>
      </c>
      <c r="D25" s="1012">
        <f t="shared" si="25"/>
        <v>1146.4398068299413</v>
      </c>
      <c r="E25" s="1012">
        <f t="shared" si="43"/>
        <v>1269.4023041474654</v>
      </c>
      <c r="F25" s="1012">
        <f t="shared" si="54"/>
        <v>792.5086678979942</v>
      </c>
      <c r="G25" s="1012">
        <f t="shared" si="66"/>
        <v>970.49665261591872</v>
      </c>
      <c r="I25" s="1018">
        <f t="shared" si="67"/>
        <v>-287.11465640648203</v>
      </c>
      <c r="J25" s="1018">
        <f t="shared" si="68"/>
        <v>-2964.7083253456212</v>
      </c>
      <c r="K25" s="1018">
        <f t="shared" si="69"/>
        <v>-2841.7458280280971</v>
      </c>
      <c r="L25" s="1018">
        <f t="shared" si="70"/>
        <v>-3318.6394642775685</v>
      </c>
      <c r="M25" s="1018">
        <f t="shared" si="71"/>
        <v>-3140.651479559644</v>
      </c>
      <c r="O25" s="1016">
        <f t="shared" si="14"/>
        <v>-6.9838071306505059E-2</v>
      </c>
      <c r="P25" s="1016">
        <f t="shared" si="72"/>
        <v>-0.72113877438338336</v>
      </c>
      <c r="Q25" s="1016">
        <f t="shared" si="73"/>
        <v>-0.69122924707757594</v>
      </c>
      <c r="R25" s="1016">
        <f t="shared" si="74"/>
        <v>-0.80722935724560974</v>
      </c>
      <c r="S25" s="1016">
        <f t="shared" si="75"/>
        <v>-0.76393537245218524</v>
      </c>
      <c r="U25" s="1022">
        <f t="shared" si="15"/>
        <v>6.9838071306505059E-2</v>
      </c>
      <c r="V25" s="1022">
        <f t="shared" si="76"/>
        <v>0.72113877438338336</v>
      </c>
      <c r="W25" s="1022">
        <f t="shared" si="77"/>
        <v>0.69122924707757594</v>
      </c>
      <c r="X25" s="1022">
        <f t="shared" si="78"/>
        <v>0.80722935724560974</v>
      </c>
      <c r="Y25" s="1022">
        <f t="shared" si="79"/>
        <v>0.76393537245218524</v>
      </c>
      <c r="AA25" s="1011">
        <v>1993</v>
      </c>
      <c r="AB25" s="1012">
        <f>RunXAge!$I19</f>
        <v>31347.880360364543</v>
      </c>
      <c r="AC25" s="1012">
        <f t="shared" si="16"/>
        <v>9375.3263410620893</v>
      </c>
      <c r="AD25" s="1012">
        <f t="shared" si="32"/>
        <v>19786.664539496378</v>
      </c>
      <c r="AE25" s="1012">
        <f t="shared" si="46"/>
        <v>5597.4829838087717</v>
      </c>
      <c r="AF25" s="1012">
        <f t="shared" si="58"/>
        <v>7598.0514565308968</v>
      </c>
      <c r="AG25" s="1012">
        <f t="shared" si="80"/>
        <v>7774.8899436789352</v>
      </c>
      <c r="AI25" s="1018">
        <f t="shared" si="81"/>
        <v>-21972.554019302454</v>
      </c>
      <c r="AJ25" s="1018">
        <f t="shared" si="82"/>
        <v>-11561.215820868165</v>
      </c>
      <c r="AK25" s="1018">
        <f t="shared" si="83"/>
        <v>-25750.397376555771</v>
      </c>
      <c r="AL25" s="1018">
        <f t="shared" si="84"/>
        <v>-23749.828903833644</v>
      </c>
      <c r="AM25" s="1018">
        <f t="shared" si="85"/>
        <v>-23572.990416685607</v>
      </c>
      <c r="AO25" s="1016">
        <f t="shared" si="86"/>
        <v>-0.70092630719249482</v>
      </c>
      <c r="AP25" s="1016">
        <f t="shared" si="87"/>
        <v>-0.36880374966231755</v>
      </c>
      <c r="AQ25" s="1016">
        <f t="shared" si="88"/>
        <v>-0.82143982561302342</v>
      </c>
      <c r="AR25" s="1016">
        <f t="shared" si="89"/>
        <v>-0.75762152435232333</v>
      </c>
      <c r="AS25" s="1016">
        <f t="shared" si="90"/>
        <v>-0.75198036185217465</v>
      </c>
      <c r="AU25" s="1022">
        <f t="shared" si="18"/>
        <v>0.70092630719249482</v>
      </c>
      <c r="AV25" s="1022">
        <f t="shared" si="19"/>
        <v>0.36880374966231755</v>
      </c>
      <c r="AW25" s="1022">
        <f t="shared" si="36"/>
        <v>0.82143982561302342</v>
      </c>
      <c r="AX25" s="1022">
        <f t="shared" si="49"/>
        <v>0.75762152435232333</v>
      </c>
      <c r="AY25" s="1022">
        <f t="shared" si="61"/>
        <v>0.75198036185217465</v>
      </c>
      <c r="BA25" s="1011">
        <v>1993</v>
      </c>
      <c r="BB25" s="1012">
        <f>RunXAge!$M19</f>
        <v>13878.379842417628</v>
      </c>
      <c r="BC25" s="1012">
        <f t="shared" si="20"/>
        <v>43279.314721733841</v>
      </c>
      <c r="BD25" s="1012">
        <f t="shared" si="37"/>
        <v>12019.484477406002</v>
      </c>
      <c r="BE25" s="1012">
        <f t="shared" si="50"/>
        <v>11771.369585253457</v>
      </c>
      <c r="BF25" s="1012">
        <f t="shared" si="62"/>
        <v>19097.45254528369</v>
      </c>
      <c r="BG25" s="1012">
        <f t="shared" si="91"/>
        <v>19096.623109347878</v>
      </c>
      <c r="BI25" s="1018">
        <f t="shared" si="92"/>
        <v>29400.934879316213</v>
      </c>
      <c r="BJ25" s="1018">
        <f t="shared" si="93"/>
        <v>-1858.8953650116255</v>
      </c>
      <c r="BK25" s="1018">
        <f t="shared" si="94"/>
        <v>-2107.010257164171</v>
      </c>
      <c r="BL25" s="1018">
        <f t="shared" si="95"/>
        <v>5219.0727028660622</v>
      </c>
      <c r="BM25" s="1018">
        <f t="shared" si="96"/>
        <v>5218.2432669302507</v>
      </c>
      <c r="BO25" s="1016">
        <f t="shared" si="97"/>
        <v>2.1184702546802856</v>
      </c>
      <c r="BP25" s="1016">
        <f t="shared" si="98"/>
        <v>-0.13394181353432419</v>
      </c>
      <c r="BQ25" s="1016">
        <f t="shared" si="99"/>
        <v>-0.15181961303035843</v>
      </c>
      <c r="BR25" s="1016">
        <f t="shared" si="100"/>
        <v>0.37605777923115946</v>
      </c>
      <c r="BS25" s="1016">
        <f t="shared" si="101"/>
        <v>0.37599801462280974</v>
      </c>
      <c r="BU25" s="1022">
        <f t="shared" si="23"/>
        <v>2.1184702546802856</v>
      </c>
      <c r="BV25" s="1022">
        <f t="shared" si="24"/>
        <v>0.13394181353432419</v>
      </c>
      <c r="BW25" s="1022">
        <f t="shared" si="42"/>
        <v>0.15181961303035843</v>
      </c>
      <c r="BX25" s="1022">
        <f t="shared" si="53"/>
        <v>0.37605777923115946</v>
      </c>
      <c r="BY25" s="1022">
        <f t="shared" si="65"/>
        <v>0.37599801462280974</v>
      </c>
    </row>
    <row r="26" spans="1:77">
      <c r="A26" s="1011">
        <v>1994</v>
      </c>
      <c r="B26" s="1012">
        <f>RunXAge!$F20</f>
        <v>4110.4521949177479</v>
      </c>
      <c r="C26" s="1012">
        <f t="shared" si="12"/>
        <v>4111.1481321755628</v>
      </c>
      <c r="D26" s="1012">
        <f t="shared" si="25"/>
        <v>3824.0334757690807</v>
      </c>
      <c r="E26" s="1012">
        <f t="shared" si="43"/>
        <v>1146.4398068299413</v>
      </c>
      <c r="F26" s="1012">
        <f t="shared" si="54"/>
        <v>1269.4023041474654</v>
      </c>
      <c r="G26" s="1012">
        <f t="shared" si="66"/>
        <v>792.5086678979942</v>
      </c>
      <c r="I26" s="1018">
        <f t="shared" si="67"/>
        <v>0.69593725781487592</v>
      </c>
      <c r="J26" s="1018">
        <f t="shared" si="68"/>
        <v>-286.41871914866715</v>
      </c>
      <c r="K26" s="1018">
        <f t="shared" si="69"/>
        <v>-2964.0123880878064</v>
      </c>
      <c r="L26" s="1018">
        <f t="shared" si="70"/>
        <v>-2841.0498907702822</v>
      </c>
      <c r="M26" s="1018">
        <f t="shared" si="71"/>
        <v>-3317.9435270197537</v>
      </c>
      <c r="O26" s="1016">
        <f t="shared" si="14"/>
        <v>1.6930917203594967E-4</v>
      </c>
      <c r="P26" s="1016">
        <f t="shared" si="72"/>
        <v>-6.9680586360498592E-2</v>
      </c>
      <c r="Q26" s="1016">
        <f t="shared" si="73"/>
        <v>-0.72109156062016133</v>
      </c>
      <c r="R26" s="1016">
        <f t="shared" si="74"/>
        <v>-0.69117696935704975</v>
      </c>
      <c r="S26" s="1016">
        <f t="shared" si="75"/>
        <v>-0.80719671940769211</v>
      </c>
      <c r="U26" s="1022">
        <f t="shared" si="15"/>
        <v>1.6930917203594967E-4</v>
      </c>
      <c r="V26" s="1022">
        <f t="shared" si="76"/>
        <v>6.9680586360498592E-2</v>
      </c>
      <c r="W26" s="1022">
        <f t="shared" si="77"/>
        <v>0.72109156062016133</v>
      </c>
      <c r="X26" s="1022">
        <f t="shared" si="78"/>
        <v>0.69117696935704975</v>
      </c>
      <c r="Y26" s="1022">
        <f t="shared" si="79"/>
        <v>0.80719671940769211</v>
      </c>
      <c r="AA26" s="1011">
        <v>1994</v>
      </c>
      <c r="AB26" s="1012">
        <f>RunXAge!$I20</f>
        <v>31720.521207855119</v>
      </c>
      <c r="AC26" s="1012">
        <f t="shared" si="16"/>
        <v>31347.880360364543</v>
      </c>
      <c r="AD26" s="1012">
        <f t="shared" si="32"/>
        <v>9375.3263410620893</v>
      </c>
      <c r="AE26" s="1012">
        <f t="shared" si="46"/>
        <v>19786.664539496378</v>
      </c>
      <c r="AF26" s="1012">
        <f t="shared" si="58"/>
        <v>5597.4829838087717</v>
      </c>
      <c r="AG26" s="1012">
        <f t="shared" si="80"/>
        <v>7598.0514565308968</v>
      </c>
      <c r="AI26" s="1018">
        <f t="shared" si="81"/>
        <v>-372.64084749057656</v>
      </c>
      <c r="AJ26" s="1018">
        <f t="shared" si="82"/>
        <v>-22345.19486679303</v>
      </c>
      <c r="AK26" s="1018">
        <f t="shared" si="83"/>
        <v>-11933.856668358741</v>
      </c>
      <c r="AL26" s="1018">
        <f t="shared" si="84"/>
        <v>-26123.038224046348</v>
      </c>
      <c r="AM26" s="1018">
        <f t="shared" si="85"/>
        <v>-24122.469751324221</v>
      </c>
      <c r="AO26" s="1016">
        <f t="shared" si="86"/>
        <v>-1.1747626876896889E-2</v>
      </c>
      <c r="AP26" s="1016">
        <f t="shared" si="87"/>
        <v>-0.70443971334429312</v>
      </c>
      <c r="AQ26" s="1016">
        <f t="shared" si="88"/>
        <v>-0.37621880769738103</v>
      </c>
      <c r="AR26" s="1016">
        <f t="shared" si="89"/>
        <v>-0.82353748391679527</v>
      </c>
      <c r="AS26" s="1016">
        <f t="shared" si="90"/>
        <v>-0.76046889624722325</v>
      </c>
      <c r="AU26" s="1022">
        <f t="shared" si="18"/>
        <v>1.1747626876896889E-2</v>
      </c>
      <c r="AV26" s="1022">
        <f t="shared" si="19"/>
        <v>0.70443971334429312</v>
      </c>
      <c r="AW26" s="1022">
        <f t="shared" si="36"/>
        <v>0.37621880769738103</v>
      </c>
      <c r="AX26" s="1022">
        <f t="shared" si="49"/>
        <v>0.82353748391679527</v>
      </c>
      <c r="AY26" s="1022">
        <f t="shared" si="61"/>
        <v>0.76046889624722325</v>
      </c>
      <c r="BA26" s="1011">
        <v>1994</v>
      </c>
      <c r="BB26" s="1012">
        <f>RunXAge!$M20</f>
        <v>36211.645151829012</v>
      </c>
      <c r="BC26" s="1012">
        <f t="shared" si="20"/>
        <v>13878.379842417628</v>
      </c>
      <c r="BD26" s="1012">
        <f t="shared" si="37"/>
        <v>43279.314721733841</v>
      </c>
      <c r="BE26" s="1012">
        <f t="shared" si="50"/>
        <v>12019.484477406002</v>
      </c>
      <c r="BF26" s="1012">
        <f t="shared" si="62"/>
        <v>11771.369585253457</v>
      </c>
      <c r="BG26" s="1012">
        <f t="shared" si="91"/>
        <v>19097.45254528369</v>
      </c>
      <c r="BI26" s="1018">
        <f t="shared" si="92"/>
        <v>-22333.265309411385</v>
      </c>
      <c r="BJ26" s="1018">
        <f t="shared" si="93"/>
        <v>7067.6695699048287</v>
      </c>
      <c r="BK26" s="1018">
        <f t="shared" si="94"/>
        <v>-24192.160674423008</v>
      </c>
      <c r="BL26" s="1018">
        <f t="shared" si="95"/>
        <v>-24440.275566575554</v>
      </c>
      <c r="BM26" s="1018">
        <f t="shared" si="96"/>
        <v>-17114.192606545323</v>
      </c>
      <c r="BO26" s="1016">
        <f t="shared" si="97"/>
        <v>-0.61674263115558436</v>
      </c>
      <c r="BP26" s="1016">
        <f t="shared" si="98"/>
        <v>0.19517670462834102</v>
      </c>
      <c r="BQ26" s="1016">
        <f t="shared" si="99"/>
        <v>-0.66807681818899878</v>
      </c>
      <c r="BR26" s="1016">
        <f t="shared" si="100"/>
        <v>-0.67492861658457681</v>
      </c>
      <c r="BS26" s="1016">
        <f t="shared" si="101"/>
        <v>-0.47261571615397602</v>
      </c>
      <c r="BU26" s="1022">
        <f t="shared" si="23"/>
        <v>0.61674263115558436</v>
      </c>
      <c r="BV26" s="1022">
        <f t="shared" si="24"/>
        <v>0.19517670462834102</v>
      </c>
      <c r="BW26" s="1022">
        <f t="shared" si="42"/>
        <v>0.66807681818899878</v>
      </c>
      <c r="BX26" s="1022">
        <f t="shared" si="53"/>
        <v>0.67492861658457681</v>
      </c>
      <c r="BY26" s="1022">
        <f t="shared" si="65"/>
        <v>0.47261571615397602</v>
      </c>
    </row>
    <row r="27" spans="1:77">
      <c r="A27" s="1011">
        <v>1995</v>
      </c>
      <c r="B27" s="1012">
        <f>RunXAge!$F21</f>
        <v>7142.7400904797742</v>
      </c>
      <c r="C27" s="1012">
        <f t="shared" si="12"/>
        <v>4110.4521949177479</v>
      </c>
      <c r="D27" s="1012">
        <f t="shared" si="25"/>
        <v>4111.1481321755628</v>
      </c>
      <c r="E27" s="1012">
        <f t="shared" si="43"/>
        <v>3824.0334757690807</v>
      </c>
      <c r="F27" s="1012">
        <f t="shared" si="54"/>
        <v>1146.4398068299413</v>
      </c>
      <c r="G27" s="1012">
        <f t="shared" si="66"/>
        <v>1269.4023041474654</v>
      </c>
      <c r="I27" s="1018">
        <f t="shared" si="67"/>
        <v>-3032.2878955620263</v>
      </c>
      <c r="J27" s="1018">
        <f t="shared" si="68"/>
        <v>-3031.5919583042114</v>
      </c>
      <c r="K27" s="1018">
        <f t="shared" si="69"/>
        <v>-3318.7066147106934</v>
      </c>
      <c r="L27" s="1018">
        <f t="shared" si="70"/>
        <v>-5996.3002836498326</v>
      </c>
      <c r="M27" s="1018">
        <f t="shared" si="71"/>
        <v>-5873.3377863323085</v>
      </c>
      <c r="O27" s="1016">
        <f t="shared" si="14"/>
        <v>-0.42452726224822623</v>
      </c>
      <c r="P27" s="1016">
        <f t="shared" si="72"/>
        <v>-0.4244298294354682</v>
      </c>
      <c r="Q27" s="1016">
        <f t="shared" si="73"/>
        <v>-0.46462654004925125</v>
      </c>
      <c r="R27" s="1016">
        <f t="shared" si="74"/>
        <v>-0.83949579680800956</v>
      </c>
      <c r="S27" s="1016">
        <f t="shared" si="75"/>
        <v>-0.82228076507510151</v>
      </c>
      <c r="U27" s="1022">
        <f t="shared" si="15"/>
        <v>0.42452726224822623</v>
      </c>
      <c r="V27" s="1022">
        <f t="shared" si="76"/>
        <v>0.4244298294354682</v>
      </c>
      <c r="W27" s="1022">
        <f t="shared" si="77"/>
        <v>0.46462654004925125</v>
      </c>
      <c r="X27" s="1022">
        <f t="shared" si="78"/>
        <v>0.83949579680800956</v>
      </c>
      <c r="Y27" s="1022">
        <f t="shared" si="79"/>
        <v>0.82228076507510151</v>
      </c>
      <c r="AA27" s="1011">
        <v>1995</v>
      </c>
      <c r="AB27" s="1012">
        <f>RunXAge!$I21</f>
        <v>55953.220203770397</v>
      </c>
      <c r="AC27" s="1012">
        <f t="shared" si="16"/>
        <v>31720.521207855119</v>
      </c>
      <c r="AD27" s="1012">
        <f t="shared" si="32"/>
        <v>31347.880360364543</v>
      </c>
      <c r="AE27" s="1012">
        <f t="shared" si="46"/>
        <v>9375.3263410620893</v>
      </c>
      <c r="AF27" s="1012">
        <f t="shared" si="58"/>
        <v>19786.664539496378</v>
      </c>
      <c r="AG27" s="1012">
        <f t="shared" si="80"/>
        <v>5597.4829838087717</v>
      </c>
      <c r="AI27" s="1018">
        <f t="shared" si="81"/>
        <v>-24232.698995915278</v>
      </c>
      <c r="AJ27" s="1018">
        <f t="shared" si="82"/>
        <v>-24605.339843405854</v>
      </c>
      <c r="AK27" s="1018">
        <f t="shared" si="83"/>
        <v>-46577.893862708312</v>
      </c>
      <c r="AL27" s="1018">
        <f t="shared" si="84"/>
        <v>-36166.555664274019</v>
      </c>
      <c r="AM27" s="1018">
        <f t="shared" si="85"/>
        <v>-50355.737219961622</v>
      </c>
      <c r="AO27" s="1016">
        <f t="shared" si="86"/>
        <v>-0.43308854982188072</v>
      </c>
      <c r="AP27" s="1016">
        <f t="shared" si="87"/>
        <v>-0.43974841401081377</v>
      </c>
      <c r="AQ27" s="1016">
        <f t="shared" si="88"/>
        <v>-0.83244348927695266</v>
      </c>
      <c r="AR27" s="1016">
        <f t="shared" si="89"/>
        <v>-0.64637129967788598</v>
      </c>
      <c r="AS27" s="1016">
        <f t="shared" si="90"/>
        <v>-0.89996137910519058</v>
      </c>
      <c r="AU27" s="1022">
        <f t="shared" si="18"/>
        <v>0.43308854982188072</v>
      </c>
      <c r="AV27" s="1022">
        <f t="shared" si="19"/>
        <v>0.43974841401081377</v>
      </c>
      <c r="AW27" s="1022">
        <f t="shared" si="36"/>
        <v>0.83244348927695266</v>
      </c>
      <c r="AX27" s="1022">
        <f t="shared" si="49"/>
        <v>0.64637129967788598</v>
      </c>
      <c r="AY27" s="1022">
        <f t="shared" si="61"/>
        <v>0.89996137910519058</v>
      </c>
      <c r="BA27" s="1011">
        <v>1995</v>
      </c>
      <c r="BB27" s="1012">
        <f>RunXAge!$M21</f>
        <v>31949.172801461413</v>
      </c>
      <c r="BC27" s="1012">
        <f t="shared" si="20"/>
        <v>36211.645151829012</v>
      </c>
      <c r="BD27" s="1012">
        <f t="shared" si="37"/>
        <v>13878.379842417628</v>
      </c>
      <c r="BE27" s="1012">
        <f t="shared" si="50"/>
        <v>43279.314721733841</v>
      </c>
      <c r="BF27" s="1012">
        <f t="shared" si="62"/>
        <v>12019.484477406002</v>
      </c>
      <c r="BG27" s="1012">
        <f t="shared" si="91"/>
        <v>11771.369585253457</v>
      </c>
      <c r="BI27" s="1018">
        <f t="shared" si="92"/>
        <v>4262.4723503675996</v>
      </c>
      <c r="BJ27" s="1018">
        <f t="shared" si="93"/>
        <v>-18070.792959043785</v>
      </c>
      <c r="BK27" s="1018">
        <f t="shared" si="94"/>
        <v>11330.141920272428</v>
      </c>
      <c r="BL27" s="1018">
        <f t="shared" si="95"/>
        <v>-19929.688324055409</v>
      </c>
      <c r="BM27" s="1018">
        <f t="shared" si="96"/>
        <v>-20177.803216207954</v>
      </c>
      <c r="BO27" s="1016">
        <f t="shared" si="97"/>
        <v>0.13341416933876379</v>
      </c>
      <c r="BP27" s="1016">
        <f t="shared" si="98"/>
        <v>-0.56561066764824641</v>
      </c>
      <c r="BQ27" s="1016">
        <f t="shared" si="99"/>
        <v>0.35463021188937222</v>
      </c>
      <c r="BR27" s="1016">
        <f t="shared" si="100"/>
        <v>-0.62379356260340457</v>
      </c>
      <c r="BS27" s="1016">
        <f t="shared" si="101"/>
        <v>-0.6315594879904054</v>
      </c>
      <c r="BU27" s="1022">
        <f t="shared" si="23"/>
        <v>0.13341416933876379</v>
      </c>
      <c r="BV27" s="1022">
        <f t="shared" si="24"/>
        <v>0.56561066764824641</v>
      </c>
      <c r="BW27" s="1022">
        <f t="shared" si="42"/>
        <v>0.35463021188937222</v>
      </c>
      <c r="BX27" s="1022">
        <f t="shared" si="53"/>
        <v>0.62379356260340457</v>
      </c>
      <c r="BY27" s="1022">
        <f t="shared" si="65"/>
        <v>0.6315594879904054</v>
      </c>
    </row>
    <row r="28" spans="1:77">
      <c r="A28" s="1011">
        <v>1996</v>
      </c>
      <c r="B28" s="1012">
        <f>RunXAge!$F22</f>
        <v>5839.0273979033991</v>
      </c>
      <c r="C28" s="1012">
        <f t="shared" si="12"/>
        <v>7142.7400904797742</v>
      </c>
      <c r="D28" s="1012">
        <f t="shared" si="25"/>
        <v>4110.4521949177479</v>
      </c>
      <c r="E28" s="1012">
        <f t="shared" si="43"/>
        <v>4111.1481321755628</v>
      </c>
      <c r="F28" s="1012">
        <f t="shared" si="54"/>
        <v>3824.0334757690807</v>
      </c>
      <c r="G28" s="1012">
        <f t="shared" si="66"/>
        <v>1146.4398068299413</v>
      </c>
      <c r="I28" s="1018">
        <f t="shared" si="67"/>
        <v>1303.712692576375</v>
      </c>
      <c r="J28" s="1018">
        <f t="shared" si="68"/>
        <v>-1728.5752029856512</v>
      </c>
      <c r="K28" s="1018">
        <f t="shared" si="69"/>
        <v>-1727.8792657278364</v>
      </c>
      <c r="L28" s="1018">
        <f t="shared" si="70"/>
        <v>-2014.9939221343184</v>
      </c>
      <c r="M28" s="1018">
        <f t="shared" si="71"/>
        <v>-4692.5875910734576</v>
      </c>
      <c r="O28" s="1016">
        <f t="shared" si="14"/>
        <v>0.22327565940938982</v>
      </c>
      <c r="P28" s="1016">
        <f t="shared" si="72"/>
        <v>-0.29603820725457208</v>
      </c>
      <c r="Q28" s="1016">
        <f t="shared" si="73"/>
        <v>-0.29591902006629744</v>
      </c>
      <c r="R28" s="1016">
        <f t="shared" si="74"/>
        <v>-0.34509067774846131</v>
      </c>
      <c r="S28" s="1016">
        <f t="shared" si="75"/>
        <v>-0.80365911500233922</v>
      </c>
      <c r="U28" s="1022">
        <f t="shared" si="15"/>
        <v>0.22327565940938982</v>
      </c>
      <c r="V28" s="1022">
        <f t="shared" si="76"/>
        <v>0.29603820725457208</v>
      </c>
      <c r="W28" s="1022">
        <f t="shared" si="77"/>
        <v>0.29591902006629744</v>
      </c>
      <c r="X28" s="1022">
        <f t="shared" si="78"/>
        <v>0.34509067774846131</v>
      </c>
      <c r="Y28" s="1022">
        <f t="shared" si="79"/>
        <v>0.80365911500233922</v>
      </c>
      <c r="AA28" s="1011">
        <v>1996</v>
      </c>
      <c r="AB28" s="1012">
        <f>RunXAge!$I22</f>
        <v>42451.662253200571</v>
      </c>
      <c r="AC28" s="1012">
        <f t="shared" si="16"/>
        <v>55953.220203770397</v>
      </c>
      <c r="AD28" s="1012">
        <f t="shared" si="32"/>
        <v>31720.521207855119</v>
      </c>
      <c r="AE28" s="1012">
        <f t="shared" si="46"/>
        <v>31347.880360364543</v>
      </c>
      <c r="AF28" s="1012">
        <f t="shared" si="58"/>
        <v>9375.3263410620893</v>
      </c>
      <c r="AG28" s="1012">
        <f t="shared" si="80"/>
        <v>19786.664539496378</v>
      </c>
      <c r="AI28" s="1018">
        <f t="shared" si="81"/>
        <v>13501.557950569826</v>
      </c>
      <c r="AJ28" s="1018">
        <f t="shared" si="82"/>
        <v>-10731.141045345452</v>
      </c>
      <c r="AK28" s="1018">
        <f t="shared" si="83"/>
        <v>-11103.781892836028</v>
      </c>
      <c r="AL28" s="1018">
        <f t="shared" si="84"/>
        <v>-33076.335912138486</v>
      </c>
      <c r="AM28" s="1018">
        <f t="shared" si="85"/>
        <v>-22664.997713704193</v>
      </c>
      <c r="AO28" s="1016">
        <f t="shared" si="86"/>
        <v>0.31804544825690306</v>
      </c>
      <c r="AP28" s="1016">
        <f t="shared" si="87"/>
        <v>-0.25278494352800979</v>
      </c>
      <c r="AQ28" s="1016">
        <f t="shared" si="88"/>
        <v>-0.26156294720824219</v>
      </c>
      <c r="AR28" s="1016">
        <f t="shared" si="89"/>
        <v>-0.77915290371567847</v>
      </c>
      <c r="AS28" s="1016">
        <f t="shared" si="90"/>
        <v>-0.53390130116743317</v>
      </c>
      <c r="AU28" s="1022">
        <f t="shared" si="18"/>
        <v>0.31804544825690306</v>
      </c>
      <c r="AV28" s="1022">
        <f t="shared" si="19"/>
        <v>0.25278494352800979</v>
      </c>
      <c r="AW28" s="1022">
        <f t="shared" si="36"/>
        <v>0.26156294720824219</v>
      </c>
      <c r="AX28" s="1022">
        <f t="shared" si="49"/>
        <v>0.77915290371567847</v>
      </c>
      <c r="AY28" s="1022">
        <f t="shared" si="61"/>
        <v>0.53390130116743317</v>
      </c>
      <c r="BA28" s="1011">
        <v>1996</v>
      </c>
      <c r="BB28" s="1012">
        <f>RunXAge!$M22</f>
        <v>35391.488291243433</v>
      </c>
      <c r="BC28" s="1012">
        <f t="shared" si="20"/>
        <v>31949.172801461413</v>
      </c>
      <c r="BD28" s="1012">
        <f t="shared" si="37"/>
        <v>36211.645151829012</v>
      </c>
      <c r="BE28" s="1012">
        <f t="shared" si="50"/>
        <v>13878.379842417628</v>
      </c>
      <c r="BF28" s="1012">
        <f t="shared" si="62"/>
        <v>43279.314721733841</v>
      </c>
      <c r="BG28" s="1012">
        <f t="shared" si="91"/>
        <v>12019.484477406002</v>
      </c>
      <c r="BI28" s="1018">
        <f t="shared" si="92"/>
        <v>-3442.3154897820204</v>
      </c>
      <c r="BJ28" s="1018">
        <f t="shared" si="93"/>
        <v>820.15686058557912</v>
      </c>
      <c r="BK28" s="1018">
        <f t="shared" si="94"/>
        <v>-21513.108448825806</v>
      </c>
      <c r="BL28" s="1018">
        <f t="shared" si="95"/>
        <v>7887.8264304904078</v>
      </c>
      <c r="BM28" s="1018">
        <f t="shared" si="96"/>
        <v>-23372.003813837429</v>
      </c>
      <c r="BO28" s="1016">
        <f t="shared" si="97"/>
        <v>-9.7263937064599751E-2</v>
      </c>
      <c r="BP28" s="1016">
        <f t="shared" si="98"/>
        <v>2.3173844904072666E-2</v>
      </c>
      <c r="BQ28" s="1016">
        <f t="shared" si="99"/>
        <v>-0.60786108433164088</v>
      </c>
      <c r="BR28" s="1016">
        <f t="shared" si="100"/>
        <v>0.22287354421435887</v>
      </c>
      <c r="BS28" s="1016">
        <f t="shared" si="101"/>
        <v>-0.6603848818536443</v>
      </c>
      <c r="BU28" s="1022">
        <f t="shared" si="23"/>
        <v>9.7263937064599751E-2</v>
      </c>
      <c r="BV28" s="1022">
        <f t="shared" si="24"/>
        <v>2.3173844904072666E-2</v>
      </c>
      <c r="BW28" s="1022">
        <f t="shared" si="42"/>
        <v>0.60786108433164088</v>
      </c>
      <c r="BX28" s="1022">
        <f t="shared" si="53"/>
        <v>0.22287354421435887</v>
      </c>
      <c r="BY28" s="1022">
        <f t="shared" si="65"/>
        <v>0.6603848818536443</v>
      </c>
    </row>
    <row r="29" spans="1:77">
      <c r="A29" s="1011">
        <v>1997</v>
      </c>
      <c r="B29" s="1012">
        <f>RunXAge!$F23</f>
        <v>7114.2514069195649</v>
      </c>
      <c r="C29" s="1012">
        <f t="shared" si="12"/>
        <v>5839.0273979033991</v>
      </c>
      <c r="D29" s="1012">
        <f t="shared" si="25"/>
        <v>7142.7400904797742</v>
      </c>
      <c r="E29" s="1012">
        <f t="shared" si="43"/>
        <v>4110.4521949177479</v>
      </c>
      <c r="F29" s="1012">
        <f t="shared" si="54"/>
        <v>4111.1481321755628</v>
      </c>
      <c r="G29" s="1012">
        <f t="shared" si="66"/>
        <v>3824.0334757690807</v>
      </c>
      <c r="I29" s="1018">
        <f t="shared" si="67"/>
        <v>-1275.2240090161658</v>
      </c>
      <c r="J29" s="1018">
        <f t="shared" si="68"/>
        <v>28.488683560209211</v>
      </c>
      <c r="K29" s="1018">
        <f t="shared" si="69"/>
        <v>-3003.7992120018171</v>
      </c>
      <c r="L29" s="1018">
        <f t="shared" si="70"/>
        <v>-3003.1032747440022</v>
      </c>
      <c r="M29" s="1018">
        <f t="shared" si="71"/>
        <v>-3290.2179311504842</v>
      </c>
      <c r="O29" s="1016">
        <f t="shared" si="14"/>
        <v>-0.17924921907817865</v>
      </c>
      <c r="P29" s="1016">
        <f t="shared" si="72"/>
        <v>4.0044527429126467E-3</v>
      </c>
      <c r="Q29" s="1016">
        <f t="shared" si="73"/>
        <v>-0.42222280886506469</v>
      </c>
      <c r="R29" s="1016">
        <f t="shared" si="74"/>
        <v>-0.42212498588721237</v>
      </c>
      <c r="S29" s="1016">
        <f t="shared" si="75"/>
        <v>-0.46248266232906887</v>
      </c>
      <c r="U29" s="1022">
        <f t="shared" si="15"/>
        <v>0.17924921907817865</v>
      </c>
      <c r="V29" s="1022">
        <f t="shared" si="76"/>
        <v>4.0044527429126467E-3</v>
      </c>
      <c r="W29" s="1022">
        <f t="shared" si="77"/>
        <v>0.42222280886506469</v>
      </c>
      <c r="X29" s="1022">
        <f t="shared" si="78"/>
        <v>0.42212498588721237</v>
      </c>
      <c r="Y29" s="1022">
        <f t="shared" si="79"/>
        <v>0.46248266232906887</v>
      </c>
      <c r="AA29" s="1011">
        <v>1997</v>
      </c>
      <c r="AB29" s="1012">
        <f>RunXAge!$I23</f>
        <v>56034.420564336666</v>
      </c>
      <c r="AC29" s="1012">
        <f t="shared" si="16"/>
        <v>42451.662253200571</v>
      </c>
      <c r="AD29" s="1012">
        <f t="shared" si="32"/>
        <v>55953.220203770397</v>
      </c>
      <c r="AE29" s="1012">
        <f t="shared" si="46"/>
        <v>31720.521207855119</v>
      </c>
      <c r="AF29" s="1012">
        <f t="shared" si="58"/>
        <v>31347.880360364543</v>
      </c>
      <c r="AG29" s="1012">
        <f t="shared" si="80"/>
        <v>9375.3263410620893</v>
      </c>
      <c r="AI29" s="1018">
        <f t="shared" si="81"/>
        <v>-13582.758311136095</v>
      </c>
      <c r="AJ29" s="1018">
        <f t="shared" si="82"/>
        <v>-81.2003605662685</v>
      </c>
      <c r="AK29" s="1018">
        <f t="shared" si="83"/>
        <v>-24313.899356481546</v>
      </c>
      <c r="AL29" s="1018">
        <f t="shared" si="84"/>
        <v>-24686.540203972123</v>
      </c>
      <c r="AM29" s="1018">
        <f t="shared" si="85"/>
        <v>-46659.094223274573</v>
      </c>
      <c r="AO29" s="1016">
        <f t="shared" si="86"/>
        <v>-0.24240026352268371</v>
      </c>
      <c r="AP29" s="1016">
        <f t="shared" si="87"/>
        <v>-1.4491157354440246E-3</v>
      </c>
      <c r="AQ29" s="1016">
        <f t="shared" si="88"/>
        <v>-0.43391007012493721</v>
      </c>
      <c r="AR29" s="1016">
        <f t="shared" si="89"/>
        <v>-0.44056028339987818</v>
      </c>
      <c r="AS29" s="1016">
        <f t="shared" si="90"/>
        <v>-0.83268629805321737</v>
      </c>
      <c r="AU29" s="1022">
        <f t="shared" si="18"/>
        <v>0.24240026352268371</v>
      </c>
      <c r="AV29" s="1022">
        <f t="shared" si="19"/>
        <v>1.4491157354440246E-3</v>
      </c>
      <c r="AW29" s="1022">
        <f t="shared" si="36"/>
        <v>0.43391007012493721</v>
      </c>
      <c r="AX29" s="1022">
        <f t="shared" si="49"/>
        <v>0.44056028339987818</v>
      </c>
      <c r="AY29" s="1022">
        <f t="shared" si="61"/>
        <v>0.83268629805321737</v>
      </c>
      <c r="BA29" s="1011">
        <v>1997</v>
      </c>
      <c r="BB29" s="1012">
        <f>RunXAge!$M23</f>
        <v>26200.636613478768</v>
      </c>
      <c r="BC29" s="1012">
        <f t="shared" si="20"/>
        <v>35391.488291243433</v>
      </c>
      <c r="BD29" s="1012">
        <f t="shared" si="37"/>
        <v>31949.172801461413</v>
      </c>
      <c r="BE29" s="1012">
        <f t="shared" si="50"/>
        <v>36211.645151829012</v>
      </c>
      <c r="BF29" s="1012">
        <f t="shared" si="62"/>
        <v>13878.379842417628</v>
      </c>
      <c r="BG29" s="1012">
        <f t="shared" si="91"/>
        <v>43279.314721733841</v>
      </c>
      <c r="BI29" s="1018">
        <f t="shared" si="92"/>
        <v>9190.8516777646655</v>
      </c>
      <c r="BJ29" s="1018">
        <f t="shared" si="93"/>
        <v>5748.5361879826451</v>
      </c>
      <c r="BK29" s="1018">
        <f t="shared" si="94"/>
        <v>10011.008538350245</v>
      </c>
      <c r="BL29" s="1018">
        <f t="shared" si="95"/>
        <v>-12322.25677106114</v>
      </c>
      <c r="BM29" s="1018">
        <f t="shared" si="96"/>
        <v>17078.678108255073</v>
      </c>
      <c r="BO29" s="1016">
        <f t="shared" si="97"/>
        <v>0.35078734205398981</v>
      </c>
      <c r="BP29" s="1016">
        <f t="shared" si="98"/>
        <v>0.21940444702879255</v>
      </c>
      <c r="BQ29" s="1016">
        <f t="shared" si="99"/>
        <v>0.3820902784171335</v>
      </c>
      <c r="BR29" s="1016">
        <f t="shared" si="100"/>
        <v>-0.47030371638840351</v>
      </c>
      <c r="BS29" s="1016">
        <f t="shared" si="101"/>
        <v>0.65184210445745605</v>
      </c>
      <c r="BU29" s="1022">
        <f t="shared" si="23"/>
        <v>0.35078734205398981</v>
      </c>
      <c r="BV29" s="1022">
        <f t="shared" si="24"/>
        <v>0.21940444702879255</v>
      </c>
      <c r="BW29" s="1022">
        <f t="shared" si="42"/>
        <v>0.3820902784171335</v>
      </c>
      <c r="BX29" s="1022">
        <f t="shared" si="53"/>
        <v>0.47030371638840351</v>
      </c>
      <c r="BY29" s="1022">
        <f t="shared" si="65"/>
        <v>0.65184210445745605</v>
      </c>
    </row>
    <row r="30" spans="1:77">
      <c r="A30" s="1011">
        <v>1998</v>
      </c>
      <c r="B30" s="1012">
        <f>RunXAge!$F24</f>
        <v>6161.0748337952673</v>
      </c>
      <c r="C30" s="1012">
        <f t="shared" si="12"/>
        <v>7114.2514069195649</v>
      </c>
      <c r="D30" s="1012">
        <f t="shared" si="25"/>
        <v>5839.0273979033991</v>
      </c>
      <c r="E30" s="1012">
        <f t="shared" si="43"/>
        <v>7142.7400904797742</v>
      </c>
      <c r="F30" s="1012">
        <f t="shared" si="54"/>
        <v>4110.4521949177479</v>
      </c>
      <c r="G30" s="1012">
        <f t="shared" si="66"/>
        <v>4111.1481321755628</v>
      </c>
      <c r="I30" s="1018">
        <f t="shared" si="67"/>
        <v>953.17657312429765</v>
      </c>
      <c r="J30" s="1018">
        <f t="shared" si="68"/>
        <v>-322.04743589186819</v>
      </c>
      <c r="K30" s="1018">
        <f t="shared" si="69"/>
        <v>981.66525668450686</v>
      </c>
      <c r="L30" s="1018">
        <f t="shared" si="70"/>
        <v>-2050.6226388775194</v>
      </c>
      <c r="M30" s="1018">
        <f t="shared" si="71"/>
        <v>-2049.9267016197045</v>
      </c>
      <c r="O30" s="1016">
        <f t="shared" si="14"/>
        <v>0.1547094620399431</v>
      </c>
      <c r="P30" s="1016">
        <f t="shared" si="72"/>
        <v>-5.2271307292900485E-2</v>
      </c>
      <c r="Q30" s="1016">
        <f t="shared" si="73"/>
        <v>0.15933344151247614</v>
      </c>
      <c r="R30" s="1016">
        <f t="shared" si="74"/>
        <v>-0.33283521044562947</v>
      </c>
      <c r="S30" s="1016">
        <f t="shared" si="75"/>
        <v>-0.3327222533274985</v>
      </c>
      <c r="U30" s="1022">
        <f t="shared" si="15"/>
        <v>0.1547094620399431</v>
      </c>
      <c r="V30" s="1022">
        <f t="shared" si="76"/>
        <v>5.2271307292900485E-2</v>
      </c>
      <c r="W30" s="1022">
        <f t="shared" si="77"/>
        <v>0.15933344151247614</v>
      </c>
      <c r="X30" s="1022">
        <f t="shared" si="78"/>
        <v>0.33283521044562947</v>
      </c>
      <c r="Y30" s="1022">
        <f t="shared" si="79"/>
        <v>0.3327222533274985</v>
      </c>
      <c r="AA30" s="1011">
        <v>1998</v>
      </c>
      <c r="AB30" s="1012">
        <f>RunXAge!$I24</f>
        <v>68371.053617062018</v>
      </c>
      <c r="AC30" s="1012">
        <f t="shared" si="16"/>
        <v>56034.420564336666</v>
      </c>
      <c r="AD30" s="1012">
        <f t="shared" si="32"/>
        <v>42451.662253200571</v>
      </c>
      <c r="AE30" s="1012">
        <f t="shared" si="46"/>
        <v>55953.220203770397</v>
      </c>
      <c r="AF30" s="1012">
        <f t="shared" si="58"/>
        <v>31720.521207855119</v>
      </c>
      <c r="AG30" s="1012">
        <f t="shared" si="80"/>
        <v>31347.880360364543</v>
      </c>
      <c r="AI30" s="1018">
        <f t="shared" si="81"/>
        <v>-12336.633052725352</v>
      </c>
      <c r="AJ30" s="1018">
        <f t="shared" si="82"/>
        <v>-25919.391363861447</v>
      </c>
      <c r="AK30" s="1018">
        <f t="shared" si="83"/>
        <v>-12417.833413291621</v>
      </c>
      <c r="AL30" s="1018">
        <f t="shared" si="84"/>
        <v>-36650.532409206899</v>
      </c>
      <c r="AM30" s="1018">
        <f t="shared" si="85"/>
        <v>-37023.173256697475</v>
      </c>
      <c r="AO30" s="1016">
        <f t="shared" si="86"/>
        <v>-0.18043649176186954</v>
      </c>
      <c r="AP30" s="1016">
        <f t="shared" si="87"/>
        <v>-0.37909890213236752</v>
      </c>
      <c r="AQ30" s="1016">
        <f t="shared" si="88"/>
        <v>-0.18162413413785314</v>
      </c>
      <c r="AR30" s="1016">
        <f t="shared" si="89"/>
        <v>-0.53605335109331631</v>
      </c>
      <c r="AS30" s="1016">
        <f t="shared" si="90"/>
        <v>-0.54150362321545864</v>
      </c>
      <c r="AU30" s="1022">
        <f t="shared" si="18"/>
        <v>0.18043649176186954</v>
      </c>
      <c r="AV30" s="1022">
        <f t="shared" si="19"/>
        <v>0.37909890213236752</v>
      </c>
      <c r="AW30" s="1022">
        <f t="shared" si="36"/>
        <v>0.18162413413785314</v>
      </c>
      <c r="AX30" s="1022">
        <f t="shared" si="49"/>
        <v>0.53605335109331631</v>
      </c>
      <c r="AY30" s="1022">
        <f t="shared" si="61"/>
        <v>0.54150362321545864</v>
      </c>
      <c r="BA30" s="1011">
        <v>1998</v>
      </c>
      <c r="BB30" s="1012">
        <f>RunXAge!$M24</f>
        <v>29707.135747092529</v>
      </c>
      <c r="BC30" s="1012">
        <f t="shared" si="20"/>
        <v>26200.636613478768</v>
      </c>
      <c r="BD30" s="1012">
        <f t="shared" si="37"/>
        <v>35391.488291243433</v>
      </c>
      <c r="BE30" s="1012">
        <f t="shared" si="50"/>
        <v>31949.172801461413</v>
      </c>
      <c r="BF30" s="1012">
        <f t="shared" si="62"/>
        <v>36211.645151829012</v>
      </c>
      <c r="BG30" s="1012">
        <f t="shared" si="91"/>
        <v>13878.379842417628</v>
      </c>
      <c r="BI30" s="1018">
        <f t="shared" si="92"/>
        <v>-3506.4991336137609</v>
      </c>
      <c r="BJ30" s="1018">
        <f t="shared" si="93"/>
        <v>5684.3525441509046</v>
      </c>
      <c r="BK30" s="1018">
        <f t="shared" si="94"/>
        <v>2242.0370543688841</v>
      </c>
      <c r="BL30" s="1018">
        <f t="shared" si="95"/>
        <v>6504.5094047364837</v>
      </c>
      <c r="BM30" s="1018">
        <f t="shared" si="96"/>
        <v>-15828.755904674901</v>
      </c>
      <c r="BO30" s="1016">
        <f t="shared" si="97"/>
        <v>-0.11803558456344772</v>
      </c>
      <c r="BP30" s="1016">
        <f t="shared" si="98"/>
        <v>0.19134636851374132</v>
      </c>
      <c r="BQ30" s="1016">
        <f t="shared" si="99"/>
        <v>7.5471330304481304E-2</v>
      </c>
      <c r="BR30" s="1016">
        <f t="shared" si="100"/>
        <v>0.21895444448470894</v>
      </c>
      <c r="BS30" s="1016">
        <f t="shared" si="101"/>
        <v>-0.53282672686558408</v>
      </c>
      <c r="BU30" s="1022">
        <f t="shared" si="23"/>
        <v>0.11803558456344772</v>
      </c>
      <c r="BV30" s="1022">
        <f t="shared" si="24"/>
        <v>0.19134636851374132</v>
      </c>
      <c r="BW30" s="1022">
        <f t="shared" si="42"/>
        <v>7.5471330304481304E-2</v>
      </c>
      <c r="BX30" s="1022">
        <f t="shared" si="53"/>
        <v>0.21895444448470894</v>
      </c>
      <c r="BY30" s="1022">
        <f t="shared" si="65"/>
        <v>0.53282672686558408</v>
      </c>
    </row>
    <row r="31" spans="1:77">
      <c r="A31" s="1011">
        <v>1999</v>
      </c>
      <c r="B31" s="1012">
        <f>RunXAge!$F25</f>
        <v>10515.024349583715</v>
      </c>
      <c r="C31" s="1012">
        <f t="shared" si="12"/>
        <v>6161.0748337952673</v>
      </c>
      <c r="D31" s="1012">
        <f t="shared" si="25"/>
        <v>7114.2514069195649</v>
      </c>
      <c r="E31" s="1012">
        <f t="shared" si="43"/>
        <v>5839.0273979033991</v>
      </c>
      <c r="F31" s="1012">
        <f t="shared" si="54"/>
        <v>7142.7400904797742</v>
      </c>
      <c r="G31" s="1012">
        <f t="shared" si="66"/>
        <v>4110.4521949177479</v>
      </c>
      <c r="I31" s="1018">
        <f t="shared" si="67"/>
        <v>-4353.9495157884476</v>
      </c>
      <c r="J31" s="1018">
        <f t="shared" si="68"/>
        <v>-3400.7729426641499</v>
      </c>
      <c r="K31" s="1018">
        <f t="shared" si="69"/>
        <v>-4675.9969516803158</v>
      </c>
      <c r="L31" s="1018">
        <f t="shared" si="70"/>
        <v>-3372.2842591039407</v>
      </c>
      <c r="M31" s="1018">
        <f t="shared" si="71"/>
        <v>-6404.572154665967</v>
      </c>
      <c r="O31" s="1016">
        <f t="shared" si="14"/>
        <v>-0.41406937074385552</v>
      </c>
      <c r="P31" s="1016">
        <f t="shared" si="72"/>
        <v>-0.32342035829891208</v>
      </c>
      <c r="Q31" s="1016">
        <f t="shared" si="73"/>
        <v>-0.44469673071802601</v>
      </c>
      <c r="R31" s="1016">
        <f t="shared" si="74"/>
        <v>-0.3207110270969033</v>
      </c>
      <c r="S31" s="1016">
        <f t="shared" si="75"/>
        <v>-0.6090877150388645</v>
      </c>
      <c r="U31" s="1022">
        <f t="shared" si="15"/>
        <v>0.41406937074385552</v>
      </c>
      <c r="V31" s="1022">
        <f t="shared" si="76"/>
        <v>0.32342035829891208</v>
      </c>
      <c r="W31" s="1022">
        <f t="shared" si="77"/>
        <v>0.44469673071802601</v>
      </c>
      <c r="X31" s="1022">
        <f t="shared" si="78"/>
        <v>0.3207110270969033</v>
      </c>
      <c r="Y31" s="1022">
        <f t="shared" si="79"/>
        <v>0.6090877150388645</v>
      </c>
      <c r="AA31" s="1011">
        <v>1999</v>
      </c>
      <c r="AB31" s="1012">
        <f>RunXAge!$I25</f>
        <v>55667.160650015241</v>
      </c>
      <c r="AC31" s="1012">
        <f t="shared" si="16"/>
        <v>68371.053617062018</v>
      </c>
      <c r="AD31" s="1012">
        <f t="shared" si="32"/>
        <v>56034.420564336666</v>
      </c>
      <c r="AE31" s="1012">
        <f t="shared" si="46"/>
        <v>42451.662253200571</v>
      </c>
      <c r="AF31" s="1012">
        <f t="shared" si="58"/>
        <v>55953.220203770397</v>
      </c>
      <c r="AG31" s="1012">
        <f t="shared" si="80"/>
        <v>31720.521207855119</v>
      </c>
      <c r="AI31" s="1018">
        <f t="shared" si="81"/>
        <v>12703.892967046777</v>
      </c>
      <c r="AJ31" s="1018">
        <f t="shared" si="82"/>
        <v>367.25991432142473</v>
      </c>
      <c r="AK31" s="1018">
        <f t="shared" si="83"/>
        <v>-13215.49839681467</v>
      </c>
      <c r="AL31" s="1018">
        <f t="shared" si="84"/>
        <v>286.05955375515623</v>
      </c>
      <c r="AM31" s="1018">
        <f t="shared" si="85"/>
        <v>-23946.639442160122</v>
      </c>
      <c r="AO31" s="1016">
        <f t="shared" si="86"/>
        <v>0.22821162097555803</v>
      </c>
      <c r="AP31" s="1016">
        <f t="shared" si="87"/>
        <v>6.5974249455693079E-3</v>
      </c>
      <c r="AQ31" s="1016">
        <f t="shared" si="88"/>
        <v>-0.23740205612249152</v>
      </c>
      <c r="AR31" s="1016">
        <f t="shared" si="89"/>
        <v>5.1387487778232479E-3</v>
      </c>
      <c r="AS31" s="1016">
        <f t="shared" si="90"/>
        <v>-0.43017533430014387</v>
      </c>
      <c r="AU31" s="1022">
        <f t="shared" si="18"/>
        <v>0.22821162097555803</v>
      </c>
      <c r="AV31" s="1022">
        <f t="shared" si="19"/>
        <v>6.5974249455693079E-3</v>
      </c>
      <c r="AW31" s="1022">
        <f t="shared" si="36"/>
        <v>0.23740205612249152</v>
      </c>
      <c r="AX31" s="1022">
        <f t="shared" si="49"/>
        <v>5.1387487778232479E-3</v>
      </c>
      <c r="AY31" s="1022">
        <f t="shared" si="61"/>
        <v>0.43017533430014387</v>
      </c>
      <c r="BA31" s="1011">
        <v>1999</v>
      </c>
      <c r="BB31" s="1012">
        <f>RunXAge!$M25</f>
        <v>27830.432057365608</v>
      </c>
      <c r="BC31" s="1012">
        <f t="shared" si="20"/>
        <v>29707.135747092529</v>
      </c>
      <c r="BD31" s="1012">
        <f t="shared" si="37"/>
        <v>26200.636613478768</v>
      </c>
      <c r="BE31" s="1012">
        <f t="shared" si="50"/>
        <v>35391.488291243433</v>
      </c>
      <c r="BF31" s="1012">
        <f t="shared" si="62"/>
        <v>31949.172801461413</v>
      </c>
      <c r="BG31" s="1012">
        <f t="shared" si="91"/>
        <v>36211.645151829012</v>
      </c>
      <c r="BI31" s="1018">
        <f t="shared" si="92"/>
        <v>1876.7036897269209</v>
      </c>
      <c r="BJ31" s="1018">
        <f t="shared" si="93"/>
        <v>-1629.7954438868401</v>
      </c>
      <c r="BK31" s="1018">
        <f t="shared" si="94"/>
        <v>7561.0562338778254</v>
      </c>
      <c r="BL31" s="1018">
        <f t="shared" si="95"/>
        <v>4118.740744095805</v>
      </c>
      <c r="BM31" s="1018">
        <f t="shared" si="96"/>
        <v>8381.2130944634046</v>
      </c>
      <c r="BO31" s="1016">
        <f t="shared" si="97"/>
        <v>6.7433508968116507E-2</v>
      </c>
      <c r="BP31" s="1016">
        <f t="shared" si="98"/>
        <v>-5.8561629245547343E-2</v>
      </c>
      <c r="BQ31" s="1016">
        <f t="shared" si="99"/>
        <v>0.27168303453904569</v>
      </c>
      <c r="BR31" s="1016">
        <f t="shared" si="100"/>
        <v>0.14799413590152075</v>
      </c>
      <c r="BS31" s="1016">
        <f t="shared" si="101"/>
        <v>0.30115281994859405</v>
      </c>
      <c r="BU31" s="1022">
        <f t="shared" si="23"/>
        <v>6.7433508968116507E-2</v>
      </c>
      <c r="BV31" s="1022">
        <f t="shared" si="24"/>
        <v>5.8561629245547343E-2</v>
      </c>
      <c r="BW31" s="1022">
        <f t="shared" si="42"/>
        <v>0.27168303453904569</v>
      </c>
      <c r="BX31" s="1022">
        <f t="shared" si="53"/>
        <v>0.14799413590152075</v>
      </c>
      <c r="BY31" s="1022">
        <f t="shared" si="65"/>
        <v>0.30115281994859405</v>
      </c>
    </row>
    <row r="32" spans="1:77">
      <c r="A32" s="1011">
        <v>2000</v>
      </c>
      <c r="B32" s="1012">
        <f>RunXAge!$F26</f>
        <v>4772.5395462962961</v>
      </c>
      <c r="C32" s="1012">
        <f t="shared" si="12"/>
        <v>10515.024349583715</v>
      </c>
      <c r="D32" s="1012">
        <f t="shared" si="25"/>
        <v>6161.0748337952673</v>
      </c>
      <c r="E32" s="1012">
        <f t="shared" si="43"/>
        <v>7114.2514069195649</v>
      </c>
      <c r="F32" s="1012">
        <f t="shared" si="54"/>
        <v>5839.0273979033991</v>
      </c>
      <c r="G32" s="1012">
        <f t="shared" si="66"/>
        <v>7142.7400904797742</v>
      </c>
      <c r="I32" s="1018">
        <f t="shared" si="67"/>
        <v>5742.4848032874188</v>
      </c>
      <c r="J32" s="1018">
        <f t="shared" si="68"/>
        <v>1388.5352874989712</v>
      </c>
      <c r="K32" s="1018">
        <f t="shared" si="69"/>
        <v>2341.7118606232689</v>
      </c>
      <c r="L32" s="1018">
        <f t="shared" si="70"/>
        <v>1066.487851607103</v>
      </c>
      <c r="M32" s="1018">
        <f t="shared" si="71"/>
        <v>2370.2005441834781</v>
      </c>
      <c r="O32" s="1016">
        <f t="shared" si="14"/>
        <v>1.2032346191335059</v>
      </c>
      <c r="P32" s="1016">
        <f t="shared" si="72"/>
        <v>0.29094264678781689</v>
      </c>
      <c r="Q32" s="1016">
        <f t="shared" si="73"/>
        <v>0.49066368919678033</v>
      </c>
      <c r="R32" s="1016">
        <f t="shared" si="74"/>
        <v>0.22346338700006063</v>
      </c>
      <c r="S32" s="1016">
        <f t="shared" si="75"/>
        <v>0.4966329814957447</v>
      </c>
      <c r="U32" s="1022">
        <f t="shared" si="15"/>
        <v>1.2032346191335059</v>
      </c>
      <c r="V32" s="1022">
        <f t="shared" si="76"/>
        <v>0.29094264678781689</v>
      </c>
      <c r="W32" s="1022">
        <f t="shared" si="77"/>
        <v>0.49066368919678033</v>
      </c>
      <c r="X32" s="1022">
        <f t="shared" si="78"/>
        <v>0.22346338700006063</v>
      </c>
      <c r="Y32" s="1022">
        <f t="shared" si="79"/>
        <v>0.4966329814957447</v>
      </c>
      <c r="AA32" s="1011">
        <v>2000</v>
      </c>
      <c r="AB32" s="1012">
        <f>RunXAge!$I26</f>
        <v>48501.64199604938</v>
      </c>
      <c r="AC32" s="1012">
        <f t="shared" si="16"/>
        <v>55667.160650015241</v>
      </c>
      <c r="AD32" s="1012">
        <f t="shared" si="32"/>
        <v>68371.053617062018</v>
      </c>
      <c r="AE32" s="1012">
        <f t="shared" si="46"/>
        <v>56034.420564336666</v>
      </c>
      <c r="AF32" s="1012">
        <f t="shared" si="58"/>
        <v>42451.662253200571</v>
      </c>
      <c r="AG32" s="1012">
        <f t="shared" si="80"/>
        <v>55953.220203770397</v>
      </c>
      <c r="AI32" s="1018">
        <f t="shared" si="81"/>
        <v>7165.5186539658607</v>
      </c>
      <c r="AJ32" s="1018">
        <f t="shared" si="82"/>
        <v>19869.411621012638</v>
      </c>
      <c r="AK32" s="1018">
        <f t="shared" si="83"/>
        <v>7532.7785682872855</v>
      </c>
      <c r="AL32" s="1018">
        <f t="shared" si="84"/>
        <v>-6049.9797428488091</v>
      </c>
      <c r="AM32" s="1018">
        <f t="shared" si="85"/>
        <v>7451.578207721017</v>
      </c>
      <c r="AO32" s="1016">
        <f t="shared" si="86"/>
        <v>0.14773765091395288</v>
      </c>
      <c r="AP32" s="1016">
        <f t="shared" si="87"/>
        <v>0.40966472068370524</v>
      </c>
      <c r="AQ32" s="1016">
        <f t="shared" si="88"/>
        <v>0.15530976392306173</v>
      </c>
      <c r="AR32" s="1016">
        <f t="shared" si="89"/>
        <v>-0.12473762730221793</v>
      </c>
      <c r="AS32" s="1016">
        <f t="shared" si="90"/>
        <v>0.1536355863648487</v>
      </c>
      <c r="AU32" s="1022">
        <f t="shared" si="18"/>
        <v>0.14773765091395288</v>
      </c>
      <c r="AV32" s="1022">
        <f t="shared" si="19"/>
        <v>0.40966472068370524</v>
      </c>
      <c r="AW32" s="1022">
        <f t="shared" si="36"/>
        <v>0.15530976392306173</v>
      </c>
      <c r="AX32" s="1022">
        <f t="shared" si="49"/>
        <v>0.12473762730221793</v>
      </c>
      <c r="AY32" s="1022">
        <f t="shared" si="61"/>
        <v>0.1536355863648487</v>
      </c>
      <c r="BA32" s="1011">
        <v>2000</v>
      </c>
      <c r="BB32" s="1012">
        <f>RunXAge!$M26</f>
        <v>16004.656581234569</v>
      </c>
      <c r="BC32" s="1012">
        <f t="shared" si="20"/>
        <v>27830.432057365608</v>
      </c>
      <c r="BD32" s="1012">
        <f t="shared" si="37"/>
        <v>29707.135747092529</v>
      </c>
      <c r="BE32" s="1012">
        <f t="shared" si="50"/>
        <v>26200.636613478768</v>
      </c>
      <c r="BF32" s="1012">
        <f t="shared" si="62"/>
        <v>35391.488291243433</v>
      </c>
      <c r="BG32" s="1012">
        <f t="shared" si="91"/>
        <v>31949.172801461413</v>
      </c>
      <c r="BI32" s="1018">
        <f t="shared" si="92"/>
        <v>11825.775476131039</v>
      </c>
      <c r="BJ32" s="1018">
        <f t="shared" si="93"/>
        <v>13702.47916585796</v>
      </c>
      <c r="BK32" s="1018">
        <f t="shared" si="94"/>
        <v>10195.980032244199</v>
      </c>
      <c r="BL32" s="1018">
        <f t="shared" si="95"/>
        <v>19386.831710008864</v>
      </c>
      <c r="BM32" s="1018">
        <f t="shared" si="96"/>
        <v>15944.516220226844</v>
      </c>
      <c r="BO32" s="1016">
        <f t="shared" si="97"/>
        <v>0.73889592170298357</v>
      </c>
      <c r="BP32" s="1016">
        <f t="shared" si="98"/>
        <v>0.85615577543376298</v>
      </c>
      <c r="BQ32" s="1016">
        <f t="shared" si="99"/>
        <v>0.63706334343961912</v>
      </c>
      <c r="BR32" s="1016">
        <f t="shared" si="100"/>
        <v>1.211324442458821</v>
      </c>
      <c r="BS32" s="1016">
        <f t="shared" si="101"/>
        <v>0.99624232105809507</v>
      </c>
      <c r="BU32" s="1022">
        <f t="shared" si="23"/>
        <v>0.73889592170298357</v>
      </c>
      <c r="BV32" s="1022">
        <f t="shared" si="24"/>
        <v>0.85615577543376298</v>
      </c>
      <c r="BW32" s="1022">
        <f t="shared" si="42"/>
        <v>0.63706334343961912</v>
      </c>
      <c r="BX32" s="1022">
        <f t="shared" si="53"/>
        <v>1.211324442458821</v>
      </c>
      <c r="BY32" s="1022">
        <f t="shared" si="65"/>
        <v>0.99624232105809507</v>
      </c>
    </row>
    <row r="33" spans="1:77">
      <c r="A33" s="1011">
        <v>2001</v>
      </c>
      <c r="B33" s="1012">
        <f>RunXAge!$F27</f>
        <v>8614.6976308881203</v>
      </c>
      <c r="C33" s="1012">
        <f t="shared" si="12"/>
        <v>4772.5395462962961</v>
      </c>
      <c r="D33" s="1012">
        <f t="shared" si="25"/>
        <v>10515.024349583715</v>
      </c>
      <c r="E33" s="1012">
        <f t="shared" si="43"/>
        <v>6161.0748337952673</v>
      </c>
      <c r="F33" s="1012">
        <f t="shared" si="54"/>
        <v>7114.2514069195649</v>
      </c>
      <c r="G33" s="1012">
        <f t="shared" si="66"/>
        <v>5839.0273979033991</v>
      </c>
      <c r="I33" s="1018">
        <f t="shared" si="67"/>
        <v>-3842.1580845918243</v>
      </c>
      <c r="J33" s="1018">
        <f t="shared" si="68"/>
        <v>1900.3267186955945</v>
      </c>
      <c r="K33" s="1018">
        <f t="shared" si="69"/>
        <v>-2453.622797092853</v>
      </c>
      <c r="L33" s="1018">
        <f t="shared" si="70"/>
        <v>-1500.4462239685554</v>
      </c>
      <c r="M33" s="1018">
        <f t="shared" si="71"/>
        <v>-2775.6702329847212</v>
      </c>
      <c r="O33" s="1016">
        <f t="shared" si="14"/>
        <v>-0.44600034141833511</v>
      </c>
      <c r="P33" s="1016">
        <f t="shared" si="72"/>
        <v>0.22059122677526674</v>
      </c>
      <c r="Q33" s="1016">
        <f t="shared" si="73"/>
        <v>-0.28481821443103861</v>
      </c>
      <c r="R33" s="1016">
        <f t="shared" si="74"/>
        <v>-0.17417282512489865</v>
      </c>
      <c r="S33" s="1016">
        <f t="shared" si="75"/>
        <v>-0.32220170131479908</v>
      </c>
      <c r="U33" s="1022">
        <f t="shared" si="15"/>
        <v>0.44600034141833511</v>
      </c>
      <c r="V33" s="1022">
        <f t="shared" si="76"/>
        <v>0.22059122677526674</v>
      </c>
      <c r="W33" s="1022">
        <f t="shared" si="77"/>
        <v>0.28481821443103861</v>
      </c>
      <c r="X33" s="1022">
        <f t="shared" si="78"/>
        <v>0.17417282512489865</v>
      </c>
      <c r="Y33" s="1022">
        <f t="shared" si="79"/>
        <v>0.32220170131479908</v>
      </c>
      <c r="AA33" s="1011">
        <v>2001</v>
      </c>
      <c r="AB33" s="1012">
        <f>RunXAge!$I27</f>
        <v>55980.71813096886</v>
      </c>
      <c r="AC33" s="1012">
        <f t="shared" si="16"/>
        <v>48501.64199604938</v>
      </c>
      <c r="AD33" s="1012">
        <f t="shared" si="32"/>
        <v>55667.160650015241</v>
      </c>
      <c r="AE33" s="1012">
        <f t="shared" si="46"/>
        <v>68371.053617062018</v>
      </c>
      <c r="AF33" s="1012">
        <f t="shared" si="58"/>
        <v>56034.420564336666</v>
      </c>
      <c r="AG33" s="1012">
        <f t="shared" si="80"/>
        <v>42451.662253200571</v>
      </c>
      <c r="AI33" s="1018">
        <f t="shared" si="81"/>
        <v>-7479.07613491948</v>
      </c>
      <c r="AJ33" s="1018">
        <f t="shared" si="82"/>
        <v>-313.55748095361923</v>
      </c>
      <c r="AK33" s="1018">
        <f t="shared" si="83"/>
        <v>12390.335486093158</v>
      </c>
      <c r="AL33" s="1018">
        <f t="shared" si="84"/>
        <v>53.702433367805497</v>
      </c>
      <c r="AM33" s="1018">
        <f t="shared" si="85"/>
        <v>-13529.055877768289</v>
      </c>
      <c r="AO33" s="1016">
        <f t="shared" si="86"/>
        <v>-0.13360093233212761</v>
      </c>
      <c r="AP33" s="1016">
        <f t="shared" si="87"/>
        <v>-5.6011693208372296E-3</v>
      </c>
      <c r="AQ33" s="1016">
        <f t="shared" si="88"/>
        <v>0.22133219972465398</v>
      </c>
      <c r="AR33" s="1016">
        <f t="shared" si="89"/>
        <v>9.5930233053042951E-4</v>
      </c>
      <c r="AS33" s="1016">
        <f t="shared" si="90"/>
        <v>-0.24167349632987178</v>
      </c>
      <c r="AU33" s="1022">
        <f t="shared" si="18"/>
        <v>0.13360093233212761</v>
      </c>
      <c r="AV33" s="1022">
        <f t="shared" si="19"/>
        <v>5.6011693208372296E-3</v>
      </c>
      <c r="AW33" s="1022">
        <f t="shared" si="36"/>
        <v>0.22133219972465398</v>
      </c>
      <c r="AX33" s="1022">
        <f t="shared" si="49"/>
        <v>9.5930233053042951E-4</v>
      </c>
      <c r="AY33" s="1022">
        <f t="shared" si="61"/>
        <v>0.24167349632987178</v>
      </c>
      <c r="BA33" s="1011">
        <v>2001</v>
      </c>
      <c r="BB33" s="1012">
        <f>RunXAge!$M27</f>
        <v>15064.974836101501</v>
      </c>
      <c r="BC33" s="1012">
        <f t="shared" si="20"/>
        <v>16004.656581234569</v>
      </c>
      <c r="BD33" s="1012">
        <f t="shared" si="37"/>
        <v>27830.432057365608</v>
      </c>
      <c r="BE33" s="1012">
        <f t="shared" si="50"/>
        <v>29707.135747092529</v>
      </c>
      <c r="BF33" s="1012">
        <f t="shared" si="62"/>
        <v>26200.636613478768</v>
      </c>
      <c r="BG33" s="1012">
        <f t="shared" si="91"/>
        <v>35391.488291243433</v>
      </c>
      <c r="BI33" s="1018">
        <f t="shared" si="92"/>
        <v>939.68174513306803</v>
      </c>
      <c r="BJ33" s="1018">
        <f t="shared" si="93"/>
        <v>12765.457221264107</v>
      </c>
      <c r="BK33" s="1018">
        <f t="shared" si="94"/>
        <v>14642.160910991028</v>
      </c>
      <c r="BL33" s="1018">
        <f t="shared" si="95"/>
        <v>11135.661777377267</v>
      </c>
      <c r="BM33" s="1018">
        <f t="shared" si="96"/>
        <v>20326.513455141932</v>
      </c>
      <c r="BO33" s="1016">
        <f t="shared" si="97"/>
        <v>6.2375261515952053E-2</v>
      </c>
      <c r="BP33" s="1016">
        <f t="shared" si="98"/>
        <v>0.84736000956822966</v>
      </c>
      <c r="BQ33" s="1016">
        <f t="shared" si="99"/>
        <v>0.97193397734078868</v>
      </c>
      <c r="BR33" s="1016">
        <f t="shared" si="100"/>
        <v>0.73917559760484419</v>
      </c>
      <c r="BS33" s="1016">
        <f t="shared" si="101"/>
        <v>1.3492563828538069</v>
      </c>
      <c r="BU33" s="1022">
        <f t="shared" si="23"/>
        <v>6.2375261515952053E-2</v>
      </c>
      <c r="BV33" s="1022">
        <f t="shared" si="24"/>
        <v>0.84736000956822966</v>
      </c>
      <c r="BW33" s="1022">
        <f t="shared" si="42"/>
        <v>0.97193397734078868</v>
      </c>
      <c r="BX33" s="1022">
        <f t="shared" si="53"/>
        <v>0.73917559760484419</v>
      </c>
      <c r="BY33" s="1022">
        <f t="shared" si="65"/>
        <v>1.3492563828538069</v>
      </c>
    </row>
    <row r="34" spans="1:77">
      <c r="A34" s="1011">
        <v>2002</v>
      </c>
      <c r="B34" s="1012">
        <f>RunXAge!$F28</f>
        <v>6610.6088326264853</v>
      </c>
      <c r="C34" s="1012">
        <f t="shared" si="12"/>
        <v>8614.6976308881203</v>
      </c>
      <c r="D34" s="1012">
        <f t="shared" si="25"/>
        <v>4772.5395462962961</v>
      </c>
      <c r="E34" s="1012">
        <f t="shared" si="43"/>
        <v>10515.024349583715</v>
      </c>
      <c r="F34" s="1012">
        <f t="shared" si="54"/>
        <v>6161.0748337952673</v>
      </c>
      <c r="G34" s="1012">
        <f t="shared" si="66"/>
        <v>7114.2514069195649</v>
      </c>
      <c r="I34" s="1018">
        <f t="shared" si="67"/>
        <v>2004.088798261635</v>
      </c>
      <c r="J34" s="1018">
        <f t="shared" si="68"/>
        <v>-1838.0692863301892</v>
      </c>
      <c r="K34" s="1018">
        <f t="shared" si="69"/>
        <v>3904.4155169572296</v>
      </c>
      <c r="L34" s="1018">
        <f t="shared" si="70"/>
        <v>-449.53399883121801</v>
      </c>
      <c r="M34" s="1018">
        <f t="shared" si="71"/>
        <v>503.64257429307963</v>
      </c>
      <c r="O34" s="1016">
        <f t="shared" si="14"/>
        <v>0.30316251483078349</v>
      </c>
      <c r="P34" s="1016">
        <f t="shared" si="72"/>
        <v>-0.27804841170732214</v>
      </c>
      <c r="Q34" s="1016">
        <f t="shared" si="73"/>
        <v>0.59062873266484772</v>
      </c>
      <c r="R34" s="1016">
        <f t="shared" si="74"/>
        <v>-6.8001905756782166E-2</v>
      </c>
      <c r="S34" s="1016">
        <f t="shared" si="75"/>
        <v>7.6187018025838257E-2</v>
      </c>
      <c r="U34" s="1022">
        <f t="shared" si="15"/>
        <v>0.30316251483078349</v>
      </c>
      <c r="V34" s="1022">
        <f t="shared" si="76"/>
        <v>0.27804841170732214</v>
      </c>
      <c r="W34" s="1022">
        <f t="shared" si="77"/>
        <v>0.59062873266484772</v>
      </c>
      <c r="X34" s="1022">
        <f t="shared" si="78"/>
        <v>6.8001905756782166E-2</v>
      </c>
      <c r="Y34" s="1022">
        <f t="shared" si="79"/>
        <v>7.6187018025838257E-2</v>
      </c>
      <c r="AA34" s="1011">
        <v>2002</v>
      </c>
      <c r="AB34" s="1012">
        <f>RunXAge!$I28</f>
        <v>49173.65452896271</v>
      </c>
      <c r="AC34" s="1012">
        <f t="shared" si="16"/>
        <v>55980.71813096886</v>
      </c>
      <c r="AD34" s="1012">
        <f t="shared" si="32"/>
        <v>48501.64199604938</v>
      </c>
      <c r="AE34" s="1012">
        <f t="shared" si="46"/>
        <v>55667.160650015241</v>
      </c>
      <c r="AF34" s="1012">
        <f t="shared" si="58"/>
        <v>68371.053617062018</v>
      </c>
      <c r="AG34" s="1012">
        <f t="shared" si="80"/>
        <v>56034.420564336666</v>
      </c>
      <c r="AI34" s="1018">
        <f t="shared" si="81"/>
        <v>6807.0636020061502</v>
      </c>
      <c r="AJ34" s="1018">
        <f t="shared" si="82"/>
        <v>-672.01253291332978</v>
      </c>
      <c r="AK34" s="1018">
        <f t="shared" si="83"/>
        <v>6493.5061210525309</v>
      </c>
      <c r="AL34" s="1018">
        <f t="shared" si="84"/>
        <v>19197.399088099308</v>
      </c>
      <c r="AM34" s="1018">
        <f t="shared" si="85"/>
        <v>6860.7660353739557</v>
      </c>
      <c r="AO34" s="1016">
        <f t="shared" si="86"/>
        <v>0.13842907685449471</v>
      </c>
      <c r="AP34" s="1016">
        <f t="shared" si="87"/>
        <v>-1.3666109207269152E-2</v>
      </c>
      <c r="AQ34" s="1016">
        <f t="shared" si="88"/>
        <v>0.13205254283526824</v>
      </c>
      <c r="AR34" s="1016">
        <f t="shared" si="89"/>
        <v>0.39040008866520715</v>
      </c>
      <c r="AS34" s="1016">
        <f t="shared" si="90"/>
        <v>0.13952117452106483</v>
      </c>
      <c r="AU34" s="1022">
        <f t="shared" si="18"/>
        <v>0.13842907685449471</v>
      </c>
      <c r="AV34" s="1022">
        <f t="shared" si="19"/>
        <v>1.3666109207269152E-2</v>
      </c>
      <c r="AW34" s="1022">
        <f t="shared" si="36"/>
        <v>0.13205254283526824</v>
      </c>
      <c r="AX34" s="1022">
        <f t="shared" si="49"/>
        <v>0.39040008866520715</v>
      </c>
      <c r="AY34" s="1022">
        <f t="shared" si="61"/>
        <v>0.13952117452106483</v>
      </c>
      <c r="BA34" s="1011">
        <v>2002</v>
      </c>
      <c r="BB34" s="1012">
        <f>RunXAge!$M28</f>
        <v>14143.73042540695</v>
      </c>
      <c r="BC34" s="1012">
        <f t="shared" si="20"/>
        <v>15064.974836101501</v>
      </c>
      <c r="BD34" s="1012">
        <f t="shared" si="37"/>
        <v>16004.656581234569</v>
      </c>
      <c r="BE34" s="1012">
        <f t="shared" si="50"/>
        <v>27830.432057365608</v>
      </c>
      <c r="BF34" s="1012">
        <f t="shared" si="62"/>
        <v>29707.135747092529</v>
      </c>
      <c r="BG34" s="1012">
        <f t="shared" si="91"/>
        <v>26200.636613478768</v>
      </c>
      <c r="BI34" s="1018">
        <f t="shared" si="92"/>
        <v>921.24441069455133</v>
      </c>
      <c r="BJ34" s="1018">
        <f t="shared" si="93"/>
        <v>1860.9261558276194</v>
      </c>
      <c r="BK34" s="1018">
        <f t="shared" si="94"/>
        <v>13686.701631958658</v>
      </c>
      <c r="BL34" s="1018">
        <f t="shared" si="95"/>
        <v>15563.405321685579</v>
      </c>
      <c r="BM34" s="1018">
        <f t="shared" si="96"/>
        <v>12056.906188071818</v>
      </c>
      <c r="BO34" s="1016">
        <f t="shared" si="97"/>
        <v>6.5134471810893893E-2</v>
      </c>
      <c r="BP34" s="1016">
        <f t="shared" si="98"/>
        <v>0.13157251303975387</v>
      </c>
      <c r="BQ34" s="1016">
        <f t="shared" si="99"/>
        <v>0.96768682803602424</v>
      </c>
      <c r="BR34" s="1016">
        <f t="shared" si="100"/>
        <v>1.1003748554008361</v>
      </c>
      <c r="BS34" s="1016">
        <f t="shared" si="101"/>
        <v>0.85245588154123153</v>
      </c>
      <c r="BU34" s="1022">
        <f t="shared" si="23"/>
        <v>6.5134471810893893E-2</v>
      </c>
      <c r="BV34" s="1022">
        <f t="shared" si="24"/>
        <v>0.13157251303975387</v>
      </c>
      <c r="BW34" s="1022">
        <f t="shared" si="42"/>
        <v>0.96768682803602424</v>
      </c>
      <c r="BX34" s="1022">
        <f t="shared" si="53"/>
        <v>1.1003748554008361</v>
      </c>
      <c r="BY34" s="1022">
        <f t="shared" si="65"/>
        <v>0.85245588154123153</v>
      </c>
    </row>
    <row r="35" spans="1:77">
      <c r="A35" s="1011">
        <v>2003</v>
      </c>
      <c r="B35" s="1012">
        <f>RunXAge!$F29</f>
        <v>5977.1853932395461</v>
      </c>
      <c r="C35" s="1012">
        <f t="shared" si="12"/>
        <v>6610.6088326264853</v>
      </c>
      <c r="D35" s="1012">
        <f t="shared" si="25"/>
        <v>8614.6976308881203</v>
      </c>
      <c r="E35" s="1012">
        <f t="shared" si="43"/>
        <v>4772.5395462962961</v>
      </c>
      <c r="F35" s="1012">
        <f t="shared" si="54"/>
        <v>10515.024349583715</v>
      </c>
      <c r="G35" s="1012">
        <f t="shared" si="66"/>
        <v>6161.0748337952673</v>
      </c>
      <c r="I35" s="1018">
        <f t="shared" si="67"/>
        <v>633.42343938693921</v>
      </c>
      <c r="J35" s="1018">
        <f t="shared" si="68"/>
        <v>2637.5122376485742</v>
      </c>
      <c r="K35" s="1018">
        <f t="shared" si="69"/>
        <v>-1204.64584694325</v>
      </c>
      <c r="L35" s="1018">
        <f t="shared" si="70"/>
        <v>4537.8389563441688</v>
      </c>
      <c r="M35" s="1018">
        <f t="shared" si="71"/>
        <v>183.88944055572119</v>
      </c>
      <c r="O35" s="1016">
        <f t="shared" si="14"/>
        <v>0.10597353063590237</v>
      </c>
      <c r="P35" s="1016">
        <f t="shared" si="72"/>
        <v>0.44126324751976309</v>
      </c>
      <c r="Q35" s="1016">
        <f t="shared" si="73"/>
        <v>-0.20154065294774967</v>
      </c>
      <c r="R35" s="1016">
        <f t="shared" si="74"/>
        <v>0.75919327539625259</v>
      </c>
      <c r="S35" s="1016">
        <f t="shared" si="75"/>
        <v>3.0765222836104108E-2</v>
      </c>
      <c r="U35" s="1022">
        <f t="shared" si="15"/>
        <v>0.10597353063590237</v>
      </c>
      <c r="V35" s="1022">
        <f t="shared" si="76"/>
        <v>0.44126324751976309</v>
      </c>
      <c r="W35" s="1022">
        <f t="shared" si="77"/>
        <v>0.20154065294774967</v>
      </c>
      <c r="X35" s="1022">
        <f t="shared" si="78"/>
        <v>0.75919327539625259</v>
      </c>
      <c r="Y35" s="1022">
        <f t="shared" si="79"/>
        <v>3.0765222836104108E-2</v>
      </c>
      <c r="AA35" s="1011">
        <v>2003</v>
      </c>
      <c r="AB35" s="1012">
        <f>RunXAge!$I29</f>
        <v>61859.065856016823</v>
      </c>
      <c r="AC35" s="1012">
        <f t="shared" si="16"/>
        <v>49173.65452896271</v>
      </c>
      <c r="AD35" s="1012">
        <f t="shared" si="32"/>
        <v>55980.71813096886</v>
      </c>
      <c r="AE35" s="1012">
        <f t="shared" si="46"/>
        <v>48501.64199604938</v>
      </c>
      <c r="AF35" s="1012">
        <f t="shared" si="58"/>
        <v>55667.160650015241</v>
      </c>
      <c r="AG35" s="1012">
        <f t="shared" si="80"/>
        <v>68371.053617062018</v>
      </c>
      <c r="AI35" s="1018">
        <f t="shared" si="81"/>
        <v>-12685.411327054113</v>
      </c>
      <c r="AJ35" s="1018">
        <f t="shared" si="82"/>
        <v>-5878.3477250479627</v>
      </c>
      <c r="AK35" s="1018">
        <f t="shared" si="83"/>
        <v>-13357.423859967443</v>
      </c>
      <c r="AL35" s="1018">
        <f t="shared" si="84"/>
        <v>-6191.905206001582</v>
      </c>
      <c r="AM35" s="1018">
        <f t="shared" si="85"/>
        <v>6511.9877610451949</v>
      </c>
      <c r="AO35" s="1016">
        <f t="shared" si="86"/>
        <v>-0.20506955854426706</v>
      </c>
      <c r="AP35" s="1016">
        <f t="shared" si="87"/>
        <v>-9.5028071370013997E-2</v>
      </c>
      <c r="AQ35" s="1016">
        <f t="shared" si="88"/>
        <v>-0.21593316476938376</v>
      </c>
      <c r="AR35" s="1016">
        <f t="shared" si="89"/>
        <v>-0.10009697237287518</v>
      </c>
      <c r="AS35" s="1016">
        <f t="shared" si="90"/>
        <v>0.10527135628272337</v>
      </c>
      <c r="AU35" s="1022">
        <f t="shared" si="18"/>
        <v>0.20506955854426706</v>
      </c>
      <c r="AV35" s="1022">
        <f t="shared" si="19"/>
        <v>9.5028071370013997E-2</v>
      </c>
      <c r="AW35" s="1022">
        <f t="shared" si="36"/>
        <v>0.21593316476938376</v>
      </c>
      <c r="AX35" s="1022">
        <f t="shared" si="49"/>
        <v>0.10009697237287518</v>
      </c>
      <c r="AY35" s="1022">
        <f t="shared" si="61"/>
        <v>0.10527135628272337</v>
      </c>
      <c r="BA35" s="1011">
        <v>2003</v>
      </c>
      <c r="BB35" s="1012">
        <f>RunXAge!$M29</f>
        <v>24229.01563333267</v>
      </c>
      <c r="BC35" s="1012">
        <f t="shared" si="20"/>
        <v>14143.73042540695</v>
      </c>
      <c r="BD35" s="1012">
        <f t="shared" si="37"/>
        <v>15064.974836101501</v>
      </c>
      <c r="BE35" s="1012">
        <f t="shared" si="50"/>
        <v>16004.656581234569</v>
      </c>
      <c r="BF35" s="1012">
        <f t="shared" si="62"/>
        <v>27830.432057365608</v>
      </c>
      <c r="BG35" s="1012">
        <f t="shared" si="91"/>
        <v>29707.135747092529</v>
      </c>
      <c r="BI35" s="1018">
        <f t="shared" si="92"/>
        <v>-10085.285207925721</v>
      </c>
      <c r="BJ35" s="1018">
        <f t="shared" si="93"/>
        <v>-9164.0407972311696</v>
      </c>
      <c r="BK35" s="1018">
        <f t="shared" si="94"/>
        <v>-8224.3590520981015</v>
      </c>
      <c r="BL35" s="1018">
        <f t="shared" si="95"/>
        <v>3601.4164240329374</v>
      </c>
      <c r="BM35" s="1018">
        <f t="shared" si="96"/>
        <v>5478.1201137598582</v>
      </c>
      <c r="BO35" s="1016">
        <f t="shared" si="97"/>
        <v>-0.41624824386390075</v>
      </c>
      <c r="BP35" s="1016">
        <f t="shared" si="98"/>
        <v>-0.37822588155929415</v>
      </c>
      <c r="BQ35" s="1016">
        <f t="shared" si="99"/>
        <v>-0.33944255831770459</v>
      </c>
      <c r="BR35" s="1016">
        <f t="shared" si="100"/>
        <v>0.14864064139189989</v>
      </c>
      <c r="BS35" s="1016">
        <f t="shared" si="101"/>
        <v>0.22609751038434364</v>
      </c>
      <c r="BU35" s="1022">
        <f t="shared" si="23"/>
        <v>0.41624824386390075</v>
      </c>
      <c r="BV35" s="1022">
        <f t="shared" si="24"/>
        <v>0.37822588155929415</v>
      </c>
      <c r="BW35" s="1022">
        <f t="shared" si="42"/>
        <v>0.33944255831770459</v>
      </c>
      <c r="BX35" s="1022">
        <f t="shared" si="53"/>
        <v>0.14864064139189989</v>
      </c>
      <c r="BY35" s="1022">
        <f t="shared" si="65"/>
        <v>0.22609751038434364</v>
      </c>
    </row>
    <row r="36" spans="1:77">
      <c r="A36" s="1011">
        <v>2004</v>
      </c>
      <c r="B36" s="1012">
        <f>RunXAge!$F30</f>
        <v>5019.5720853945559</v>
      </c>
      <c r="C36" s="1012">
        <f t="shared" si="12"/>
        <v>5977.1853932395461</v>
      </c>
      <c r="D36" s="1012">
        <f t="shared" si="25"/>
        <v>6610.6088326264853</v>
      </c>
      <c r="E36" s="1012">
        <f t="shared" si="43"/>
        <v>8614.6976308881203</v>
      </c>
      <c r="F36" s="1012">
        <f t="shared" si="54"/>
        <v>4772.5395462962961</v>
      </c>
      <c r="G36" s="1012">
        <f t="shared" si="66"/>
        <v>10515.024349583715</v>
      </c>
      <c r="I36" s="1018">
        <f t="shared" si="67"/>
        <v>957.61330784499023</v>
      </c>
      <c r="J36" s="1018">
        <f t="shared" si="68"/>
        <v>1591.0367472319294</v>
      </c>
      <c r="K36" s="1018">
        <f t="shared" si="69"/>
        <v>3595.1255454935645</v>
      </c>
      <c r="L36" s="1018">
        <f t="shared" si="70"/>
        <v>-247.0325390982598</v>
      </c>
      <c r="M36" s="1018">
        <f t="shared" si="71"/>
        <v>5495.452264189159</v>
      </c>
      <c r="O36" s="1016">
        <f t="shared" si="14"/>
        <v>0.19077588518578242</v>
      </c>
      <c r="P36" s="1016">
        <f t="shared" si="72"/>
        <v>0.31696660993501169</v>
      </c>
      <c r="Q36" s="1016">
        <f t="shared" si="73"/>
        <v>0.71622151935108136</v>
      </c>
      <c r="R36" s="1016">
        <f t="shared" si="74"/>
        <v>-4.9213864228994771E-2</v>
      </c>
      <c r="S36" s="1016">
        <f t="shared" si="75"/>
        <v>1.0948049297228486</v>
      </c>
      <c r="U36" s="1022">
        <f t="shared" si="15"/>
        <v>0.19077588518578242</v>
      </c>
      <c r="V36" s="1022">
        <f t="shared" si="76"/>
        <v>0.31696660993501169</v>
      </c>
      <c r="W36" s="1022">
        <f t="shared" si="77"/>
        <v>0.71622151935108136</v>
      </c>
      <c r="X36" s="1022">
        <f t="shared" si="78"/>
        <v>4.9213864228994771E-2</v>
      </c>
      <c r="Y36" s="1022">
        <f t="shared" si="79"/>
        <v>1.0948049297228486</v>
      </c>
      <c r="AA36" s="1011">
        <v>2004</v>
      </c>
      <c r="AB36" s="1012">
        <f>RunXAge!$I30</f>
        <v>47494.232967996417</v>
      </c>
      <c r="AC36" s="1012">
        <f t="shared" si="16"/>
        <v>61859.065856016823</v>
      </c>
      <c r="AD36" s="1012">
        <f t="shared" si="32"/>
        <v>49173.65452896271</v>
      </c>
      <c r="AE36" s="1012">
        <f t="shared" si="46"/>
        <v>55980.71813096886</v>
      </c>
      <c r="AF36" s="1012">
        <f t="shared" si="58"/>
        <v>48501.64199604938</v>
      </c>
      <c r="AG36" s="1012">
        <f t="shared" si="80"/>
        <v>55667.160650015241</v>
      </c>
      <c r="AI36" s="1018">
        <f t="shared" si="81"/>
        <v>14364.832888020406</v>
      </c>
      <c r="AJ36" s="1018">
        <f t="shared" si="82"/>
        <v>1679.4215609662933</v>
      </c>
      <c r="AK36" s="1018">
        <f t="shared" si="83"/>
        <v>8486.4851629724435</v>
      </c>
      <c r="AL36" s="1018">
        <f t="shared" si="84"/>
        <v>1007.4090280529635</v>
      </c>
      <c r="AM36" s="1018">
        <f t="shared" si="85"/>
        <v>8172.9276820188243</v>
      </c>
      <c r="AO36" s="1016">
        <f t="shared" si="86"/>
        <v>0.30245425581880703</v>
      </c>
      <c r="AP36" s="1016">
        <f t="shared" si="87"/>
        <v>3.5360536553942397E-2</v>
      </c>
      <c r="AQ36" s="1016">
        <f t="shared" si="88"/>
        <v>0.17868453984067895</v>
      </c>
      <c r="AR36" s="1016">
        <f t="shared" si="89"/>
        <v>2.1211186392499432E-2</v>
      </c>
      <c r="AS36" s="1016">
        <f t="shared" si="90"/>
        <v>0.1720825281571782</v>
      </c>
      <c r="AU36" s="1022">
        <f t="shared" si="18"/>
        <v>0.30245425581880703</v>
      </c>
      <c r="AV36" s="1022">
        <f t="shared" si="19"/>
        <v>3.5360536553942397E-2</v>
      </c>
      <c r="AW36" s="1022">
        <f t="shared" si="36"/>
        <v>0.17868453984067895</v>
      </c>
      <c r="AX36" s="1022">
        <f t="shared" si="49"/>
        <v>2.1211186392499432E-2</v>
      </c>
      <c r="AY36" s="1022">
        <f t="shared" si="61"/>
        <v>0.1720825281571782</v>
      </c>
      <c r="BA36" s="1011">
        <v>2004</v>
      </c>
      <c r="BB36" s="1012">
        <f>RunXAge!$M30</f>
        <v>26018.25851101712</v>
      </c>
      <c r="BC36" s="1012">
        <f t="shared" si="20"/>
        <v>24229.01563333267</v>
      </c>
      <c r="BD36" s="1012">
        <f t="shared" si="37"/>
        <v>14143.73042540695</v>
      </c>
      <c r="BE36" s="1012">
        <f t="shared" si="50"/>
        <v>15064.974836101501</v>
      </c>
      <c r="BF36" s="1012">
        <f t="shared" si="62"/>
        <v>16004.656581234569</v>
      </c>
      <c r="BG36" s="1012">
        <f t="shared" si="91"/>
        <v>27830.432057365608</v>
      </c>
      <c r="BI36" s="1018">
        <f t="shared" si="92"/>
        <v>-1789.2428776844499</v>
      </c>
      <c r="BJ36" s="1018">
        <f t="shared" si="93"/>
        <v>-11874.528085610171</v>
      </c>
      <c r="BK36" s="1018">
        <f t="shared" si="94"/>
        <v>-10953.283674915619</v>
      </c>
      <c r="BL36" s="1018">
        <f t="shared" si="95"/>
        <v>-10013.601929782551</v>
      </c>
      <c r="BM36" s="1018">
        <f t="shared" si="96"/>
        <v>1812.1735463484874</v>
      </c>
      <c r="BO36" s="1016">
        <f t="shared" si="97"/>
        <v>-6.8768740879671733E-2</v>
      </c>
      <c r="BP36" s="1016">
        <f t="shared" si="98"/>
        <v>-0.45639211711967748</v>
      </c>
      <c r="BQ36" s="1016">
        <f t="shared" si="99"/>
        <v>-0.42098450479602939</v>
      </c>
      <c r="BR36" s="1016">
        <f t="shared" si="100"/>
        <v>-0.38486826186089323</v>
      </c>
      <c r="BS36" s="1016">
        <f t="shared" si="101"/>
        <v>6.9650070760160374E-2</v>
      </c>
      <c r="BU36" s="1022">
        <f t="shared" si="23"/>
        <v>6.8768740879671733E-2</v>
      </c>
      <c r="BV36" s="1022">
        <f t="shared" si="24"/>
        <v>0.45639211711967748</v>
      </c>
      <c r="BW36" s="1022">
        <f t="shared" si="42"/>
        <v>0.42098450479602939</v>
      </c>
      <c r="BX36" s="1022">
        <f t="shared" si="53"/>
        <v>0.38486826186089323</v>
      </c>
      <c r="BY36" s="1022">
        <f t="shared" si="65"/>
        <v>6.9650070760160374E-2</v>
      </c>
    </row>
    <row r="37" spans="1:77">
      <c r="A37" s="1011">
        <v>2005</v>
      </c>
      <c r="B37" s="1012">
        <f>RunXAge!$F31</f>
        <v>5891.6632712260234</v>
      </c>
      <c r="C37" s="1012">
        <f t="shared" si="12"/>
        <v>5019.5720853945559</v>
      </c>
      <c r="D37" s="1012">
        <f t="shared" si="25"/>
        <v>5977.1853932395461</v>
      </c>
      <c r="E37" s="1012">
        <f t="shared" si="43"/>
        <v>6610.6088326264853</v>
      </c>
      <c r="F37" s="1012">
        <f t="shared" si="54"/>
        <v>8614.6976308881203</v>
      </c>
      <c r="G37" s="1012">
        <f t="shared" si="66"/>
        <v>4772.5395462962961</v>
      </c>
      <c r="I37" s="1018">
        <f t="shared" si="67"/>
        <v>-872.09118583146756</v>
      </c>
      <c r="J37" s="1018">
        <f t="shared" si="68"/>
        <v>85.522122013522676</v>
      </c>
      <c r="K37" s="1018">
        <f t="shared" si="69"/>
        <v>718.94556140046188</v>
      </c>
      <c r="L37" s="1018">
        <f t="shared" si="70"/>
        <v>2723.0343596620969</v>
      </c>
      <c r="M37" s="1018">
        <f t="shared" si="71"/>
        <v>-1119.1237249297274</v>
      </c>
      <c r="O37" s="1016">
        <f t="shared" si="14"/>
        <v>-0.14802122010105817</v>
      </c>
      <c r="P37" s="1016">
        <f t="shared" si="72"/>
        <v>1.4515785793665357E-2</v>
      </c>
      <c r="Q37" s="1016">
        <f t="shared" si="73"/>
        <v>0.12202760550007692</v>
      </c>
      <c r="R37" s="1016">
        <f t="shared" si="74"/>
        <v>0.46218431609304245</v>
      </c>
      <c r="S37" s="1016">
        <f t="shared" si="75"/>
        <v>-0.1899503881009893</v>
      </c>
      <c r="U37" s="1022">
        <f t="shared" si="15"/>
        <v>0.14802122010105817</v>
      </c>
      <c r="V37" s="1022">
        <f t="shared" si="76"/>
        <v>1.4515785793665357E-2</v>
      </c>
      <c r="W37" s="1022">
        <f t="shared" si="77"/>
        <v>0.12202760550007692</v>
      </c>
      <c r="X37" s="1022">
        <f t="shared" si="78"/>
        <v>0.46218431609304245</v>
      </c>
      <c r="Y37" s="1022">
        <f t="shared" si="79"/>
        <v>0.1899503881009893</v>
      </c>
      <c r="AA37" s="1011">
        <v>2005</v>
      </c>
      <c r="AB37" s="1012">
        <f>RunXAge!$I31</f>
        <v>37628.29584616753</v>
      </c>
      <c r="AC37" s="1012">
        <f t="shared" si="16"/>
        <v>47494.232967996417</v>
      </c>
      <c r="AD37" s="1012">
        <f t="shared" si="32"/>
        <v>61859.065856016823</v>
      </c>
      <c r="AE37" s="1012">
        <f t="shared" si="46"/>
        <v>49173.65452896271</v>
      </c>
      <c r="AF37" s="1012">
        <f t="shared" si="58"/>
        <v>55980.71813096886</v>
      </c>
      <c r="AG37" s="1012">
        <f t="shared" si="80"/>
        <v>48501.64199604938</v>
      </c>
      <c r="AI37" s="1018">
        <f t="shared" si="81"/>
        <v>9865.937121828887</v>
      </c>
      <c r="AJ37" s="1018">
        <f t="shared" si="82"/>
        <v>24230.770009849293</v>
      </c>
      <c r="AK37" s="1018">
        <f t="shared" si="83"/>
        <v>11545.35868279518</v>
      </c>
      <c r="AL37" s="1018">
        <f t="shared" si="84"/>
        <v>18352.422284801331</v>
      </c>
      <c r="AM37" s="1018">
        <f t="shared" si="85"/>
        <v>10873.346149881851</v>
      </c>
      <c r="AO37" s="1016">
        <f t="shared" si="86"/>
        <v>0.26219463039630958</v>
      </c>
      <c r="AP37" s="1016">
        <f t="shared" si="87"/>
        <v>0.64395076803131956</v>
      </c>
      <c r="AQ37" s="1016">
        <f t="shared" si="88"/>
        <v>0.3068265097626281</v>
      </c>
      <c r="AR37" s="1016">
        <f t="shared" si="89"/>
        <v>0.48772929711805002</v>
      </c>
      <c r="AS37" s="1016">
        <f t="shared" si="90"/>
        <v>0.28896727596525762</v>
      </c>
      <c r="AU37" s="1022">
        <f t="shared" si="18"/>
        <v>0.26219463039630958</v>
      </c>
      <c r="AV37" s="1022">
        <f t="shared" si="19"/>
        <v>0.64395076803131956</v>
      </c>
      <c r="AW37" s="1022">
        <f t="shared" si="36"/>
        <v>0.3068265097626281</v>
      </c>
      <c r="AX37" s="1022">
        <f t="shared" si="49"/>
        <v>0.48772929711805002</v>
      </c>
      <c r="AY37" s="1022">
        <f t="shared" si="61"/>
        <v>0.28896727596525762</v>
      </c>
      <c r="BA37" s="1011">
        <v>2005</v>
      </c>
      <c r="BB37" s="1012">
        <f>RunXAge!$M31</f>
        <v>20304.918322954902</v>
      </c>
      <c r="BC37" s="1012">
        <f t="shared" si="20"/>
        <v>26018.25851101712</v>
      </c>
      <c r="BD37" s="1012">
        <f t="shared" si="37"/>
        <v>24229.01563333267</v>
      </c>
      <c r="BE37" s="1012">
        <f t="shared" si="50"/>
        <v>14143.73042540695</v>
      </c>
      <c r="BF37" s="1012">
        <f t="shared" si="62"/>
        <v>15064.974836101501</v>
      </c>
      <c r="BG37" s="1012">
        <f t="shared" si="91"/>
        <v>16004.656581234569</v>
      </c>
      <c r="BI37" s="1018">
        <f t="shared" si="92"/>
        <v>5713.3401880622187</v>
      </c>
      <c r="BJ37" s="1018">
        <f t="shared" si="93"/>
        <v>3924.0973103777687</v>
      </c>
      <c r="BK37" s="1018">
        <f t="shared" si="94"/>
        <v>-6161.1878975479522</v>
      </c>
      <c r="BL37" s="1018">
        <f t="shared" si="95"/>
        <v>-5239.9434868534008</v>
      </c>
      <c r="BM37" s="1018">
        <f t="shared" si="96"/>
        <v>-4300.2617417203328</v>
      </c>
      <c r="BO37" s="1016">
        <f t="shared" si="97"/>
        <v>0.28137715686367643</v>
      </c>
      <c r="BP37" s="1016">
        <f t="shared" si="98"/>
        <v>0.19325846319418777</v>
      </c>
      <c r="BQ37" s="1016">
        <f t="shared" si="99"/>
        <v>-0.30343327658612995</v>
      </c>
      <c r="BR37" s="1016">
        <f t="shared" si="100"/>
        <v>-0.25806277097552249</v>
      </c>
      <c r="BS37" s="1016">
        <f t="shared" si="101"/>
        <v>-0.2117842422866999</v>
      </c>
      <c r="BU37" s="1022">
        <f t="shared" si="23"/>
        <v>0.28137715686367643</v>
      </c>
      <c r="BV37" s="1022">
        <f t="shared" si="24"/>
        <v>0.19325846319418777</v>
      </c>
      <c r="BW37" s="1022">
        <f t="shared" si="42"/>
        <v>0.30343327658612995</v>
      </c>
      <c r="BX37" s="1022">
        <f t="shared" si="53"/>
        <v>0.25806277097552249</v>
      </c>
      <c r="BY37" s="1022">
        <f t="shared" si="65"/>
        <v>0.2117842422866999</v>
      </c>
    </row>
    <row r="38" spans="1:77">
      <c r="A38" s="1011">
        <v>2006</v>
      </c>
      <c r="B38" s="1012">
        <f>RunXAge!$F32</f>
        <v>9564.4699599625565</v>
      </c>
      <c r="C38" s="1012">
        <f t="shared" si="12"/>
        <v>5891.6632712260234</v>
      </c>
      <c r="D38" s="1012">
        <f t="shared" si="25"/>
        <v>5019.5720853945559</v>
      </c>
      <c r="E38" s="1012">
        <f t="shared" si="43"/>
        <v>5977.1853932395461</v>
      </c>
      <c r="F38" s="1012">
        <f t="shared" si="54"/>
        <v>6610.6088326264853</v>
      </c>
      <c r="G38" s="1012">
        <f t="shared" si="66"/>
        <v>8614.6976308881203</v>
      </c>
      <c r="I38" s="1018">
        <f t="shared" si="67"/>
        <v>-3672.806688736533</v>
      </c>
      <c r="J38" s="1018">
        <f t="shared" si="68"/>
        <v>-4544.8978745680006</v>
      </c>
      <c r="K38" s="1018">
        <f t="shared" si="69"/>
        <v>-3587.2845667230104</v>
      </c>
      <c r="L38" s="1018">
        <f t="shared" si="70"/>
        <v>-2953.8611273360711</v>
      </c>
      <c r="M38" s="1018">
        <f t="shared" si="71"/>
        <v>-949.77232907443613</v>
      </c>
      <c r="O38" s="1016">
        <f t="shared" si="14"/>
        <v>-0.38400525111282918</v>
      </c>
      <c r="P38" s="1016">
        <f t="shared" si="72"/>
        <v>-0.47518554541895319</v>
      </c>
      <c r="Q38" s="1016">
        <f t="shared" si="73"/>
        <v>-0.37506360328796035</v>
      </c>
      <c r="R38" s="1016">
        <f t="shared" si="74"/>
        <v>-0.30883688690550659</v>
      </c>
      <c r="S38" s="1016">
        <f t="shared" si="75"/>
        <v>-9.9302139381506754E-2</v>
      </c>
      <c r="U38" s="1022">
        <f t="shared" si="15"/>
        <v>0.38400525111282918</v>
      </c>
      <c r="V38" s="1022">
        <f t="shared" si="76"/>
        <v>0.47518554541895319</v>
      </c>
      <c r="W38" s="1022">
        <f t="shared" si="77"/>
        <v>0.37506360328796035</v>
      </c>
      <c r="X38" s="1022">
        <f t="shared" si="78"/>
        <v>0.30883688690550659</v>
      </c>
      <c r="Y38" s="1022">
        <f t="shared" si="79"/>
        <v>9.9302139381506754E-2</v>
      </c>
      <c r="AA38" s="1011">
        <v>2006</v>
      </c>
      <c r="AB38" s="1012">
        <f>RunXAge!$I32</f>
        <v>68219.100697904621</v>
      </c>
      <c r="AC38" s="1012">
        <f t="shared" si="16"/>
        <v>37628.29584616753</v>
      </c>
      <c r="AD38" s="1012">
        <f t="shared" si="32"/>
        <v>47494.232967996417</v>
      </c>
      <c r="AE38" s="1012">
        <f t="shared" si="46"/>
        <v>61859.065856016823</v>
      </c>
      <c r="AF38" s="1012">
        <f t="shared" si="58"/>
        <v>49173.65452896271</v>
      </c>
      <c r="AG38" s="1012">
        <f t="shared" si="80"/>
        <v>55980.71813096886</v>
      </c>
      <c r="AI38" s="1018">
        <f t="shared" si="81"/>
        <v>-30590.804851737092</v>
      </c>
      <c r="AJ38" s="1018">
        <f t="shared" si="82"/>
        <v>-20724.867729908205</v>
      </c>
      <c r="AK38" s="1018">
        <f t="shared" si="83"/>
        <v>-6360.0348418877984</v>
      </c>
      <c r="AL38" s="1018">
        <f t="shared" si="84"/>
        <v>-19045.446168941911</v>
      </c>
      <c r="AM38" s="1018">
        <f t="shared" si="85"/>
        <v>-12238.382566935761</v>
      </c>
      <c r="AO38" s="1016">
        <f t="shared" si="86"/>
        <v>-0.44841993721381174</v>
      </c>
      <c r="AP38" s="1016">
        <f t="shared" si="87"/>
        <v>-0.30379860651761387</v>
      </c>
      <c r="AQ38" s="1016">
        <f t="shared" si="88"/>
        <v>-9.3229532151882344E-2</v>
      </c>
      <c r="AR38" s="1016">
        <f t="shared" si="89"/>
        <v>-0.27918055169447431</v>
      </c>
      <c r="AS38" s="1016">
        <f t="shared" si="90"/>
        <v>-0.17939818088677426</v>
      </c>
      <c r="AU38" s="1022">
        <f t="shared" si="18"/>
        <v>0.44841993721381174</v>
      </c>
      <c r="AV38" s="1022">
        <f t="shared" si="19"/>
        <v>0.30379860651761387</v>
      </c>
      <c r="AW38" s="1022">
        <f t="shared" si="36"/>
        <v>9.3229532151882344E-2</v>
      </c>
      <c r="AX38" s="1022">
        <f t="shared" si="49"/>
        <v>0.27918055169447431</v>
      </c>
      <c r="AY38" s="1022">
        <f t="shared" si="61"/>
        <v>0.17939818088677426</v>
      </c>
      <c r="BA38" s="1011">
        <v>2006</v>
      </c>
      <c r="BB38" s="1012">
        <f>RunXAge!$M32</f>
        <v>16359.593867404627</v>
      </c>
      <c r="BC38" s="1012">
        <f t="shared" si="20"/>
        <v>20304.918322954902</v>
      </c>
      <c r="BD38" s="1012">
        <f t="shared" si="37"/>
        <v>26018.25851101712</v>
      </c>
      <c r="BE38" s="1012">
        <f t="shared" si="50"/>
        <v>24229.01563333267</v>
      </c>
      <c r="BF38" s="1012">
        <f t="shared" si="62"/>
        <v>14143.73042540695</v>
      </c>
      <c r="BG38" s="1012">
        <f t="shared" si="91"/>
        <v>15064.974836101501</v>
      </c>
      <c r="BI38" s="1018">
        <f t="shared" si="92"/>
        <v>3945.3244555502752</v>
      </c>
      <c r="BJ38" s="1018">
        <f t="shared" si="93"/>
        <v>9658.6646436124938</v>
      </c>
      <c r="BK38" s="1018">
        <f t="shared" si="94"/>
        <v>7869.4217659280439</v>
      </c>
      <c r="BL38" s="1018">
        <f t="shared" si="95"/>
        <v>-2215.863441997677</v>
      </c>
      <c r="BM38" s="1018">
        <f t="shared" si="96"/>
        <v>-1294.6190313031257</v>
      </c>
      <c r="BO38" s="1016">
        <f t="shared" si="97"/>
        <v>0.24116273836180399</v>
      </c>
      <c r="BP38" s="1016">
        <f t="shared" si="98"/>
        <v>0.59039758088718353</v>
      </c>
      <c r="BQ38" s="1016">
        <f t="shared" si="99"/>
        <v>0.48102794175149599</v>
      </c>
      <c r="BR38" s="1016">
        <f t="shared" si="100"/>
        <v>-0.13544733811593168</v>
      </c>
      <c r="BS38" s="1016">
        <f t="shared" si="101"/>
        <v>-7.9135157131410561E-2</v>
      </c>
      <c r="BU38" s="1022">
        <f t="shared" si="23"/>
        <v>0.24116273836180399</v>
      </c>
      <c r="BV38" s="1022">
        <f t="shared" si="24"/>
        <v>0.59039758088718353</v>
      </c>
      <c r="BW38" s="1022">
        <f t="shared" si="42"/>
        <v>0.48102794175149599</v>
      </c>
      <c r="BX38" s="1022">
        <f t="shared" si="53"/>
        <v>0.13544733811593168</v>
      </c>
      <c r="BY38" s="1022">
        <f t="shared" si="65"/>
        <v>7.9135157131410561E-2</v>
      </c>
    </row>
    <row r="39" spans="1:77">
      <c r="A39" s="1011">
        <v>2007</v>
      </c>
      <c r="B39" s="1012">
        <f>RunXAge!$F33</f>
        <v>5160.4207337804701</v>
      </c>
      <c r="C39" s="1012">
        <f t="shared" si="12"/>
        <v>9564.4699599625565</v>
      </c>
      <c r="D39" s="1012">
        <f t="shared" si="25"/>
        <v>5891.6632712260234</v>
      </c>
      <c r="E39" s="1012">
        <f t="shared" si="43"/>
        <v>5019.5720853945559</v>
      </c>
      <c r="F39" s="1012">
        <f t="shared" si="54"/>
        <v>5977.1853932395461</v>
      </c>
      <c r="G39" s="1012">
        <f t="shared" si="66"/>
        <v>6610.6088326264853</v>
      </c>
      <c r="I39" s="1018">
        <f t="shared" si="67"/>
        <v>4404.0492261820864</v>
      </c>
      <c r="J39" s="1018">
        <f t="shared" si="68"/>
        <v>731.24253744555335</v>
      </c>
      <c r="K39" s="1018">
        <f t="shared" si="69"/>
        <v>-140.8486483859142</v>
      </c>
      <c r="L39" s="1018">
        <f t="shared" si="70"/>
        <v>816.76465945907603</v>
      </c>
      <c r="M39" s="1018">
        <f t="shared" si="71"/>
        <v>1450.1880988460152</v>
      </c>
      <c r="O39" s="1016">
        <f t="shared" si="14"/>
        <v>0.85342832559230619</v>
      </c>
      <c r="P39" s="1016">
        <f t="shared" si="72"/>
        <v>0.14170211600360205</v>
      </c>
      <c r="Q39" s="1016">
        <f t="shared" si="73"/>
        <v>-2.7294024199210974E-2</v>
      </c>
      <c r="R39" s="1016">
        <f t="shared" si="74"/>
        <v>0.15827481935968482</v>
      </c>
      <c r="S39" s="1016">
        <f t="shared" si="75"/>
        <v>0.28102129141389265</v>
      </c>
      <c r="U39" s="1022">
        <f t="shared" si="15"/>
        <v>0.85342832559230619</v>
      </c>
      <c r="V39" s="1022">
        <f t="shared" si="76"/>
        <v>0.14170211600360205</v>
      </c>
      <c r="W39" s="1022">
        <f t="shared" si="77"/>
        <v>2.7294024199210974E-2</v>
      </c>
      <c r="X39" s="1022">
        <f t="shared" si="78"/>
        <v>0.15827481935968482</v>
      </c>
      <c r="Y39" s="1022">
        <f t="shared" si="79"/>
        <v>0.28102129141389265</v>
      </c>
      <c r="AA39" s="1011">
        <v>2007</v>
      </c>
      <c r="AB39" s="1012">
        <f>RunXAge!$I33</f>
        <v>57978.675515241623</v>
      </c>
      <c r="AC39" s="1012">
        <f t="shared" si="16"/>
        <v>68219.100697904621</v>
      </c>
      <c r="AD39" s="1012">
        <f t="shared" si="32"/>
        <v>37628.29584616753</v>
      </c>
      <c r="AE39" s="1012">
        <f t="shared" si="46"/>
        <v>47494.232967996417</v>
      </c>
      <c r="AF39" s="1012">
        <f t="shared" si="58"/>
        <v>61859.065856016823</v>
      </c>
      <c r="AG39" s="1012">
        <f t="shared" si="80"/>
        <v>49173.65452896271</v>
      </c>
      <c r="AI39" s="1018">
        <f t="shared" si="81"/>
        <v>10240.425182662999</v>
      </c>
      <c r="AJ39" s="1018">
        <f t="shared" si="82"/>
        <v>-20350.379669074093</v>
      </c>
      <c r="AK39" s="1018">
        <f t="shared" si="83"/>
        <v>-10484.442547245206</v>
      </c>
      <c r="AL39" s="1018">
        <f t="shared" si="84"/>
        <v>3880.3903407752005</v>
      </c>
      <c r="AM39" s="1018">
        <f t="shared" si="85"/>
        <v>-8805.0209862789125</v>
      </c>
      <c r="AO39" s="1016">
        <f t="shared" si="86"/>
        <v>0.17662399307433235</v>
      </c>
      <c r="AP39" s="1016">
        <f t="shared" si="87"/>
        <v>-0.35099766402432425</v>
      </c>
      <c r="AQ39" s="1016">
        <f t="shared" si="88"/>
        <v>-0.18083273641684039</v>
      </c>
      <c r="AR39" s="1016">
        <f t="shared" si="89"/>
        <v>6.692788868133269E-2</v>
      </c>
      <c r="AS39" s="1016">
        <f t="shared" si="90"/>
        <v>-0.1518665424491151</v>
      </c>
      <c r="AU39" s="1022">
        <f t="shared" si="18"/>
        <v>0.17662399307433235</v>
      </c>
      <c r="AV39" s="1022">
        <f t="shared" si="19"/>
        <v>0.35099766402432425</v>
      </c>
      <c r="AW39" s="1022">
        <f t="shared" si="36"/>
        <v>0.18083273641684039</v>
      </c>
      <c r="AX39" s="1022">
        <f t="shared" si="49"/>
        <v>6.692788868133269E-2</v>
      </c>
      <c r="AY39" s="1022">
        <f t="shared" si="61"/>
        <v>0.1518665424491151</v>
      </c>
      <c r="BA39" s="1011">
        <v>2007</v>
      </c>
      <c r="BB39" s="1012">
        <f>RunXAge!$M33</f>
        <v>22479.559690778486</v>
      </c>
      <c r="BC39" s="1012">
        <f t="shared" si="20"/>
        <v>16359.593867404627</v>
      </c>
      <c r="BD39" s="1012">
        <f t="shared" si="37"/>
        <v>20304.918322954902</v>
      </c>
      <c r="BE39" s="1012">
        <f t="shared" si="50"/>
        <v>26018.25851101712</v>
      </c>
      <c r="BF39" s="1012">
        <f t="shared" si="62"/>
        <v>24229.01563333267</v>
      </c>
      <c r="BG39" s="1012">
        <f t="shared" si="91"/>
        <v>14143.73042540695</v>
      </c>
      <c r="BI39" s="1018">
        <f t="shared" si="92"/>
        <v>-6119.9658233738592</v>
      </c>
      <c r="BJ39" s="1018">
        <f t="shared" si="93"/>
        <v>-2174.641367823584</v>
      </c>
      <c r="BK39" s="1018">
        <f t="shared" si="94"/>
        <v>3538.6988202386347</v>
      </c>
      <c r="BL39" s="1018">
        <f t="shared" si="95"/>
        <v>1749.4559425541847</v>
      </c>
      <c r="BM39" s="1018">
        <f t="shared" si="96"/>
        <v>-8335.8292653715362</v>
      </c>
      <c r="BO39" s="1016">
        <f t="shared" si="97"/>
        <v>-0.27224580496940864</v>
      </c>
      <c r="BP39" s="1016">
        <f t="shared" si="98"/>
        <v>-9.6738610441540834E-2</v>
      </c>
      <c r="BQ39" s="1016">
        <f t="shared" si="99"/>
        <v>0.15741851125715206</v>
      </c>
      <c r="BR39" s="1016">
        <f t="shared" si="100"/>
        <v>7.7824297567173545E-2</v>
      </c>
      <c r="BS39" s="1016">
        <f t="shared" si="101"/>
        <v>-0.37081817348900481</v>
      </c>
      <c r="BU39" s="1022">
        <f t="shared" si="23"/>
        <v>0.27224580496940864</v>
      </c>
      <c r="BV39" s="1022">
        <f t="shared" si="24"/>
        <v>9.6738610441540834E-2</v>
      </c>
      <c r="BW39" s="1022">
        <f t="shared" si="42"/>
        <v>0.15741851125715206</v>
      </c>
      <c r="BX39" s="1022">
        <f t="shared" si="53"/>
        <v>7.7824297567173545E-2</v>
      </c>
      <c r="BY39" s="1022">
        <f t="shared" si="65"/>
        <v>0.37081817348900481</v>
      </c>
    </row>
    <row r="40" spans="1:77">
      <c r="A40" s="1011">
        <v>2008</v>
      </c>
      <c r="B40" s="1012">
        <f>RunXAge!$F34</f>
        <v>3974.232174502526</v>
      </c>
      <c r="C40" s="1012">
        <f t="shared" si="12"/>
        <v>5160.4207337804701</v>
      </c>
      <c r="D40" s="1012">
        <f t="shared" si="25"/>
        <v>9564.4699599625565</v>
      </c>
      <c r="E40" s="1012">
        <f t="shared" si="43"/>
        <v>5891.6632712260234</v>
      </c>
      <c r="F40" s="1012">
        <f t="shared" si="54"/>
        <v>5019.5720853945559</v>
      </c>
      <c r="G40" s="1012">
        <f t="shared" si="66"/>
        <v>5977.1853932395461</v>
      </c>
      <c r="I40" s="1018">
        <f t="shared" si="67"/>
        <v>1186.188559277944</v>
      </c>
      <c r="J40" s="1018">
        <f t="shared" si="68"/>
        <v>5590.2377854600309</v>
      </c>
      <c r="K40" s="1018">
        <f t="shared" si="69"/>
        <v>1917.4310967234974</v>
      </c>
      <c r="L40" s="1018">
        <f t="shared" si="70"/>
        <v>1045.3399108920298</v>
      </c>
      <c r="M40" s="1018">
        <f t="shared" si="71"/>
        <v>2002.9532187370201</v>
      </c>
      <c r="O40" s="1016">
        <f t="shared" si="14"/>
        <v>0.2984698696991514</v>
      </c>
      <c r="P40" s="1016">
        <f t="shared" si="72"/>
        <v>1.4066208364285582</v>
      </c>
      <c r="Q40" s="1016">
        <f t="shared" si="73"/>
        <v>0.48246579780244259</v>
      </c>
      <c r="R40" s="1016">
        <f t="shared" si="74"/>
        <v>0.26302940165363642</v>
      </c>
      <c r="S40" s="1016">
        <f t="shared" si="75"/>
        <v>0.50398495376977803</v>
      </c>
      <c r="U40" s="1022">
        <f t="shared" si="15"/>
        <v>0.2984698696991514</v>
      </c>
      <c r="V40" s="1022">
        <f t="shared" si="76"/>
        <v>1.4066208364285582</v>
      </c>
      <c r="W40" s="1022">
        <f t="shared" si="77"/>
        <v>0.48246579780244259</v>
      </c>
      <c r="X40" s="1022">
        <f t="shared" si="78"/>
        <v>0.26302940165363642</v>
      </c>
      <c r="Y40" s="1022">
        <f t="shared" si="79"/>
        <v>0.50398495376977803</v>
      </c>
      <c r="AA40" s="1011">
        <v>2008</v>
      </c>
      <c r="AB40" s="1012">
        <f>RunXAge!$I34</f>
        <v>32189.833456419547</v>
      </c>
      <c r="AC40" s="1012">
        <f t="shared" si="16"/>
        <v>57978.675515241623</v>
      </c>
      <c r="AD40" s="1012">
        <f t="shared" si="32"/>
        <v>68219.100697904621</v>
      </c>
      <c r="AE40" s="1012">
        <f t="shared" si="46"/>
        <v>37628.29584616753</v>
      </c>
      <c r="AF40" s="1012">
        <f t="shared" si="58"/>
        <v>47494.232967996417</v>
      </c>
      <c r="AG40" s="1012">
        <f t="shared" si="80"/>
        <v>61859.065856016823</v>
      </c>
      <c r="AI40" s="1018">
        <f t="shared" si="81"/>
        <v>25788.842058822076</v>
      </c>
      <c r="AJ40" s="1018">
        <f t="shared" si="82"/>
        <v>36029.267241485075</v>
      </c>
      <c r="AK40" s="1018">
        <f t="shared" si="83"/>
        <v>5438.4623897479833</v>
      </c>
      <c r="AL40" s="1018">
        <f t="shared" si="84"/>
        <v>15304.39951157687</v>
      </c>
      <c r="AM40" s="1018">
        <f t="shared" si="85"/>
        <v>29669.232399597277</v>
      </c>
      <c r="AO40" s="1016">
        <f t="shared" si="86"/>
        <v>0.80114866371509807</v>
      </c>
      <c r="AP40" s="1016">
        <f t="shared" si="87"/>
        <v>1.1192747328209565</v>
      </c>
      <c r="AQ40" s="1016">
        <f t="shared" si="88"/>
        <v>0.16894969019056552</v>
      </c>
      <c r="AR40" s="1016">
        <f t="shared" si="89"/>
        <v>0.47544202216196146</v>
      </c>
      <c r="AS40" s="1016">
        <f t="shared" si="90"/>
        <v>0.92169574097875329</v>
      </c>
      <c r="AU40" s="1022">
        <f t="shared" si="18"/>
        <v>0.80114866371509807</v>
      </c>
      <c r="AV40" s="1022">
        <f t="shared" si="19"/>
        <v>1.1192747328209565</v>
      </c>
      <c r="AW40" s="1022">
        <f t="shared" si="36"/>
        <v>0.16894969019056552</v>
      </c>
      <c r="AX40" s="1022">
        <f t="shared" si="49"/>
        <v>0.47544202216196146</v>
      </c>
      <c r="AY40" s="1022">
        <f t="shared" si="61"/>
        <v>0.92169574097875329</v>
      </c>
      <c r="BA40" s="1011">
        <v>2008</v>
      </c>
      <c r="BB40" s="1012">
        <f>RunXAge!$M34</f>
        <v>17049.005269657362</v>
      </c>
      <c r="BC40" s="1012">
        <f t="shared" si="20"/>
        <v>22479.559690778486</v>
      </c>
      <c r="BD40" s="1012">
        <f t="shared" si="37"/>
        <v>16359.593867404627</v>
      </c>
      <c r="BE40" s="1012">
        <f t="shared" si="50"/>
        <v>20304.918322954902</v>
      </c>
      <c r="BF40" s="1012">
        <f t="shared" si="62"/>
        <v>26018.25851101712</v>
      </c>
      <c r="BG40" s="1012">
        <f t="shared" si="91"/>
        <v>24229.01563333267</v>
      </c>
      <c r="BI40" s="1018">
        <f t="shared" si="92"/>
        <v>5430.5544211211236</v>
      </c>
      <c r="BJ40" s="1018">
        <f t="shared" si="93"/>
        <v>-689.41140225273557</v>
      </c>
      <c r="BK40" s="1018">
        <f t="shared" si="94"/>
        <v>3255.9130532975396</v>
      </c>
      <c r="BL40" s="1018">
        <f t="shared" si="95"/>
        <v>8969.2532413597582</v>
      </c>
      <c r="BM40" s="1018">
        <f t="shared" si="96"/>
        <v>7180.0103636753083</v>
      </c>
      <c r="BO40" s="1016">
        <f t="shared" si="97"/>
        <v>0.31852617412149248</v>
      </c>
      <c r="BP40" s="1016">
        <f t="shared" si="98"/>
        <v>-4.0437045525447878E-2</v>
      </c>
      <c r="BQ40" s="1016">
        <f t="shared" si="99"/>
        <v>0.19097378420617817</v>
      </c>
      <c r="BR40" s="1016">
        <f t="shared" si="100"/>
        <v>0.5260866015052863</v>
      </c>
      <c r="BS40" s="1016">
        <f t="shared" si="101"/>
        <v>0.4211395474464304</v>
      </c>
      <c r="BU40" s="1022">
        <f t="shared" si="23"/>
        <v>0.31852617412149248</v>
      </c>
      <c r="BV40" s="1022">
        <f t="shared" si="24"/>
        <v>4.0437045525447878E-2</v>
      </c>
      <c r="BW40" s="1022">
        <f t="shared" si="42"/>
        <v>0.19097378420617817</v>
      </c>
      <c r="BX40" s="1022">
        <f t="shared" si="53"/>
        <v>0.5260866015052863</v>
      </c>
      <c r="BY40" s="1022">
        <f t="shared" si="65"/>
        <v>0.4211395474464304</v>
      </c>
    </row>
    <row r="41" spans="1:77">
      <c r="A41" s="1011">
        <v>2009</v>
      </c>
      <c r="B41" s="1012">
        <f>RunXAge!$F35</f>
        <v>4590.7362311379366</v>
      </c>
      <c r="C41" s="1012">
        <f t="shared" si="12"/>
        <v>3974.232174502526</v>
      </c>
      <c r="D41" s="1012">
        <f t="shared" si="25"/>
        <v>5160.4207337804701</v>
      </c>
      <c r="E41" s="1012">
        <f t="shared" si="43"/>
        <v>9564.4699599625565</v>
      </c>
      <c r="F41" s="1012">
        <f t="shared" si="54"/>
        <v>5891.6632712260234</v>
      </c>
      <c r="G41" s="1012">
        <f t="shared" si="66"/>
        <v>5019.5720853945559</v>
      </c>
      <c r="I41" s="1018">
        <f t="shared" si="67"/>
        <v>-616.50405663541051</v>
      </c>
      <c r="J41" s="1018">
        <f t="shared" si="68"/>
        <v>569.68450264253352</v>
      </c>
      <c r="K41" s="1018">
        <f t="shared" si="69"/>
        <v>4973.7337288246199</v>
      </c>
      <c r="L41" s="1018">
        <f t="shared" si="70"/>
        <v>1300.9270400880869</v>
      </c>
      <c r="M41" s="1018">
        <f t="shared" si="71"/>
        <v>428.83585425661931</v>
      </c>
      <c r="O41" s="1016">
        <f t="shared" si="14"/>
        <v>-0.13429306882277431</v>
      </c>
      <c r="P41" s="1016">
        <f t="shared" si="72"/>
        <v>0.12409436612334444</v>
      </c>
      <c r="Q41" s="1016">
        <f t="shared" si="73"/>
        <v>1.0834283388117349</v>
      </c>
      <c r="R41" s="1016">
        <f t="shared" si="74"/>
        <v>0.28338091639075014</v>
      </c>
      <c r="S41" s="1016">
        <f t="shared" si="75"/>
        <v>9.3413307292177158E-2</v>
      </c>
      <c r="U41" s="1022">
        <f t="shared" si="15"/>
        <v>0.13429306882277431</v>
      </c>
      <c r="V41" s="1022">
        <f t="shared" si="76"/>
        <v>0.12409436612334444</v>
      </c>
      <c r="W41" s="1022">
        <f t="shared" si="77"/>
        <v>1.0834283388117349</v>
      </c>
      <c r="X41" s="1022">
        <f t="shared" si="78"/>
        <v>0.28338091639075014</v>
      </c>
      <c r="Y41" s="1022">
        <f t="shared" si="79"/>
        <v>9.3413307292177158E-2</v>
      </c>
      <c r="AA41" s="1011">
        <v>2009</v>
      </c>
      <c r="AB41" s="1012">
        <f>RunXAge!$I35</f>
        <v>27036.937247060858</v>
      </c>
      <c r="AC41" s="1012">
        <f t="shared" si="16"/>
        <v>32189.833456419547</v>
      </c>
      <c r="AD41" s="1012">
        <f t="shared" si="32"/>
        <v>57978.675515241623</v>
      </c>
      <c r="AE41" s="1012">
        <f t="shared" si="46"/>
        <v>68219.100697904621</v>
      </c>
      <c r="AF41" s="1012">
        <f t="shared" si="58"/>
        <v>37628.29584616753</v>
      </c>
      <c r="AG41" s="1012">
        <f t="shared" si="80"/>
        <v>47494.232967996417</v>
      </c>
      <c r="AI41" s="1018">
        <f t="shared" si="81"/>
        <v>5152.8962093586888</v>
      </c>
      <c r="AJ41" s="1018">
        <f t="shared" si="82"/>
        <v>30941.738268180765</v>
      </c>
      <c r="AK41" s="1018">
        <f t="shared" si="83"/>
        <v>41182.163450843764</v>
      </c>
      <c r="AL41" s="1018">
        <f t="shared" si="84"/>
        <v>10591.358599106672</v>
      </c>
      <c r="AM41" s="1018">
        <f t="shared" si="85"/>
        <v>20457.295720935559</v>
      </c>
      <c r="AO41" s="1016">
        <f t="shared" si="86"/>
        <v>0.19058727555832353</v>
      </c>
      <c r="AP41" s="1016">
        <f t="shared" si="87"/>
        <v>1.1444246804080735</v>
      </c>
      <c r="AQ41" s="1016">
        <f t="shared" si="88"/>
        <v>1.5231815303088967</v>
      </c>
      <c r="AR41" s="1016">
        <f t="shared" si="89"/>
        <v>0.39173662690873173</v>
      </c>
      <c r="AS41" s="1016">
        <f t="shared" si="90"/>
        <v>0.75664249741007328</v>
      </c>
      <c r="AU41" s="1022">
        <f t="shared" si="18"/>
        <v>0.19058727555832353</v>
      </c>
      <c r="AV41" s="1022">
        <f t="shared" si="19"/>
        <v>1.1444246804080735</v>
      </c>
      <c r="AW41" s="1022">
        <f t="shared" si="36"/>
        <v>1.5231815303088967</v>
      </c>
      <c r="AX41" s="1022">
        <f t="shared" si="49"/>
        <v>0.39173662690873173</v>
      </c>
      <c r="AY41" s="1022">
        <f t="shared" si="61"/>
        <v>0.75664249741007328</v>
      </c>
      <c r="BA41" s="1011">
        <v>2009</v>
      </c>
      <c r="BB41" s="1012">
        <f>RunXAge!$M35</f>
        <v>9624.6385284530425</v>
      </c>
      <c r="BC41" s="1012">
        <f t="shared" si="20"/>
        <v>17049.005269657362</v>
      </c>
      <c r="BD41" s="1012">
        <f t="shared" si="37"/>
        <v>22479.559690778486</v>
      </c>
      <c r="BE41" s="1012">
        <f t="shared" si="50"/>
        <v>16359.593867404627</v>
      </c>
      <c r="BF41" s="1012">
        <f t="shared" si="62"/>
        <v>20304.918322954902</v>
      </c>
      <c r="BG41" s="1012">
        <f t="shared" si="91"/>
        <v>26018.25851101712</v>
      </c>
      <c r="BI41" s="1018">
        <f t="shared" si="92"/>
        <v>7424.3667412043196</v>
      </c>
      <c r="BJ41" s="1018">
        <f t="shared" si="93"/>
        <v>12854.921162325443</v>
      </c>
      <c r="BK41" s="1018">
        <f t="shared" si="94"/>
        <v>6734.9553389515841</v>
      </c>
      <c r="BL41" s="1018">
        <f t="shared" si="95"/>
        <v>10680.279794501859</v>
      </c>
      <c r="BM41" s="1018">
        <f t="shared" si="96"/>
        <v>16393.61998256408</v>
      </c>
      <c r="BO41" s="1016">
        <f t="shared" si="97"/>
        <v>0.77139174829848178</v>
      </c>
      <c r="BP41" s="1016">
        <f t="shared" si="98"/>
        <v>1.335626384754379</v>
      </c>
      <c r="BQ41" s="1016">
        <f t="shared" si="99"/>
        <v>0.69976189952913337</v>
      </c>
      <c r="BR41" s="1016">
        <f t="shared" si="100"/>
        <v>1.1096811337826407</v>
      </c>
      <c r="BS41" s="1016">
        <f t="shared" si="101"/>
        <v>1.7032972130953377</v>
      </c>
      <c r="BU41" s="1022">
        <f t="shared" si="23"/>
        <v>0.77139174829848178</v>
      </c>
      <c r="BV41" s="1022">
        <f t="shared" si="24"/>
        <v>1.335626384754379</v>
      </c>
      <c r="BW41" s="1022">
        <f t="shared" si="42"/>
        <v>0.69976189952913337</v>
      </c>
      <c r="BX41" s="1022">
        <f t="shared" si="53"/>
        <v>1.1096811337826407</v>
      </c>
      <c r="BY41" s="1022">
        <f t="shared" si="65"/>
        <v>1.7032972130953377</v>
      </c>
    </row>
    <row r="42" spans="1:77">
      <c r="A42" s="1011">
        <v>2010</v>
      </c>
      <c r="B42" s="1012">
        <f>RunXAge!$F36</f>
        <v>5400.9059432897675</v>
      </c>
      <c r="C42" s="1012">
        <f t="shared" si="12"/>
        <v>4590.7362311379366</v>
      </c>
      <c r="D42" s="1012">
        <f t="shared" si="25"/>
        <v>3974.232174502526</v>
      </c>
      <c r="E42" s="1012">
        <f t="shared" si="43"/>
        <v>5160.4207337804701</v>
      </c>
      <c r="F42" s="1012">
        <f t="shared" si="54"/>
        <v>9564.4699599625565</v>
      </c>
      <c r="G42" s="1012">
        <f t="shared" si="66"/>
        <v>5891.6632712260234</v>
      </c>
      <c r="I42" s="1018">
        <f t="shared" si="67"/>
        <v>-810.16971215183094</v>
      </c>
      <c r="J42" s="1018">
        <f t="shared" si="68"/>
        <v>-1426.6737687872414</v>
      </c>
      <c r="K42" s="1018">
        <f t="shared" si="69"/>
        <v>-240.48520950929742</v>
      </c>
      <c r="L42" s="1018">
        <f t="shared" si="70"/>
        <v>4163.564016672789</v>
      </c>
      <c r="M42" s="1018">
        <f t="shared" si="71"/>
        <v>490.75732793625593</v>
      </c>
      <c r="O42" s="1016">
        <f t="shared" si="14"/>
        <v>-0.15000626203431811</v>
      </c>
      <c r="P42" s="1016">
        <f t="shared" si="72"/>
        <v>-0.26415452958587066</v>
      </c>
      <c r="Q42" s="1016">
        <f t="shared" si="73"/>
        <v>-4.4526827912654686E-2</v>
      </c>
      <c r="R42" s="1016">
        <f t="shared" si="74"/>
        <v>0.77090104149021776</v>
      </c>
      <c r="S42" s="1016">
        <f t="shared" si="75"/>
        <v>9.0865742356795939E-2</v>
      </c>
      <c r="U42" s="1022">
        <f t="shared" si="15"/>
        <v>0.15000626203431811</v>
      </c>
      <c r="V42" s="1022">
        <f t="shared" si="76"/>
        <v>0.26415452958587066</v>
      </c>
      <c r="W42" s="1022">
        <f t="shared" si="77"/>
        <v>4.4526827912654686E-2</v>
      </c>
      <c r="X42" s="1022">
        <f t="shared" si="78"/>
        <v>0.77090104149021776</v>
      </c>
      <c r="Y42" s="1022">
        <f t="shared" si="79"/>
        <v>9.0865742356795939E-2</v>
      </c>
      <c r="AA42" s="1011">
        <v>2010</v>
      </c>
      <c r="AB42" s="1012">
        <f>RunXAge!$I36</f>
        <v>19724.564662776269</v>
      </c>
      <c r="AC42" s="1012">
        <f t="shared" si="16"/>
        <v>27036.937247060858</v>
      </c>
      <c r="AD42" s="1012">
        <f t="shared" si="32"/>
        <v>32189.833456419547</v>
      </c>
      <c r="AE42" s="1012">
        <f t="shared" si="46"/>
        <v>57978.675515241623</v>
      </c>
      <c r="AF42" s="1012">
        <f t="shared" si="58"/>
        <v>68219.100697904621</v>
      </c>
      <c r="AG42" s="1012">
        <f t="shared" si="80"/>
        <v>37628.29584616753</v>
      </c>
      <c r="AI42" s="1018">
        <f t="shared" si="81"/>
        <v>7312.3725842845888</v>
      </c>
      <c r="AJ42" s="1018">
        <f t="shared" si="82"/>
        <v>12465.268793643278</v>
      </c>
      <c r="AK42" s="1018">
        <f t="shared" si="83"/>
        <v>38254.110852465354</v>
      </c>
      <c r="AL42" s="1018">
        <f t="shared" si="84"/>
        <v>48494.536035128353</v>
      </c>
      <c r="AM42" s="1018">
        <f t="shared" si="85"/>
        <v>17903.731183391261</v>
      </c>
      <c r="AO42" s="1016">
        <f t="shared" si="86"/>
        <v>0.3707241558585232</v>
      </c>
      <c r="AP42" s="1016">
        <f t="shared" si="87"/>
        <v>0.63196673826558203</v>
      </c>
      <c r="AQ42" s="1016">
        <f t="shared" si="88"/>
        <v>1.9394147098545402</v>
      </c>
      <c r="AR42" s="1016">
        <f t="shared" si="89"/>
        <v>2.4585858732104793</v>
      </c>
      <c r="AS42" s="1016">
        <f t="shared" si="90"/>
        <v>0.90768701309685973</v>
      </c>
      <c r="AU42" s="1022">
        <f t="shared" si="18"/>
        <v>0.3707241558585232</v>
      </c>
      <c r="AV42" s="1022">
        <f t="shared" si="19"/>
        <v>0.63196673826558203</v>
      </c>
      <c r="AW42" s="1022">
        <f t="shared" si="36"/>
        <v>1.9394147098545402</v>
      </c>
      <c r="AX42" s="1022">
        <f t="shared" si="49"/>
        <v>2.4585858732104793</v>
      </c>
      <c r="AY42" s="1022">
        <f t="shared" si="61"/>
        <v>0.90768701309685973</v>
      </c>
      <c r="BA42" s="1011">
        <v>2010</v>
      </c>
      <c r="BB42" s="1012">
        <f>RunXAge!$M36</f>
        <v>6759.2925226127109</v>
      </c>
      <c r="BC42" s="1012">
        <f t="shared" si="20"/>
        <v>9624.6385284530425</v>
      </c>
      <c r="BD42" s="1012">
        <f t="shared" si="37"/>
        <v>17049.005269657362</v>
      </c>
      <c r="BE42" s="1012">
        <f t="shared" si="50"/>
        <v>22479.559690778486</v>
      </c>
      <c r="BF42" s="1012">
        <f t="shared" si="62"/>
        <v>16359.593867404627</v>
      </c>
      <c r="BG42" s="1012">
        <f t="shared" si="91"/>
        <v>20304.918322954902</v>
      </c>
      <c r="BI42" s="1018">
        <f t="shared" si="92"/>
        <v>2865.3460058403316</v>
      </c>
      <c r="BJ42" s="1018">
        <f t="shared" si="93"/>
        <v>10289.71274704465</v>
      </c>
      <c r="BK42" s="1018">
        <f t="shared" si="94"/>
        <v>15720.267168165774</v>
      </c>
      <c r="BL42" s="1018">
        <f t="shared" si="95"/>
        <v>9600.3013447919147</v>
      </c>
      <c r="BM42" s="1018">
        <f t="shared" si="96"/>
        <v>13545.62580034219</v>
      </c>
      <c r="BO42" s="1016">
        <f t="shared" si="97"/>
        <v>0.42391211746710611</v>
      </c>
      <c r="BP42" s="1016">
        <f t="shared" si="98"/>
        <v>1.5223061751834501</v>
      </c>
      <c r="BQ42" s="1016">
        <f t="shared" si="99"/>
        <v>2.3257267111276496</v>
      </c>
      <c r="BR42" s="1016">
        <f t="shared" si="100"/>
        <v>1.4203115655484386</v>
      </c>
      <c r="BS42" s="1016">
        <f t="shared" si="101"/>
        <v>2.0040005303848449</v>
      </c>
      <c r="BU42" s="1022">
        <f t="shared" si="23"/>
        <v>0.42391211746710611</v>
      </c>
      <c r="BV42" s="1022">
        <f t="shared" si="24"/>
        <v>1.5223061751834501</v>
      </c>
      <c r="BW42" s="1022">
        <f t="shared" si="42"/>
        <v>2.3257267111276496</v>
      </c>
      <c r="BX42" s="1022">
        <f t="shared" si="53"/>
        <v>1.4203115655484386</v>
      </c>
      <c r="BY42" s="1022">
        <f t="shared" si="65"/>
        <v>2.0040005303848449</v>
      </c>
    </row>
    <row r="43" spans="1:77">
      <c r="A43" s="1011">
        <v>2011</v>
      </c>
      <c r="B43" s="1012">
        <f>RunXAge!$F37</f>
        <v>5474.316891495072</v>
      </c>
      <c r="C43" s="1012">
        <f t="shared" si="12"/>
        <v>5400.9059432897675</v>
      </c>
      <c r="D43" s="1012">
        <f t="shared" si="25"/>
        <v>4590.7362311379366</v>
      </c>
      <c r="E43" s="1012">
        <f t="shared" si="43"/>
        <v>3974.232174502526</v>
      </c>
      <c r="F43" s="1012">
        <f t="shared" si="54"/>
        <v>5160.4207337804701</v>
      </c>
      <c r="G43" s="1012">
        <f t="shared" si="66"/>
        <v>9564.4699599625565</v>
      </c>
      <c r="I43" s="1018">
        <f t="shared" si="67"/>
        <v>-73.410948205304521</v>
      </c>
      <c r="J43" s="1018">
        <f t="shared" si="68"/>
        <v>-883.58066035713546</v>
      </c>
      <c r="K43" s="1018">
        <f t="shared" si="69"/>
        <v>-1500.084716992546</v>
      </c>
      <c r="L43" s="1018">
        <f t="shared" si="70"/>
        <v>-313.89615771460194</v>
      </c>
      <c r="M43" s="1018">
        <f t="shared" si="71"/>
        <v>4090.1530684674844</v>
      </c>
      <c r="O43" s="1016">
        <f t="shared" si="14"/>
        <v>-1.3410065522395345E-2</v>
      </c>
      <c r="P43" s="1016">
        <f t="shared" si="72"/>
        <v>-0.16140473375406364</v>
      </c>
      <c r="Q43" s="1016">
        <f t="shared" si="73"/>
        <v>-0.27402226555848191</v>
      </c>
      <c r="R43" s="1016">
        <f t="shared" si="74"/>
        <v>-5.7339785755236912E-2</v>
      </c>
      <c r="S43" s="1016">
        <f t="shared" si="75"/>
        <v>0.74715314249015585</v>
      </c>
      <c r="U43" s="1022">
        <f t="shared" si="15"/>
        <v>1.3410065522395345E-2</v>
      </c>
      <c r="V43" s="1022">
        <f t="shared" si="76"/>
        <v>0.16140473375406364</v>
      </c>
      <c r="W43" s="1022">
        <f t="shared" si="77"/>
        <v>0.27402226555848191</v>
      </c>
      <c r="X43" s="1022">
        <f t="shared" si="78"/>
        <v>5.7339785755236912E-2</v>
      </c>
      <c r="Y43" s="1022">
        <f t="shared" si="79"/>
        <v>0.74715314249015585</v>
      </c>
      <c r="AA43" s="1011">
        <v>2011</v>
      </c>
      <c r="AB43" s="1012">
        <f>RunXAge!$I37</f>
        <v>41072.77581880783</v>
      </c>
      <c r="AC43" s="1012">
        <f t="shared" si="16"/>
        <v>19724.564662776269</v>
      </c>
      <c r="AD43" s="1012">
        <f t="shared" si="32"/>
        <v>27036.937247060858</v>
      </c>
      <c r="AE43" s="1012">
        <f t="shared" si="46"/>
        <v>32189.833456419547</v>
      </c>
      <c r="AF43" s="1012">
        <f t="shared" si="58"/>
        <v>57978.675515241623</v>
      </c>
      <c r="AG43" s="1012">
        <f t="shared" si="80"/>
        <v>68219.100697904621</v>
      </c>
      <c r="AI43" s="1018">
        <f t="shared" si="81"/>
        <v>-21348.211156031561</v>
      </c>
      <c r="AJ43" s="1018">
        <f t="shared" si="82"/>
        <v>-14035.838571746972</v>
      </c>
      <c r="AK43" s="1018">
        <f t="shared" si="83"/>
        <v>-8882.9423623882831</v>
      </c>
      <c r="AL43" s="1018">
        <f t="shared" si="84"/>
        <v>16905.899696433793</v>
      </c>
      <c r="AM43" s="1018">
        <f t="shared" si="85"/>
        <v>27146.324879096792</v>
      </c>
      <c r="AO43" s="1016">
        <f t="shared" si="86"/>
        <v>-0.51976548286409952</v>
      </c>
      <c r="AP43" s="1016">
        <f t="shared" si="87"/>
        <v>-0.34173094688476729</v>
      </c>
      <c r="AQ43" s="1016">
        <f t="shared" si="88"/>
        <v>-0.21627324146717769</v>
      </c>
      <c r="AR43" s="1016">
        <f t="shared" si="89"/>
        <v>0.4116084038491582</v>
      </c>
      <c r="AS43" s="1016">
        <f t="shared" si="90"/>
        <v>0.66093231679428133</v>
      </c>
      <c r="AU43" s="1022">
        <f t="shared" si="18"/>
        <v>0.51976548286409952</v>
      </c>
      <c r="AV43" s="1022">
        <f t="shared" si="19"/>
        <v>0.34173094688476729</v>
      </c>
      <c r="AW43" s="1022">
        <f t="shared" si="36"/>
        <v>0.21627324146717769</v>
      </c>
      <c r="AX43" s="1022">
        <f t="shared" si="49"/>
        <v>0.4116084038491582</v>
      </c>
      <c r="AY43" s="1022">
        <f t="shared" si="61"/>
        <v>0.66093231679428133</v>
      </c>
      <c r="BA43" s="1011">
        <v>2011</v>
      </c>
      <c r="BB43" s="1012">
        <f>RunXAge!$M37</f>
        <v>6002.9711144944513</v>
      </c>
      <c r="BC43" s="1012">
        <f t="shared" si="20"/>
        <v>6759.2925226127109</v>
      </c>
      <c r="BD43" s="1012">
        <f t="shared" si="37"/>
        <v>9624.6385284530425</v>
      </c>
      <c r="BE43" s="1012">
        <f t="shared" si="50"/>
        <v>17049.005269657362</v>
      </c>
      <c r="BF43" s="1012">
        <f t="shared" si="62"/>
        <v>22479.559690778486</v>
      </c>
      <c r="BG43" s="1012">
        <f t="shared" si="91"/>
        <v>16359.593867404627</v>
      </c>
      <c r="BI43" s="1018">
        <f t="shared" si="92"/>
        <v>756.32140811825957</v>
      </c>
      <c r="BJ43" s="1018">
        <f t="shared" si="93"/>
        <v>3621.6674139585912</v>
      </c>
      <c r="BK43" s="1018">
        <f t="shared" si="94"/>
        <v>11046.03415516291</v>
      </c>
      <c r="BL43" s="1018">
        <f t="shared" si="95"/>
        <v>16476.588576284033</v>
      </c>
      <c r="BM43" s="1018">
        <f t="shared" si="96"/>
        <v>10356.622752910174</v>
      </c>
      <c r="BO43" s="1016">
        <f t="shared" si="97"/>
        <v>0.12599117898336817</v>
      </c>
      <c r="BP43" s="1016">
        <f t="shared" si="98"/>
        <v>0.60331248391549108</v>
      </c>
      <c r="BQ43" s="1016">
        <f t="shared" si="99"/>
        <v>1.840094503951843</v>
      </c>
      <c r="BR43" s="1016">
        <f t="shared" si="100"/>
        <v>2.7447389404391016</v>
      </c>
      <c r="BS43" s="1016">
        <f t="shared" si="101"/>
        <v>1.725249473198968</v>
      </c>
      <c r="BU43" s="1022">
        <f t="shared" si="23"/>
        <v>0.12599117898336817</v>
      </c>
      <c r="BV43" s="1022">
        <f t="shared" si="24"/>
        <v>0.60331248391549108</v>
      </c>
      <c r="BW43" s="1022">
        <f t="shared" si="42"/>
        <v>1.840094503951843</v>
      </c>
      <c r="BX43" s="1022">
        <f t="shared" si="53"/>
        <v>2.7447389404391016</v>
      </c>
      <c r="BY43" s="1022">
        <f t="shared" si="65"/>
        <v>1.725249473198968</v>
      </c>
    </row>
    <row r="44" spans="1:77">
      <c r="A44" s="1011">
        <v>2012</v>
      </c>
      <c r="B44" s="1012">
        <f>RunXAge!$F38</f>
        <v>3822.0338773893727</v>
      </c>
      <c r="C44" s="1012">
        <f t="shared" si="12"/>
        <v>5474.316891495072</v>
      </c>
      <c r="D44" s="1012">
        <f t="shared" si="25"/>
        <v>5400.9059432897675</v>
      </c>
      <c r="E44" s="1012">
        <f t="shared" si="43"/>
        <v>4590.7362311379366</v>
      </c>
      <c r="F44" s="1012">
        <f t="shared" si="54"/>
        <v>3974.232174502526</v>
      </c>
      <c r="G44" s="1012">
        <f t="shared" si="66"/>
        <v>5160.4207337804701</v>
      </c>
      <c r="I44" s="1018">
        <f t="shared" si="67"/>
        <v>1652.2830141056993</v>
      </c>
      <c r="J44" s="1018">
        <f t="shared" si="68"/>
        <v>1578.8720659003948</v>
      </c>
      <c r="K44" s="1018">
        <f t="shared" si="69"/>
        <v>768.70235374856384</v>
      </c>
      <c r="L44" s="1018">
        <f t="shared" si="70"/>
        <v>152.19829711315333</v>
      </c>
      <c r="M44" s="1018">
        <f t="shared" si="71"/>
        <v>1338.3868563910974</v>
      </c>
      <c r="O44" s="1016">
        <f t="shared" si="14"/>
        <v>0.43230464907189298</v>
      </c>
      <c r="P44" s="1016">
        <f t="shared" si="72"/>
        <v>0.41309734987980745</v>
      </c>
      <c r="Q44" s="1016">
        <f t="shared" si="73"/>
        <v>0.20112389853373655</v>
      </c>
      <c r="R44" s="1016">
        <f t="shared" si="74"/>
        <v>3.9821284163266461E-2</v>
      </c>
      <c r="S44" s="1016">
        <f t="shared" si="75"/>
        <v>0.35017660735788086</v>
      </c>
      <c r="U44" s="1022">
        <f t="shared" si="15"/>
        <v>0.43230464907189298</v>
      </c>
      <c r="V44" s="1022">
        <f t="shared" si="76"/>
        <v>0.41309734987980745</v>
      </c>
      <c r="W44" s="1022">
        <f t="shared" si="77"/>
        <v>0.20112389853373655</v>
      </c>
      <c r="X44" s="1022">
        <f t="shared" si="78"/>
        <v>3.9821284163266461E-2</v>
      </c>
      <c r="Y44" s="1022">
        <f t="shared" si="79"/>
        <v>0.35017660735788086</v>
      </c>
      <c r="AA44" s="1011">
        <v>2012</v>
      </c>
      <c r="AB44" s="1012">
        <f>RunXAge!$I38</f>
        <v>35349.079570382564</v>
      </c>
      <c r="AC44" s="1012">
        <f t="shared" si="16"/>
        <v>41072.77581880783</v>
      </c>
      <c r="AD44" s="1012">
        <f t="shared" si="32"/>
        <v>19724.564662776269</v>
      </c>
      <c r="AE44" s="1012">
        <f t="shared" si="46"/>
        <v>27036.937247060858</v>
      </c>
      <c r="AF44" s="1012">
        <f t="shared" si="58"/>
        <v>32189.833456419547</v>
      </c>
      <c r="AG44" s="1012">
        <f t="shared" si="80"/>
        <v>57978.675515241623</v>
      </c>
      <c r="AI44" s="1018">
        <f t="shared" si="81"/>
        <v>5723.6962484252654</v>
      </c>
      <c r="AJ44" s="1018">
        <f t="shared" si="82"/>
        <v>-15624.514907606295</v>
      </c>
      <c r="AK44" s="1018">
        <f t="shared" si="83"/>
        <v>-8312.1423233217065</v>
      </c>
      <c r="AL44" s="1018">
        <f t="shared" si="84"/>
        <v>-3159.2461139630177</v>
      </c>
      <c r="AM44" s="1018">
        <f t="shared" si="85"/>
        <v>22629.595944859058</v>
      </c>
      <c r="AO44" s="1016">
        <f t="shared" si="86"/>
        <v>0.16191924423460513</v>
      </c>
      <c r="AP44" s="1016">
        <f t="shared" si="87"/>
        <v>-0.44200627279408394</v>
      </c>
      <c r="AQ44" s="1016">
        <f t="shared" si="88"/>
        <v>-0.23514451930131963</v>
      </c>
      <c r="AR44" s="1016">
        <f t="shared" si="89"/>
        <v>-8.9372797039106236E-2</v>
      </c>
      <c r="AS44" s="1016">
        <f t="shared" si="90"/>
        <v>0.64017496975563115</v>
      </c>
      <c r="AU44" s="1022">
        <f t="shared" si="18"/>
        <v>0.16191924423460513</v>
      </c>
      <c r="AV44" s="1022">
        <f t="shared" si="19"/>
        <v>0.44200627279408394</v>
      </c>
      <c r="AW44" s="1022">
        <f t="shared" si="36"/>
        <v>0.23514451930131963</v>
      </c>
      <c r="AX44" s="1022">
        <f t="shared" si="49"/>
        <v>8.9372797039106236E-2</v>
      </c>
      <c r="AY44" s="1022">
        <f t="shared" si="61"/>
        <v>0.64017496975563115</v>
      </c>
      <c r="BA44" s="1011">
        <v>2012</v>
      </c>
      <c r="BB44" s="1012">
        <f>RunXAge!$M38</f>
        <v>5328.7274734867533</v>
      </c>
      <c r="BC44" s="1012">
        <f t="shared" si="20"/>
        <v>6002.9711144944513</v>
      </c>
      <c r="BD44" s="1012">
        <f t="shared" si="37"/>
        <v>6759.2925226127109</v>
      </c>
      <c r="BE44" s="1012">
        <f t="shared" si="50"/>
        <v>9624.6385284530425</v>
      </c>
      <c r="BF44" s="1012">
        <f t="shared" si="62"/>
        <v>17049.005269657362</v>
      </c>
      <c r="BG44" s="1012">
        <f t="shared" si="91"/>
        <v>22479.559690778486</v>
      </c>
      <c r="BI44" s="1018">
        <f t="shared" si="92"/>
        <v>674.24364100769799</v>
      </c>
      <c r="BJ44" s="1018">
        <f t="shared" si="93"/>
        <v>1430.5650491259576</v>
      </c>
      <c r="BK44" s="1018">
        <f t="shared" si="94"/>
        <v>4295.9110549662892</v>
      </c>
      <c r="BL44" s="1018">
        <f t="shared" si="95"/>
        <v>11720.277796170609</v>
      </c>
      <c r="BM44" s="1018">
        <f t="shared" si="96"/>
        <v>17150.832217291732</v>
      </c>
      <c r="BO44" s="1016">
        <f t="shared" si="97"/>
        <v>0.12652995379523871</v>
      </c>
      <c r="BP44" s="1016">
        <f t="shared" si="98"/>
        <v>0.26846279083398011</v>
      </c>
      <c r="BQ44" s="1016">
        <f t="shared" si="99"/>
        <v>0.80617953842464751</v>
      </c>
      <c r="BR44" s="1016">
        <f t="shared" si="100"/>
        <v>2.1994515303109812</v>
      </c>
      <c r="BS44" s="1016">
        <f t="shared" si="101"/>
        <v>3.2185605855480923</v>
      </c>
      <c r="BU44" s="1022">
        <f t="shared" si="23"/>
        <v>0.12652995379523871</v>
      </c>
      <c r="BV44" s="1022">
        <f t="shared" si="24"/>
        <v>0.26846279083398011</v>
      </c>
      <c r="BW44" s="1022">
        <f t="shared" si="42"/>
        <v>0.80617953842464751</v>
      </c>
      <c r="BX44" s="1022">
        <f t="shared" si="53"/>
        <v>2.1994515303109812</v>
      </c>
      <c r="BY44" s="1022">
        <f t="shared" si="65"/>
        <v>3.2185605855480923</v>
      </c>
    </row>
    <row r="45" spans="1:77">
      <c r="A45" s="1011">
        <v>2013</v>
      </c>
      <c r="B45" s="1012">
        <f>RunXAge!$F39</f>
        <v>5820.9729508568271</v>
      </c>
      <c r="C45" s="1012">
        <f t="shared" si="12"/>
        <v>3822.0338773893727</v>
      </c>
      <c r="D45" s="1012">
        <f t="shared" si="25"/>
        <v>5474.316891495072</v>
      </c>
      <c r="E45" s="1012">
        <f t="shared" si="43"/>
        <v>5400.9059432897675</v>
      </c>
      <c r="F45" s="1012">
        <f t="shared" si="54"/>
        <v>4590.7362311379366</v>
      </c>
      <c r="G45" s="1012">
        <f t="shared" si="66"/>
        <v>3974.232174502526</v>
      </c>
      <c r="I45" s="1018">
        <f t="shared" si="67"/>
        <v>-1998.9390734674544</v>
      </c>
      <c r="J45" s="1018">
        <f t="shared" si="68"/>
        <v>-346.65605936175507</v>
      </c>
      <c r="K45" s="1018">
        <f t="shared" si="69"/>
        <v>-420.06700756705959</v>
      </c>
      <c r="L45" s="1018">
        <f t="shared" si="70"/>
        <v>-1230.2367197188905</v>
      </c>
      <c r="M45" s="1018">
        <f t="shared" si="71"/>
        <v>-1846.740776354301</v>
      </c>
      <c r="O45" s="1016">
        <f t="shared" si="14"/>
        <v>-0.34340291397045875</v>
      </c>
      <c r="P45" s="1016">
        <f t="shared" si="72"/>
        <v>-5.9552941112830375E-2</v>
      </c>
      <c r="Q45" s="1016">
        <f t="shared" si="73"/>
        <v>-7.2164397792851304E-2</v>
      </c>
      <c r="R45" s="1016">
        <f t="shared" si="74"/>
        <v>-0.2113455482623062</v>
      </c>
      <c r="S45" s="1016">
        <f t="shared" si="75"/>
        <v>-0.31725637482690366</v>
      </c>
      <c r="U45" s="1022">
        <f t="shared" si="15"/>
        <v>0.34340291397045875</v>
      </c>
      <c r="V45" s="1022">
        <f t="shared" si="76"/>
        <v>5.9552941112830375E-2</v>
      </c>
      <c r="W45" s="1022">
        <f t="shared" si="77"/>
        <v>7.2164397792851304E-2</v>
      </c>
      <c r="X45" s="1022">
        <f t="shared" si="78"/>
        <v>0.2113455482623062</v>
      </c>
      <c r="Y45" s="1022">
        <f t="shared" si="79"/>
        <v>0.31725637482690366</v>
      </c>
      <c r="AA45" s="1011">
        <v>2013</v>
      </c>
      <c r="AB45" s="1012">
        <f>RunXAge!$I39</f>
        <v>26390.095675036351</v>
      </c>
      <c r="AC45" s="1012">
        <f t="shared" si="16"/>
        <v>35349.079570382564</v>
      </c>
      <c r="AD45" s="1012">
        <f t="shared" si="32"/>
        <v>41072.77581880783</v>
      </c>
      <c r="AE45" s="1012">
        <f t="shared" si="46"/>
        <v>19724.564662776269</v>
      </c>
      <c r="AF45" s="1012">
        <f t="shared" si="58"/>
        <v>27036.937247060858</v>
      </c>
      <c r="AG45" s="1012">
        <f t="shared" si="80"/>
        <v>32189.833456419547</v>
      </c>
      <c r="AI45" s="1018">
        <f t="shared" si="81"/>
        <v>8958.9838953462131</v>
      </c>
      <c r="AJ45" s="1018">
        <f t="shared" si="82"/>
        <v>14682.680143771478</v>
      </c>
      <c r="AK45" s="1018">
        <f t="shared" si="83"/>
        <v>-6665.5310122600822</v>
      </c>
      <c r="AL45" s="1018">
        <f t="shared" si="84"/>
        <v>646.8415720245066</v>
      </c>
      <c r="AM45" s="1018">
        <f t="shared" si="85"/>
        <v>5799.7377813831954</v>
      </c>
      <c r="AO45" s="1016">
        <f t="shared" si="86"/>
        <v>0.33948281225145172</v>
      </c>
      <c r="AP45" s="1016">
        <f t="shared" si="87"/>
        <v>0.55637085687645027</v>
      </c>
      <c r="AQ45" s="1016">
        <f t="shared" si="88"/>
        <v>-0.25257699306355019</v>
      </c>
      <c r="AR45" s="1016">
        <f t="shared" si="89"/>
        <v>2.4510770252204311E-2</v>
      </c>
      <c r="AS45" s="1016">
        <f t="shared" si="90"/>
        <v>0.21976948673473146</v>
      </c>
      <c r="AU45" s="1022">
        <f t="shared" si="18"/>
        <v>0.33948281225145172</v>
      </c>
      <c r="AV45" s="1022">
        <f t="shared" si="19"/>
        <v>0.55637085687645027</v>
      </c>
      <c r="AW45" s="1022">
        <f t="shared" si="36"/>
        <v>0.25257699306355019</v>
      </c>
      <c r="AX45" s="1022">
        <f t="shared" si="49"/>
        <v>2.4510770252204311E-2</v>
      </c>
      <c r="AY45" s="1022">
        <f t="shared" si="61"/>
        <v>0.21976948673473146</v>
      </c>
      <c r="BA45" s="1011">
        <v>2013</v>
      </c>
      <c r="BB45" s="1012">
        <f>RunXAge!$M39</f>
        <v>4735.5815357155097</v>
      </c>
      <c r="BC45" s="1012">
        <f t="shared" si="20"/>
        <v>5328.7274734867533</v>
      </c>
      <c r="BD45" s="1012">
        <f t="shared" si="37"/>
        <v>6002.9711144944513</v>
      </c>
      <c r="BE45" s="1012">
        <f t="shared" si="50"/>
        <v>6759.2925226127109</v>
      </c>
      <c r="BF45" s="1012">
        <f t="shared" si="62"/>
        <v>9624.6385284530425</v>
      </c>
      <c r="BG45" s="1012">
        <f t="shared" si="91"/>
        <v>17049.005269657362</v>
      </c>
      <c r="BI45" s="1018">
        <f t="shared" si="92"/>
        <v>593.14593777124355</v>
      </c>
      <c r="BJ45" s="1018">
        <f t="shared" si="93"/>
        <v>1267.3895787789415</v>
      </c>
      <c r="BK45" s="1018">
        <f t="shared" si="94"/>
        <v>2023.7109868972011</v>
      </c>
      <c r="BL45" s="1018">
        <f t="shared" si="95"/>
        <v>4889.0569927375327</v>
      </c>
      <c r="BM45" s="1018">
        <f t="shared" si="96"/>
        <v>12313.423733941852</v>
      </c>
      <c r="BO45" s="1016">
        <f t="shared" si="97"/>
        <v>0.12525303034015309</v>
      </c>
      <c r="BP45" s="1016">
        <f t="shared" si="98"/>
        <v>0.26763124427704499</v>
      </c>
      <c r="BQ45" s="1016">
        <f t="shared" si="99"/>
        <v>0.42734159925966392</v>
      </c>
      <c r="BR45" s="1016">
        <f t="shared" si="100"/>
        <v>1.0324089989507137</v>
      </c>
      <c r="BS45" s="1016">
        <f t="shared" si="101"/>
        <v>2.6001925299088717</v>
      </c>
      <c r="BU45" s="1022">
        <f t="shared" si="23"/>
        <v>0.12525303034015309</v>
      </c>
      <c r="BV45" s="1022">
        <f t="shared" si="24"/>
        <v>0.26763124427704499</v>
      </c>
      <c r="BW45" s="1022">
        <f t="shared" si="42"/>
        <v>0.42734159925966392</v>
      </c>
      <c r="BX45" s="1022">
        <f t="shared" si="53"/>
        <v>1.0324089989507137</v>
      </c>
      <c r="BY45" s="1022">
        <f t="shared" si="65"/>
        <v>2.6001925299088717</v>
      </c>
    </row>
    <row r="46" spans="1:77">
      <c r="A46" s="1011">
        <v>2014</v>
      </c>
      <c r="B46" s="1012">
        <f>RunXAge!$F40</f>
        <v>8845.4023463963786</v>
      </c>
      <c r="C46" s="1012">
        <f t="shared" si="12"/>
        <v>5820.9729508568271</v>
      </c>
      <c r="D46" s="1012">
        <f t="shared" si="25"/>
        <v>3822.0338773893727</v>
      </c>
      <c r="E46" s="1012">
        <f t="shared" si="43"/>
        <v>5474.316891495072</v>
      </c>
      <c r="F46" s="1012">
        <f t="shared" si="54"/>
        <v>5400.9059432897675</v>
      </c>
      <c r="G46" s="1012">
        <f t="shared" si="66"/>
        <v>4590.7362311379366</v>
      </c>
      <c r="I46" s="1018">
        <f t="shared" si="67"/>
        <v>-3024.4293955395515</v>
      </c>
      <c r="J46" s="1018">
        <f t="shared" si="68"/>
        <v>-5023.3684690070058</v>
      </c>
      <c r="K46" s="1018">
        <f t="shared" si="69"/>
        <v>-3371.0854549013065</v>
      </c>
      <c r="L46" s="1018">
        <f t="shared" si="70"/>
        <v>-3444.4964031066111</v>
      </c>
      <c r="M46" s="1018">
        <f t="shared" si="71"/>
        <v>-4254.666115258442</v>
      </c>
      <c r="O46" s="1016">
        <f t="shared" si="14"/>
        <v>-0.34192106555466134</v>
      </c>
      <c r="P46" s="1016">
        <f t="shared" si="72"/>
        <v>-0.56790728926576517</v>
      </c>
      <c r="Q46" s="1016">
        <f t="shared" si="73"/>
        <v>-0.38111160158527874</v>
      </c>
      <c r="R46" s="1016">
        <f t="shared" si="74"/>
        <v>-0.38941093555907047</v>
      </c>
      <c r="S46" s="1016">
        <f t="shared" si="75"/>
        <v>-0.48100311875488572</v>
      </c>
      <c r="U46" s="1022">
        <f t="shared" si="15"/>
        <v>0.34192106555466134</v>
      </c>
      <c r="V46" s="1022">
        <f t="shared" si="76"/>
        <v>0.56790728926576517</v>
      </c>
      <c r="W46" s="1022">
        <f t="shared" si="77"/>
        <v>0.38111160158527874</v>
      </c>
      <c r="X46" s="1022">
        <f t="shared" si="78"/>
        <v>0.38941093555907047</v>
      </c>
      <c r="Y46" s="1022">
        <f t="shared" si="79"/>
        <v>0.48100311875488572</v>
      </c>
      <c r="AA46" s="1011">
        <v>2014</v>
      </c>
      <c r="AB46" s="1012">
        <f>RunXAge!$I40</f>
        <v>15966.534037066889</v>
      </c>
      <c r="AC46" s="1012">
        <f t="shared" si="16"/>
        <v>26390.095675036351</v>
      </c>
      <c r="AD46" s="1012">
        <f t="shared" si="32"/>
        <v>35349.079570382564</v>
      </c>
      <c r="AE46" s="1012">
        <f t="shared" si="46"/>
        <v>41072.77581880783</v>
      </c>
      <c r="AF46" s="1012">
        <f t="shared" si="58"/>
        <v>19724.564662776269</v>
      </c>
      <c r="AG46" s="1012">
        <f t="shared" si="80"/>
        <v>27036.937247060858</v>
      </c>
      <c r="AI46" s="1018">
        <f t="shared" si="81"/>
        <v>10423.561637969462</v>
      </c>
      <c r="AJ46" s="1018">
        <f t="shared" si="82"/>
        <v>19382.545533315675</v>
      </c>
      <c r="AK46" s="1018">
        <f t="shared" si="83"/>
        <v>25106.24178174094</v>
      </c>
      <c r="AL46" s="1018">
        <f t="shared" si="84"/>
        <v>3758.0306257093798</v>
      </c>
      <c r="AM46" s="1018">
        <f t="shared" si="85"/>
        <v>11070.403209993969</v>
      </c>
      <c r="AO46" s="1016">
        <f t="shared" si="86"/>
        <v>0.65283809333765142</v>
      </c>
      <c r="AP46" s="1016">
        <f t="shared" si="87"/>
        <v>1.2139482174602447</v>
      </c>
      <c r="AQ46" s="1016">
        <f t="shared" si="88"/>
        <v>1.5724290396059588</v>
      </c>
      <c r="AR46" s="1016">
        <f t="shared" si="89"/>
        <v>0.23536921770153593</v>
      </c>
      <c r="AS46" s="1016">
        <f t="shared" si="90"/>
        <v>0.69335042810754199</v>
      </c>
      <c r="AU46" s="1022">
        <f t="shared" si="18"/>
        <v>0.65283809333765142</v>
      </c>
      <c r="AV46" s="1022">
        <f t="shared" si="19"/>
        <v>1.2139482174602447</v>
      </c>
      <c r="AW46" s="1022">
        <f t="shared" si="36"/>
        <v>1.5724290396059588</v>
      </c>
      <c r="AX46" s="1022">
        <f t="shared" si="49"/>
        <v>0.23536921770153593</v>
      </c>
      <c r="AY46" s="1022">
        <f t="shared" si="61"/>
        <v>0.69335042810754199</v>
      </c>
      <c r="BA46" s="1011">
        <v>2014</v>
      </c>
      <c r="BB46" s="1012">
        <f>RunXAge!$M40</f>
        <v>8847.9708801162087</v>
      </c>
      <c r="BC46" s="1012">
        <f t="shared" si="20"/>
        <v>4735.5815357155097</v>
      </c>
      <c r="BD46" s="1012">
        <f t="shared" si="37"/>
        <v>5328.7274734867533</v>
      </c>
      <c r="BE46" s="1012">
        <f t="shared" si="50"/>
        <v>6002.9711144944513</v>
      </c>
      <c r="BF46" s="1012">
        <f t="shared" si="62"/>
        <v>6759.2925226127109</v>
      </c>
      <c r="BG46" s="1012">
        <f t="shared" si="91"/>
        <v>9624.6385284530425</v>
      </c>
      <c r="BI46" s="1018">
        <f t="shared" si="92"/>
        <v>-4112.389344400699</v>
      </c>
      <c r="BJ46" s="1018">
        <f t="shared" si="93"/>
        <v>-3519.2434066294554</v>
      </c>
      <c r="BK46" s="1018">
        <f t="shared" si="94"/>
        <v>-2844.9997656217574</v>
      </c>
      <c r="BL46" s="1018">
        <f t="shared" si="95"/>
        <v>-2088.6783575034979</v>
      </c>
      <c r="BM46" s="1018">
        <f t="shared" si="96"/>
        <v>776.66764833683374</v>
      </c>
      <c r="BO46" s="1016">
        <f t="shared" si="97"/>
        <v>-0.46478332717418336</v>
      </c>
      <c r="BP46" s="1016">
        <f t="shared" si="98"/>
        <v>-0.39774581701417555</v>
      </c>
      <c r="BQ46" s="1016">
        <f t="shared" si="99"/>
        <v>-0.32154262306798997</v>
      </c>
      <c r="BR46" s="1016">
        <f t="shared" si="100"/>
        <v>-0.23606297825836259</v>
      </c>
      <c r="BS46" s="1016">
        <f t="shared" si="101"/>
        <v>8.7779182239649617E-2</v>
      </c>
      <c r="BU46" s="1022">
        <f t="shared" si="23"/>
        <v>0.46478332717418336</v>
      </c>
      <c r="BV46" s="1022">
        <f t="shared" si="24"/>
        <v>0.39774581701417555</v>
      </c>
      <c r="BW46" s="1022">
        <f t="shared" si="42"/>
        <v>0.32154262306798997</v>
      </c>
      <c r="BX46" s="1022">
        <f t="shared" si="53"/>
        <v>0.23606297825836259</v>
      </c>
      <c r="BY46" s="1022">
        <f t="shared" si="65"/>
        <v>8.7779182239649617E-2</v>
      </c>
    </row>
    <row r="47" spans="1:77">
      <c r="A47" s="1011">
        <v>2015</v>
      </c>
      <c r="B47" s="1012">
        <f>RunXAge!$F41</f>
        <v>6464.9506057125072</v>
      </c>
      <c r="C47" s="1012">
        <f t="shared" si="12"/>
        <v>8845.4023463963786</v>
      </c>
      <c r="D47" s="1012">
        <f t="shared" si="25"/>
        <v>5820.9729508568271</v>
      </c>
      <c r="E47" s="1012">
        <f t="shared" si="43"/>
        <v>3822.0338773893727</v>
      </c>
      <c r="F47" s="1012">
        <f t="shared" si="54"/>
        <v>5474.316891495072</v>
      </c>
      <c r="G47" s="1012">
        <f t="shared" si="66"/>
        <v>5400.9059432897675</v>
      </c>
      <c r="I47" s="1018">
        <f t="shared" si="67"/>
        <v>2380.4517406838713</v>
      </c>
      <c r="J47" s="1018">
        <f t="shared" si="68"/>
        <v>-643.97765485568016</v>
      </c>
      <c r="K47" s="1018">
        <f t="shared" si="69"/>
        <v>-2642.9167283231345</v>
      </c>
      <c r="L47" s="1018">
        <f t="shared" si="70"/>
        <v>-990.63371421743523</v>
      </c>
      <c r="M47" s="1018">
        <f t="shared" si="71"/>
        <v>-1064.0446624227397</v>
      </c>
      <c r="O47" s="1016">
        <f t="shared" si="14"/>
        <v>0.36820880558321295</v>
      </c>
      <c r="P47" s="1016">
        <f t="shared" si="72"/>
        <v>-9.9610607123069711E-2</v>
      </c>
      <c r="Q47" s="1016">
        <f t="shared" si="73"/>
        <v>-0.40880694834509979</v>
      </c>
      <c r="R47" s="1016">
        <f t="shared" si="74"/>
        <v>-0.15323144361568664</v>
      </c>
      <c r="S47" s="1016">
        <f t="shared" si="75"/>
        <v>-0.16458666543910438</v>
      </c>
      <c r="U47" s="1022">
        <f t="shared" si="15"/>
        <v>0.36820880558321295</v>
      </c>
      <c r="V47" s="1022">
        <f t="shared" si="76"/>
        <v>9.9610607123069711E-2</v>
      </c>
      <c r="W47" s="1022">
        <f t="shared" si="77"/>
        <v>0.40880694834509979</v>
      </c>
      <c r="X47" s="1022">
        <f t="shared" si="78"/>
        <v>0.15323144361568664</v>
      </c>
      <c r="Y47" s="1022">
        <f t="shared" si="79"/>
        <v>0.16458666543910438</v>
      </c>
      <c r="AA47" s="1011">
        <v>2015</v>
      </c>
      <c r="AB47" s="1012">
        <f>RunXAge!$I41</f>
        <v>37214.22240730362</v>
      </c>
      <c r="AC47" s="1012">
        <f t="shared" si="16"/>
        <v>15966.534037066889</v>
      </c>
      <c r="AD47" s="1012">
        <f t="shared" si="32"/>
        <v>26390.095675036351</v>
      </c>
      <c r="AE47" s="1012">
        <f t="shared" si="46"/>
        <v>35349.079570382564</v>
      </c>
      <c r="AF47" s="1012">
        <f t="shared" si="58"/>
        <v>41072.77581880783</v>
      </c>
      <c r="AG47" s="1012">
        <f t="shared" si="80"/>
        <v>19724.564662776269</v>
      </c>
      <c r="AI47" s="1018">
        <f t="shared" si="81"/>
        <v>-21247.68837023673</v>
      </c>
      <c r="AJ47" s="1018">
        <f t="shared" si="82"/>
        <v>-10824.126732267268</v>
      </c>
      <c r="AK47" s="1018">
        <f t="shared" si="83"/>
        <v>-1865.1428369210553</v>
      </c>
      <c r="AL47" s="1018">
        <f t="shared" si="84"/>
        <v>3858.5534115042101</v>
      </c>
      <c r="AM47" s="1018">
        <f t="shared" si="85"/>
        <v>-17489.657744527351</v>
      </c>
      <c r="AO47" s="1016">
        <f t="shared" si="86"/>
        <v>-0.5709561290219699</v>
      </c>
      <c r="AP47" s="1016">
        <f t="shared" si="87"/>
        <v>-0.29085994633446749</v>
      </c>
      <c r="AQ47" s="1016">
        <f t="shared" si="88"/>
        <v>-5.0119086635947135E-2</v>
      </c>
      <c r="AR47" s="1016">
        <f t="shared" si="89"/>
        <v>0.10368491296883675</v>
      </c>
      <c r="AS47" s="1016">
        <f t="shared" si="90"/>
        <v>-0.46997240875023233</v>
      </c>
      <c r="AU47" s="1022">
        <f t="shared" si="18"/>
        <v>0.5709561290219699</v>
      </c>
      <c r="AV47" s="1022">
        <f t="shared" si="19"/>
        <v>0.29085994633446749</v>
      </c>
      <c r="AW47" s="1022">
        <f t="shared" si="36"/>
        <v>5.0119086635947135E-2</v>
      </c>
      <c r="AX47" s="1022">
        <f t="shared" si="49"/>
        <v>0.10368491296883675</v>
      </c>
      <c r="AY47" s="1022">
        <f t="shared" si="61"/>
        <v>0.46997240875023233</v>
      </c>
      <c r="BA47" s="1011">
        <v>2015</v>
      </c>
      <c r="BB47" s="1012">
        <f>RunXAge!$M41</f>
        <v>11689.021396905018</v>
      </c>
      <c r="BC47" s="1012">
        <f t="shared" si="20"/>
        <v>8847.9708801162087</v>
      </c>
      <c r="BD47" s="1012">
        <f t="shared" si="37"/>
        <v>4735.5815357155097</v>
      </c>
      <c r="BE47" s="1012">
        <f t="shared" si="50"/>
        <v>5328.7274734867533</v>
      </c>
      <c r="BF47" s="1012">
        <f t="shared" si="62"/>
        <v>6002.9711144944513</v>
      </c>
      <c r="BG47" s="1012">
        <f t="shared" si="91"/>
        <v>6759.2925226127109</v>
      </c>
      <c r="BI47" s="1018">
        <f t="shared" si="92"/>
        <v>-2841.0505167888095</v>
      </c>
      <c r="BJ47" s="1018">
        <f t="shared" si="93"/>
        <v>-6953.4398611895085</v>
      </c>
      <c r="BK47" s="1018">
        <f t="shared" si="94"/>
        <v>-6360.293923418265</v>
      </c>
      <c r="BL47" s="1018">
        <f t="shared" si="95"/>
        <v>-5686.050282410567</v>
      </c>
      <c r="BM47" s="1018">
        <f t="shared" si="96"/>
        <v>-4929.7288742923074</v>
      </c>
      <c r="BO47" s="1016">
        <f t="shared" si="97"/>
        <v>-0.24305289727171292</v>
      </c>
      <c r="BP47" s="1016">
        <f t="shared" si="98"/>
        <v>-0.59486929017262458</v>
      </c>
      <c r="BQ47" s="1016">
        <f t="shared" si="99"/>
        <v>-0.54412544108288852</v>
      </c>
      <c r="BR47" s="1016">
        <f t="shared" si="100"/>
        <v>-0.48644365420668162</v>
      </c>
      <c r="BS47" s="1016">
        <f t="shared" si="101"/>
        <v>-0.42174008472579111</v>
      </c>
      <c r="BU47" s="1022">
        <f t="shared" si="23"/>
        <v>0.24305289727171292</v>
      </c>
      <c r="BV47" s="1022">
        <f t="shared" si="24"/>
        <v>0.59486929017262458</v>
      </c>
      <c r="BW47" s="1022">
        <f t="shared" si="42"/>
        <v>0.54412544108288852</v>
      </c>
      <c r="BX47" s="1022">
        <f t="shared" si="53"/>
        <v>0.48644365420668162</v>
      </c>
      <c r="BY47" s="1022">
        <f t="shared" si="65"/>
        <v>0.42174008472579111</v>
      </c>
    </row>
    <row r="48" spans="1:77">
      <c r="A48" s="1011">
        <v>2016</v>
      </c>
      <c r="B48" s="1012">
        <f>RunXAge!$F42</f>
        <v>4129.0666291567468</v>
      </c>
      <c r="C48" s="1012">
        <f t="shared" si="12"/>
        <v>6464.9506057125072</v>
      </c>
      <c r="D48" s="1012">
        <f t="shared" si="25"/>
        <v>8845.4023463963786</v>
      </c>
      <c r="E48" s="1012">
        <f t="shared" si="43"/>
        <v>5820.9729508568271</v>
      </c>
      <c r="F48" s="1012">
        <f t="shared" si="54"/>
        <v>3822.0338773893727</v>
      </c>
      <c r="G48" s="1012">
        <f t="shared" si="66"/>
        <v>5474.316891495072</v>
      </c>
      <c r="I48" s="1018">
        <f t="shared" si="67"/>
        <v>2335.8839765557605</v>
      </c>
      <c r="J48" s="1018">
        <f t="shared" si="68"/>
        <v>4716.3357172396318</v>
      </c>
      <c r="K48" s="1018">
        <f t="shared" si="69"/>
        <v>1691.9063217000803</v>
      </c>
      <c r="L48" s="1018">
        <f t="shared" si="70"/>
        <v>-307.03275176737407</v>
      </c>
      <c r="M48" s="1018">
        <f t="shared" si="71"/>
        <v>1345.2502623383252</v>
      </c>
      <c r="O48" s="1016">
        <f t="shared" si="14"/>
        <v>0.56571719140139021</v>
      </c>
      <c r="P48" s="1016">
        <f t="shared" si="72"/>
        <v>1.1422280483283989</v>
      </c>
      <c r="Q48" s="1016">
        <f t="shared" si="73"/>
        <v>0.40975515138287016</v>
      </c>
      <c r="R48" s="1016">
        <f t="shared" si="74"/>
        <v>-7.4358875586872625E-2</v>
      </c>
      <c r="S48" s="1016">
        <f t="shared" si="75"/>
        <v>0.32580008586905684</v>
      </c>
      <c r="U48" s="1022">
        <f t="shared" si="15"/>
        <v>0.56571719140139021</v>
      </c>
      <c r="V48" s="1022">
        <f t="shared" si="76"/>
        <v>1.1422280483283989</v>
      </c>
      <c r="W48" s="1022">
        <f t="shared" si="77"/>
        <v>0.40975515138287016</v>
      </c>
      <c r="X48" s="1022">
        <f t="shared" si="78"/>
        <v>7.4358875586872625E-2</v>
      </c>
      <c r="Y48" s="1022">
        <f t="shared" si="79"/>
        <v>0.32580008586905684</v>
      </c>
      <c r="AA48" s="1011">
        <v>2016</v>
      </c>
      <c r="AB48" s="1012">
        <f>RunXAge!$I42</f>
        <v>18145.948658012669</v>
      </c>
      <c r="AC48" s="1012">
        <f t="shared" si="16"/>
        <v>37214.22240730362</v>
      </c>
      <c r="AD48" s="1012">
        <f t="shared" si="32"/>
        <v>15966.534037066889</v>
      </c>
      <c r="AE48" s="1012">
        <f t="shared" si="46"/>
        <v>26390.095675036351</v>
      </c>
      <c r="AF48" s="1012">
        <f t="shared" si="58"/>
        <v>35349.079570382564</v>
      </c>
      <c r="AG48" s="1012">
        <f t="shared" si="80"/>
        <v>41072.77581880783</v>
      </c>
      <c r="AI48" s="1018">
        <f t="shared" si="81"/>
        <v>19068.273749290951</v>
      </c>
      <c r="AJ48" s="1018">
        <f t="shared" si="82"/>
        <v>-2179.4146209457795</v>
      </c>
      <c r="AK48" s="1018">
        <f t="shared" si="83"/>
        <v>8244.1470170236826</v>
      </c>
      <c r="AL48" s="1018">
        <f t="shared" si="84"/>
        <v>17203.130912369896</v>
      </c>
      <c r="AM48" s="1018">
        <f t="shared" si="85"/>
        <v>22926.827160795161</v>
      </c>
      <c r="AO48" s="1016">
        <f t="shared" si="86"/>
        <v>1.0508281550147014</v>
      </c>
      <c r="AP48" s="1016">
        <f t="shared" si="87"/>
        <v>-0.12010474966176099</v>
      </c>
      <c r="AQ48" s="1016">
        <f t="shared" si="88"/>
        <v>0.45432438790591045</v>
      </c>
      <c r="AR48" s="1016">
        <f t="shared" si="89"/>
        <v>0.94804252103808007</v>
      </c>
      <c r="AS48" s="1016">
        <f t="shared" si="90"/>
        <v>1.2634680937814409</v>
      </c>
      <c r="AU48" s="1022">
        <f t="shared" si="18"/>
        <v>1.0508281550147014</v>
      </c>
      <c r="AV48" s="1022">
        <f t="shared" si="19"/>
        <v>0.12010474966176099</v>
      </c>
      <c r="AW48" s="1022">
        <f t="shared" si="36"/>
        <v>0.45432438790591045</v>
      </c>
      <c r="AX48" s="1022">
        <f t="shared" si="49"/>
        <v>0.94804252103808007</v>
      </c>
      <c r="AY48" s="1022">
        <f t="shared" si="61"/>
        <v>1.2634680937814409</v>
      </c>
      <c r="BA48" s="1011">
        <v>2016</v>
      </c>
      <c r="BB48" s="1012">
        <f>RunXAge!$M42</f>
        <v>2622.4116843751758</v>
      </c>
      <c r="BC48" s="1012">
        <f t="shared" si="20"/>
        <v>11689.021396905018</v>
      </c>
      <c r="BD48" s="1012">
        <f t="shared" si="37"/>
        <v>8847.9708801162087</v>
      </c>
      <c r="BE48" s="1012">
        <f t="shared" si="50"/>
        <v>4735.5815357155097</v>
      </c>
      <c r="BF48" s="1012">
        <f t="shared" si="62"/>
        <v>5328.7274734867533</v>
      </c>
      <c r="BG48" s="1012">
        <f t="shared" si="91"/>
        <v>6002.9711144944513</v>
      </c>
      <c r="BI48" s="1018">
        <f t="shared" si="92"/>
        <v>9066.609712529842</v>
      </c>
      <c r="BJ48" s="1018">
        <f t="shared" si="93"/>
        <v>6225.5591957410325</v>
      </c>
      <c r="BK48" s="1018">
        <f t="shared" si="94"/>
        <v>2113.1698513403339</v>
      </c>
      <c r="BL48" s="1018">
        <f t="shared" si="95"/>
        <v>2706.3157891115775</v>
      </c>
      <c r="BM48" s="1018">
        <f t="shared" si="96"/>
        <v>3380.5594301192755</v>
      </c>
      <c r="BO48" s="1016">
        <f t="shared" si="97"/>
        <v>3.4573555962057427</v>
      </c>
      <c r="BP48" s="1016">
        <f t="shared" si="98"/>
        <v>2.3739824043776538</v>
      </c>
      <c r="BQ48" s="1016">
        <f t="shared" si="99"/>
        <v>0.80581163664385691</v>
      </c>
      <c r="BR48" s="1016">
        <f t="shared" si="100"/>
        <v>1.0319950163570115</v>
      </c>
      <c r="BS48" s="1016">
        <f t="shared" si="101"/>
        <v>1.2891032518888195</v>
      </c>
      <c r="BU48" s="1022">
        <f t="shared" si="23"/>
        <v>3.4573555962057427</v>
      </c>
      <c r="BV48" s="1022">
        <f t="shared" si="24"/>
        <v>2.3739824043776538</v>
      </c>
      <c r="BW48" s="1022">
        <f t="shared" si="42"/>
        <v>0.80581163664385691</v>
      </c>
      <c r="BX48" s="1022">
        <f t="shared" si="53"/>
        <v>1.0319950163570115</v>
      </c>
      <c r="BY48" s="1022">
        <f t="shared" si="65"/>
        <v>1.2891032518888195</v>
      </c>
    </row>
    <row r="49" spans="1:77">
      <c r="A49" s="1011">
        <v>2017</v>
      </c>
      <c r="B49" s="1012">
        <f>RunXAge!$F43</f>
        <v>9379.8889999999992</v>
      </c>
      <c r="C49" s="1012">
        <f t="shared" si="12"/>
        <v>4129.0666291567468</v>
      </c>
      <c r="D49" s="1012">
        <f t="shared" si="25"/>
        <v>6464.9506057125072</v>
      </c>
      <c r="E49" s="1012">
        <f t="shared" si="43"/>
        <v>8845.4023463963786</v>
      </c>
      <c r="F49" s="1012">
        <f t="shared" si="54"/>
        <v>5820.9729508568271</v>
      </c>
      <c r="G49" s="1012">
        <f t="shared" si="66"/>
        <v>3822.0338773893727</v>
      </c>
      <c r="I49" s="1018"/>
      <c r="J49" s="1018"/>
      <c r="K49" s="1018"/>
      <c r="L49" s="1018"/>
      <c r="M49" s="1018"/>
      <c r="O49" s="1016"/>
      <c r="AA49" s="1011">
        <v>2017</v>
      </c>
      <c r="AB49" s="1014"/>
      <c r="AC49" s="1012">
        <f t="shared" si="16"/>
        <v>18145.948658012669</v>
      </c>
      <c r="AD49" s="1012">
        <f t="shared" si="32"/>
        <v>37214.22240730362</v>
      </c>
      <c r="AE49" s="1012">
        <f t="shared" si="46"/>
        <v>15966.534037066889</v>
      </c>
      <c r="AF49" s="1012">
        <f t="shared" si="58"/>
        <v>26390.095675036351</v>
      </c>
      <c r="AG49" s="1012">
        <f t="shared" si="80"/>
        <v>35349.079570382564</v>
      </c>
      <c r="AI49" s="1018"/>
      <c r="AJ49" s="1018"/>
      <c r="AK49" s="1018"/>
      <c r="AL49" s="1018"/>
      <c r="AM49" s="1018"/>
      <c r="AO49" s="1016"/>
      <c r="BA49" s="1011">
        <v>2017</v>
      </c>
      <c r="BB49" s="1014"/>
      <c r="BC49" s="1012">
        <f t="shared" si="20"/>
        <v>2622.4116843751758</v>
      </c>
      <c r="BD49" s="1012">
        <f t="shared" si="37"/>
        <v>11689.021396905018</v>
      </c>
      <c r="BE49" s="1012">
        <f t="shared" si="50"/>
        <v>8847.9708801162087</v>
      </c>
      <c r="BF49" s="1012">
        <f t="shared" si="62"/>
        <v>4735.5815357155097</v>
      </c>
      <c r="BG49" s="1012">
        <f t="shared" si="91"/>
        <v>5328.7274734867533</v>
      </c>
      <c r="BI49" s="1018"/>
      <c r="BJ49" s="1018"/>
      <c r="BK49" s="1018"/>
      <c r="BL49" s="1018"/>
      <c r="BM49" s="1018"/>
      <c r="BO49" s="1016"/>
    </row>
    <row r="50" spans="1:77">
      <c r="A50" s="1011"/>
      <c r="I50" s="1019" t="s">
        <v>425</v>
      </c>
      <c r="J50" s="1019"/>
      <c r="K50" s="1019"/>
      <c r="L50" s="1019"/>
      <c r="M50" s="1019"/>
      <c r="O50" t="s">
        <v>424</v>
      </c>
      <c r="U50" t="s">
        <v>426</v>
      </c>
      <c r="AA50" s="1011"/>
      <c r="AI50" s="1019" t="s">
        <v>425</v>
      </c>
      <c r="AJ50" s="1019"/>
      <c r="AK50" s="1019"/>
      <c r="AL50" s="1019"/>
      <c r="AM50" s="1019"/>
      <c r="AO50" t="s">
        <v>424</v>
      </c>
      <c r="AU50" t="s">
        <v>426</v>
      </c>
      <c r="BA50" s="1011"/>
      <c r="BI50" s="1019" t="s">
        <v>425</v>
      </c>
      <c r="BJ50" s="1019"/>
      <c r="BK50" s="1019"/>
      <c r="BL50" s="1019"/>
      <c r="BM50" s="1019"/>
      <c r="BO50" t="s">
        <v>424</v>
      </c>
      <c r="BU50" t="s">
        <v>426</v>
      </c>
    </row>
    <row r="51" spans="1:77">
      <c r="I51" s="1018">
        <f>SUM(I12:I49)</f>
        <v>-4051.6876337229569</v>
      </c>
      <c r="J51" s="1018">
        <f t="shared" ref="J51:M51" si="102">SUM(J12:J49)</f>
        <v>-9457.5123135095419</v>
      </c>
      <c r="K51" s="1018">
        <f t="shared" si="102"/>
        <v>-14726.390352514027</v>
      </c>
      <c r="L51" s="1018">
        <f t="shared" si="102"/>
        <v>-18495.170868042405</v>
      </c>
      <c r="M51" s="1018">
        <f t="shared" si="102"/>
        <v>-21417.528280161707</v>
      </c>
      <c r="O51" s="1204">
        <f>SUM(O12:O49)</f>
        <v>2.5118269700519935</v>
      </c>
      <c r="P51" s="1204">
        <f t="shared" ref="P51:S51" si="103">SUM(P12:P49)</f>
        <v>4.0139927185295168</v>
      </c>
      <c r="Q51" s="1204">
        <f t="shared" si="103"/>
        <v>1.1732851551139118</v>
      </c>
      <c r="R51" s="1204">
        <f t="shared" si="103"/>
        <v>0.49840587313052542</v>
      </c>
      <c r="S51" s="1204">
        <f t="shared" si="103"/>
        <v>2.4535725088020692</v>
      </c>
      <c r="U51" s="1020">
        <f>AVERAGE(U12:U49)</f>
        <v>0.43550196274973302</v>
      </c>
      <c r="V51" s="1020">
        <f t="shared" ref="V51:Y51" si="104">AVERAGE(V12:V49)</f>
        <v>0.53522550118027801</v>
      </c>
      <c r="W51" s="1020">
        <f t="shared" si="104"/>
        <v>0.47522084301008116</v>
      </c>
      <c r="X51" s="1020">
        <f t="shared" si="104"/>
        <v>0.49268986505298018</v>
      </c>
      <c r="Y51" s="1020">
        <f t="shared" si="104"/>
        <v>0.60675258961597667</v>
      </c>
      <c r="AI51" s="1018">
        <f>SUM(AI12:AI49)</f>
        <v>-15747.199799565176</v>
      </c>
      <c r="AJ51" s="1018">
        <f t="shared" ref="AJ51:AM51" si="105">SUM(AJ12:AJ49)</f>
        <v>-44337.111095757689</v>
      </c>
      <c r="AK51" s="1018">
        <f t="shared" si="105"/>
        <v>-35092.445995279297</v>
      </c>
      <c r="AL51" s="1018">
        <f t="shared" si="105"/>
        <v>-27565.010943835361</v>
      </c>
      <c r="AM51" s="1018">
        <f t="shared" si="105"/>
        <v>-49730.018109599274</v>
      </c>
      <c r="AO51" s="1204">
        <f>SUM(AO12:AO49)</f>
        <v>3.5160872507069341</v>
      </c>
      <c r="AP51" s="1204">
        <f t="shared" ref="AP51:AS51" si="106">SUM(AP12:AP49)</f>
        <v>4.0114364084680227</v>
      </c>
      <c r="AQ51" s="1204">
        <f t="shared" si="106"/>
        <v>5.3610355335214814</v>
      </c>
      <c r="AR51" s="1204">
        <f t="shared" si="106"/>
        <v>6.42604295251419</v>
      </c>
      <c r="AS51" s="1204">
        <f t="shared" si="106"/>
        <v>6.6977969733000551</v>
      </c>
      <c r="AU51" s="1035">
        <f>AVERAGE(AU12:AU49)</f>
        <v>0.44437313274372719</v>
      </c>
      <c r="AV51" s="1020">
        <f t="shared" ref="AV51:AY51" si="107">AVERAGE(AV12:AV49)</f>
        <v>0.52473769626963429</v>
      </c>
      <c r="AW51" s="1020">
        <f t="shared" si="107"/>
        <v>0.5377054532788873</v>
      </c>
      <c r="AX51" s="1020">
        <f t="shared" si="107"/>
        <v>0.57990892082466527</v>
      </c>
      <c r="AY51" s="1020">
        <f t="shared" si="107"/>
        <v>0.65952546317155403</v>
      </c>
      <c r="BI51" s="1018">
        <f>SUM(BI12:BI49)</f>
        <v>2059.017539369117</v>
      </c>
      <c r="BJ51" s="1018">
        <f t="shared" ref="BJ51:BM51" si="108">SUM(BJ12:BJ49)</f>
        <v>-1308.3001538322087</v>
      </c>
      <c r="BK51" s="1018">
        <f t="shared" si="108"/>
        <v>1897.042582259262</v>
      </c>
      <c r="BL51" s="1018">
        <f t="shared" si="108"/>
        <v>14152.125774063636</v>
      </c>
      <c r="BM51" s="1018">
        <f t="shared" si="108"/>
        <v>30940.190592571798</v>
      </c>
      <c r="BO51" s="1204">
        <f>SUM(BO12:BO49)</f>
        <v>6.334405552724661</v>
      </c>
      <c r="BP51" s="1204">
        <f t="shared" ref="BP51:BS51" si="109">SUM(BP12:BP49)</f>
        <v>6.1326015906635805</v>
      </c>
      <c r="BQ51" s="1204">
        <f t="shared" si="109"/>
        <v>7.5661265078608952</v>
      </c>
      <c r="BR51" s="1204">
        <f t="shared" si="109"/>
        <v>10.417471033204604</v>
      </c>
      <c r="BS51" s="1204">
        <f t="shared" si="109"/>
        <v>13.754284135061349</v>
      </c>
      <c r="BU51" s="1020">
        <f>AVERAGE(BU12:BU49)</f>
        <v>0.44957142070489059</v>
      </c>
      <c r="BV51" s="1020">
        <f t="shared" ref="BV51:BY51" si="110">AVERAGE(BV12:BV49)</f>
        <v>0.49813170163483927</v>
      </c>
      <c r="BW51" s="1020">
        <f t="shared" si="110"/>
        <v>0.58870859106821227</v>
      </c>
      <c r="BX51" s="1020">
        <f t="shared" si="110"/>
        <v>0.66679789325984007</v>
      </c>
      <c r="BY51" s="1020">
        <f t="shared" si="110"/>
        <v>0.78309830538415126</v>
      </c>
    </row>
    <row r="52" spans="1:77">
      <c r="G52" s="209" t="s">
        <v>432</v>
      </c>
      <c r="I52" s="1021">
        <f>COUNT(I12:I49)</f>
        <v>36</v>
      </c>
      <c r="J52" s="1021">
        <f t="shared" ref="J52:M52" si="111">COUNT(J12:J49)</f>
        <v>35</v>
      </c>
      <c r="K52" s="1021">
        <f t="shared" si="111"/>
        <v>34</v>
      </c>
      <c r="L52" s="1021">
        <f t="shared" si="111"/>
        <v>33</v>
      </c>
      <c r="M52" s="1021">
        <f t="shared" si="111"/>
        <v>32</v>
      </c>
    </row>
    <row r="53" spans="1:77">
      <c r="G53" s="209" t="s">
        <v>433</v>
      </c>
      <c r="I53" s="1021">
        <f>COUNTIF(I12:I49,"&lt;0")</f>
        <v>18</v>
      </c>
      <c r="J53" s="1021">
        <f t="shared" ref="J53:M53" si="112">COUNTIF(J12:J49,"&lt;0")</f>
        <v>20</v>
      </c>
      <c r="K53" s="1021">
        <f t="shared" si="112"/>
        <v>20</v>
      </c>
      <c r="L53" s="1021">
        <f t="shared" si="112"/>
        <v>21</v>
      </c>
      <c r="M53" s="1021">
        <f t="shared" si="112"/>
        <v>16</v>
      </c>
    </row>
    <row r="54" spans="1:77" ht="48.75" customHeight="1">
      <c r="G54" s="209"/>
      <c r="I54" s="1021"/>
      <c r="J54" s="1021"/>
      <c r="K54" s="1021"/>
      <c r="L54" s="1021"/>
      <c r="M54" s="1021"/>
    </row>
    <row r="55" spans="1:77" ht="26.25">
      <c r="B55" s="1023" t="s">
        <v>59</v>
      </c>
      <c r="C55" s="732"/>
      <c r="I55" s="316" t="s">
        <v>81</v>
      </c>
      <c r="O55" t="s">
        <v>254</v>
      </c>
      <c r="U55" t="s">
        <v>423</v>
      </c>
      <c r="AB55" s="1023" t="s">
        <v>62</v>
      </c>
      <c r="AC55" s="732"/>
      <c r="AI55" s="316" t="s">
        <v>81</v>
      </c>
      <c r="AO55" t="s">
        <v>254</v>
      </c>
      <c r="AU55" t="s">
        <v>423</v>
      </c>
      <c r="BB55" s="1023" t="s">
        <v>63</v>
      </c>
      <c r="BC55" s="732"/>
      <c r="BI55" s="316" t="s">
        <v>81</v>
      </c>
      <c r="BO55" t="s">
        <v>254</v>
      </c>
      <c r="BU55" t="s">
        <v>423</v>
      </c>
    </row>
    <row r="56" spans="1:77">
      <c r="A56" s="615" t="s">
        <v>321</v>
      </c>
      <c r="B56" s="1015" t="s">
        <v>421</v>
      </c>
      <c r="C56" s="1015" t="s">
        <v>413</v>
      </c>
      <c r="D56" s="1028" t="s">
        <v>427</v>
      </c>
      <c r="E56" s="1028" t="s">
        <v>428</v>
      </c>
      <c r="F56" s="1028" t="s">
        <v>429</v>
      </c>
      <c r="G56" s="1028" t="s">
        <v>430</v>
      </c>
      <c r="I56" s="1015" t="s">
        <v>413</v>
      </c>
      <c r="J56" s="1028" t="s">
        <v>427</v>
      </c>
      <c r="K56" s="1028" t="s">
        <v>428</v>
      </c>
      <c r="L56" s="1028" t="s">
        <v>429</v>
      </c>
      <c r="M56" s="1028" t="s">
        <v>430</v>
      </c>
      <c r="O56" s="1015" t="s">
        <v>413</v>
      </c>
      <c r="P56" s="1028" t="s">
        <v>427</v>
      </c>
      <c r="Q56" s="1028" t="s">
        <v>428</v>
      </c>
      <c r="R56" s="1028" t="s">
        <v>429</v>
      </c>
      <c r="S56" s="1028" t="s">
        <v>430</v>
      </c>
      <c r="U56" s="1015" t="s">
        <v>413</v>
      </c>
      <c r="V56" s="1028" t="s">
        <v>427</v>
      </c>
      <c r="W56" s="1028" t="s">
        <v>428</v>
      </c>
      <c r="X56" s="1028" t="s">
        <v>429</v>
      </c>
      <c r="Y56" s="1028" t="s">
        <v>430</v>
      </c>
      <c r="AA56" s="615" t="s">
        <v>321</v>
      </c>
      <c r="AB56" s="1015" t="s">
        <v>421</v>
      </c>
      <c r="AC56" s="1015" t="s">
        <v>413</v>
      </c>
      <c r="AD56" s="1028" t="s">
        <v>427</v>
      </c>
      <c r="AE56" s="1028" t="s">
        <v>428</v>
      </c>
      <c r="AF56" s="1028" t="s">
        <v>429</v>
      </c>
      <c r="AG56" s="1028" t="s">
        <v>430</v>
      </c>
      <c r="AI56" s="1015" t="s">
        <v>413</v>
      </c>
      <c r="AJ56" s="1028" t="s">
        <v>427</v>
      </c>
      <c r="AK56" s="1028" t="s">
        <v>428</v>
      </c>
      <c r="AL56" s="1028" t="s">
        <v>429</v>
      </c>
      <c r="AM56" s="1028" t="s">
        <v>430</v>
      </c>
      <c r="AO56" s="1015" t="s">
        <v>413</v>
      </c>
      <c r="AP56" s="1028" t="s">
        <v>427</v>
      </c>
      <c r="AQ56" s="1028" t="s">
        <v>428</v>
      </c>
      <c r="AR56" s="1028" t="s">
        <v>429</v>
      </c>
      <c r="AS56" s="1028" t="s">
        <v>430</v>
      </c>
      <c r="AU56" s="1015" t="s">
        <v>413</v>
      </c>
      <c r="AV56" s="1028" t="s">
        <v>427</v>
      </c>
      <c r="AW56" s="1028" t="s">
        <v>428</v>
      </c>
      <c r="AX56" s="1028" t="s">
        <v>429</v>
      </c>
      <c r="AY56" s="1028" t="s">
        <v>430</v>
      </c>
      <c r="BA56" s="615" t="s">
        <v>321</v>
      </c>
      <c r="BB56" s="1015" t="s">
        <v>421</v>
      </c>
      <c r="BC56" s="1015" t="s">
        <v>413</v>
      </c>
      <c r="BD56" s="1028" t="s">
        <v>427</v>
      </c>
      <c r="BE56" s="1028" t="s">
        <v>428</v>
      </c>
      <c r="BF56" s="1028" t="s">
        <v>429</v>
      </c>
      <c r="BG56" s="1028" t="s">
        <v>430</v>
      </c>
      <c r="BI56" s="1015" t="s">
        <v>413</v>
      </c>
      <c r="BJ56" s="1028" t="s">
        <v>427</v>
      </c>
      <c r="BK56" s="1028" t="s">
        <v>428</v>
      </c>
      <c r="BL56" s="1028" t="s">
        <v>429</v>
      </c>
      <c r="BM56" s="1028" t="s">
        <v>430</v>
      </c>
      <c r="BO56" s="1015" t="s">
        <v>413</v>
      </c>
      <c r="BP56" s="1028" t="s">
        <v>427</v>
      </c>
      <c r="BQ56" s="1028" t="s">
        <v>428</v>
      </c>
      <c r="BR56" s="1028" t="s">
        <v>429</v>
      </c>
      <c r="BS56" s="1028" t="s">
        <v>430</v>
      </c>
      <c r="BU56" s="1015" t="s">
        <v>413</v>
      </c>
      <c r="BV56" s="1028" t="s">
        <v>427</v>
      </c>
      <c r="BW56" s="1028" t="s">
        <v>428</v>
      </c>
      <c r="BX56" s="1028" t="s">
        <v>429</v>
      </c>
      <c r="BY56" s="1028" t="s">
        <v>430</v>
      </c>
    </row>
    <row r="57" spans="1:77">
      <c r="A57" s="1011">
        <v>1980</v>
      </c>
      <c r="B57" s="1012">
        <f>RunXAge!F6</f>
        <v>77.378995433789953</v>
      </c>
      <c r="C57" s="1013"/>
      <c r="D57" s="1013"/>
      <c r="E57" s="1013"/>
      <c r="F57" s="1013"/>
      <c r="G57" s="1013"/>
      <c r="AA57" s="1011">
        <v>1980</v>
      </c>
      <c r="AB57" s="1012">
        <f>RunXAge!$I6</f>
        <v>2398.7488584474886</v>
      </c>
      <c r="AC57" s="1013"/>
      <c r="AD57" s="1013"/>
      <c r="AE57" s="1013"/>
      <c r="AF57" s="1013"/>
      <c r="AG57" s="1013"/>
      <c r="BA57" s="1011">
        <v>1980</v>
      </c>
      <c r="BB57" s="1012">
        <f>RunXAge!$M6</f>
        <v>4681.4292237442924</v>
      </c>
      <c r="BC57" s="1013"/>
      <c r="BD57" s="1013"/>
      <c r="BE57" s="1013"/>
      <c r="BF57" s="1013"/>
      <c r="BG57" s="1013"/>
    </row>
    <row r="58" spans="1:77">
      <c r="A58" s="1011">
        <v>1981</v>
      </c>
      <c r="B58" s="1012">
        <f>RunXAge!F7</f>
        <v>1059.1259259259259</v>
      </c>
      <c r="C58" s="1012">
        <f>B57</f>
        <v>77.378995433789953</v>
      </c>
      <c r="D58" s="1013"/>
      <c r="E58" s="1013"/>
      <c r="F58" s="1013"/>
      <c r="G58" s="1013"/>
      <c r="I58" s="1018">
        <f>C58-$B58</f>
        <v>-981.74693049213602</v>
      </c>
      <c r="J58" s="1019"/>
      <c r="K58" s="1019"/>
      <c r="L58" s="1019"/>
      <c r="M58" s="1019"/>
      <c r="O58" s="1016">
        <f>I58/$B58</f>
        <v>-0.92694070314052368</v>
      </c>
      <c r="U58" s="1022">
        <f>ABS(O58)</f>
        <v>0.92694070314052368</v>
      </c>
      <c r="AA58" s="1011">
        <v>1981</v>
      </c>
      <c r="AB58" s="1012">
        <f>RunXAge!$I7</f>
        <v>8624.3111111111102</v>
      </c>
      <c r="AC58" s="1012">
        <f>AB57</f>
        <v>2398.7488584474886</v>
      </c>
      <c r="AD58" s="1013"/>
      <c r="AE58" s="1013"/>
      <c r="AF58" s="1013"/>
      <c r="AG58" s="1013"/>
      <c r="AI58" s="1018">
        <f>AC58-$AB58</f>
        <v>-6225.5622526636216</v>
      </c>
      <c r="AJ58" s="1019"/>
      <c r="AK58" s="1019"/>
      <c r="AL58" s="1019"/>
      <c r="AM58" s="1019"/>
      <c r="AO58" s="1016">
        <f>AI58/$AB58</f>
        <v>-0.72186197511392347</v>
      </c>
      <c r="AU58" s="1022">
        <f>ABS(AO58)</f>
        <v>0.72186197511392347</v>
      </c>
      <c r="BA58" s="1011">
        <v>1981</v>
      </c>
      <c r="BB58" s="1012">
        <f>RunXAge!$M7</f>
        <v>8321.7037037037026</v>
      </c>
      <c r="BC58" s="1012">
        <f>BB57</f>
        <v>4681.4292237442924</v>
      </c>
      <c r="BD58" s="1013"/>
      <c r="BE58" s="1013"/>
      <c r="BF58" s="1013"/>
      <c r="BG58" s="1013"/>
      <c r="BI58" s="1018">
        <f>BC58-$BB58</f>
        <v>-3640.2744799594102</v>
      </c>
      <c r="BJ58" s="1019"/>
      <c r="BK58" s="1019"/>
      <c r="BL58" s="1019"/>
      <c r="BM58" s="1019"/>
      <c r="BO58" s="1016">
        <f>BI58/$BB58</f>
        <v>-0.4374434141820322</v>
      </c>
      <c r="BU58" s="1022">
        <f>ABS(BO58)</f>
        <v>0.4374434141820322</v>
      </c>
    </row>
    <row r="59" spans="1:77">
      <c r="A59" s="1011">
        <v>1982</v>
      </c>
      <c r="B59" s="1012">
        <f>RunXAge!F8</f>
        <v>3576.5243073918882</v>
      </c>
      <c r="C59" s="1012">
        <f t="shared" ref="C59:C93" si="113">B58</f>
        <v>1059.1259259259259</v>
      </c>
      <c r="D59" s="1012">
        <f>AVERAGE(B57:B58)</f>
        <v>568.2524606798579</v>
      </c>
      <c r="E59" s="1013"/>
      <c r="F59" s="1013"/>
      <c r="G59" s="1013"/>
      <c r="I59" s="1018">
        <f t="shared" ref="I59:I60" si="114">C59-$B59</f>
        <v>-2517.3983814659623</v>
      </c>
      <c r="J59" s="1018">
        <f t="shared" ref="J59:J93" si="115">D59-$B59</f>
        <v>-3008.2718467120303</v>
      </c>
      <c r="K59" s="1019"/>
      <c r="L59" s="1019"/>
      <c r="M59" s="1019"/>
      <c r="O59" s="1016">
        <f t="shared" ref="O59:O93" si="116">I59/$B59</f>
        <v>-0.70386726472487671</v>
      </c>
      <c r="P59" s="1016">
        <f t="shared" ref="P59:P93" si="117">J59/$B59</f>
        <v>-0.84111600765430139</v>
      </c>
      <c r="U59" s="1022">
        <f t="shared" ref="U59:U93" si="118">ABS(O59)</f>
        <v>0.70386726472487671</v>
      </c>
      <c r="V59" s="1022">
        <f t="shared" ref="V59:V93" si="119">ABS(P59)</f>
        <v>0.84111600765430139</v>
      </c>
      <c r="AA59" s="1011">
        <v>1982</v>
      </c>
      <c r="AB59" s="1012">
        <f>RunXAge!$I8</f>
        <v>25211.19913754526</v>
      </c>
      <c r="AC59" s="1012">
        <f t="shared" ref="AC59:AC93" si="120">AB58</f>
        <v>8624.3111111111102</v>
      </c>
      <c r="AD59" s="1012">
        <f>AVERAGE(AB57:AB58)</f>
        <v>5511.5299847792994</v>
      </c>
      <c r="AE59" s="1013"/>
      <c r="AF59" s="1013"/>
      <c r="AG59" s="1013"/>
      <c r="AI59" s="1018">
        <f t="shared" ref="AI59:AI93" si="121">AC59-$AB59</f>
        <v>-16586.88802643415</v>
      </c>
      <c r="AJ59" s="1018">
        <f>AD59-$AB59</f>
        <v>-19699.66915276596</v>
      </c>
      <c r="AK59" s="1019"/>
      <c r="AL59" s="1019"/>
      <c r="AM59" s="1019"/>
      <c r="AO59" s="1016">
        <f>AI59/$AB59</f>
        <v>-0.65791745707694116</v>
      </c>
      <c r="AP59" s="1016">
        <f>AJ59/$AB59</f>
        <v>-0.78138564712015757</v>
      </c>
      <c r="AU59" s="1022">
        <f t="shared" ref="AU59:AU93" si="122">ABS(AO59)</f>
        <v>0.65791745707694116</v>
      </c>
      <c r="AV59" s="1022">
        <f t="shared" ref="AV59:AV93" si="123">ABS(AP59)</f>
        <v>0.78138564712015757</v>
      </c>
      <c r="BA59" s="1011">
        <v>1982</v>
      </c>
      <c r="BB59" s="1012">
        <f>RunXAge!$M8</f>
        <v>12053.313616207641</v>
      </c>
      <c r="BC59" s="1012">
        <f t="shared" ref="BC59:BC93" si="124">BB58</f>
        <v>8321.7037037037026</v>
      </c>
      <c r="BD59" s="1012">
        <f>AVERAGE(BB57:BB58)</f>
        <v>6501.566463723997</v>
      </c>
      <c r="BE59" s="1013"/>
      <c r="BF59" s="1013"/>
      <c r="BG59" s="1013"/>
      <c r="BI59" s="1018">
        <f t="shared" ref="BI59:BI93" si="125">BC59-$BB59</f>
        <v>-3731.6099125039382</v>
      </c>
      <c r="BJ59" s="1018">
        <f t="shared" ref="BJ59:BJ93" si="126">BD59-$BB59</f>
        <v>-5551.7471524836437</v>
      </c>
      <c r="BK59" s="1019"/>
      <c r="BL59" s="1019"/>
      <c r="BM59" s="1019"/>
      <c r="BO59" s="1016">
        <f t="shared" ref="BO59:BO92" si="127">BI59/$BB59</f>
        <v>-0.3095920367894669</v>
      </c>
      <c r="BP59" s="1016">
        <f t="shared" ref="BP59:BP93" si="128">BJ59/$BB59</f>
        <v>-0.4605992450921062</v>
      </c>
      <c r="BU59" s="1022">
        <f t="shared" ref="BU59:BU93" si="129">ABS(BO59)</f>
        <v>0.3095920367894669</v>
      </c>
      <c r="BV59" s="1022">
        <f t="shared" ref="BV59:BV93" si="130">ABS(BP59)</f>
        <v>0.4605992450921062</v>
      </c>
    </row>
    <row r="60" spans="1:77">
      <c r="A60" s="1011">
        <v>1983</v>
      </c>
      <c r="B60" s="1012">
        <f>RunXAge!F9</f>
        <v>2052.1924353284553</v>
      </c>
      <c r="C60" s="1012">
        <f t="shared" si="113"/>
        <v>3576.5243073918882</v>
      </c>
      <c r="D60" s="1012">
        <f>AVERAGE(B58:B59)</f>
        <v>2317.8251166589071</v>
      </c>
      <c r="E60" s="1012">
        <f>AVERAGE(B57:B59)</f>
        <v>1571.0097429172013</v>
      </c>
      <c r="F60" s="1013"/>
      <c r="G60" s="1013"/>
      <c r="I60" s="1018">
        <f t="shared" si="114"/>
        <v>1524.3318720634329</v>
      </c>
      <c r="J60" s="1018">
        <f t="shared" si="115"/>
        <v>265.63268133045176</v>
      </c>
      <c r="K60" s="1018">
        <f t="shared" ref="K60:K93" si="131">E60-$B60</f>
        <v>-481.18269241125404</v>
      </c>
      <c r="L60" s="1019"/>
      <c r="M60" s="1019"/>
      <c r="O60" s="1016">
        <f t="shared" si="116"/>
        <v>0.74278213184206687</v>
      </c>
      <c r="P60" s="1016">
        <f t="shared" si="117"/>
        <v>0.12943848576653436</v>
      </c>
      <c r="Q60" s="1016">
        <f t="shared" ref="Q60:Q93" si="132">K60/$B60</f>
        <v>-0.23447250078876755</v>
      </c>
      <c r="U60" s="1022">
        <f t="shared" si="118"/>
        <v>0.74278213184206687</v>
      </c>
      <c r="V60" s="1022">
        <f t="shared" si="119"/>
        <v>0.12943848576653436</v>
      </c>
      <c r="W60" s="1022">
        <f t="shared" ref="W60:W93" si="133">ABS(Q60)</f>
        <v>0.23447250078876755</v>
      </c>
      <c r="AA60" s="1011">
        <v>1983</v>
      </c>
      <c r="AB60" s="1012">
        <f>RunXAge!$I9</f>
        <v>33917.530726480349</v>
      </c>
      <c r="AC60" s="1012">
        <f t="shared" si="120"/>
        <v>25211.19913754526</v>
      </c>
      <c r="AD60" s="1012">
        <f>AVERAGE(AB58:AB59)</f>
        <v>16917.755124328185</v>
      </c>
      <c r="AE60" s="1012">
        <f>AVERAGE(AB57:AB59)</f>
        <v>12078.086369034621</v>
      </c>
      <c r="AF60" s="1013"/>
      <c r="AG60" s="1013"/>
      <c r="AI60" s="1018">
        <f t="shared" si="121"/>
        <v>-8706.3315889350888</v>
      </c>
      <c r="AJ60" s="1018">
        <f t="shared" ref="AJ60:AJ93" si="134">AD60-$AB60</f>
        <v>-16999.775602152164</v>
      </c>
      <c r="AK60" s="1018">
        <f t="shared" ref="AK60:AK93" si="135">AE60-$AB60</f>
        <v>-21839.444357445725</v>
      </c>
      <c r="AL60" s="1019"/>
      <c r="AM60" s="1019"/>
      <c r="AO60" s="1016">
        <f>AI60/$AB60</f>
        <v>-0.25669119780992244</v>
      </c>
      <c r="AP60" s="1016">
        <f t="shared" ref="AP60:AP93" si="136">AJ60/$AB60</f>
        <v>-0.5012091162898239</v>
      </c>
      <c r="AQ60" s="1016">
        <f t="shared" ref="AQ60:AQ93" si="137">AK60/$AB60</f>
        <v>-0.64389841741619092</v>
      </c>
      <c r="AU60" s="1022">
        <f t="shared" si="122"/>
        <v>0.25669119780992244</v>
      </c>
      <c r="AV60" s="1022">
        <f t="shared" si="123"/>
        <v>0.5012091162898239</v>
      </c>
      <c r="AW60" s="1022">
        <f t="shared" ref="AW60:AW93" si="138">ABS(AQ60)</f>
        <v>0.64389841741619092</v>
      </c>
      <c r="BA60" s="1011">
        <v>1983</v>
      </c>
      <c r="BB60" s="1012">
        <f>RunXAge!$M9</f>
        <v>16990.664727519888</v>
      </c>
      <c r="BC60" s="1012">
        <f t="shared" si="124"/>
        <v>12053.313616207641</v>
      </c>
      <c r="BD60" s="1012">
        <f t="shared" ref="BD60:BD93" si="139">AVERAGE(BB58:BB59)</f>
        <v>10187.508659955671</v>
      </c>
      <c r="BE60" s="1012">
        <f>AVERAGE(BB57:BB59)</f>
        <v>8352.1488478852116</v>
      </c>
      <c r="BF60" s="1013"/>
      <c r="BG60" s="1013"/>
      <c r="BI60" s="1018">
        <f t="shared" si="125"/>
        <v>-4937.3511113122477</v>
      </c>
      <c r="BJ60" s="1018">
        <f t="shared" si="126"/>
        <v>-6803.1560675642177</v>
      </c>
      <c r="BK60" s="1018">
        <f t="shared" ref="BK60:BK93" si="140">BE60-$BB60</f>
        <v>-8638.5158796346768</v>
      </c>
      <c r="BL60" s="1019"/>
      <c r="BM60" s="1019"/>
      <c r="BO60" s="1016">
        <f t="shared" si="127"/>
        <v>-0.29059199216115356</v>
      </c>
      <c r="BP60" s="1016">
        <f t="shared" si="128"/>
        <v>-0.40040552719194689</v>
      </c>
      <c r="BQ60" s="1016">
        <f t="shared" ref="BQ60:BQ93" si="141">BK60/$BB60</f>
        <v>-0.50842718740973192</v>
      </c>
      <c r="BU60" s="1022">
        <f t="shared" si="129"/>
        <v>0.29059199216115356</v>
      </c>
      <c r="BV60" s="1022">
        <f t="shared" si="130"/>
        <v>0.40040552719194689</v>
      </c>
      <c r="BW60" s="1022">
        <f t="shared" ref="BW60:BW93" si="142">ABS(BQ60)</f>
        <v>0.50842718740973192</v>
      </c>
    </row>
    <row r="61" spans="1:77">
      <c r="A61" s="1011">
        <v>1984</v>
      </c>
      <c r="B61" s="1012">
        <f>RunXAge!F10</f>
        <v>899.67646527006423</v>
      </c>
      <c r="C61" s="1012">
        <f t="shared" si="113"/>
        <v>2052.1924353284553</v>
      </c>
      <c r="D61" s="1012">
        <f>AVERAGE(B59:B60)</f>
        <v>2814.358371360172</v>
      </c>
      <c r="E61" s="1012">
        <f>AVERAGE(B58:B60)</f>
        <v>2229.2808895487565</v>
      </c>
      <c r="F61" s="1012">
        <f>AVERAGE(B57:B60)</f>
        <v>1691.3054160200149</v>
      </c>
      <c r="G61" s="1012"/>
      <c r="I61" s="1018">
        <f>C61-$B61</f>
        <v>1152.5159700583911</v>
      </c>
      <c r="J61" s="1018">
        <f t="shared" si="115"/>
        <v>1914.6819060901078</v>
      </c>
      <c r="K61" s="1018">
        <f t="shared" si="131"/>
        <v>1329.6044242786922</v>
      </c>
      <c r="L61" s="1018">
        <f>F61-$B61</f>
        <v>791.62895074995072</v>
      </c>
      <c r="M61" s="1019"/>
      <c r="O61" s="1016">
        <f t="shared" si="116"/>
        <v>1.2810338099846035</v>
      </c>
      <c r="P61" s="1016">
        <f t="shared" si="117"/>
        <v>2.1281893880767013</v>
      </c>
      <c r="Q61" s="1016">
        <f t="shared" si="132"/>
        <v>1.4778695182157204</v>
      </c>
      <c r="R61" s="1016">
        <f t="shared" ref="R61:R93" si="143">L61/$B61</f>
        <v>0.87990403362648828</v>
      </c>
      <c r="U61" s="1022">
        <f t="shared" si="118"/>
        <v>1.2810338099846035</v>
      </c>
      <c r="V61" s="1022">
        <f t="shared" si="119"/>
        <v>2.1281893880767013</v>
      </c>
      <c r="W61" s="1022">
        <f t="shared" si="133"/>
        <v>1.4778695182157204</v>
      </c>
      <c r="X61" s="1022">
        <f t="shared" ref="X61:X93" si="144">ABS(R61)</f>
        <v>0.87990403362648828</v>
      </c>
      <c r="AA61" s="1011">
        <v>1984</v>
      </c>
      <c r="AB61" s="1012">
        <f>RunXAge!$I10</f>
        <v>13184.072404618604</v>
      </c>
      <c r="AC61" s="1012">
        <f t="shared" si="120"/>
        <v>33917.530726480349</v>
      </c>
      <c r="AD61" s="1012">
        <f>AVERAGE(AB59:AB60)</f>
        <v>29564.364932012802</v>
      </c>
      <c r="AE61" s="1012">
        <f>AVERAGE(AB58:AB60)</f>
        <v>22584.346991712238</v>
      </c>
      <c r="AF61" s="1012">
        <f>AVERAGE(AB57:AB60)</f>
        <v>17537.947458396055</v>
      </c>
      <c r="AG61" s="1012"/>
      <c r="AI61" s="1018">
        <f t="shared" si="121"/>
        <v>20733.458321861744</v>
      </c>
      <c r="AJ61" s="1018">
        <f t="shared" si="134"/>
        <v>16380.292527394198</v>
      </c>
      <c r="AK61" s="1018">
        <f t="shared" si="135"/>
        <v>9400.2745870936342</v>
      </c>
      <c r="AL61" s="1018">
        <f t="shared" ref="AL61:AL93" si="145">AF61-$AB61</f>
        <v>4353.8750537774504</v>
      </c>
      <c r="AM61" s="1019"/>
      <c r="AO61" s="1016">
        <f>AI61/$AB61</f>
        <v>1.5726141123586717</v>
      </c>
      <c r="AP61" s="1016">
        <f t="shared" si="136"/>
        <v>1.2424304133566426</v>
      </c>
      <c r="AQ61" s="1016">
        <f t="shared" si="137"/>
        <v>0.71300234848532529</v>
      </c>
      <c r="AR61" s="1016">
        <f t="shared" ref="AR61:AR93" si="146">AL61/$AB61</f>
        <v>0.33023749568094107</v>
      </c>
      <c r="AU61" s="1022">
        <f t="shared" si="122"/>
        <v>1.5726141123586717</v>
      </c>
      <c r="AV61" s="1022">
        <f t="shared" si="123"/>
        <v>1.2424304133566426</v>
      </c>
      <c r="AW61" s="1022">
        <f t="shared" si="138"/>
        <v>0.71300234848532529</v>
      </c>
      <c r="AX61" s="1022">
        <f t="shared" ref="AX61:AX93" si="147">ABS(AR61)</f>
        <v>0.33023749568094107</v>
      </c>
      <c r="BA61" s="1011">
        <v>1984</v>
      </c>
      <c r="BB61" s="1012">
        <f>RunXAge!$M10</f>
        <v>22116.792291994938</v>
      </c>
      <c r="BC61" s="1012">
        <f t="shared" si="124"/>
        <v>16990.664727519888</v>
      </c>
      <c r="BD61" s="1012">
        <f t="shared" si="139"/>
        <v>14521.989171863765</v>
      </c>
      <c r="BE61" s="1012">
        <f t="shared" ref="BE61:BE93" si="148">AVERAGE(BB58:BB60)</f>
        <v>12455.227349143743</v>
      </c>
      <c r="BF61" s="1012">
        <f>AVERAGE(BB57:BB60)</f>
        <v>10511.777817793882</v>
      </c>
      <c r="BG61" s="1012"/>
      <c r="BI61" s="1018">
        <f t="shared" si="125"/>
        <v>-5126.1275644750494</v>
      </c>
      <c r="BJ61" s="1018">
        <f t="shared" si="126"/>
        <v>-7594.8031201311733</v>
      </c>
      <c r="BK61" s="1018">
        <f t="shared" si="140"/>
        <v>-9661.5649428511952</v>
      </c>
      <c r="BL61" s="1018">
        <f t="shared" ref="BL61:BL93" si="149">BF61-$BB61</f>
        <v>-11605.014474201056</v>
      </c>
      <c r="BM61" s="1019"/>
      <c r="BO61" s="1016">
        <f t="shared" si="127"/>
        <v>-0.23177536311766267</v>
      </c>
      <c r="BP61" s="1016">
        <f t="shared" si="128"/>
        <v>-0.34339532694712127</v>
      </c>
      <c r="BQ61" s="1016">
        <f t="shared" si="141"/>
        <v>-0.43684295693947217</v>
      </c>
      <c r="BR61" s="1016">
        <f t="shared" ref="BR61:BR93" si="150">BL61/$BB61</f>
        <v>-0.52471508168937464</v>
      </c>
      <c r="BU61" s="1022">
        <f t="shared" si="129"/>
        <v>0.23177536311766267</v>
      </c>
      <c r="BV61" s="1022">
        <f t="shared" si="130"/>
        <v>0.34339532694712127</v>
      </c>
      <c r="BW61" s="1022">
        <f t="shared" si="142"/>
        <v>0.43684295693947217</v>
      </c>
      <c r="BX61" s="1022">
        <f t="shared" ref="BX61:BX93" si="151">ABS(BR61)</f>
        <v>0.52471508168937464</v>
      </c>
    </row>
    <row r="62" spans="1:77">
      <c r="A62" s="1011">
        <v>1985</v>
      </c>
      <c r="B62" s="1012">
        <f>RunXAge!F11</f>
        <v>2828.907969661886</v>
      </c>
      <c r="C62" s="1012">
        <f t="shared" si="113"/>
        <v>899.67646527006423</v>
      </c>
      <c r="D62" s="1012">
        <f t="shared" ref="D62:D93" si="152">AVERAGE(B60:B61)</f>
        <v>1475.9344502992599</v>
      </c>
      <c r="E62" s="1012">
        <f>AVERAGE(B59:B61)</f>
        <v>2176.1310693301361</v>
      </c>
      <c r="F62" s="1012">
        <f t="shared" ref="F62:F93" si="153">AVERAGE(B58:B61)</f>
        <v>1896.8797834790835</v>
      </c>
      <c r="G62" s="1012">
        <f>AVERAGE(B57:B61)</f>
        <v>1532.9796258700248</v>
      </c>
      <c r="I62" s="1018">
        <f t="shared" ref="I62:I93" si="154">C62-$B62</f>
        <v>-1929.2315043918218</v>
      </c>
      <c r="J62" s="1018">
        <f t="shared" si="115"/>
        <v>-1352.9735193626261</v>
      </c>
      <c r="K62" s="1018">
        <f t="shared" si="131"/>
        <v>-652.77690033174986</v>
      </c>
      <c r="L62" s="1018">
        <f t="shared" ref="L62:L93" si="155">F62-$B62</f>
        <v>-932.02818618280253</v>
      </c>
      <c r="M62" s="1018">
        <f t="shared" ref="M62:M93" si="156">G62-$B62</f>
        <v>-1295.9283437918612</v>
      </c>
      <c r="O62" s="1016">
        <f t="shared" si="116"/>
        <v>-0.68197040168203338</v>
      </c>
      <c r="P62" s="1016">
        <f t="shared" si="117"/>
        <v>-0.47826706767146437</v>
      </c>
      <c r="Q62" s="1016">
        <f t="shared" si="132"/>
        <v>-0.23075225752563822</v>
      </c>
      <c r="R62" s="1016">
        <f t="shared" si="143"/>
        <v>-0.32946571474864894</v>
      </c>
      <c r="S62" s="1016">
        <f>M62/$B62</f>
        <v>-0.45810198058396073</v>
      </c>
      <c r="U62" s="1022">
        <f t="shared" si="118"/>
        <v>0.68197040168203338</v>
      </c>
      <c r="V62" s="1022">
        <f t="shared" si="119"/>
        <v>0.47826706767146437</v>
      </c>
      <c r="W62" s="1022">
        <f t="shared" si="133"/>
        <v>0.23075225752563822</v>
      </c>
      <c r="X62" s="1022">
        <f t="shared" si="144"/>
        <v>0.32946571474864894</v>
      </c>
      <c r="Y62" s="1022">
        <f t="shared" ref="Y62:Y93" si="157">ABS(S62)</f>
        <v>0.45810198058396073</v>
      </c>
      <c r="AA62" s="1011">
        <v>1985</v>
      </c>
      <c r="AB62" s="1012">
        <f>RunXAge!$I11</f>
        <v>12239.848971008672</v>
      </c>
      <c r="AC62" s="1012">
        <f t="shared" si="120"/>
        <v>13184.072404618604</v>
      </c>
      <c r="AD62" s="1012">
        <f>AVERAGE(AB60:AB61)</f>
        <v>23550.801565549475</v>
      </c>
      <c r="AE62" s="1012">
        <f>AVERAGE(AB59:AB61)</f>
        <v>24104.267422881403</v>
      </c>
      <c r="AF62" s="1012">
        <f>AVERAGE(AB58:AB61)</f>
        <v>20234.27834493883</v>
      </c>
      <c r="AG62" s="1012">
        <f>AVERAGE(AB57:AB61)</f>
        <v>16667.172447640565</v>
      </c>
      <c r="AI62" s="1018">
        <f t="shared" si="121"/>
        <v>944.22343360993182</v>
      </c>
      <c r="AJ62" s="1018">
        <f t="shared" si="134"/>
        <v>11310.952594540802</v>
      </c>
      <c r="AK62" s="1018">
        <f t="shared" si="135"/>
        <v>11864.418451872731</v>
      </c>
      <c r="AL62" s="1018">
        <f t="shared" si="145"/>
        <v>7994.4293739301575</v>
      </c>
      <c r="AM62" s="1018">
        <f t="shared" ref="AM62:AM93" si="158">AG62-$AB62</f>
        <v>4427.3234766318928</v>
      </c>
      <c r="AO62" s="1016">
        <f>AI62/$AB62</f>
        <v>7.7143389256388792E-2</v>
      </c>
      <c r="AP62" s="1016">
        <f t="shared" si="136"/>
        <v>0.92410883674561217</v>
      </c>
      <c r="AQ62" s="1016">
        <f t="shared" si="137"/>
        <v>0.96932719349518226</v>
      </c>
      <c r="AR62" s="1016">
        <f t="shared" si="146"/>
        <v>0.65314771390282489</v>
      </c>
      <c r="AS62" s="1016">
        <f t="shared" ref="AS62:AS93" si="159">AM62/$AB62</f>
        <v>0.36171389754223759</v>
      </c>
      <c r="AU62" s="1022">
        <f t="shared" si="122"/>
        <v>7.7143389256388792E-2</v>
      </c>
      <c r="AV62" s="1022">
        <f t="shared" si="123"/>
        <v>0.92410883674561217</v>
      </c>
      <c r="AW62" s="1022">
        <f t="shared" si="138"/>
        <v>0.96932719349518226</v>
      </c>
      <c r="AX62" s="1022">
        <f t="shared" si="147"/>
        <v>0.65314771390282489</v>
      </c>
      <c r="AY62" s="1022">
        <f t="shared" ref="AY62:AY93" si="160">ABS(AS62)</f>
        <v>0.36171389754223759</v>
      </c>
      <c r="BA62" s="1011">
        <v>1985</v>
      </c>
      <c r="BB62" s="1012">
        <f>RunXAge!$M11</f>
        <v>25990.591971268575</v>
      </c>
      <c r="BC62" s="1012">
        <f t="shared" si="124"/>
        <v>22116.792291994938</v>
      </c>
      <c r="BD62" s="1012">
        <f t="shared" si="139"/>
        <v>19553.728509757413</v>
      </c>
      <c r="BE62" s="1012">
        <f t="shared" si="148"/>
        <v>17053.590211907489</v>
      </c>
      <c r="BF62" s="1012">
        <f t="shared" ref="BF62:BF93" si="161">AVERAGE(BB58:BB61)</f>
        <v>14870.61858485654</v>
      </c>
      <c r="BG62" s="1012">
        <f>AVERAGE(BB57:BB61)</f>
        <v>12832.780712634092</v>
      </c>
      <c r="BI62" s="1018">
        <f t="shared" si="125"/>
        <v>-3873.7996792736376</v>
      </c>
      <c r="BJ62" s="1018">
        <f t="shared" si="126"/>
        <v>-6436.8634615111623</v>
      </c>
      <c r="BK62" s="1018">
        <f t="shared" si="140"/>
        <v>-8937.0017593610864</v>
      </c>
      <c r="BL62" s="1018">
        <f t="shared" si="149"/>
        <v>-11119.973386412035</v>
      </c>
      <c r="BM62" s="1018">
        <f t="shared" ref="BM62:BM93" si="162">BG62-$BB62</f>
        <v>-13157.811258634483</v>
      </c>
      <c r="BO62" s="1016">
        <f t="shared" si="127"/>
        <v>-0.14904622732548561</v>
      </c>
      <c r="BP62" s="1016">
        <f t="shared" si="128"/>
        <v>-0.24766128715447588</v>
      </c>
      <c r="BQ62" s="1016">
        <f t="shared" si="141"/>
        <v>-0.3438552599817864</v>
      </c>
      <c r="BR62" s="1016">
        <f t="shared" si="150"/>
        <v>-0.4278460990309364</v>
      </c>
      <c r="BS62" s="1016">
        <f t="shared" ref="BS62:BS93" si="163">BM62/$BB62</f>
        <v>-0.5062528499997172</v>
      </c>
      <c r="BU62" s="1022">
        <f t="shared" si="129"/>
        <v>0.14904622732548561</v>
      </c>
      <c r="BV62" s="1022">
        <f t="shared" si="130"/>
        <v>0.24766128715447588</v>
      </c>
      <c r="BW62" s="1022">
        <f t="shared" si="142"/>
        <v>0.3438552599817864</v>
      </c>
      <c r="BX62" s="1022">
        <f t="shared" si="151"/>
        <v>0.4278460990309364</v>
      </c>
      <c r="BY62" s="1022">
        <f t="shared" ref="BY62:BY93" si="164">ABS(BS62)</f>
        <v>0.5062528499997172</v>
      </c>
    </row>
    <row r="63" spans="1:77">
      <c r="A63" s="1011">
        <v>1986</v>
      </c>
      <c r="B63" s="1012">
        <f>RunXAge!F12</f>
        <v>2352.3127612490775</v>
      </c>
      <c r="C63" s="1012">
        <f t="shared" si="113"/>
        <v>2828.907969661886</v>
      </c>
      <c r="D63" s="1012">
        <f t="shared" si="152"/>
        <v>1864.2922174659752</v>
      </c>
      <c r="E63" s="1012">
        <f>AVERAGE(B60:B62)</f>
        <v>1926.9256234201355</v>
      </c>
      <c r="F63" s="1012">
        <f t="shared" si="153"/>
        <v>2339.3252944130736</v>
      </c>
      <c r="G63" s="1012">
        <f t="shared" ref="G63:G93" si="165">AVERAGE(B58:B62)</f>
        <v>2083.2854207156442</v>
      </c>
      <c r="I63" s="1018">
        <f t="shared" si="154"/>
        <v>476.59520841280846</v>
      </c>
      <c r="J63" s="1018">
        <f t="shared" si="115"/>
        <v>-488.02054378310231</v>
      </c>
      <c r="K63" s="1018">
        <f t="shared" si="131"/>
        <v>-425.38713782894206</v>
      </c>
      <c r="L63" s="1018">
        <f t="shared" si="155"/>
        <v>-12.987466836003932</v>
      </c>
      <c r="M63" s="1018">
        <f t="shared" si="156"/>
        <v>-269.02734053343329</v>
      </c>
      <c r="O63" s="1016">
        <f t="shared" si="116"/>
        <v>0.20260707515769991</v>
      </c>
      <c r="P63" s="1016">
        <f t="shared" si="117"/>
        <v>-0.20746413989777598</v>
      </c>
      <c r="Q63" s="1016">
        <f t="shared" si="132"/>
        <v>-0.18083783110671967</v>
      </c>
      <c r="R63" s="1016">
        <f t="shared" si="143"/>
        <v>-5.5211479740081802E-3</v>
      </c>
      <c r="S63" s="1016">
        <f t="shared" ref="S63:S93" si="166">M63/$B63</f>
        <v>-0.11436716450519098</v>
      </c>
      <c r="U63" s="1022">
        <f t="shared" si="118"/>
        <v>0.20260707515769991</v>
      </c>
      <c r="V63" s="1022">
        <f t="shared" si="119"/>
        <v>0.20746413989777598</v>
      </c>
      <c r="W63" s="1022">
        <f t="shared" si="133"/>
        <v>0.18083783110671967</v>
      </c>
      <c r="X63" s="1022">
        <f t="shared" si="144"/>
        <v>5.5211479740081802E-3</v>
      </c>
      <c r="Y63" s="1022">
        <f t="shared" si="157"/>
        <v>0.11436716450519098</v>
      </c>
      <c r="AA63" s="1011">
        <v>1986</v>
      </c>
      <c r="AB63" s="1012">
        <f>RunXAge!$I12</f>
        <v>21883.545512662899</v>
      </c>
      <c r="AC63" s="1012">
        <f t="shared" si="120"/>
        <v>12239.848971008672</v>
      </c>
      <c r="AD63" s="1012">
        <f>AVERAGE(AB61:AB62)</f>
        <v>12711.960687813638</v>
      </c>
      <c r="AE63" s="1012">
        <f>AVERAGE(AB60:AB62)</f>
        <v>19780.484034035875</v>
      </c>
      <c r="AF63" s="1012">
        <f>AVERAGE(AB59:AB62)</f>
        <v>21138.162809913221</v>
      </c>
      <c r="AG63" s="1012">
        <f>AVERAGE(AB58:AB62)</f>
        <v>18635.392470152798</v>
      </c>
      <c r="AI63" s="1018">
        <f t="shared" si="121"/>
        <v>-9643.6965416542262</v>
      </c>
      <c r="AJ63" s="1018">
        <f t="shared" si="134"/>
        <v>-9171.5848248492603</v>
      </c>
      <c r="AK63" s="1018">
        <f t="shared" si="135"/>
        <v>-2103.0614786270235</v>
      </c>
      <c r="AL63" s="1018">
        <f t="shared" si="145"/>
        <v>-745.38270274967726</v>
      </c>
      <c r="AM63" s="1018">
        <f t="shared" si="158"/>
        <v>-3248.1530425101009</v>
      </c>
      <c r="AO63" s="1016">
        <f t="shared" ref="AO63:AO93" si="167">AI63/$AB63</f>
        <v>-0.44068254552599384</v>
      </c>
      <c r="AP63" s="1016">
        <f t="shared" si="136"/>
        <v>-0.41910872347180345</v>
      </c>
      <c r="AQ63" s="1016">
        <f t="shared" si="137"/>
        <v>-9.6102410708999983E-2</v>
      </c>
      <c r="AR63" s="1016">
        <f t="shared" si="146"/>
        <v>-3.4061331712375499E-2</v>
      </c>
      <c r="AS63" s="1016">
        <f t="shared" si="159"/>
        <v>-0.14842901213747833</v>
      </c>
      <c r="AU63" s="1022">
        <f t="shared" si="122"/>
        <v>0.44068254552599384</v>
      </c>
      <c r="AV63" s="1022">
        <f t="shared" si="123"/>
        <v>0.41910872347180345</v>
      </c>
      <c r="AW63" s="1022">
        <f t="shared" si="138"/>
        <v>9.6102410708999983E-2</v>
      </c>
      <c r="AX63" s="1022">
        <f t="shared" si="147"/>
        <v>3.4061331712375499E-2</v>
      </c>
      <c r="AY63" s="1022">
        <f t="shared" si="160"/>
        <v>0.14842901213747833</v>
      </c>
      <c r="BA63" s="1011">
        <v>1986</v>
      </c>
      <c r="BB63" s="1012">
        <f>RunXAge!$M12</f>
        <v>14046.524022621099</v>
      </c>
      <c r="BC63" s="1012">
        <f t="shared" si="124"/>
        <v>25990.591971268575</v>
      </c>
      <c r="BD63" s="1012">
        <f t="shared" si="139"/>
        <v>24053.692131631757</v>
      </c>
      <c r="BE63" s="1012">
        <f t="shared" si="148"/>
        <v>21699.349663594465</v>
      </c>
      <c r="BF63" s="1012">
        <f t="shared" si="161"/>
        <v>19287.84065174776</v>
      </c>
      <c r="BG63" s="1012">
        <f t="shared" ref="BG63:BG93" si="168">AVERAGE(BB58:BB62)</f>
        <v>17094.613262138948</v>
      </c>
      <c r="BI63" s="1018">
        <f t="shared" si="125"/>
        <v>11944.067948647476</v>
      </c>
      <c r="BJ63" s="1018">
        <f t="shared" si="126"/>
        <v>10007.168109010658</v>
      </c>
      <c r="BK63" s="1018">
        <f t="shared" si="140"/>
        <v>7652.8256409733658</v>
      </c>
      <c r="BL63" s="1018">
        <f t="shared" si="149"/>
        <v>5241.3166291266607</v>
      </c>
      <c r="BM63" s="1018">
        <f t="shared" si="162"/>
        <v>3048.0892395178489</v>
      </c>
      <c r="BO63" s="1016">
        <f t="shared" si="127"/>
        <v>0.85032196786993419</v>
      </c>
      <c r="BP63" s="1016">
        <f t="shared" si="128"/>
        <v>0.71243021354569314</v>
      </c>
      <c r="BQ63" s="1016">
        <f t="shared" si="141"/>
        <v>0.54481988772802015</v>
      </c>
      <c r="BR63" s="1016">
        <f t="shared" si="150"/>
        <v>0.37313976188598896</v>
      </c>
      <c r="BS63" s="1016">
        <f t="shared" si="163"/>
        <v>0.21699953914641665</v>
      </c>
      <c r="BU63" s="1022">
        <f t="shared" si="129"/>
        <v>0.85032196786993419</v>
      </c>
      <c r="BV63" s="1022">
        <f t="shared" si="130"/>
        <v>0.71243021354569314</v>
      </c>
      <c r="BW63" s="1022">
        <f t="shared" si="142"/>
        <v>0.54481988772802015</v>
      </c>
      <c r="BX63" s="1022">
        <f t="shared" si="151"/>
        <v>0.37313976188598896</v>
      </c>
      <c r="BY63" s="1022">
        <f t="shared" si="164"/>
        <v>0.21699953914641665</v>
      </c>
    </row>
    <row r="64" spans="1:77">
      <c r="A64" s="1011">
        <v>1987</v>
      </c>
      <c r="B64" s="1012">
        <f>RunXAge!F13</f>
        <v>829.0813769662476</v>
      </c>
      <c r="C64" s="1012">
        <f t="shared" si="113"/>
        <v>2352.3127612490775</v>
      </c>
      <c r="D64" s="1012">
        <f t="shared" si="152"/>
        <v>2590.6103654554818</v>
      </c>
      <c r="E64" s="1012">
        <f t="shared" ref="E64:E93" si="169">AVERAGE(B61:B63)</f>
        <v>2026.9657320603426</v>
      </c>
      <c r="F64" s="1012">
        <f t="shared" si="153"/>
        <v>2033.2724078773708</v>
      </c>
      <c r="G64" s="1012">
        <f t="shared" si="165"/>
        <v>2341.9227877802741</v>
      </c>
      <c r="I64" s="1018">
        <f t="shared" si="154"/>
        <v>1523.2313842828298</v>
      </c>
      <c r="J64" s="1018">
        <f t="shared" si="115"/>
        <v>1761.5289884892341</v>
      </c>
      <c r="K64" s="1018">
        <f t="shared" si="131"/>
        <v>1197.8843550940951</v>
      </c>
      <c r="L64" s="1018">
        <f t="shared" si="155"/>
        <v>1204.1910309111231</v>
      </c>
      <c r="M64" s="1018">
        <f t="shared" si="156"/>
        <v>1512.8414108140264</v>
      </c>
      <c r="O64" s="1016">
        <f t="shared" si="116"/>
        <v>1.8372519593391392</v>
      </c>
      <c r="P64" s="1016">
        <f t="shared" si="117"/>
        <v>2.1246756198227175</v>
      </c>
      <c r="Q64" s="1016">
        <f t="shared" si="132"/>
        <v>1.4448332677274232</v>
      </c>
      <c r="R64" s="1016">
        <f t="shared" si="143"/>
        <v>1.4524400913665034</v>
      </c>
      <c r="S64" s="1016">
        <f t="shared" si="166"/>
        <v>1.824720049013494</v>
      </c>
      <c r="U64" s="1022">
        <f t="shared" si="118"/>
        <v>1.8372519593391392</v>
      </c>
      <c r="V64" s="1022">
        <f t="shared" si="119"/>
        <v>2.1246756198227175</v>
      </c>
      <c r="W64" s="1022">
        <f t="shared" si="133"/>
        <v>1.4448332677274232</v>
      </c>
      <c r="X64" s="1022">
        <f t="shared" si="144"/>
        <v>1.4524400913665034</v>
      </c>
      <c r="Y64" s="1022">
        <f t="shared" si="157"/>
        <v>1.824720049013494</v>
      </c>
      <c r="AA64" s="1011">
        <v>1987</v>
      </c>
      <c r="AB64" s="1012">
        <f>RunXAge!$I13</f>
        <v>9999.4706742550006</v>
      </c>
      <c r="AC64" s="1012">
        <f t="shared" si="120"/>
        <v>21883.545512662899</v>
      </c>
      <c r="AD64" s="1012">
        <f t="shared" ref="AD64:AD93" si="170">AVERAGE(AB62:AB63)</f>
        <v>17061.697241835784</v>
      </c>
      <c r="AE64" s="1012">
        <f>AVERAGE(AB61:AB63)</f>
        <v>15769.155629430059</v>
      </c>
      <c r="AF64" s="1012">
        <f>AVERAGE(AB60:AB63)</f>
        <v>20306.249403692629</v>
      </c>
      <c r="AG64" s="1012">
        <f>AVERAGE(AB59:AB63)</f>
        <v>21287.239350463155</v>
      </c>
      <c r="AI64" s="1018">
        <f t="shared" si="121"/>
        <v>11884.074838407898</v>
      </c>
      <c r="AJ64" s="1018">
        <f t="shared" si="134"/>
        <v>7062.226567580783</v>
      </c>
      <c r="AK64" s="1018">
        <f t="shared" si="135"/>
        <v>5769.6849551750583</v>
      </c>
      <c r="AL64" s="1018">
        <f t="shared" si="145"/>
        <v>10306.778729437628</v>
      </c>
      <c r="AM64" s="1018">
        <f t="shared" si="158"/>
        <v>11287.768676208154</v>
      </c>
      <c r="AO64" s="1016">
        <f t="shared" si="167"/>
        <v>1.1884703926383891</v>
      </c>
      <c r="AP64" s="1016">
        <f t="shared" si="136"/>
        <v>0.70626004092031069</v>
      </c>
      <c r="AQ64" s="1016">
        <f t="shared" si="137"/>
        <v>0.57699903756204796</v>
      </c>
      <c r="AR64" s="1016">
        <f t="shared" si="146"/>
        <v>1.0307324322650233</v>
      </c>
      <c r="AS64" s="1016">
        <f t="shared" si="159"/>
        <v>1.1288366198492938</v>
      </c>
      <c r="AU64" s="1022">
        <f t="shared" si="122"/>
        <v>1.1884703926383891</v>
      </c>
      <c r="AV64" s="1022">
        <f t="shared" si="123"/>
        <v>0.70626004092031069</v>
      </c>
      <c r="AW64" s="1022">
        <f t="shared" si="138"/>
        <v>0.57699903756204796</v>
      </c>
      <c r="AX64" s="1022">
        <f t="shared" si="147"/>
        <v>1.0307324322650233</v>
      </c>
      <c r="AY64" s="1022">
        <f t="shared" si="160"/>
        <v>1.1288366198492938</v>
      </c>
      <c r="BA64" s="1011">
        <v>1987</v>
      </c>
      <c r="BB64" s="1012">
        <f>RunXAge!$M13</f>
        <v>26330.256303849499</v>
      </c>
      <c r="BC64" s="1012">
        <f t="shared" si="124"/>
        <v>14046.524022621099</v>
      </c>
      <c r="BD64" s="1012">
        <f t="shared" si="139"/>
        <v>20018.557996944837</v>
      </c>
      <c r="BE64" s="1012">
        <f t="shared" si="148"/>
        <v>20717.969428628203</v>
      </c>
      <c r="BF64" s="1012">
        <f t="shared" si="161"/>
        <v>19786.143253351125</v>
      </c>
      <c r="BG64" s="1012">
        <f t="shared" si="168"/>
        <v>18239.57732592243</v>
      </c>
      <c r="BI64" s="1018">
        <f t="shared" si="125"/>
        <v>-12283.7322812284</v>
      </c>
      <c r="BJ64" s="1018">
        <f t="shared" si="126"/>
        <v>-6311.6983069046619</v>
      </c>
      <c r="BK64" s="1018">
        <f t="shared" si="140"/>
        <v>-5612.2868752212962</v>
      </c>
      <c r="BL64" s="1018">
        <f t="shared" si="149"/>
        <v>-6544.1130504983739</v>
      </c>
      <c r="BM64" s="1018">
        <f t="shared" si="162"/>
        <v>-8090.6789779270694</v>
      </c>
      <c r="BO64" s="1016">
        <f t="shared" si="127"/>
        <v>-0.466525359247358</v>
      </c>
      <c r="BP64" s="1016">
        <f t="shared" si="128"/>
        <v>-0.23971275608061163</v>
      </c>
      <c r="BQ64" s="1016">
        <f t="shared" si="141"/>
        <v>-0.21314972442561361</v>
      </c>
      <c r="BR64" s="1016">
        <f t="shared" si="150"/>
        <v>-0.24853966383690768</v>
      </c>
      <c r="BS64" s="1016">
        <f t="shared" si="163"/>
        <v>-0.30727687890923444</v>
      </c>
      <c r="BU64" s="1022">
        <f t="shared" si="129"/>
        <v>0.466525359247358</v>
      </c>
      <c r="BV64" s="1022">
        <f t="shared" si="130"/>
        <v>0.23971275608061163</v>
      </c>
      <c r="BW64" s="1022">
        <f t="shared" si="142"/>
        <v>0.21314972442561361</v>
      </c>
      <c r="BX64" s="1022">
        <f t="shared" si="151"/>
        <v>0.24853966383690768</v>
      </c>
      <c r="BY64" s="1022">
        <f t="shared" si="164"/>
        <v>0.30727687890923444</v>
      </c>
    </row>
    <row r="65" spans="1:77">
      <c r="A65" s="1011">
        <v>1988</v>
      </c>
      <c r="B65" s="1012">
        <f>RunXAge!F14</f>
        <v>970.49665261591872</v>
      </c>
      <c r="C65" s="1012">
        <f t="shared" si="113"/>
        <v>829.0813769662476</v>
      </c>
      <c r="D65" s="1012">
        <f t="shared" si="152"/>
        <v>1590.6970691076626</v>
      </c>
      <c r="E65" s="1012">
        <f t="shared" si="169"/>
        <v>2003.4340359590703</v>
      </c>
      <c r="F65" s="1012">
        <f t="shared" si="153"/>
        <v>1727.4946432868187</v>
      </c>
      <c r="G65" s="1012">
        <f t="shared" si="165"/>
        <v>1792.4342016951462</v>
      </c>
      <c r="I65" s="1018">
        <f t="shared" si="154"/>
        <v>-141.41527564967112</v>
      </c>
      <c r="J65" s="1018">
        <f t="shared" si="115"/>
        <v>620.20041649174391</v>
      </c>
      <c r="K65" s="1018">
        <f t="shared" si="131"/>
        <v>1032.9373833431516</v>
      </c>
      <c r="L65" s="1018">
        <f t="shared" si="155"/>
        <v>756.99799067089998</v>
      </c>
      <c r="M65" s="1018">
        <f t="shared" si="156"/>
        <v>821.93754907922744</v>
      </c>
      <c r="O65" s="1016">
        <f t="shared" si="116"/>
        <v>-0.14571433633335495</v>
      </c>
      <c r="P65" s="1016">
        <f t="shared" si="117"/>
        <v>0.6390546683700854</v>
      </c>
      <c r="Q65" s="1016">
        <f t="shared" si="132"/>
        <v>1.0643389449710388</v>
      </c>
      <c r="R65" s="1016">
        <f t="shared" si="143"/>
        <v>0.78001092392277172</v>
      </c>
      <c r="S65" s="1016">
        <f t="shared" si="166"/>
        <v>0.84692466157790591</v>
      </c>
      <c r="U65" s="1022">
        <f t="shared" si="118"/>
        <v>0.14571433633335495</v>
      </c>
      <c r="V65" s="1022">
        <f t="shared" si="119"/>
        <v>0.6390546683700854</v>
      </c>
      <c r="W65" s="1022">
        <f t="shared" si="133"/>
        <v>1.0643389449710388</v>
      </c>
      <c r="X65" s="1022">
        <f t="shared" si="144"/>
        <v>0.78001092392277172</v>
      </c>
      <c r="Y65" s="1022">
        <f t="shared" si="157"/>
        <v>0.84692466157790591</v>
      </c>
      <c r="AA65" s="1011">
        <v>1988</v>
      </c>
      <c r="AB65" s="1012">
        <f>RunXAge!$I14</f>
        <v>7774.8899436789352</v>
      </c>
      <c r="AC65" s="1012">
        <f t="shared" si="120"/>
        <v>9999.4706742550006</v>
      </c>
      <c r="AD65" s="1012">
        <f t="shared" si="170"/>
        <v>15941.50809345895</v>
      </c>
      <c r="AE65" s="1012">
        <f t="shared" ref="AE65:AE93" si="171">AVERAGE(AB62:AB64)</f>
        <v>14707.621719308858</v>
      </c>
      <c r="AF65" s="1012">
        <f t="shared" ref="AF65:AF93" si="172">AVERAGE(AB61:AB64)</f>
        <v>14326.734390636295</v>
      </c>
      <c r="AG65" s="1012">
        <f>AVERAGE(AB60:AB64)</f>
        <v>18244.893657805103</v>
      </c>
      <c r="AI65" s="1018">
        <f t="shared" si="121"/>
        <v>2224.5807305760654</v>
      </c>
      <c r="AJ65" s="1018">
        <f t="shared" si="134"/>
        <v>8166.6181497800144</v>
      </c>
      <c r="AK65" s="1018">
        <f t="shared" si="135"/>
        <v>6932.7317756299226</v>
      </c>
      <c r="AL65" s="1018">
        <f t="shared" si="145"/>
        <v>6551.8444469573597</v>
      </c>
      <c r="AM65" s="1018">
        <f t="shared" si="158"/>
        <v>10470.003714126167</v>
      </c>
      <c r="AO65" s="1016">
        <f t="shared" si="167"/>
        <v>0.28612375823849084</v>
      </c>
      <c r="AP65" s="1016">
        <f t="shared" si="136"/>
        <v>1.0503837622061207</v>
      </c>
      <c r="AQ65" s="1016">
        <f t="shared" si="137"/>
        <v>0.89168230365322465</v>
      </c>
      <c r="AR65" s="1016">
        <f t="shared" si="146"/>
        <v>0.8426928862554609</v>
      </c>
      <c r="AS65" s="1016">
        <f t="shared" si="159"/>
        <v>1.3466433338568846</v>
      </c>
      <c r="AU65" s="1022">
        <f t="shared" si="122"/>
        <v>0.28612375823849084</v>
      </c>
      <c r="AV65" s="1022">
        <f t="shared" si="123"/>
        <v>1.0503837622061207</v>
      </c>
      <c r="AW65" s="1022">
        <f t="shared" si="138"/>
        <v>0.89168230365322465</v>
      </c>
      <c r="AX65" s="1022">
        <f t="shared" si="147"/>
        <v>0.8426928862554609</v>
      </c>
      <c r="AY65" s="1022">
        <f t="shared" si="160"/>
        <v>1.3466433338568846</v>
      </c>
      <c r="BA65" s="1011">
        <v>1988</v>
      </c>
      <c r="BB65" s="1012">
        <f>RunXAge!$M14</f>
        <v>19096.623109347878</v>
      </c>
      <c r="BC65" s="1012">
        <f t="shared" si="124"/>
        <v>26330.256303849499</v>
      </c>
      <c r="BD65" s="1012">
        <f t="shared" si="139"/>
        <v>20188.390163235301</v>
      </c>
      <c r="BE65" s="1012">
        <f t="shared" si="148"/>
        <v>22122.457432579726</v>
      </c>
      <c r="BF65" s="1012">
        <f t="shared" si="161"/>
        <v>22121.041147433527</v>
      </c>
      <c r="BG65" s="1012">
        <f t="shared" si="168"/>
        <v>21094.965863450801</v>
      </c>
      <c r="BI65" s="1018">
        <f t="shared" si="125"/>
        <v>7233.6331945016209</v>
      </c>
      <c r="BJ65" s="1018">
        <f t="shared" si="126"/>
        <v>1091.7670538874227</v>
      </c>
      <c r="BK65" s="1018">
        <f t="shared" si="140"/>
        <v>3025.8343232318475</v>
      </c>
      <c r="BL65" s="1018">
        <f t="shared" si="149"/>
        <v>3024.4180380856487</v>
      </c>
      <c r="BM65" s="1018">
        <f t="shared" si="162"/>
        <v>1998.3427541029232</v>
      </c>
      <c r="BO65" s="1016">
        <f t="shared" si="127"/>
        <v>0.37879122152024497</v>
      </c>
      <c r="BP65" s="1016">
        <f t="shared" si="128"/>
        <v>5.7170686546827124E-2</v>
      </c>
      <c r="BQ65" s="1016">
        <f t="shared" si="141"/>
        <v>0.1584486590066643</v>
      </c>
      <c r="BR65" s="1016">
        <f t="shared" si="150"/>
        <v>0.1583744948396234</v>
      </c>
      <c r="BS65" s="1016">
        <f t="shared" si="163"/>
        <v>0.10464377616190823</v>
      </c>
      <c r="BU65" s="1022">
        <f t="shared" si="129"/>
        <v>0.37879122152024497</v>
      </c>
      <c r="BV65" s="1022">
        <f t="shared" si="130"/>
        <v>5.7170686546827124E-2</v>
      </c>
      <c r="BW65" s="1022">
        <f t="shared" si="142"/>
        <v>0.1584486590066643</v>
      </c>
      <c r="BX65" s="1022">
        <f t="shared" si="151"/>
        <v>0.1583744948396234</v>
      </c>
      <c r="BY65" s="1022">
        <f t="shared" si="164"/>
        <v>0.10464377616190823</v>
      </c>
    </row>
    <row r="66" spans="1:77">
      <c r="A66" s="1011">
        <v>1989</v>
      </c>
      <c r="B66" s="1012">
        <f>RunXAge!F15</f>
        <v>792.5086678979942</v>
      </c>
      <c r="C66" s="1012">
        <f t="shared" si="113"/>
        <v>970.49665261591872</v>
      </c>
      <c r="D66" s="1012">
        <f t="shared" si="152"/>
        <v>899.78901479108322</v>
      </c>
      <c r="E66" s="1012">
        <f t="shared" si="169"/>
        <v>1383.9635969437479</v>
      </c>
      <c r="F66" s="1012">
        <f t="shared" si="153"/>
        <v>1745.1996901232824</v>
      </c>
      <c r="G66" s="1012">
        <f t="shared" si="165"/>
        <v>1576.0950451526387</v>
      </c>
      <c r="I66" s="1018">
        <f t="shared" si="154"/>
        <v>177.98798471792452</v>
      </c>
      <c r="J66" s="1018">
        <f t="shared" si="115"/>
        <v>107.28034689308902</v>
      </c>
      <c r="K66" s="1018">
        <f t="shared" si="131"/>
        <v>591.45492904575372</v>
      </c>
      <c r="L66" s="1018">
        <f t="shared" si="155"/>
        <v>952.69102222528818</v>
      </c>
      <c r="M66" s="1018">
        <f t="shared" si="156"/>
        <v>783.5863772546445</v>
      </c>
      <c r="O66" s="1016">
        <f t="shared" si="116"/>
        <v>0.22458806058236552</v>
      </c>
      <c r="P66" s="1016">
        <f t="shared" si="117"/>
        <v>0.13536804231761077</v>
      </c>
      <c r="Q66" s="1016">
        <f t="shared" si="132"/>
        <v>0.74630720521265181</v>
      </c>
      <c r="R66" s="1016">
        <f t="shared" si="143"/>
        <v>1.2021206339006394</v>
      </c>
      <c r="S66" s="1016">
        <f t="shared" si="166"/>
        <v>0.98874171223008234</v>
      </c>
      <c r="U66" s="1022">
        <f t="shared" si="118"/>
        <v>0.22458806058236552</v>
      </c>
      <c r="V66" s="1022">
        <f t="shared" si="119"/>
        <v>0.13536804231761077</v>
      </c>
      <c r="W66" s="1022">
        <f t="shared" si="133"/>
        <v>0.74630720521265181</v>
      </c>
      <c r="X66" s="1022">
        <f t="shared" si="144"/>
        <v>1.2021206339006394</v>
      </c>
      <c r="Y66" s="1022">
        <f t="shared" si="157"/>
        <v>0.98874171223008234</v>
      </c>
      <c r="AA66" s="1011">
        <v>1989</v>
      </c>
      <c r="AB66" s="1012">
        <f>RunXAge!$I15</f>
        <v>7598.0514565308968</v>
      </c>
      <c r="AC66" s="1012">
        <f t="shared" si="120"/>
        <v>7774.8899436789352</v>
      </c>
      <c r="AD66" s="1012">
        <f t="shared" si="170"/>
        <v>8887.1803089669684</v>
      </c>
      <c r="AE66" s="1012">
        <f t="shared" si="171"/>
        <v>13219.302043532278</v>
      </c>
      <c r="AF66" s="1012">
        <f t="shared" si="172"/>
        <v>12974.438775401377</v>
      </c>
      <c r="AG66" s="1012">
        <f t="shared" ref="AG66:AG93" si="173">AVERAGE(AB61:AB65)</f>
        <v>13016.365501244823</v>
      </c>
      <c r="AI66" s="1018">
        <f t="shared" si="121"/>
        <v>176.83848714803844</v>
      </c>
      <c r="AJ66" s="1018">
        <f t="shared" si="134"/>
        <v>1289.1288524360716</v>
      </c>
      <c r="AK66" s="1018">
        <f t="shared" si="135"/>
        <v>5621.2505870013811</v>
      </c>
      <c r="AL66" s="1018">
        <f t="shared" si="145"/>
        <v>5376.3873188704802</v>
      </c>
      <c r="AM66" s="1018">
        <f t="shared" si="158"/>
        <v>5418.3140447139267</v>
      </c>
      <c r="AO66" s="1016">
        <f t="shared" si="167"/>
        <v>2.3274189199658173E-2</v>
      </c>
      <c r="AP66" s="1016">
        <f t="shared" si="136"/>
        <v>0.16966571756078361</v>
      </c>
      <c r="AQ66" s="1016">
        <f t="shared" si="137"/>
        <v>0.73982791761296129</v>
      </c>
      <c r="AR66" s="1016">
        <f t="shared" si="146"/>
        <v>0.70760080392048574</v>
      </c>
      <c r="AS66" s="1016">
        <f t="shared" si="159"/>
        <v>0.71311889314155941</v>
      </c>
      <c r="AU66" s="1022">
        <f t="shared" si="122"/>
        <v>2.3274189199658173E-2</v>
      </c>
      <c r="AV66" s="1022">
        <f t="shared" si="123"/>
        <v>0.16966571756078361</v>
      </c>
      <c r="AW66" s="1022">
        <f t="shared" si="138"/>
        <v>0.73982791761296129</v>
      </c>
      <c r="AX66" s="1022">
        <f t="shared" si="147"/>
        <v>0.70760080392048574</v>
      </c>
      <c r="AY66" s="1022">
        <f t="shared" si="160"/>
        <v>0.71311889314155941</v>
      </c>
      <c r="BA66" s="1011">
        <v>1989</v>
      </c>
      <c r="BB66" s="1012">
        <f>RunXAge!$M15</f>
        <v>19097.45254528369</v>
      </c>
      <c r="BC66" s="1012">
        <f t="shared" si="124"/>
        <v>19096.623109347878</v>
      </c>
      <c r="BD66" s="1012">
        <f t="shared" si="139"/>
        <v>22713.439706598689</v>
      </c>
      <c r="BE66" s="1012">
        <f t="shared" si="148"/>
        <v>19824.467811939492</v>
      </c>
      <c r="BF66" s="1012">
        <f t="shared" si="161"/>
        <v>21365.998851771765</v>
      </c>
      <c r="BG66" s="1012">
        <f t="shared" si="168"/>
        <v>21516.157539816399</v>
      </c>
      <c r="BI66" s="1018">
        <f t="shared" si="125"/>
        <v>-0.82943593581148889</v>
      </c>
      <c r="BJ66" s="1018">
        <f t="shared" si="126"/>
        <v>3615.987161314999</v>
      </c>
      <c r="BK66" s="1018">
        <f t="shared" si="140"/>
        <v>727.01526665580241</v>
      </c>
      <c r="BL66" s="1018">
        <f t="shared" si="149"/>
        <v>2268.5463064880751</v>
      </c>
      <c r="BM66" s="1018">
        <f t="shared" si="162"/>
        <v>2418.704994532709</v>
      </c>
      <c r="BO66" s="1016">
        <f t="shared" si="127"/>
        <v>-4.3431757918745374E-5</v>
      </c>
      <c r="BP66" s="1016">
        <f t="shared" si="128"/>
        <v>0.18934395321788633</v>
      </c>
      <c r="BQ66" s="1016">
        <f t="shared" si="141"/>
        <v>3.8068703924353839E-2</v>
      </c>
      <c r="BR66" s="1016">
        <f t="shared" si="150"/>
        <v>0.11878790121922914</v>
      </c>
      <c r="BS66" s="1016">
        <f t="shared" si="163"/>
        <v>0.12665066132760375</v>
      </c>
      <c r="BU66" s="1022">
        <f t="shared" si="129"/>
        <v>4.3431757918745374E-5</v>
      </c>
      <c r="BV66" s="1022">
        <f t="shared" si="130"/>
        <v>0.18934395321788633</v>
      </c>
      <c r="BW66" s="1022">
        <f t="shared" si="142"/>
        <v>3.8068703924353839E-2</v>
      </c>
      <c r="BX66" s="1022">
        <f t="shared" si="151"/>
        <v>0.11878790121922914</v>
      </c>
      <c r="BY66" s="1022">
        <f t="shared" si="164"/>
        <v>0.12665066132760375</v>
      </c>
    </row>
    <row r="67" spans="1:77">
      <c r="A67" s="1011">
        <v>1990</v>
      </c>
      <c r="B67" s="1012">
        <f>RunXAge!F16</f>
        <v>1269.4023041474654</v>
      </c>
      <c r="C67" s="1012">
        <f t="shared" si="113"/>
        <v>792.5086678979942</v>
      </c>
      <c r="D67" s="1012">
        <f t="shared" si="152"/>
        <v>881.50266025695646</v>
      </c>
      <c r="E67" s="1012">
        <f t="shared" si="169"/>
        <v>864.02889916005358</v>
      </c>
      <c r="F67" s="1012">
        <f t="shared" si="153"/>
        <v>1236.0998646823095</v>
      </c>
      <c r="G67" s="1012">
        <f t="shared" si="165"/>
        <v>1554.6614856782248</v>
      </c>
      <c r="I67" s="1018">
        <f t="shared" si="154"/>
        <v>-476.89363624947123</v>
      </c>
      <c r="J67" s="1018">
        <f t="shared" si="115"/>
        <v>-387.89964389050897</v>
      </c>
      <c r="K67" s="1018">
        <f t="shared" si="131"/>
        <v>-405.37340498741185</v>
      </c>
      <c r="L67" s="1018">
        <f t="shared" si="155"/>
        <v>-33.302439465155885</v>
      </c>
      <c r="M67" s="1018">
        <f t="shared" si="156"/>
        <v>285.25918153075941</v>
      </c>
      <c r="O67" s="1016">
        <f t="shared" si="116"/>
        <v>-0.37568360691589769</v>
      </c>
      <c r="P67" s="1016">
        <f t="shared" si="117"/>
        <v>-0.30557660295962957</v>
      </c>
      <c r="Q67" s="1016">
        <f t="shared" si="132"/>
        <v>-0.31934194830350643</v>
      </c>
      <c r="R67" s="1016">
        <f t="shared" si="143"/>
        <v>-2.623474004761785E-2</v>
      </c>
      <c r="S67" s="1016">
        <f t="shared" si="166"/>
        <v>0.22471928765115987</v>
      </c>
      <c r="U67" s="1022">
        <f t="shared" si="118"/>
        <v>0.37568360691589769</v>
      </c>
      <c r="V67" s="1022">
        <f t="shared" si="119"/>
        <v>0.30557660295962957</v>
      </c>
      <c r="W67" s="1022">
        <f t="shared" si="133"/>
        <v>0.31934194830350643</v>
      </c>
      <c r="X67" s="1022">
        <f t="shared" si="144"/>
        <v>2.623474004761785E-2</v>
      </c>
      <c r="Y67" s="1022">
        <f t="shared" si="157"/>
        <v>0.22471928765115987</v>
      </c>
      <c r="AA67" s="1011">
        <v>1990</v>
      </c>
      <c r="AB67" s="1012">
        <f>RunXAge!$I16</f>
        <v>5597.4829838087717</v>
      </c>
      <c r="AC67" s="1012">
        <f t="shared" si="120"/>
        <v>7598.0514565308968</v>
      </c>
      <c r="AD67" s="1012">
        <f t="shared" si="170"/>
        <v>7686.4707001049155</v>
      </c>
      <c r="AE67" s="1012">
        <f t="shared" si="171"/>
        <v>8457.4706914882772</v>
      </c>
      <c r="AF67" s="1012">
        <f t="shared" si="172"/>
        <v>11813.989396781933</v>
      </c>
      <c r="AG67" s="1012">
        <f t="shared" si="173"/>
        <v>11899.161311627282</v>
      </c>
      <c r="AI67" s="1018">
        <f t="shared" si="121"/>
        <v>2000.5684727221251</v>
      </c>
      <c r="AJ67" s="1018">
        <f t="shared" si="134"/>
        <v>2088.9877162961438</v>
      </c>
      <c r="AK67" s="1018">
        <f t="shared" si="135"/>
        <v>2859.9877076795055</v>
      </c>
      <c r="AL67" s="1018">
        <f t="shared" si="145"/>
        <v>6216.5064129731618</v>
      </c>
      <c r="AM67" s="1018">
        <f t="shared" si="158"/>
        <v>6301.6783278185103</v>
      </c>
      <c r="AO67" s="1016">
        <f t="shared" si="167"/>
        <v>0.35740501195071983</v>
      </c>
      <c r="AP67" s="1016">
        <f t="shared" si="136"/>
        <v>0.37320126248507246</v>
      </c>
      <c r="AQ67" s="1016">
        <f t="shared" si="137"/>
        <v>0.51094174219953503</v>
      </c>
      <c r="AR67" s="1016">
        <f t="shared" si="146"/>
        <v>1.1105896044623935</v>
      </c>
      <c r="AS67" s="1016">
        <f t="shared" si="159"/>
        <v>1.1258057141123408</v>
      </c>
      <c r="AU67" s="1022">
        <f t="shared" si="122"/>
        <v>0.35740501195071983</v>
      </c>
      <c r="AV67" s="1022">
        <f t="shared" si="123"/>
        <v>0.37320126248507246</v>
      </c>
      <c r="AW67" s="1022">
        <f t="shared" si="138"/>
        <v>0.51094174219953503</v>
      </c>
      <c r="AX67" s="1022">
        <f t="shared" si="147"/>
        <v>1.1105896044623935</v>
      </c>
      <c r="AY67" s="1022">
        <f t="shared" si="160"/>
        <v>1.1258057141123408</v>
      </c>
      <c r="BA67" s="1011">
        <v>1990</v>
      </c>
      <c r="BB67" s="1012">
        <f>RunXAge!$M16</f>
        <v>11771.369585253457</v>
      </c>
      <c r="BC67" s="1012">
        <f t="shared" si="124"/>
        <v>19097.45254528369</v>
      </c>
      <c r="BD67" s="1012">
        <f t="shared" si="139"/>
        <v>19097.037827315784</v>
      </c>
      <c r="BE67" s="1012">
        <f t="shared" si="148"/>
        <v>21508.110652827021</v>
      </c>
      <c r="BF67" s="1012">
        <f t="shared" si="161"/>
        <v>19642.713995275542</v>
      </c>
      <c r="BG67" s="1012">
        <f t="shared" si="168"/>
        <v>20912.289590474149</v>
      </c>
      <c r="BI67" s="1018">
        <f t="shared" si="125"/>
        <v>7326.0829600302332</v>
      </c>
      <c r="BJ67" s="1018">
        <f t="shared" si="126"/>
        <v>7325.6682420623274</v>
      </c>
      <c r="BK67" s="1018">
        <f t="shared" si="140"/>
        <v>9736.7410675735646</v>
      </c>
      <c r="BL67" s="1018">
        <f t="shared" si="149"/>
        <v>7871.3444100220859</v>
      </c>
      <c r="BM67" s="1018">
        <f t="shared" si="162"/>
        <v>9140.9200052206925</v>
      </c>
      <c r="BO67" s="1016">
        <f t="shared" si="127"/>
        <v>0.62236453515213375</v>
      </c>
      <c r="BP67" s="1016">
        <f t="shared" si="128"/>
        <v>0.62232930408026044</v>
      </c>
      <c r="BQ67" s="1016">
        <f t="shared" si="141"/>
        <v>0.82715447824960264</v>
      </c>
      <c r="BR67" s="1016">
        <f t="shared" si="150"/>
        <v>0.66868552151169269</v>
      </c>
      <c r="BS67" s="1016">
        <f t="shared" si="163"/>
        <v>0.77653835766671953</v>
      </c>
      <c r="BU67" s="1022">
        <f t="shared" si="129"/>
        <v>0.62236453515213375</v>
      </c>
      <c r="BV67" s="1022">
        <f t="shared" si="130"/>
        <v>0.62232930408026044</v>
      </c>
      <c r="BW67" s="1022">
        <f t="shared" si="142"/>
        <v>0.82715447824960264</v>
      </c>
      <c r="BX67" s="1022">
        <f t="shared" si="151"/>
        <v>0.66868552151169269</v>
      </c>
      <c r="BY67" s="1022">
        <f t="shared" si="164"/>
        <v>0.77653835766671953</v>
      </c>
    </row>
    <row r="68" spans="1:77">
      <c r="A68" s="1011">
        <v>1991</v>
      </c>
      <c r="B68" s="1012">
        <f>RunXAge!F17</f>
        <v>1146.4398068299413</v>
      </c>
      <c r="C68" s="1012">
        <f t="shared" si="113"/>
        <v>1269.4023041474654</v>
      </c>
      <c r="D68" s="1012">
        <f t="shared" si="152"/>
        <v>1030.9554860227299</v>
      </c>
      <c r="E68" s="1012">
        <f t="shared" si="169"/>
        <v>1010.8025415537928</v>
      </c>
      <c r="F68" s="1012">
        <f t="shared" si="153"/>
        <v>965.37225040690646</v>
      </c>
      <c r="G68" s="1012">
        <f t="shared" si="165"/>
        <v>1242.7603525753407</v>
      </c>
      <c r="I68" s="1018">
        <f>C68-$B68</f>
        <v>122.96249731752414</v>
      </c>
      <c r="J68" s="1018">
        <f t="shared" si="115"/>
        <v>-115.48432080721136</v>
      </c>
      <c r="K68" s="1018">
        <f t="shared" si="131"/>
        <v>-135.63726527614847</v>
      </c>
      <c r="L68" s="1018">
        <f t="shared" si="155"/>
        <v>-181.06755642303483</v>
      </c>
      <c r="M68" s="1018">
        <f t="shared" si="156"/>
        <v>96.320545745399386</v>
      </c>
      <c r="O68" s="1016">
        <f t="shared" si="116"/>
        <v>0.10725595586002183</v>
      </c>
      <c r="P68" s="1016">
        <f t="shared" si="117"/>
        <v>-0.10073299977827958</v>
      </c>
      <c r="Q68" s="1016">
        <f t="shared" si="132"/>
        <v>-0.1183117198723268</v>
      </c>
      <c r="R68" s="1016">
        <f t="shared" si="143"/>
        <v>-0.15793899980122875</v>
      </c>
      <c r="S68" s="1016">
        <f t="shared" si="166"/>
        <v>8.4017098125490353E-2</v>
      </c>
      <c r="U68" s="1022">
        <f t="shared" si="118"/>
        <v>0.10725595586002183</v>
      </c>
      <c r="V68" s="1022">
        <f t="shared" si="119"/>
        <v>0.10073299977827958</v>
      </c>
      <c r="W68" s="1022">
        <f t="shared" si="133"/>
        <v>0.1183117198723268</v>
      </c>
      <c r="X68" s="1022">
        <f t="shared" si="144"/>
        <v>0.15793899980122875</v>
      </c>
      <c r="Y68" s="1022">
        <f t="shared" si="157"/>
        <v>8.4017098125490353E-2</v>
      </c>
      <c r="AA68" s="1011">
        <v>1991</v>
      </c>
      <c r="AB68" s="1012">
        <f>RunXAge!$I17</f>
        <v>19786.664539496378</v>
      </c>
      <c r="AC68" s="1012">
        <f t="shared" si="120"/>
        <v>5597.4829838087717</v>
      </c>
      <c r="AD68" s="1012">
        <f t="shared" si="170"/>
        <v>6597.7672201698342</v>
      </c>
      <c r="AE68" s="1012">
        <f t="shared" si="171"/>
        <v>6990.1414613395345</v>
      </c>
      <c r="AF68" s="1012">
        <f t="shared" si="172"/>
        <v>7742.4737645684008</v>
      </c>
      <c r="AG68" s="1012">
        <f t="shared" si="173"/>
        <v>10570.688114187302</v>
      </c>
      <c r="AI68" s="1018">
        <f t="shared" si="121"/>
        <v>-14189.181555687606</v>
      </c>
      <c r="AJ68" s="1018">
        <f t="shared" si="134"/>
        <v>-13188.897319326545</v>
      </c>
      <c r="AK68" s="1018">
        <f t="shared" si="135"/>
        <v>-12796.523078156843</v>
      </c>
      <c r="AL68" s="1018">
        <f t="shared" si="145"/>
        <v>-12044.190774927978</v>
      </c>
      <c r="AM68" s="1018">
        <f t="shared" si="158"/>
        <v>-9215.9764253090761</v>
      </c>
      <c r="AO68" s="1016">
        <f t="shared" si="167"/>
        <v>-0.71710830935473868</v>
      </c>
      <c r="AP68" s="1016">
        <f t="shared" si="136"/>
        <v>-0.66655485531682424</v>
      </c>
      <c r="AQ68" s="1016">
        <f t="shared" si="137"/>
        <v>-0.64672461862450659</v>
      </c>
      <c r="AR68" s="1016">
        <f t="shared" si="146"/>
        <v>-0.60870242940069241</v>
      </c>
      <c r="AS68" s="1016">
        <f t="shared" si="159"/>
        <v>-0.46576705269920377</v>
      </c>
      <c r="AU68" s="1022">
        <f t="shared" si="122"/>
        <v>0.71710830935473868</v>
      </c>
      <c r="AV68" s="1022">
        <f t="shared" si="123"/>
        <v>0.66655485531682424</v>
      </c>
      <c r="AW68" s="1022">
        <f t="shared" si="138"/>
        <v>0.64672461862450659</v>
      </c>
      <c r="AX68" s="1022">
        <f t="shared" si="147"/>
        <v>0.60870242940069241</v>
      </c>
      <c r="AY68" s="1022">
        <f t="shared" si="160"/>
        <v>0.46576705269920377</v>
      </c>
      <c r="BA68" s="1011">
        <v>1991</v>
      </c>
      <c r="BB68" s="1012">
        <f>RunXAge!$M17</f>
        <v>12019.484477406002</v>
      </c>
      <c r="BC68" s="1012">
        <f t="shared" si="124"/>
        <v>11771.369585253457</v>
      </c>
      <c r="BD68" s="1012">
        <f t="shared" si="139"/>
        <v>15434.411065268574</v>
      </c>
      <c r="BE68" s="1012">
        <f t="shared" si="148"/>
        <v>16655.14841329501</v>
      </c>
      <c r="BF68" s="1012">
        <f t="shared" si="161"/>
        <v>19073.925385933631</v>
      </c>
      <c r="BG68" s="1012">
        <f t="shared" si="168"/>
        <v>18068.445113271126</v>
      </c>
      <c r="BI68" s="1018">
        <f t="shared" si="125"/>
        <v>-248.11489215254551</v>
      </c>
      <c r="BJ68" s="1018">
        <f t="shared" si="126"/>
        <v>3414.926587862572</v>
      </c>
      <c r="BK68" s="1018">
        <f t="shared" si="140"/>
        <v>4635.6639358890079</v>
      </c>
      <c r="BL68" s="1018">
        <f t="shared" si="149"/>
        <v>7054.4409085276293</v>
      </c>
      <c r="BM68" s="1018">
        <f t="shared" si="162"/>
        <v>6048.9606358651235</v>
      </c>
      <c r="BO68" s="1016">
        <f t="shared" si="127"/>
        <v>-2.0642723289750666E-2</v>
      </c>
      <c r="BP68" s="1016">
        <f t="shared" si="128"/>
        <v>0.28411589484406641</v>
      </c>
      <c r="BQ68" s="1016">
        <f t="shared" si="141"/>
        <v>0.38567909835093517</v>
      </c>
      <c r="BR68" s="1016">
        <f t="shared" si="150"/>
        <v>0.58691709463816299</v>
      </c>
      <c r="BS68" s="1016">
        <f t="shared" si="163"/>
        <v>0.50326290176886079</v>
      </c>
      <c r="BU68" s="1022">
        <f t="shared" si="129"/>
        <v>2.0642723289750666E-2</v>
      </c>
      <c r="BV68" s="1022">
        <f t="shared" si="130"/>
        <v>0.28411589484406641</v>
      </c>
      <c r="BW68" s="1022">
        <f t="shared" si="142"/>
        <v>0.38567909835093517</v>
      </c>
      <c r="BX68" s="1022">
        <f t="shared" si="151"/>
        <v>0.58691709463816299</v>
      </c>
      <c r="BY68" s="1022">
        <f t="shared" si="164"/>
        <v>0.50326290176886079</v>
      </c>
    </row>
    <row r="69" spans="1:77">
      <c r="A69" s="1011">
        <v>1992</v>
      </c>
      <c r="B69" s="1012">
        <f>RunXAge!F18</f>
        <v>3824.0334757690807</v>
      </c>
      <c r="C69" s="1012">
        <f t="shared" si="113"/>
        <v>1146.4398068299413</v>
      </c>
      <c r="D69" s="1012">
        <f t="shared" si="152"/>
        <v>1207.9210554887034</v>
      </c>
      <c r="E69" s="1012">
        <f t="shared" si="169"/>
        <v>1069.4502596251339</v>
      </c>
      <c r="F69" s="1012">
        <f t="shared" si="153"/>
        <v>1044.71185787283</v>
      </c>
      <c r="G69" s="1012">
        <f t="shared" si="165"/>
        <v>1001.5857616915134</v>
      </c>
      <c r="I69" s="1018">
        <f t="shared" si="154"/>
        <v>-2677.5936689391392</v>
      </c>
      <c r="J69" s="1018">
        <f t="shared" si="115"/>
        <v>-2616.1124202803776</v>
      </c>
      <c r="K69" s="1018">
        <f t="shared" si="131"/>
        <v>-2754.5832161439466</v>
      </c>
      <c r="L69" s="1018">
        <f t="shared" si="155"/>
        <v>-2779.3216178962507</v>
      </c>
      <c r="M69" s="1018">
        <f t="shared" si="156"/>
        <v>-2822.4477140775671</v>
      </c>
      <c r="O69" s="1016">
        <f t="shared" si="116"/>
        <v>-0.7002014197589177</v>
      </c>
      <c r="P69" s="1016">
        <f t="shared" si="117"/>
        <v>-0.6841238281143005</v>
      </c>
      <c r="Q69" s="1016">
        <f t="shared" si="132"/>
        <v>-0.72033449330355337</v>
      </c>
      <c r="R69" s="1016">
        <f t="shared" si="143"/>
        <v>-0.72680368399162087</v>
      </c>
      <c r="S69" s="1016">
        <f t="shared" si="166"/>
        <v>-0.7380813300830017</v>
      </c>
      <c r="U69" s="1022">
        <f t="shared" si="118"/>
        <v>0.7002014197589177</v>
      </c>
      <c r="V69" s="1022">
        <f t="shared" si="119"/>
        <v>0.6841238281143005</v>
      </c>
      <c r="W69" s="1022">
        <f t="shared" si="133"/>
        <v>0.72033449330355337</v>
      </c>
      <c r="X69" s="1022">
        <f t="shared" si="144"/>
        <v>0.72680368399162087</v>
      </c>
      <c r="Y69" s="1022">
        <f t="shared" si="157"/>
        <v>0.7380813300830017</v>
      </c>
      <c r="AA69" s="1011">
        <v>1992</v>
      </c>
      <c r="AB69" s="1012">
        <f>RunXAge!$I18</f>
        <v>9375.3263410620893</v>
      </c>
      <c r="AC69" s="1012">
        <f t="shared" si="120"/>
        <v>19786.664539496378</v>
      </c>
      <c r="AD69" s="1012">
        <f t="shared" si="170"/>
        <v>12692.073761652575</v>
      </c>
      <c r="AE69" s="1012">
        <f t="shared" si="171"/>
        <v>10994.066326612015</v>
      </c>
      <c r="AF69" s="1012">
        <f t="shared" si="172"/>
        <v>10189.272230878745</v>
      </c>
      <c r="AG69" s="1012">
        <f t="shared" si="173"/>
        <v>10151.311919553997</v>
      </c>
      <c r="AI69" s="1018">
        <f t="shared" si="121"/>
        <v>10411.338198434289</v>
      </c>
      <c r="AJ69" s="1018">
        <f t="shared" si="134"/>
        <v>3316.7474205904855</v>
      </c>
      <c r="AK69" s="1018">
        <f t="shared" si="135"/>
        <v>1618.7399855499261</v>
      </c>
      <c r="AL69" s="1018">
        <f t="shared" si="145"/>
        <v>813.94588981665584</v>
      </c>
      <c r="AM69" s="1018">
        <f t="shared" si="158"/>
        <v>775.98557849190729</v>
      </c>
      <c r="AO69" s="1016">
        <f t="shared" si="167"/>
        <v>1.1105040848375241</v>
      </c>
      <c r="AP69" s="1016">
        <f t="shared" si="136"/>
        <v>0.35377407675547068</v>
      </c>
      <c r="AQ69" s="1016">
        <f t="shared" si="137"/>
        <v>0.1726595882278959</v>
      </c>
      <c r="AR69" s="1016">
        <f t="shared" si="146"/>
        <v>8.6817872808515745E-2</v>
      </c>
      <c r="AS69" s="1016">
        <f t="shared" si="159"/>
        <v>8.2768913876975436E-2</v>
      </c>
      <c r="AU69" s="1022">
        <f t="shared" si="122"/>
        <v>1.1105040848375241</v>
      </c>
      <c r="AV69" s="1022">
        <f t="shared" si="123"/>
        <v>0.35377407675547068</v>
      </c>
      <c r="AW69" s="1022">
        <f t="shared" si="138"/>
        <v>0.1726595882278959</v>
      </c>
      <c r="AX69" s="1022">
        <f t="shared" si="147"/>
        <v>8.6817872808515745E-2</v>
      </c>
      <c r="AY69" s="1022">
        <f t="shared" si="160"/>
        <v>8.2768913876975436E-2</v>
      </c>
      <c r="BA69" s="1011">
        <v>1992</v>
      </c>
      <c r="BB69" s="1012">
        <f>RunXAge!$M18</f>
        <v>43279.314721733841</v>
      </c>
      <c r="BC69" s="1012">
        <f t="shared" si="124"/>
        <v>12019.484477406002</v>
      </c>
      <c r="BD69" s="1012">
        <f t="shared" si="139"/>
        <v>11895.427031329729</v>
      </c>
      <c r="BE69" s="1012">
        <f t="shared" si="148"/>
        <v>14296.102202647717</v>
      </c>
      <c r="BF69" s="1012">
        <f t="shared" si="161"/>
        <v>15496.232429322758</v>
      </c>
      <c r="BG69" s="1012">
        <f t="shared" si="168"/>
        <v>17663.037204228105</v>
      </c>
      <c r="BI69" s="1018">
        <f t="shared" si="125"/>
        <v>-31259.830244327837</v>
      </c>
      <c r="BJ69" s="1018">
        <f t="shared" si="126"/>
        <v>-31383.88769040411</v>
      </c>
      <c r="BK69" s="1018">
        <f t="shared" si="140"/>
        <v>-28983.212519086126</v>
      </c>
      <c r="BL69" s="1018">
        <f t="shared" si="149"/>
        <v>-27783.082292411083</v>
      </c>
      <c r="BM69" s="1018">
        <f t="shared" si="162"/>
        <v>-25616.277517505736</v>
      </c>
      <c r="BO69" s="1016">
        <f t="shared" si="127"/>
        <v>-0.7222810815123627</v>
      </c>
      <c r="BP69" s="1016">
        <f t="shared" si="128"/>
        <v>-0.72514751890569717</v>
      </c>
      <c r="BQ69" s="1016">
        <f t="shared" si="141"/>
        <v>-0.66967817548486841</v>
      </c>
      <c r="BR69" s="1016">
        <f t="shared" si="150"/>
        <v>-0.6419482949543811</v>
      </c>
      <c r="BS69" s="1016">
        <f t="shared" si="163"/>
        <v>-0.59188269690050921</v>
      </c>
      <c r="BU69" s="1022">
        <f t="shared" si="129"/>
        <v>0.7222810815123627</v>
      </c>
      <c r="BV69" s="1022">
        <f t="shared" si="130"/>
        <v>0.72514751890569717</v>
      </c>
      <c r="BW69" s="1022">
        <f t="shared" si="142"/>
        <v>0.66967817548486841</v>
      </c>
      <c r="BX69" s="1022">
        <f t="shared" si="151"/>
        <v>0.6419482949543811</v>
      </c>
      <c r="BY69" s="1022">
        <f t="shared" si="164"/>
        <v>0.59188269690050921</v>
      </c>
    </row>
    <row r="70" spans="1:77">
      <c r="A70" s="1011">
        <v>1993</v>
      </c>
      <c r="B70" s="1012">
        <f>RunXAge!F19</f>
        <v>4111.1481321755628</v>
      </c>
      <c r="C70" s="1012">
        <f t="shared" si="113"/>
        <v>3824.0334757690807</v>
      </c>
      <c r="D70" s="1012">
        <f t="shared" si="152"/>
        <v>2485.2366412995111</v>
      </c>
      <c r="E70" s="1012">
        <f t="shared" si="169"/>
        <v>2079.9585289154961</v>
      </c>
      <c r="F70" s="1012">
        <f t="shared" si="153"/>
        <v>1758.0960636611205</v>
      </c>
      <c r="G70" s="1012">
        <f t="shared" si="165"/>
        <v>1600.5761814520802</v>
      </c>
      <c r="I70" s="1018">
        <f t="shared" si="154"/>
        <v>-287.11465640648203</v>
      </c>
      <c r="J70" s="1018">
        <f t="shared" si="115"/>
        <v>-1625.9114908760516</v>
      </c>
      <c r="K70" s="1018">
        <f t="shared" si="131"/>
        <v>-2031.1896032600666</v>
      </c>
      <c r="L70" s="1018">
        <f t="shared" si="155"/>
        <v>-2353.052068514442</v>
      </c>
      <c r="M70" s="1018">
        <f t="shared" si="156"/>
        <v>-2510.5719507234826</v>
      </c>
      <c r="O70" s="1016">
        <f t="shared" si="116"/>
        <v>-6.9838071306505059E-2</v>
      </c>
      <c r="P70" s="1016">
        <f t="shared" si="117"/>
        <v>-0.39548842284494423</v>
      </c>
      <c r="Q70" s="1016">
        <f t="shared" si="132"/>
        <v>-0.49406869758915478</v>
      </c>
      <c r="R70" s="1016">
        <f t="shared" si="143"/>
        <v>-0.57235886250326851</v>
      </c>
      <c r="S70" s="1016">
        <f t="shared" si="166"/>
        <v>-0.6106741644930519</v>
      </c>
      <c r="U70" s="1022">
        <f t="shared" si="118"/>
        <v>6.9838071306505059E-2</v>
      </c>
      <c r="V70" s="1022">
        <f t="shared" si="119"/>
        <v>0.39548842284494423</v>
      </c>
      <c r="W70" s="1022">
        <f t="shared" si="133"/>
        <v>0.49406869758915478</v>
      </c>
      <c r="X70" s="1022">
        <f t="shared" si="144"/>
        <v>0.57235886250326851</v>
      </c>
      <c r="Y70" s="1022">
        <f t="shared" si="157"/>
        <v>0.6106741644930519</v>
      </c>
      <c r="AA70" s="1011">
        <v>1993</v>
      </c>
      <c r="AB70" s="1012">
        <f>RunXAge!$I19</f>
        <v>31347.880360364543</v>
      </c>
      <c r="AC70" s="1012">
        <f t="shared" si="120"/>
        <v>9375.3263410620893</v>
      </c>
      <c r="AD70" s="1012">
        <f t="shared" si="170"/>
        <v>14580.995440279234</v>
      </c>
      <c r="AE70" s="1012">
        <f t="shared" si="171"/>
        <v>11586.491288122414</v>
      </c>
      <c r="AF70" s="1012">
        <f t="shared" si="172"/>
        <v>10589.381330224533</v>
      </c>
      <c r="AG70" s="1012">
        <f t="shared" si="173"/>
        <v>10026.483052915413</v>
      </c>
      <c r="AI70" s="1018">
        <f t="shared" si="121"/>
        <v>-21972.554019302454</v>
      </c>
      <c r="AJ70" s="1018">
        <f t="shared" si="134"/>
        <v>-16766.884920085307</v>
      </c>
      <c r="AK70" s="1018">
        <f t="shared" si="135"/>
        <v>-19761.389072242127</v>
      </c>
      <c r="AL70" s="1018">
        <f t="shared" si="145"/>
        <v>-20758.49903014001</v>
      </c>
      <c r="AM70" s="1018">
        <f t="shared" si="158"/>
        <v>-21321.39730744913</v>
      </c>
      <c r="AO70" s="1016">
        <f t="shared" si="167"/>
        <v>-0.70092630719249482</v>
      </c>
      <c r="AP70" s="1016">
        <f t="shared" si="136"/>
        <v>-0.53486502842740613</v>
      </c>
      <c r="AQ70" s="1016">
        <f t="shared" si="137"/>
        <v>-0.63038996082261189</v>
      </c>
      <c r="AR70" s="1016">
        <f t="shared" si="146"/>
        <v>-0.66219785170503986</v>
      </c>
      <c r="AS70" s="1016">
        <f t="shared" si="159"/>
        <v>-0.68015435373446675</v>
      </c>
      <c r="AU70" s="1022">
        <f t="shared" si="122"/>
        <v>0.70092630719249482</v>
      </c>
      <c r="AV70" s="1022">
        <f t="shared" si="123"/>
        <v>0.53486502842740613</v>
      </c>
      <c r="AW70" s="1022">
        <f t="shared" si="138"/>
        <v>0.63038996082261189</v>
      </c>
      <c r="AX70" s="1022">
        <f t="shared" si="147"/>
        <v>0.66219785170503986</v>
      </c>
      <c r="AY70" s="1022">
        <f t="shared" si="160"/>
        <v>0.68015435373446675</v>
      </c>
      <c r="BA70" s="1011">
        <v>1993</v>
      </c>
      <c r="BB70" s="1012">
        <f>RunXAge!$M19</f>
        <v>13878.379842417628</v>
      </c>
      <c r="BC70" s="1012">
        <f t="shared" si="124"/>
        <v>43279.314721733841</v>
      </c>
      <c r="BD70" s="1012">
        <f t="shared" si="139"/>
        <v>27649.399599569922</v>
      </c>
      <c r="BE70" s="1012">
        <f t="shared" si="148"/>
        <v>22356.722928131101</v>
      </c>
      <c r="BF70" s="1012">
        <f t="shared" si="161"/>
        <v>21541.90533241925</v>
      </c>
      <c r="BG70" s="1012">
        <f t="shared" si="168"/>
        <v>21052.848887804976</v>
      </c>
      <c r="BI70" s="1018">
        <f t="shared" si="125"/>
        <v>29400.934879316213</v>
      </c>
      <c r="BJ70" s="1018">
        <f t="shared" si="126"/>
        <v>13771.019757152295</v>
      </c>
      <c r="BK70" s="1018">
        <f t="shared" si="140"/>
        <v>8478.3430857134736</v>
      </c>
      <c r="BL70" s="1018">
        <f t="shared" si="149"/>
        <v>7663.5254900016225</v>
      </c>
      <c r="BM70" s="1018">
        <f t="shared" si="162"/>
        <v>7174.4690453873482</v>
      </c>
      <c r="BO70" s="1016">
        <f t="shared" si="127"/>
        <v>2.1184702546802856</v>
      </c>
      <c r="BP70" s="1016">
        <f t="shared" si="128"/>
        <v>0.9922642205729808</v>
      </c>
      <c r="BQ70" s="1016">
        <f t="shared" si="141"/>
        <v>0.61090294270520107</v>
      </c>
      <c r="BR70" s="1016">
        <f t="shared" si="150"/>
        <v>0.55219165183669083</v>
      </c>
      <c r="BS70" s="1016">
        <f t="shared" si="163"/>
        <v>0.5169529243939146</v>
      </c>
      <c r="BU70" s="1022">
        <f t="shared" si="129"/>
        <v>2.1184702546802856</v>
      </c>
      <c r="BV70" s="1022">
        <f t="shared" si="130"/>
        <v>0.9922642205729808</v>
      </c>
      <c r="BW70" s="1022">
        <f t="shared" si="142"/>
        <v>0.61090294270520107</v>
      </c>
      <c r="BX70" s="1022">
        <f t="shared" si="151"/>
        <v>0.55219165183669083</v>
      </c>
      <c r="BY70" s="1022">
        <f t="shared" si="164"/>
        <v>0.5169529243939146</v>
      </c>
    </row>
    <row r="71" spans="1:77">
      <c r="A71" s="1011">
        <v>1994</v>
      </c>
      <c r="B71" s="1012">
        <f>RunXAge!F20</f>
        <v>4110.4521949177479</v>
      </c>
      <c r="C71" s="1012">
        <f t="shared" si="113"/>
        <v>4111.1481321755628</v>
      </c>
      <c r="D71" s="1012">
        <f t="shared" si="152"/>
        <v>3967.5908039723217</v>
      </c>
      <c r="E71" s="1012">
        <f t="shared" si="169"/>
        <v>3027.2071382581948</v>
      </c>
      <c r="F71" s="1012">
        <f t="shared" si="153"/>
        <v>2587.7559297305124</v>
      </c>
      <c r="G71" s="1012">
        <f t="shared" si="165"/>
        <v>2228.7064773640091</v>
      </c>
      <c r="I71" s="1018">
        <f t="shared" si="154"/>
        <v>0.69593725781487592</v>
      </c>
      <c r="J71" s="1018">
        <f t="shared" si="115"/>
        <v>-142.86139094542614</v>
      </c>
      <c r="K71" s="1018">
        <f t="shared" si="131"/>
        <v>-1083.245056659553</v>
      </c>
      <c r="L71" s="1018">
        <f t="shared" si="155"/>
        <v>-1522.6962651872354</v>
      </c>
      <c r="M71" s="1018">
        <f t="shared" si="156"/>
        <v>-1881.7457175537388</v>
      </c>
      <c r="O71" s="1016">
        <f t="shared" si="116"/>
        <v>1.6930917203594967E-4</v>
      </c>
      <c r="P71" s="1016">
        <f t="shared" si="117"/>
        <v>-3.4755638594231322E-2</v>
      </c>
      <c r="Q71" s="1016">
        <f t="shared" si="132"/>
        <v>-0.26353427926954137</v>
      </c>
      <c r="R71" s="1016">
        <f t="shared" si="143"/>
        <v>-0.37044495179141851</v>
      </c>
      <c r="S71" s="1016">
        <f t="shared" si="166"/>
        <v>-0.45779530531467316</v>
      </c>
      <c r="U71" s="1022">
        <f t="shared" si="118"/>
        <v>1.6930917203594967E-4</v>
      </c>
      <c r="V71" s="1022">
        <f t="shared" si="119"/>
        <v>3.4755638594231322E-2</v>
      </c>
      <c r="W71" s="1022">
        <f t="shared" si="133"/>
        <v>0.26353427926954137</v>
      </c>
      <c r="X71" s="1022">
        <f t="shared" si="144"/>
        <v>0.37044495179141851</v>
      </c>
      <c r="Y71" s="1022">
        <f t="shared" si="157"/>
        <v>0.45779530531467316</v>
      </c>
      <c r="AA71" s="1011">
        <v>1994</v>
      </c>
      <c r="AB71" s="1012">
        <f>RunXAge!$I20</f>
        <v>31720.521207855119</v>
      </c>
      <c r="AC71" s="1012">
        <f t="shared" si="120"/>
        <v>31347.880360364543</v>
      </c>
      <c r="AD71" s="1012">
        <f t="shared" si="170"/>
        <v>20361.603350713318</v>
      </c>
      <c r="AE71" s="1012">
        <f t="shared" si="171"/>
        <v>20169.957080307668</v>
      </c>
      <c r="AF71" s="1012">
        <f t="shared" si="172"/>
        <v>16526.838556182945</v>
      </c>
      <c r="AG71" s="1012">
        <f t="shared" si="173"/>
        <v>14741.081136252533</v>
      </c>
      <c r="AI71" s="1018">
        <f t="shared" si="121"/>
        <v>-372.64084749057656</v>
      </c>
      <c r="AJ71" s="1018">
        <f t="shared" si="134"/>
        <v>-11358.917857141802</v>
      </c>
      <c r="AK71" s="1018">
        <f t="shared" si="135"/>
        <v>-11550.564127547452</v>
      </c>
      <c r="AL71" s="1018">
        <f t="shared" si="145"/>
        <v>-15193.682651672174</v>
      </c>
      <c r="AM71" s="1018">
        <f t="shared" si="158"/>
        <v>-16979.440071602585</v>
      </c>
      <c r="AO71" s="1016">
        <f t="shared" si="167"/>
        <v>-1.1747626876896889E-2</v>
      </c>
      <c r="AP71" s="1016">
        <f t="shared" si="136"/>
        <v>-0.35809367011059495</v>
      </c>
      <c r="AQ71" s="1016">
        <f t="shared" si="137"/>
        <v>-0.36413538263952372</v>
      </c>
      <c r="AR71" s="1016">
        <f t="shared" si="146"/>
        <v>-0.47898590795884155</v>
      </c>
      <c r="AS71" s="1016">
        <f t="shared" si="159"/>
        <v>-0.53528250561651791</v>
      </c>
      <c r="AU71" s="1022">
        <f t="shared" si="122"/>
        <v>1.1747626876896889E-2</v>
      </c>
      <c r="AV71" s="1022">
        <f t="shared" si="123"/>
        <v>0.35809367011059495</v>
      </c>
      <c r="AW71" s="1022">
        <f t="shared" si="138"/>
        <v>0.36413538263952372</v>
      </c>
      <c r="AX71" s="1022">
        <f t="shared" si="147"/>
        <v>0.47898590795884155</v>
      </c>
      <c r="AY71" s="1022">
        <f t="shared" si="160"/>
        <v>0.53528250561651791</v>
      </c>
      <c r="BA71" s="1011">
        <v>1994</v>
      </c>
      <c r="BB71" s="1012">
        <f>RunXAge!$M20</f>
        <v>36211.645151829012</v>
      </c>
      <c r="BC71" s="1012">
        <f t="shared" si="124"/>
        <v>13878.379842417628</v>
      </c>
      <c r="BD71" s="1012">
        <f t="shared" si="139"/>
        <v>28578.847282075734</v>
      </c>
      <c r="BE71" s="1012">
        <f t="shared" si="148"/>
        <v>23059.05968051916</v>
      </c>
      <c r="BF71" s="1012">
        <f t="shared" si="161"/>
        <v>20237.137156702731</v>
      </c>
      <c r="BG71" s="1012">
        <f t="shared" si="168"/>
        <v>20009.200234418928</v>
      </c>
      <c r="BI71" s="1018">
        <f t="shared" si="125"/>
        <v>-22333.265309411385</v>
      </c>
      <c r="BJ71" s="1018">
        <f t="shared" si="126"/>
        <v>-7632.7978697532781</v>
      </c>
      <c r="BK71" s="1018">
        <f t="shared" si="140"/>
        <v>-13152.585471309852</v>
      </c>
      <c r="BL71" s="1018">
        <f t="shared" si="149"/>
        <v>-15974.507995126281</v>
      </c>
      <c r="BM71" s="1018">
        <f t="shared" si="162"/>
        <v>-16202.444917410085</v>
      </c>
      <c r="BO71" s="1016">
        <f t="shared" si="127"/>
        <v>-0.61674263115558436</v>
      </c>
      <c r="BP71" s="1016">
        <f t="shared" si="128"/>
        <v>-0.21078296326362167</v>
      </c>
      <c r="BQ71" s="1016">
        <f t="shared" si="141"/>
        <v>-0.36321424823874726</v>
      </c>
      <c r="BR71" s="1016">
        <f t="shared" si="150"/>
        <v>-0.44114284032520479</v>
      </c>
      <c r="BS71" s="1016">
        <f t="shared" si="163"/>
        <v>-0.44743741549095889</v>
      </c>
      <c r="BU71" s="1022">
        <f t="shared" si="129"/>
        <v>0.61674263115558436</v>
      </c>
      <c r="BV71" s="1022">
        <f t="shared" si="130"/>
        <v>0.21078296326362167</v>
      </c>
      <c r="BW71" s="1022">
        <f t="shared" si="142"/>
        <v>0.36321424823874726</v>
      </c>
      <c r="BX71" s="1022">
        <f t="shared" si="151"/>
        <v>0.44114284032520479</v>
      </c>
      <c r="BY71" s="1022">
        <f t="shared" si="164"/>
        <v>0.44743741549095889</v>
      </c>
    </row>
    <row r="72" spans="1:77">
      <c r="A72" s="1011">
        <v>1995</v>
      </c>
      <c r="B72" s="1012">
        <f>RunXAge!F21</f>
        <v>7142.7400904797742</v>
      </c>
      <c r="C72" s="1012">
        <f t="shared" si="113"/>
        <v>4110.4521949177479</v>
      </c>
      <c r="D72" s="1012">
        <f t="shared" si="152"/>
        <v>4110.8001635466553</v>
      </c>
      <c r="E72" s="1012">
        <f t="shared" si="169"/>
        <v>4015.2112676207967</v>
      </c>
      <c r="F72" s="1012">
        <f t="shared" si="153"/>
        <v>3298.018402423083</v>
      </c>
      <c r="G72" s="1012">
        <f t="shared" si="165"/>
        <v>2892.2951827679594</v>
      </c>
      <c r="I72" s="1018">
        <f t="shared" si="154"/>
        <v>-3032.2878955620263</v>
      </c>
      <c r="J72" s="1018">
        <f t="shared" si="115"/>
        <v>-3031.9399269331188</v>
      </c>
      <c r="K72" s="1018">
        <f t="shared" si="131"/>
        <v>-3127.5288228589775</v>
      </c>
      <c r="L72" s="1018">
        <f t="shared" si="155"/>
        <v>-3844.7216880566912</v>
      </c>
      <c r="M72" s="1018">
        <f t="shared" si="156"/>
        <v>-4250.4449077118152</v>
      </c>
      <c r="O72" s="1016">
        <f t="shared" si="116"/>
        <v>-0.42452726224822623</v>
      </c>
      <c r="P72" s="1016">
        <f t="shared" si="117"/>
        <v>-0.42447854584184724</v>
      </c>
      <c r="Q72" s="1016">
        <f t="shared" si="132"/>
        <v>-0.43786121057764865</v>
      </c>
      <c r="R72" s="1016">
        <f t="shared" si="143"/>
        <v>-0.53826985713523889</v>
      </c>
      <c r="S72" s="1016">
        <f t="shared" si="166"/>
        <v>-0.59507203872321146</v>
      </c>
      <c r="U72" s="1022">
        <f t="shared" si="118"/>
        <v>0.42452726224822623</v>
      </c>
      <c r="V72" s="1022">
        <f t="shared" si="119"/>
        <v>0.42447854584184724</v>
      </c>
      <c r="W72" s="1022">
        <f t="shared" si="133"/>
        <v>0.43786121057764865</v>
      </c>
      <c r="X72" s="1022">
        <f t="shared" si="144"/>
        <v>0.53826985713523889</v>
      </c>
      <c r="Y72" s="1022">
        <f t="shared" si="157"/>
        <v>0.59507203872321146</v>
      </c>
      <c r="AA72" s="1011">
        <v>1995</v>
      </c>
      <c r="AB72" s="1012">
        <f>RunXAge!$I21</f>
        <v>55953.220203770397</v>
      </c>
      <c r="AC72" s="1012">
        <f t="shared" si="120"/>
        <v>31720.521207855119</v>
      </c>
      <c r="AD72" s="1012">
        <f t="shared" si="170"/>
        <v>31534.200784109831</v>
      </c>
      <c r="AE72" s="1012">
        <f t="shared" si="171"/>
        <v>24147.909303093922</v>
      </c>
      <c r="AF72" s="1012">
        <f t="shared" si="172"/>
        <v>23057.59811219453</v>
      </c>
      <c r="AG72" s="1012">
        <f t="shared" si="173"/>
        <v>19565.575086517383</v>
      </c>
      <c r="AI72" s="1018">
        <f t="shared" si="121"/>
        <v>-24232.698995915278</v>
      </c>
      <c r="AJ72" s="1018">
        <f t="shared" si="134"/>
        <v>-24419.019419660566</v>
      </c>
      <c r="AK72" s="1018">
        <f t="shared" si="135"/>
        <v>-31805.310900676475</v>
      </c>
      <c r="AL72" s="1018">
        <f t="shared" si="145"/>
        <v>-32895.622091575868</v>
      </c>
      <c r="AM72" s="1018">
        <f t="shared" si="158"/>
        <v>-36387.645117253014</v>
      </c>
      <c r="AO72" s="1016">
        <f t="shared" si="167"/>
        <v>-0.43308854982188072</v>
      </c>
      <c r="AP72" s="1016">
        <f t="shared" si="136"/>
        <v>-0.43641848191634725</v>
      </c>
      <c r="AQ72" s="1016">
        <f t="shared" si="137"/>
        <v>-0.56842681770321557</v>
      </c>
      <c r="AR72" s="1016">
        <f t="shared" si="146"/>
        <v>-0.58791293819688328</v>
      </c>
      <c r="AS72" s="1016">
        <f t="shared" si="159"/>
        <v>-0.65032262637854465</v>
      </c>
      <c r="AU72" s="1022">
        <f t="shared" si="122"/>
        <v>0.43308854982188072</v>
      </c>
      <c r="AV72" s="1022">
        <f t="shared" si="123"/>
        <v>0.43641848191634725</v>
      </c>
      <c r="AW72" s="1022">
        <f t="shared" si="138"/>
        <v>0.56842681770321557</v>
      </c>
      <c r="AX72" s="1022">
        <f t="shared" si="147"/>
        <v>0.58791293819688328</v>
      </c>
      <c r="AY72" s="1022">
        <f t="shared" si="160"/>
        <v>0.65032262637854465</v>
      </c>
      <c r="BA72" s="1011">
        <v>1995</v>
      </c>
      <c r="BB72" s="1012">
        <f>RunXAge!$M21</f>
        <v>31949.172801461413</v>
      </c>
      <c r="BC72" s="1012">
        <f t="shared" si="124"/>
        <v>36211.645151829012</v>
      </c>
      <c r="BD72" s="1012">
        <f t="shared" si="139"/>
        <v>25045.01249712332</v>
      </c>
      <c r="BE72" s="1012">
        <f t="shared" si="148"/>
        <v>31123.113238660164</v>
      </c>
      <c r="BF72" s="1012">
        <f t="shared" si="161"/>
        <v>26347.206048346623</v>
      </c>
      <c r="BG72" s="1012">
        <f t="shared" si="168"/>
        <v>23432.038755727986</v>
      </c>
      <c r="BI72" s="1018">
        <f t="shared" si="125"/>
        <v>4262.4723503675996</v>
      </c>
      <c r="BJ72" s="1018">
        <f t="shared" si="126"/>
        <v>-6904.1603043380928</v>
      </c>
      <c r="BK72" s="1018">
        <f t="shared" si="140"/>
        <v>-826.05956280124883</v>
      </c>
      <c r="BL72" s="1018">
        <f t="shared" si="149"/>
        <v>-5601.9667531147898</v>
      </c>
      <c r="BM72" s="1018">
        <f t="shared" si="162"/>
        <v>-8517.1340457334263</v>
      </c>
      <c r="BO72" s="1016">
        <f t="shared" si="127"/>
        <v>0.13341416933876379</v>
      </c>
      <c r="BP72" s="1016">
        <f t="shared" si="128"/>
        <v>-0.21609824915474132</v>
      </c>
      <c r="BQ72" s="1016">
        <f t="shared" si="141"/>
        <v>-2.5855428806703357E-2</v>
      </c>
      <c r="BR72" s="1016">
        <f t="shared" si="150"/>
        <v>-0.17533996225587867</v>
      </c>
      <c r="BS72" s="1016">
        <f t="shared" si="163"/>
        <v>-0.26658386740278411</v>
      </c>
      <c r="BU72" s="1022">
        <f t="shared" si="129"/>
        <v>0.13341416933876379</v>
      </c>
      <c r="BV72" s="1022">
        <f t="shared" si="130"/>
        <v>0.21609824915474132</v>
      </c>
      <c r="BW72" s="1022">
        <f t="shared" si="142"/>
        <v>2.5855428806703357E-2</v>
      </c>
      <c r="BX72" s="1022">
        <f t="shared" si="151"/>
        <v>0.17533996225587867</v>
      </c>
      <c r="BY72" s="1022">
        <f t="shared" si="164"/>
        <v>0.26658386740278411</v>
      </c>
    </row>
    <row r="73" spans="1:77">
      <c r="A73" s="1011">
        <v>1996</v>
      </c>
      <c r="B73" s="1012">
        <f>RunXAge!F22</f>
        <v>5839.0273979033991</v>
      </c>
      <c r="C73" s="1012">
        <f t="shared" si="113"/>
        <v>7142.7400904797742</v>
      </c>
      <c r="D73" s="1012">
        <f t="shared" si="152"/>
        <v>5626.5961426987615</v>
      </c>
      <c r="E73" s="1012">
        <f t="shared" si="169"/>
        <v>5121.4468058576949</v>
      </c>
      <c r="F73" s="1012">
        <f t="shared" si="153"/>
        <v>4797.0934733355407</v>
      </c>
      <c r="G73" s="1012">
        <f t="shared" si="165"/>
        <v>4066.9627400344207</v>
      </c>
      <c r="I73" s="1018">
        <f t="shared" si="154"/>
        <v>1303.712692576375</v>
      </c>
      <c r="J73" s="1018">
        <f t="shared" si="115"/>
        <v>-212.43125520463764</v>
      </c>
      <c r="K73" s="1018">
        <f t="shared" si="131"/>
        <v>-717.58059204570418</v>
      </c>
      <c r="L73" s="1018">
        <f t="shared" si="155"/>
        <v>-1041.9339245678584</v>
      </c>
      <c r="M73" s="1018">
        <f t="shared" si="156"/>
        <v>-1772.0646578689784</v>
      </c>
      <c r="O73" s="1016">
        <f t="shared" si="116"/>
        <v>0.22327565940938982</v>
      </c>
      <c r="P73" s="1016">
        <f t="shared" si="117"/>
        <v>-3.6381273922591058E-2</v>
      </c>
      <c r="Q73" s="1016">
        <f t="shared" si="132"/>
        <v>-0.12289385597049322</v>
      </c>
      <c r="R73" s="1016">
        <f t="shared" si="143"/>
        <v>-0.17844306141498537</v>
      </c>
      <c r="S73" s="1016">
        <f t="shared" si="166"/>
        <v>-0.30348627213245616</v>
      </c>
      <c r="U73" s="1022">
        <f t="shared" si="118"/>
        <v>0.22327565940938982</v>
      </c>
      <c r="V73" s="1022">
        <f t="shared" si="119"/>
        <v>3.6381273922591058E-2</v>
      </c>
      <c r="W73" s="1022">
        <f t="shared" si="133"/>
        <v>0.12289385597049322</v>
      </c>
      <c r="X73" s="1022">
        <f t="shared" si="144"/>
        <v>0.17844306141498537</v>
      </c>
      <c r="Y73" s="1022">
        <f t="shared" si="157"/>
        <v>0.30348627213245616</v>
      </c>
      <c r="AA73" s="1011">
        <v>1996</v>
      </c>
      <c r="AB73" s="1012">
        <f>RunXAge!$I22</f>
        <v>42451.662253200571</v>
      </c>
      <c r="AC73" s="1012">
        <f t="shared" si="120"/>
        <v>55953.220203770397</v>
      </c>
      <c r="AD73" s="1012">
        <f t="shared" si="170"/>
        <v>43836.870705812762</v>
      </c>
      <c r="AE73" s="1012">
        <f t="shared" si="171"/>
        <v>39673.873923996689</v>
      </c>
      <c r="AF73" s="1012">
        <f t="shared" si="172"/>
        <v>32099.23702826304</v>
      </c>
      <c r="AG73" s="1012">
        <f t="shared" si="173"/>
        <v>29636.722530509705</v>
      </c>
      <c r="AI73" s="1018">
        <f t="shared" si="121"/>
        <v>13501.557950569826</v>
      </c>
      <c r="AJ73" s="1018">
        <f t="shared" si="134"/>
        <v>1385.2084526121907</v>
      </c>
      <c r="AK73" s="1018">
        <f t="shared" si="135"/>
        <v>-2777.7883292038823</v>
      </c>
      <c r="AL73" s="1018">
        <f t="shared" si="145"/>
        <v>-10352.425224937531</v>
      </c>
      <c r="AM73" s="1018">
        <f t="shared" si="158"/>
        <v>-12814.939722690866</v>
      </c>
      <c r="AO73" s="1016">
        <f t="shared" si="167"/>
        <v>0.31804544825690306</v>
      </c>
      <c r="AP73" s="1016">
        <f t="shared" si="136"/>
        <v>3.26302523644467E-2</v>
      </c>
      <c r="AQ73" s="1016">
        <f t="shared" si="137"/>
        <v>-6.5434147493116254E-2</v>
      </c>
      <c r="AR73" s="1016">
        <f t="shared" si="146"/>
        <v>-0.24386383654875676</v>
      </c>
      <c r="AS73" s="1016">
        <f t="shared" si="159"/>
        <v>-0.30187132947249212</v>
      </c>
      <c r="AU73" s="1022">
        <f t="shared" si="122"/>
        <v>0.31804544825690306</v>
      </c>
      <c r="AV73" s="1022">
        <f t="shared" si="123"/>
        <v>3.26302523644467E-2</v>
      </c>
      <c r="AW73" s="1022">
        <f t="shared" si="138"/>
        <v>6.5434147493116254E-2</v>
      </c>
      <c r="AX73" s="1022">
        <f t="shared" si="147"/>
        <v>0.24386383654875676</v>
      </c>
      <c r="AY73" s="1022">
        <f t="shared" si="160"/>
        <v>0.30187132947249212</v>
      </c>
      <c r="BA73" s="1011">
        <v>1996</v>
      </c>
      <c r="BB73" s="1012">
        <f>RunXAge!$M22</f>
        <v>35391.488291243433</v>
      </c>
      <c r="BC73" s="1012">
        <f t="shared" si="124"/>
        <v>31949.172801461413</v>
      </c>
      <c r="BD73" s="1012">
        <f t="shared" si="139"/>
        <v>34080.408976645209</v>
      </c>
      <c r="BE73" s="1012">
        <f t="shared" si="148"/>
        <v>27346.399265236018</v>
      </c>
      <c r="BF73" s="1012">
        <f t="shared" si="161"/>
        <v>31329.628129360477</v>
      </c>
      <c r="BG73" s="1012">
        <f t="shared" si="168"/>
        <v>27467.599398969578</v>
      </c>
      <c r="BI73" s="1018">
        <f t="shared" si="125"/>
        <v>-3442.3154897820204</v>
      </c>
      <c r="BJ73" s="1018">
        <f t="shared" si="126"/>
        <v>-1311.0793145982243</v>
      </c>
      <c r="BK73" s="1018">
        <f t="shared" si="140"/>
        <v>-8045.0890260074157</v>
      </c>
      <c r="BL73" s="1018">
        <f t="shared" si="149"/>
        <v>-4061.8601618829562</v>
      </c>
      <c r="BM73" s="1018">
        <f t="shared" si="162"/>
        <v>-7923.8888922738552</v>
      </c>
      <c r="BO73" s="1016">
        <f t="shared" si="127"/>
        <v>-9.7263937064599751E-2</v>
      </c>
      <c r="BP73" s="1016">
        <f t="shared" si="128"/>
        <v>-3.7045046080263648E-2</v>
      </c>
      <c r="BQ73" s="1016">
        <f t="shared" si="141"/>
        <v>-0.22731705883072265</v>
      </c>
      <c r="BR73" s="1016">
        <f t="shared" si="150"/>
        <v>-0.11476940806945217</v>
      </c>
      <c r="BS73" s="1016">
        <f t="shared" si="163"/>
        <v>-0.22389250282629072</v>
      </c>
      <c r="BU73" s="1022">
        <f t="shared" si="129"/>
        <v>9.7263937064599751E-2</v>
      </c>
      <c r="BV73" s="1022">
        <f t="shared" si="130"/>
        <v>3.7045046080263648E-2</v>
      </c>
      <c r="BW73" s="1022">
        <f t="shared" si="142"/>
        <v>0.22731705883072265</v>
      </c>
      <c r="BX73" s="1022">
        <f t="shared" si="151"/>
        <v>0.11476940806945217</v>
      </c>
      <c r="BY73" s="1022">
        <f t="shared" si="164"/>
        <v>0.22389250282629072</v>
      </c>
    </row>
    <row r="74" spans="1:77">
      <c r="A74" s="1011">
        <v>1997</v>
      </c>
      <c r="B74" s="1012">
        <f>RunXAge!F23</f>
        <v>7114.2514069195649</v>
      </c>
      <c r="C74" s="1012">
        <f t="shared" si="113"/>
        <v>5839.0273979033991</v>
      </c>
      <c r="D74" s="1012">
        <f t="shared" si="152"/>
        <v>6490.8837441915866</v>
      </c>
      <c r="E74" s="1012">
        <f t="shared" si="169"/>
        <v>5697.406561100307</v>
      </c>
      <c r="F74" s="1012">
        <f t="shared" si="153"/>
        <v>5300.8419538691214</v>
      </c>
      <c r="G74" s="1012">
        <f t="shared" si="165"/>
        <v>5005.480258249112</v>
      </c>
      <c r="I74" s="1018">
        <f t="shared" si="154"/>
        <v>-1275.2240090161658</v>
      </c>
      <c r="J74" s="1018">
        <f t="shared" si="115"/>
        <v>-623.36766272797831</v>
      </c>
      <c r="K74" s="1018">
        <f t="shared" si="131"/>
        <v>-1416.8448458192579</v>
      </c>
      <c r="L74" s="1018">
        <f t="shared" si="155"/>
        <v>-1813.4094530504435</v>
      </c>
      <c r="M74" s="1018">
        <f t="shared" si="156"/>
        <v>-2108.7711486704529</v>
      </c>
      <c r="O74" s="1016">
        <f t="shared" si="116"/>
        <v>-0.17924921907817865</v>
      </c>
      <c r="P74" s="1016">
        <f t="shared" si="117"/>
        <v>-8.7622383167633003E-2</v>
      </c>
      <c r="Q74" s="1016">
        <f t="shared" si="132"/>
        <v>-0.19915585840011024</v>
      </c>
      <c r="R74" s="1016">
        <f t="shared" si="143"/>
        <v>-0.25489814027188573</v>
      </c>
      <c r="S74" s="1016">
        <f t="shared" si="166"/>
        <v>-0.29641504468332253</v>
      </c>
      <c r="U74" s="1022">
        <f t="shared" si="118"/>
        <v>0.17924921907817865</v>
      </c>
      <c r="V74" s="1022">
        <f t="shared" si="119"/>
        <v>8.7622383167633003E-2</v>
      </c>
      <c r="W74" s="1022">
        <f t="shared" si="133"/>
        <v>0.19915585840011024</v>
      </c>
      <c r="X74" s="1022">
        <f t="shared" si="144"/>
        <v>0.25489814027188573</v>
      </c>
      <c r="Y74" s="1022">
        <f t="shared" si="157"/>
        <v>0.29641504468332253</v>
      </c>
      <c r="AA74" s="1011">
        <v>1997</v>
      </c>
      <c r="AB74" s="1012">
        <f>RunXAge!$I23</f>
        <v>56034.420564336666</v>
      </c>
      <c r="AC74" s="1012">
        <f t="shared" si="120"/>
        <v>42451.662253200571</v>
      </c>
      <c r="AD74" s="1012">
        <f t="shared" si="170"/>
        <v>49202.441228485484</v>
      </c>
      <c r="AE74" s="1012">
        <f t="shared" si="171"/>
        <v>43375.134554942029</v>
      </c>
      <c r="AF74" s="1012">
        <f t="shared" si="172"/>
        <v>40368.321006297658</v>
      </c>
      <c r="AG74" s="1012">
        <f t="shared" si="173"/>
        <v>34169.722073250545</v>
      </c>
      <c r="AI74" s="1018">
        <f t="shared" si="121"/>
        <v>-13582.758311136095</v>
      </c>
      <c r="AJ74" s="1018">
        <f t="shared" si="134"/>
        <v>-6831.9793358511815</v>
      </c>
      <c r="AK74" s="1018">
        <f t="shared" si="135"/>
        <v>-12659.286009394636</v>
      </c>
      <c r="AL74" s="1018">
        <f t="shared" si="145"/>
        <v>-15666.099558039008</v>
      </c>
      <c r="AM74" s="1018">
        <f t="shared" si="158"/>
        <v>-21864.698491086121</v>
      </c>
      <c r="AO74" s="1016">
        <f t="shared" si="167"/>
        <v>-0.24240026352268371</v>
      </c>
      <c r="AP74" s="1016">
        <f t="shared" si="136"/>
        <v>-0.12192468962906386</v>
      </c>
      <c r="AQ74" s="1016">
        <f t="shared" si="137"/>
        <v>-0.22591981646102163</v>
      </c>
      <c r="AR74" s="1016">
        <f t="shared" si="146"/>
        <v>-0.27957993319573576</v>
      </c>
      <c r="AS74" s="1016">
        <f t="shared" si="159"/>
        <v>-0.39020120616723208</v>
      </c>
      <c r="AU74" s="1022">
        <f t="shared" si="122"/>
        <v>0.24240026352268371</v>
      </c>
      <c r="AV74" s="1022">
        <f t="shared" si="123"/>
        <v>0.12192468962906386</v>
      </c>
      <c r="AW74" s="1022">
        <f t="shared" si="138"/>
        <v>0.22591981646102163</v>
      </c>
      <c r="AX74" s="1022">
        <f t="shared" si="147"/>
        <v>0.27957993319573576</v>
      </c>
      <c r="AY74" s="1022">
        <f t="shared" si="160"/>
        <v>0.39020120616723208</v>
      </c>
      <c r="BA74" s="1011">
        <v>1997</v>
      </c>
      <c r="BB74" s="1012">
        <f>RunXAge!$M23</f>
        <v>26200.636613478768</v>
      </c>
      <c r="BC74" s="1012">
        <f t="shared" si="124"/>
        <v>35391.488291243433</v>
      </c>
      <c r="BD74" s="1012">
        <f t="shared" si="139"/>
        <v>33670.330546352423</v>
      </c>
      <c r="BE74" s="1012">
        <f t="shared" si="148"/>
        <v>34517.435414844622</v>
      </c>
      <c r="BF74" s="1012">
        <f t="shared" si="161"/>
        <v>29357.671521737873</v>
      </c>
      <c r="BG74" s="1012">
        <f t="shared" si="168"/>
        <v>32142.000161737069</v>
      </c>
      <c r="BI74" s="1018">
        <f t="shared" si="125"/>
        <v>9190.8516777646655</v>
      </c>
      <c r="BJ74" s="1018">
        <f t="shared" si="126"/>
        <v>7469.6939328736553</v>
      </c>
      <c r="BK74" s="1018">
        <f t="shared" si="140"/>
        <v>8316.7988013658542</v>
      </c>
      <c r="BL74" s="1018">
        <f t="shared" si="149"/>
        <v>3157.0349082591056</v>
      </c>
      <c r="BM74" s="1018">
        <f t="shared" si="162"/>
        <v>5941.3635482583013</v>
      </c>
      <c r="BO74" s="1016">
        <f t="shared" si="127"/>
        <v>0.35078734205398981</v>
      </c>
      <c r="BP74" s="1016">
        <f t="shared" si="128"/>
        <v>0.28509589454139117</v>
      </c>
      <c r="BQ74" s="1016">
        <f t="shared" si="141"/>
        <v>0.31742735583330539</v>
      </c>
      <c r="BR74" s="1016">
        <f t="shared" si="150"/>
        <v>0.12049458777787815</v>
      </c>
      <c r="BS74" s="1016">
        <f t="shared" si="163"/>
        <v>0.22676409111379381</v>
      </c>
      <c r="BU74" s="1022">
        <f t="shared" si="129"/>
        <v>0.35078734205398981</v>
      </c>
      <c r="BV74" s="1022">
        <f t="shared" si="130"/>
        <v>0.28509589454139117</v>
      </c>
      <c r="BW74" s="1022">
        <f t="shared" si="142"/>
        <v>0.31742735583330539</v>
      </c>
      <c r="BX74" s="1022">
        <f t="shared" si="151"/>
        <v>0.12049458777787815</v>
      </c>
      <c r="BY74" s="1022">
        <f t="shared" si="164"/>
        <v>0.22676409111379381</v>
      </c>
    </row>
    <row r="75" spans="1:77">
      <c r="A75" s="1011">
        <v>1998</v>
      </c>
      <c r="B75" s="1012">
        <f>RunXAge!F24</f>
        <v>6161.0748337952673</v>
      </c>
      <c r="C75" s="1012">
        <f t="shared" si="113"/>
        <v>7114.2514069195649</v>
      </c>
      <c r="D75" s="1012">
        <f t="shared" si="152"/>
        <v>6476.6394024114816</v>
      </c>
      <c r="E75" s="1012">
        <f t="shared" si="169"/>
        <v>6698.6729651009127</v>
      </c>
      <c r="F75" s="1012">
        <f t="shared" si="153"/>
        <v>6051.6177725551215</v>
      </c>
      <c r="G75" s="1012">
        <f t="shared" si="165"/>
        <v>5663.5238444792103</v>
      </c>
      <c r="I75" s="1018">
        <f t="shared" si="154"/>
        <v>953.17657312429765</v>
      </c>
      <c r="J75" s="1018">
        <f t="shared" si="115"/>
        <v>315.56456861621427</v>
      </c>
      <c r="K75" s="1018">
        <f t="shared" si="131"/>
        <v>537.59813130564544</v>
      </c>
      <c r="L75" s="1018">
        <f t="shared" si="155"/>
        <v>-109.45706124014578</v>
      </c>
      <c r="M75" s="1018">
        <f t="shared" si="156"/>
        <v>-497.55098931605698</v>
      </c>
      <c r="O75" s="1016">
        <f t="shared" si="116"/>
        <v>0.1547094620399431</v>
      </c>
      <c r="P75" s="1016">
        <f t="shared" si="117"/>
        <v>5.1219077373521237E-2</v>
      </c>
      <c r="Q75" s="1016">
        <f t="shared" si="132"/>
        <v>8.7257198753172921E-2</v>
      </c>
      <c r="R75" s="1016">
        <f t="shared" si="143"/>
        <v>-1.776590354652768E-2</v>
      </c>
      <c r="S75" s="1016">
        <f t="shared" si="166"/>
        <v>-8.0757173502721755E-2</v>
      </c>
      <c r="U75" s="1022">
        <f t="shared" si="118"/>
        <v>0.1547094620399431</v>
      </c>
      <c r="V75" s="1022">
        <f t="shared" si="119"/>
        <v>5.1219077373521237E-2</v>
      </c>
      <c r="W75" s="1022">
        <f t="shared" si="133"/>
        <v>8.7257198753172921E-2</v>
      </c>
      <c r="X75" s="1022">
        <f t="shared" si="144"/>
        <v>1.776590354652768E-2</v>
      </c>
      <c r="Y75" s="1022">
        <f t="shared" si="157"/>
        <v>8.0757173502721755E-2</v>
      </c>
      <c r="AA75" s="1011">
        <v>1998</v>
      </c>
      <c r="AB75" s="1012">
        <f>RunXAge!$I24</f>
        <v>68371.053617062018</v>
      </c>
      <c r="AC75" s="1012">
        <f t="shared" si="120"/>
        <v>56034.420564336666</v>
      </c>
      <c r="AD75" s="1012">
        <f t="shared" si="170"/>
        <v>49243.041408768622</v>
      </c>
      <c r="AE75" s="1012">
        <f t="shared" si="171"/>
        <v>51479.767673769209</v>
      </c>
      <c r="AF75" s="1012">
        <f t="shared" si="172"/>
        <v>46539.956057290692</v>
      </c>
      <c r="AG75" s="1012">
        <f t="shared" si="173"/>
        <v>43501.540917905462</v>
      </c>
      <c r="AI75" s="1018">
        <f t="shared" si="121"/>
        <v>-12336.633052725352</v>
      </c>
      <c r="AJ75" s="1018">
        <f t="shared" si="134"/>
        <v>-19128.012208293396</v>
      </c>
      <c r="AK75" s="1018">
        <f t="shared" si="135"/>
        <v>-16891.285943292809</v>
      </c>
      <c r="AL75" s="1018">
        <f t="shared" si="145"/>
        <v>-21831.097559771326</v>
      </c>
      <c r="AM75" s="1018">
        <f t="shared" si="158"/>
        <v>-24869.512699156556</v>
      </c>
      <c r="AO75" s="1016">
        <f t="shared" si="167"/>
        <v>-0.18043649176186954</v>
      </c>
      <c r="AP75" s="1016">
        <f t="shared" si="136"/>
        <v>-0.2797676969471185</v>
      </c>
      <c r="AQ75" s="1016">
        <f t="shared" si="137"/>
        <v>-0.24705317601069676</v>
      </c>
      <c r="AR75" s="1016">
        <f t="shared" si="146"/>
        <v>-0.31930321978135157</v>
      </c>
      <c r="AS75" s="1016">
        <f t="shared" si="159"/>
        <v>-0.36374330046817299</v>
      </c>
      <c r="AU75" s="1022">
        <f t="shared" si="122"/>
        <v>0.18043649176186954</v>
      </c>
      <c r="AV75" s="1022">
        <f t="shared" si="123"/>
        <v>0.2797676969471185</v>
      </c>
      <c r="AW75" s="1022">
        <f t="shared" si="138"/>
        <v>0.24705317601069676</v>
      </c>
      <c r="AX75" s="1022">
        <f t="shared" si="147"/>
        <v>0.31930321978135157</v>
      </c>
      <c r="AY75" s="1022">
        <f t="shared" si="160"/>
        <v>0.36374330046817299</v>
      </c>
      <c r="BA75" s="1011">
        <v>1998</v>
      </c>
      <c r="BB75" s="1012">
        <f>RunXAge!$M24</f>
        <v>29707.135747092529</v>
      </c>
      <c r="BC75" s="1012">
        <f t="shared" si="124"/>
        <v>26200.636613478768</v>
      </c>
      <c r="BD75" s="1012">
        <f t="shared" si="139"/>
        <v>30796.0624523611</v>
      </c>
      <c r="BE75" s="1012">
        <f t="shared" si="148"/>
        <v>31180.432568727872</v>
      </c>
      <c r="BF75" s="1012">
        <f t="shared" si="161"/>
        <v>32438.235714503156</v>
      </c>
      <c r="BG75" s="1012">
        <f t="shared" si="168"/>
        <v>28726.264540086053</v>
      </c>
      <c r="BI75" s="1018">
        <f t="shared" si="125"/>
        <v>-3506.4991336137609</v>
      </c>
      <c r="BJ75" s="1018">
        <f t="shared" si="126"/>
        <v>1088.9267052685718</v>
      </c>
      <c r="BK75" s="1018">
        <f t="shared" si="140"/>
        <v>1473.2968216353438</v>
      </c>
      <c r="BL75" s="1018">
        <f t="shared" si="149"/>
        <v>2731.0999674106279</v>
      </c>
      <c r="BM75" s="1018">
        <f t="shared" si="162"/>
        <v>-980.87120700647574</v>
      </c>
      <c r="BO75" s="1016">
        <f t="shared" si="127"/>
        <v>-0.11803558456344772</v>
      </c>
      <c r="BP75" s="1016">
        <f t="shared" si="128"/>
        <v>3.6655391975146792E-2</v>
      </c>
      <c r="BQ75" s="1016">
        <f t="shared" si="141"/>
        <v>4.9594038084925005E-2</v>
      </c>
      <c r="BR75" s="1016">
        <f t="shared" si="150"/>
        <v>9.1934139684870964E-2</v>
      </c>
      <c r="BS75" s="1016">
        <f t="shared" si="163"/>
        <v>-3.3018033625219982E-2</v>
      </c>
      <c r="BU75" s="1022">
        <f t="shared" si="129"/>
        <v>0.11803558456344772</v>
      </c>
      <c r="BV75" s="1022">
        <f t="shared" si="130"/>
        <v>3.6655391975146792E-2</v>
      </c>
      <c r="BW75" s="1022">
        <f t="shared" si="142"/>
        <v>4.9594038084925005E-2</v>
      </c>
      <c r="BX75" s="1022">
        <f t="shared" si="151"/>
        <v>9.1934139684870964E-2</v>
      </c>
      <c r="BY75" s="1022">
        <f t="shared" si="164"/>
        <v>3.3018033625219982E-2</v>
      </c>
    </row>
    <row r="76" spans="1:77">
      <c r="A76" s="1011">
        <v>1999</v>
      </c>
      <c r="B76" s="1012">
        <f>RunXAge!F25</f>
        <v>10515.024349583715</v>
      </c>
      <c r="C76" s="1012">
        <f t="shared" si="113"/>
        <v>6161.0748337952673</v>
      </c>
      <c r="D76" s="1012">
        <f t="shared" si="152"/>
        <v>6637.6631203574161</v>
      </c>
      <c r="E76" s="1012">
        <f t="shared" si="169"/>
        <v>6371.4512128727438</v>
      </c>
      <c r="F76" s="1012">
        <f t="shared" si="153"/>
        <v>6564.2734322745018</v>
      </c>
      <c r="G76" s="1012">
        <f t="shared" si="165"/>
        <v>6073.5091848031507</v>
      </c>
      <c r="I76" s="1018">
        <f t="shared" si="154"/>
        <v>-4353.9495157884476</v>
      </c>
      <c r="J76" s="1018">
        <f t="shared" si="115"/>
        <v>-3877.3612292262987</v>
      </c>
      <c r="K76" s="1018">
        <f t="shared" si="131"/>
        <v>-4143.5731367109711</v>
      </c>
      <c r="L76" s="1018">
        <f t="shared" si="155"/>
        <v>-3950.750917309213</v>
      </c>
      <c r="M76" s="1018">
        <f t="shared" si="156"/>
        <v>-4441.5151647805642</v>
      </c>
      <c r="O76" s="1016">
        <f t="shared" si="116"/>
        <v>-0.41406937074385552</v>
      </c>
      <c r="P76" s="1016">
        <f t="shared" si="117"/>
        <v>-0.36874486452138378</v>
      </c>
      <c r="Q76" s="1016">
        <f t="shared" si="132"/>
        <v>-0.39406215325359789</v>
      </c>
      <c r="R76" s="1016">
        <f t="shared" si="143"/>
        <v>-0.37572437171442419</v>
      </c>
      <c r="S76" s="1016">
        <f t="shared" si="166"/>
        <v>-0.42239704037931225</v>
      </c>
      <c r="U76" s="1022">
        <f t="shared" si="118"/>
        <v>0.41406937074385552</v>
      </c>
      <c r="V76" s="1022">
        <f t="shared" si="119"/>
        <v>0.36874486452138378</v>
      </c>
      <c r="W76" s="1022">
        <f t="shared" si="133"/>
        <v>0.39406215325359789</v>
      </c>
      <c r="X76" s="1022">
        <f t="shared" si="144"/>
        <v>0.37572437171442419</v>
      </c>
      <c r="Y76" s="1022">
        <f t="shared" si="157"/>
        <v>0.42239704037931225</v>
      </c>
      <c r="AA76" s="1011">
        <v>1999</v>
      </c>
      <c r="AB76" s="1012">
        <f>RunXAge!$I25</f>
        <v>55667.160650015241</v>
      </c>
      <c r="AC76" s="1012">
        <f t="shared" si="120"/>
        <v>68371.053617062018</v>
      </c>
      <c r="AD76" s="1012">
        <f t="shared" si="170"/>
        <v>62202.737090699346</v>
      </c>
      <c r="AE76" s="1012">
        <f t="shared" si="171"/>
        <v>55619.045478199754</v>
      </c>
      <c r="AF76" s="1012">
        <f t="shared" si="172"/>
        <v>55702.589159592411</v>
      </c>
      <c r="AG76" s="1012">
        <f t="shared" si="173"/>
        <v>50906.175569244959</v>
      </c>
      <c r="AI76" s="1018">
        <f t="shared" si="121"/>
        <v>12703.892967046777</v>
      </c>
      <c r="AJ76" s="1018">
        <f t="shared" si="134"/>
        <v>6535.5764406841045</v>
      </c>
      <c r="AK76" s="1018">
        <f t="shared" si="135"/>
        <v>-48.115171815486974</v>
      </c>
      <c r="AL76" s="1018">
        <f t="shared" si="145"/>
        <v>35.428509577170189</v>
      </c>
      <c r="AM76" s="1018">
        <f t="shared" si="158"/>
        <v>-4760.9850807702824</v>
      </c>
      <c r="AO76" s="1016">
        <f t="shared" si="167"/>
        <v>0.22821162097555803</v>
      </c>
      <c r="AP76" s="1016">
        <f t="shared" si="136"/>
        <v>0.11740452296056374</v>
      </c>
      <c r="AQ76" s="1016">
        <f t="shared" si="137"/>
        <v>-8.6433673378801651E-4</v>
      </c>
      <c r="AR76" s="1016">
        <f t="shared" si="146"/>
        <v>6.3643464411473427E-4</v>
      </c>
      <c r="AS76" s="1016">
        <f t="shared" si="159"/>
        <v>-8.5525919144736881E-2</v>
      </c>
      <c r="AU76" s="1022">
        <f t="shared" si="122"/>
        <v>0.22821162097555803</v>
      </c>
      <c r="AV76" s="1022">
        <f t="shared" si="123"/>
        <v>0.11740452296056374</v>
      </c>
      <c r="AW76" s="1022">
        <f t="shared" si="138"/>
        <v>8.6433673378801651E-4</v>
      </c>
      <c r="AX76" s="1022">
        <f t="shared" si="147"/>
        <v>6.3643464411473427E-4</v>
      </c>
      <c r="AY76" s="1022">
        <f t="shared" si="160"/>
        <v>8.5525919144736881E-2</v>
      </c>
      <c r="BA76" s="1011">
        <v>1999</v>
      </c>
      <c r="BB76" s="1012">
        <f>RunXAge!$M25</f>
        <v>27830.432057365608</v>
      </c>
      <c r="BC76" s="1012">
        <f t="shared" si="124"/>
        <v>29707.135747092529</v>
      </c>
      <c r="BD76" s="1012">
        <f t="shared" si="139"/>
        <v>27953.886180285648</v>
      </c>
      <c r="BE76" s="1012">
        <f t="shared" si="148"/>
        <v>30433.086883938242</v>
      </c>
      <c r="BF76" s="1012">
        <f t="shared" si="161"/>
        <v>30812.108363319036</v>
      </c>
      <c r="BG76" s="1012">
        <f t="shared" si="168"/>
        <v>31892.015721021035</v>
      </c>
      <c r="BI76" s="1018">
        <f t="shared" si="125"/>
        <v>1876.7036897269209</v>
      </c>
      <c r="BJ76" s="1018">
        <f t="shared" si="126"/>
        <v>123.45412292004039</v>
      </c>
      <c r="BK76" s="1018">
        <f t="shared" si="140"/>
        <v>2602.6548265726342</v>
      </c>
      <c r="BL76" s="1018">
        <f t="shared" si="149"/>
        <v>2981.6763059534278</v>
      </c>
      <c r="BM76" s="1018">
        <f t="shared" si="162"/>
        <v>4061.5836636554268</v>
      </c>
      <c r="BO76" s="1016">
        <f t="shared" si="127"/>
        <v>6.7433508968116507E-2</v>
      </c>
      <c r="BP76" s="1016">
        <f t="shared" si="128"/>
        <v>4.4359398612845826E-3</v>
      </c>
      <c r="BQ76" s="1016">
        <f t="shared" si="141"/>
        <v>9.3518304753871587E-2</v>
      </c>
      <c r="BR76" s="1016">
        <f t="shared" si="150"/>
        <v>0.1071372625407839</v>
      </c>
      <c r="BS76" s="1016">
        <f t="shared" si="163"/>
        <v>0.14594037402234605</v>
      </c>
      <c r="BU76" s="1022">
        <f t="shared" si="129"/>
        <v>6.7433508968116507E-2</v>
      </c>
      <c r="BV76" s="1022">
        <f t="shared" si="130"/>
        <v>4.4359398612845826E-3</v>
      </c>
      <c r="BW76" s="1022">
        <f t="shared" si="142"/>
        <v>9.3518304753871587E-2</v>
      </c>
      <c r="BX76" s="1022">
        <f t="shared" si="151"/>
        <v>0.1071372625407839</v>
      </c>
      <c r="BY76" s="1022">
        <f t="shared" si="164"/>
        <v>0.14594037402234605</v>
      </c>
    </row>
    <row r="77" spans="1:77">
      <c r="A77" s="1011">
        <v>2000</v>
      </c>
      <c r="B77" s="1012">
        <f>RunXAge!F26</f>
        <v>4772.5395462962961</v>
      </c>
      <c r="C77" s="1012">
        <f t="shared" si="113"/>
        <v>10515.024349583715</v>
      </c>
      <c r="D77" s="1012">
        <f t="shared" si="152"/>
        <v>8338.0495916894906</v>
      </c>
      <c r="E77" s="1012">
        <f t="shared" si="169"/>
        <v>7930.1168634328496</v>
      </c>
      <c r="F77" s="1012">
        <f t="shared" si="153"/>
        <v>7407.3444970504861</v>
      </c>
      <c r="G77" s="1012">
        <f t="shared" si="165"/>
        <v>7354.4236157363439</v>
      </c>
      <c r="I77" s="1018">
        <f t="shared" si="154"/>
        <v>5742.4848032874188</v>
      </c>
      <c r="J77" s="1018">
        <f t="shared" si="115"/>
        <v>3565.5100453931946</v>
      </c>
      <c r="K77" s="1018">
        <f t="shared" si="131"/>
        <v>3157.5773171365536</v>
      </c>
      <c r="L77" s="1018">
        <f t="shared" si="155"/>
        <v>2634.80495075419</v>
      </c>
      <c r="M77" s="1018">
        <f t="shared" si="156"/>
        <v>2581.8840694400478</v>
      </c>
      <c r="O77" s="1016">
        <f t="shared" si="116"/>
        <v>1.2032346191335059</v>
      </c>
      <c r="P77" s="1016">
        <f t="shared" si="117"/>
        <v>0.7470886329606613</v>
      </c>
      <c r="Q77" s="1016">
        <f t="shared" si="132"/>
        <v>0.66161365170603448</v>
      </c>
      <c r="R77" s="1016">
        <f t="shared" si="143"/>
        <v>0.55207608552954091</v>
      </c>
      <c r="S77" s="1016">
        <f t="shared" si="166"/>
        <v>0.5409874647227817</v>
      </c>
      <c r="U77" s="1022">
        <f t="shared" si="118"/>
        <v>1.2032346191335059</v>
      </c>
      <c r="V77" s="1022">
        <f t="shared" si="119"/>
        <v>0.7470886329606613</v>
      </c>
      <c r="W77" s="1022">
        <f t="shared" si="133"/>
        <v>0.66161365170603448</v>
      </c>
      <c r="X77" s="1022">
        <f t="shared" si="144"/>
        <v>0.55207608552954091</v>
      </c>
      <c r="Y77" s="1022">
        <f t="shared" si="157"/>
        <v>0.5409874647227817</v>
      </c>
      <c r="AA77" s="1011">
        <v>2000</v>
      </c>
      <c r="AB77" s="1012">
        <f>RunXAge!$I26</f>
        <v>48501.64199604938</v>
      </c>
      <c r="AC77" s="1012">
        <f t="shared" si="120"/>
        <v>55667.160650015241</v>
      </c>
      <c r="AD77" s="1012">
        <f t="shared" si="170"/>
        <v>62019.10713353863</v>
      </c>
      <c r="AE77" s="1012">
        <f t="shared" si="171"/>
        <v>60024.211610471306</v>
      </c>
      <c r="AF77" s="1012">
        <f t="shared" si="172"/>
        <v>55631.07427115363</v>
      </c>
      <c r="AG77" s="1012">
        <f t="shared" si="173"/>
        <v>55695.503457676983</v>
      </c>
      <c r="AI77" s="1018">
        <f t="shared" si="121"/>
        <v>7165.5186539658607</v>
      </c>
      <c r="AJ77" s="1018">
        <f t="shared" si="134"/>
        <v>13517.465137489249</v>
      </c>
      <c r="AK77" s="1018">
        <f t="shared" si="135"/>
        <v>11522.569614421926</v>
      </c>
      <c r="AL77" s="1018">
        <f t="shared" si="145"/>
        <v>7129.4322751042491</v>
      </c>
      <c r="AM77" s="1018">
        <f t="shared" si="158"/>
        <v>7193.8614616276027</v>
      </c>
      <c r="AO77" s="1016">
        <f t="shared" si="167"/>
        <v>0.14773765091395288</v>
      </c>
      <c r="AP77" s="1016">
        <f t="shared" si="136"/>
        <v>0.27870118579882908</v>
      </c>
      <c r="AQ77" s="1016">
        <f t="shared" si="137"/>
        <v>0.2375707118402399</v>
      </c>
      <c r="AR77" s="1016">
        <f t="shared" si="146"/>
        <v>0.1469936270546256</v>
      </c>
      <c r="AS77" s="1016">
        <f t="shared" si="159"/>
        <v>0.14832201891667021</v>
      </c>
      <c r="AU77" s="1022">
        <f t="shared" si="122"/>
        <v>0.14773765091395288</v>
      </c>
      <c r="AV77" s="1022">
        <f t="shared" si="123"/>
        <v>0.27870118579882908</v>
      </c>
      <c r="AW77" s="1022">
        <f t="shared" si="138"/>
        <v>0.2375707118402399</v>
      </c>
      <c r="AX77" s="1022">
        <f t="shared" si="147"/>
        <v>0.1469936270546256</v>
      </c>
      <c r="AY77" s="1022">
        <f t="shared" si="160"/>
        <v>0.14832201891667021</v>
      </c>
      <c r="BA77" s="1011">
        <v>2000</v>
      </c>
      <c r="BB77" s="1012">
        <f>RunXAge!$M26</f>
        <v>16004.656581234569</v>
      </c>
      <c r="BC77" s="1012">
        <f t="shared" si="124"/>
        <v>27830.432057365608</v>
      </c>
      <c r="BD77" s="1012">
        <f t="shared" si="139"/>
        <v>28768.783902229068</v>
      </c>
      <c r="BE77" s="1012">
        <f t="shared" si="148"/>
        <v>27912.734805978969</v>
      </c>
      <c r="BF77" s="1012">
        <f t="shared" si="161"/>
        <v>29782.423177295081</v>
      </c>
      <c r="BG77" s="1012">
        <f t="shared" si="168"/>
        <v>30215.773102128347</v>
      </c>
      <c r="BI77" s="1018">
        <f t="shared" si="125"/>
        <v>11825.775476131039</v>
      </c>
      <c r="BJ77" s="1018">
        <f t="shared" si="126"/>
        <v>12764.127320994499</v>
      </c>
      <c r="BK77" s="1018">
        <f t="shared" si="140"/>
        <v>11908.0782247444</v>
      </c>
      <c r="BL77" s="1018">
        <f t="shared" si="149"/>
        <v>13777.766596060512</v>
      </c>
      <c r="BM77" s="1018">
        <f t="shared" si="162"/>
        <v>14211.116520893778</v>
      </c>
      <c r="BO77" s="1016">
        <f t="shared" si="127"/>
        <v>0.73889592170298357</v>
      </c>
      <c r="BP77" s="1016">
        <f t="shared" si="128"/>
        <v>0.79752584856837327</v>
      </c>
      <c r="BQ77" s="1016">
        <f t="shared" si="141"/>
        <v>0.74403834685878867</v>
      </c>
      <c r="BR77" s="1016">
        <f t="shared" si="150"/>
        <v>0.86085987075879644</v>
      </c>
      <c r="BS77" s="1016">
        <f t="shared" si="163"/>
        <v>0.88793636081865612</v>
      </c>
      <c r="BU77" s="1022">
        <f t="shared" si="129"/>
        <v>0.73889592170298357</v>
      </c>
      <c r="BV77" s="1022">
        <f t="shared" si="130"/>
        <v>0.79752584856837327</v>
      </c>
      <c r="BW77" s="1022">
        <f t="shared" si="142"/>
        <v>0.74403834685878867</v>
      </c>
      <c r="BX77" s="1022">
        <f t="shared" si="151"/>
        <v>0.86085987075879644</v>
      </c>
      <c r="BY77" s="1022">
        <f t="shared" si="164"/>
        <v>0.88793636081865612</v>
      </c>
    </row>
    <row r="78" spans="1:77">
      <c r="A78" s="1011">
        <v>2001</v>
      </c>
      <c r="B78" s="1012">
        <f>RunXAge!F27</f>
        <v>8614.6976308881203</v>
      </c>
      <c r="C78" s="1012">
        <f t="shared" si="113"/>
        <v>4772.5395462962961</v>
      </c>
      <c r="D78" s="1012">
        <f t="shared" si="152"/>
        <v>7643.7819479400059</v>
      </c>
      <c r="E78" s="1012">
        <f t="shared" si="169"/>
        <v>7149.5462432250924</v>
      </c>
      <c r="F78" s="1012">
        <f t="shared" si="153"/>
        <v>7140.722534148711</v>
      </c>
      <c r="G78" s="1012">
        <f t="shared" si="165"/>
        <v>6880.3835068996486</v>
      </c>
      <c r="I78" s="1018">
        <f t="shared" si="154"/>
        <v>-3842.1580845918243</v>
      </c>
      <c r="J78" s="1018">
        <f t="shared" si="115"/>
        <v>-970.91568294811441</v>
      </c>
      <c r="K78" s="1018">
        <f t="shared" si="131"/>
        <v>-1465.1513876630279</v>
      </c>
      <c r="L78" s="1018">
        <f t="shared" si="155"/>
        <v>-1473.9750967394093</v>
      </c>
      <c r="M78" s="1018">
        <f t="shared" si="156"/>
        <v>-1734.3141239884717</v>
      </c>
      <c r="O78" s="1016">
        <f t="shared" si="116"/>
        <v>-0.44600034141833511</v>
      </c>
      <c r="P78" s="1016">
        <f t="shared" si="117"/>
        <v>-0.11270455732153413</v>
      </c>
      <c r="Q78" s="1016">
        <f t="shared" si="132"/>
        <v>-0.1700757763580357</v>
      </c>
      <c r="R78" s="1016">
        <f t="shared" si="143"/>
        <v>-0.17110003854975139</v>
      </c>
      <c r="S78" s="1016">
        <f t="shared" si="166"/>
        <v>-0.20132037110276091</v>
      </c>
      <c r="U78" s="1022">
        <f t="shared" si="118"/>
        <v>0.44600034141833511</v>
      </c>
      <c r="V78" s="1022">
        <f t="shared" si="119"/>
        <v>0.11270455732153413</v>
      </c>
      <c r="W78" s="1022">
        <f t="shared" si="133"/>
        <v>0.1700757763580357</v>
      </c>
      <c r="X78" s="1022">
        <f t="shared" si="144"/>
        <v>0.17110003854975139</v>
      </c>
      <c r="Y78" s="1022">
        <f t="shared" si="157"/>
        <v>0.20132037110276091</v>
      </c>
      <c r="AA78" s="1011">
        <v>2001</v>
      </c>
      <c r="AB78" s="1012">
        <f>RunXAge!$I27</f>
        <v>55980.71813096886</v>
      </c>
      <c r="AC78" s="1012">
        <f t="shared" si="120"/>
        <v>48501.64199604938</v>
      </c>
      <c r="AD78" s="1012">
        <f t="shared" si="170"/>
        <v>52084.401323032311</v>
      </c>
      <c r="AE78" s="1012">
        <f t="shared" si="171"/>
        <v>57513.285421042216</v>
      </c>
      <c r="AF78" s="1012">
        <f t="shared" si="172"/>
        <v>57143.569206865825</v>
      </c>
      <c r="AG78" s="1012">
        <f t="shared" si="173"/>
        <v>54205.187816132777</v>
      </c>
      <c r="AI78" s="1018">
        <f t="shared" si="121"/>
        <v>-7479.07613491948</v>
      </c>
      <c r="AJ78" s="1018">
        <f t="shared" si="134"/>
        <v>-3896.3168079365496</v>
      </c>
      <c r="AK78" s="1018">
        <f t="shared" si="135"/>
        <v>1532.5672900733553</v>
      </c>
      <c r="AL78" s="1018">
        <f t="shared" si="145"/>
        <v>1162.8510758969642</v>
      </c>
      <c r="AM78" s="1018">
        <f t="shared" si="158"/>
        <v>-1775.5303148360836</v>
      </c>
      <c r="AO78" s="1016">
        <f t="shared" si="167"/>
        <v>-0.13360093233212761</v>
      </c>
      <c r="AP78" s="1016">
        <f t="shared" si="136"/>
        <v>-6.9601050826482422E-2</v>
      </c>
      <c r="AQ78" s="1016">
        <f t="shared" si="137"/>
        <v>2.7376699357229754E-2</v>
      </c>
      <c r="AR78" s="1016">
        <f t="shared" si="146"/>
        <v>2.0772350100554858E-2</v>
      </c>
      <c r="AS78" s="1016">
        <f t="shared" si="159"/>
        <v>-3.1716819185530418E-2</v>
      </c>
      <c r="AU78" s="1022">
        <f t="shared" si="122"/>
        <v>0.13360093233212761</v>
      </c>
      <c r="AV78" s="1022">
        <f t="shared" si="123"/>
        <v>6.9601050826482422E-2</v>
      </c>
      <c r="AW78" s="1022">
        <f t="shared" si="138"/>
        <v>2.7376699357229754E-2</v>
      </c>
      <c r="AX78" s="1022">
        <f t="shared" si="147"/>
        <v>2.0772350100554858E-2</v>
      </c>
      <c r="AY78" s="1022">
        <f t="shared" si="160"/>
        <v>3.1716819185530418E-2</v>
      </c>
      <c r="BA78" s="1011">
        <v>2001</v>
      </c>
      <c r="BB78" s="1012">
        <f>RunXAge!$M27</f>
        <v>15064.974836101501</v>
      </c>
      <c r="BC78" s="1012">
        <f t="shared" si="124"/>
        <v>16004.656581234569</v>
      </c>
      <c r="BD78" s="1012">
        <f t="shared" si="139"/>
        <v>21917.54431930009</v>
      </c>
      <c r="BE78" s="1012">
        <f t="shared" si="148"/>
        <v>24514.074795230903</v>
      </c>
      <c r="BF78" s="1012">
        <f t="shared" si="161"/>
        <v>24935.715249792869</v>
      </c>
      <c r="BG78" s="1012">
        <f t="shared" si="168"/>
        <v>27026.869858082977</v>
      </c>
      <c r="BI78" s="1018">
        <f t="shared" si="125"/>
        <v>939.68174513306803</v>
      </c>
      <c r="BJ78" s="1018">
        <f t="shared" si="126"/>
        <v>6852.5694831985893</v>
      </c>
      <c r="BK78" s="1018">
        <f t="shared" si="140"/>
        <v>9449.0999591294021</v>
      </c>
      <c r="BL78" s="1018">
        <f t="shared" si="149"/>
        <v>9870.7404136913683</v>
      </c>
      <c r="BM78" s="1018">
        <f t="shared" si="162"/>
        <v>11961.895021981476</v>
      </c>
      <c r="BO78" s="1016">
        <f t="shared" si="127"/>
        <v>6.2375261515952053E-2</v>
      </c>
      <c r="BP78" s="1016">
        <f t="shared" si="128"/>
        <v>0.45486763554209098</v>
      </c>
      <c r="BQ78" s="1016">
        <f t="shared" si="141"/>
        <v>0.62722308280832351</v>
      </c>
      <c r="BR78" s="1016">
        <f t="shared" si="150"/>
        <v>0.65521121150745376</v>
      </c>
      <c r="BS78" s="1016">
        <f t="shared" si="163"/>
        <v>0.79402024577672403</v>
      </c>
      <c r="BU78" s="1022">
        <f t="shared" si="129"/>
        <v>6.2375261515952053E-2</v>
      </c>
      <c r="BV78" s="1022">
        <f t="shared" si="130"/>
        <v>0.45486763554209098</v>
      </c>
      <c r="BW78" s="1022">
        <f t="shared" si="142"/>
        <v>0.62722308280832351</v>
      </c>
      <c r="BX78" s="1022">
        <f t="shared" si="151"/>
        <v>0.65521121150745376</v>
      </c>
      <c r="BY78" s="1022">
        <f t="shared" si="164"/>
        <v>0.79402024577672403</v>
      </c>
    </row>
    <row r="79" spans="1:77">
      <c r="A79" s="1011">
        <v>2002</v>
      </c>
      <c r="B79" s="1012">
        <f>RunXAge!F28</f>
        <v>6610.6088326264853</v>
      </c>
      <c r="C79" s="1012">
        <f t="shared" si="113"/>
        <v>8614.6976308881203</v>
      </c>
      <c r="D79" s="1012">
        <f t="shared" si="152"/>
        <v>6693.6185885922077</v>
      </c>
      <c r="E79" s="1012">
        <f t="shared" si="169"/>
        <v>7967.4205089227107</v>
      </c>
      <c r="F79" s="1012">
        <f t="shared" si="153"/>
        <v>7515.8340901408492</v>
      </c>
      <c r="G79" s="1012">
        <f t="shared" si="165"/>
        <v>7435.5175534965938</v>
      </c>
      <c r="I79" s="1018">
        <f t="shared" si="154"/>
        <v>2004.088798261635</v>
      </c>
      <c r="J79" s="1018">
        <f t="shared" si="115"/>
        <v>83.009755965722434</v>
      </c>
      <c r="K79" s="1018">
        <f t="shared" si="131"/>
        <v>1356.8116762962254</v>
      </c>
      <c r="L79" s="1018">
        <f t="shared" si="155"/>
        <v>905.22525751436388</v>
      </c>
      <c r="M79" s="1018">
        <f t="shared" si="156"/>
        <v>824.90872087010848</v>
      </c>
      <c r="O79" s="1016">
        <f t="shared" si="116"/>
        <v>0.30316251483078349</v>
      </c>
      <c r="P79" s="1016">
        <f t="shared" si="117"/>
        <v>1.2557051561730589E-2</v>
      </c>
      <c r="Q79" s="1016">
        <f t="shared" si="132"/>
        <v>0.20524761192943639</v>
      </c>
      <c r="R79" s="1016">
        <f t="shared" si="143"/>
        <v>0.13693523250788164</v>
      </c>
      <c r="S79" s="1016">
        <f t="shared" si="166"/>
        <v>0.12478558961147319</v>
      </c>
      <c r="U79" s="1022">
        <f t="shared" si="118"/>
        <v>0.30316251483078349</v>
      </c>
      <c r="V79" s="1022">
        <f t="shared" si="119"/>
        <v>1.2557051561730589E-2</v>
      </c>
      <c r="W79" s="1022">
        <f t="shared" si="133"/>
        <v>0.20524761192943639</v>
      </c>
      <c r="X79" s="1022">
        <f t="shared" si="144"/>
        <v>0.13693523250788164</v>
      </c>
      <c r="Y79" s="1022">
        <f t="shared" si="157"/>
        <v>0.12478558961147319</v>
      </c>
      <c r="AA79" s="1011">
        <v>2002</v>
      </c>
      <c r="AB79" s="1012">
        <f>RunXAge!$I28</f>
        <v>49173.65452896271</v>
      </c>
      <c r="AC79" s="1012">
        <f t="shared" si="120"/>
        <v>55980.71813096886</v>
      </c>
      <c r="AD79" s="1012">
        <f t="shared" si="170"/>
        <v>52241.18006350912</v>
      </c>
      <c r="AE79" s="1012">
        <f t="shared" si="171"/>
        <v>53383.173592344487</v>
      </c>
      <c r="AF79" s="1012">
        <f t="shared" si="172"/>
        <v>57130.143598523879</v>
      </c>
      <c r="AG79" s="1012">
        <f t="shared" si="173"/>
        <v>56910.998991686429</v>
      </c>
      <c r="AI79" s="1018">
        <f t="shared" si="121"/>
        <v>6807.0636020061502</v>
      </c>
      <c r="AJ79" s="1018">
        <f t="shared" si="134"/>
        <v>3067.5255345464102</v>
      </c>
      <c r="AK79" s="1018">
        <f t="shared" si="135"/>
        <v>4209.5190633817765</v>
      </c>
      <c r="AL79" s="1018">
        <f t="shared" si="145"/>
        <v>7956.4890695611684</v>
      </c>
      <c r="AM79" s="1018">
        <f t="shared" si="158"/>
        <v>7737.3444627237186</v>
      </c>
      <c r="AO79" s="1016">
        <f t="shared" si="167"/>
        <v>0.13842907685449471</v>
      </c>
      <c r="AP79" s="1016">
        <f t="shared" si="136"/>
        <v>6.238148382361277E-2</v>
      </c>
      <c r="AQ79" s="1016">
        <f t="shared" si="137"/>
        <v>8.5605170160831121E-2</v>
      </c>
      <c r="AR79" s="1016">
        <f t="shared" si="146"/>
        <v>0.1618038997869253</v>
      </c>
      <c r="AS79" s="1016">
        <f t="shared" si="159"/>
        <v>0.15734735473375305</v>
      </c>
      <c r="AU79" s="1022">
        <f t="shared" si="122"/>
        <v>0.13842907685449471</v>
      </c>
      <c r="AV79" s="1022">
        <f t="shared" si="123"/>
        <v>6.238148382361277E-2</v>
      </c>
      <c r="AW79" s="1022">
        <f t="shared" si="138"/>
        <v>8.5605170160831121E-2</v>
      </c>
      <c r="AX79" s="1022">
        <f t="shared" si="147"/>
        <v>0.1618038997869253</v>
      </c>
      <c r="AY79" s="1022">
        <f t="shared" si="160"/>
        <v>0.15734735473375305</v>
      </c>
      <c r="BA79" s="1011">
        <v>2002</v>
      </c>
      <c r="BB79" s="1012">
        <f>RunXAge!$M28</f>
        <v>14143.73042540695</v>
      </c>
      <c r="BC79" s="1012">
        <f t="shared" si="124"/>
        <v>15064.974836101501</v>
      </c>
      <c r="BD79" s="1012">
        <f t="shared" si="139"/>
        <v>15534.815708668035</v>
      </c>
      <c r="BE79" s="1012">
        <f t="shared" si="148"/>
        <v>19633.354491567228</v>
      </c>
      <c r="BF79" s="1012">
        <f t="shared" si="161"/>
        <v>22151.799805448551</v>
      </c>
      <c r="BG79" s="1012">
        <f t="shared" si="168"/>
        <v>22961.567167054593</v>
      </c>
      <c r="BI79" s="1018">
        <f t="shared" si="125"/>
        <v>921.24441069455133</v>
      </c>
      <c r="BJ79" s="1018">
        <f t="shared" si="126"/>
        <v>1391.0852832610854</v>
      </c>
      <c r="BK79" s="1018">
        <f t="shared" si="140"/>
        <v>5489.6240661602787</v>
      </c>
      <c r="BL79" s="1018">
        <f t="shared" si="149"/>
        <v>8008.0693800416011</v>
      </c>
      <c r="BM79" s="1018">
        <f t="shared" si="162"/>
        <v>8817.8367416476431</v>
      </c>
      <c r="BO79" s="1016">
        <f t="shared" si="127"/>
        <v>6.5134471810893893E-2</v>
      </c>
      <c r="BP79" s="1016">
        <f t="shared" si="128"/>
        <v>9.8353492425323888E-2</v>
      </c>
      <c r="BQ79" s="1016">
        <f t="shared" si="141"/>
        <v>0.38813127096222416</v>
      </c>
      <c r="BR79" s="1016">
        <f t="shared" si="150"/>
        <v>0.56619216707187692</v>
      </c>
      <c r="BS79" s="1016">
        <f t="shared" si="163"/>
        <v>0.62344490996574775</v>
      </c>
      <c r="BU79" s="1022">
        <f t="shared" si="129"/>
        <v>6.5134471810893893E-2</v>
      </c>
      <c r="BV79" s="1022">
        <f t="shared" si="130"/>
        <v>9.8353492425323888E-2</v>
      </c>
      <c r="BW79" s="1022">
        <f t="shared" si="142"/>
        <v>0.38813127096222416</v>
      </c>
      <c r="BX79" s="1022">
        <f t="shared" si="151"/>
        <v>0.56619216707187692</v>
      </c>
      <c r="BY79" s="1022">
        <f t="shared" si="164"/>
        <v>0.62344490996574775</v>
      </c>
    </row>
    <row r="80" spans="1:77">
      <c r="A80" s="1011">
        <v>2003</v>
      </c>
      <c r="B80" s="1012">
        <f>RunXAge!F29</f>
        <v>5977.1853932395461</v>
      </c>
      <c r="C80" s="1012">
        <f t="shared" si="113"/>
        <v>6610.6088326264853</v>
      </c>
      <c r="D80" s="1012">
        <f t="shared" si="152"/>
        <v>7612.6532317573028</v>
      </c>
      <c r="E80" s="1012">
        <f t="shared" si="169"/>
        <v>6665.9486699369663</v>
      </c>
      <c r="F80" s="1012">
        <f t="shared" si="153"/>
        <v>7628.2175898486548</v>
      </c>
      <c r="G80" s="1012">
        <f t="shared" si="165"/>
        <v>7334.7890386379759</v>
      </c>
      <c r="I80" s="1018">
        <f t="shared" si="154"/>
        <v>633.42343938693921</v>
      </c>
      <c r="J80" s="1018">
        <f t="shared" si="115"/>
        <v>1635.4678385177567</v>
      </c>
      <c r="K80" s="1018">
        <f t="shared" si="131"/>
        <v>688.76327669742022</v>
      </c>
      <c r="L80" s="1018">
        <f t="shared" si="155"/>
        <v>1651.0321966091087</v>
      </c>
      <c r="M80" s="1018">
        <f t="shared" si="156"/>
        <v>1357.6036453984298</v>
      </c>
      <c r="O80" s="1016">
        <f t="shared" si="116"/>
        <v>0.10597353063590237</v>
      </c>
      <c r="P80" s="1016">
        <f t="shared" si="117"/>
        <v>0.2736183890778327</v>
      </c>
      <c r="Q80" s="1016">
        <f t="shared" si="132"/>
        <v>0.11523204173597178</v>
      </c>
      <c r="R80" s="1016">
        <f t="shared" si="143"/>
        <v>0.27622235015104218</v>
      </c>
      <c r="S80" s="1016">
        <f t="shared" si="166"/>
        <v>0.22713092468805432</v>
      </c>
      <c r="U80" s="1022">
        <f t="shared" si="118"/>
        <v>0.10597353063590237</v>
      </c>
      <c r="V80" s="1022">
        <f t="shared" si="119"/>
        <v>0.2736183890778327</v>
      </c>
      <c r="W80" s="1022">
        <f t="shared" si="133"/>
        <v>0.11523204173597178</v>
      </c>
      <c r="X80" s="1022">
        <f t="shared" si="144"/>
        <v>0.27622235015104218</v>
      </c>
      <c r="Y80" s="1022">
        <f t="shared" si="157"/>
        <v>0.22713092468805432</v>
      </c>
      <c r="AA80" s="1011">
        <v>2003</v>
      </c>
      <c r="AB80" s="1012">
        <f>RunXAge!$I29</f>
        <v>61859.065856016823</v>
      </c>
      <c r="AC80" s="1012">
        <f t="shared" si="120"/>
        <v>49173.65452896271</v>
      </c>
      <c r="AD80" s="1012">
        <f t="shared" si="170"/>
        <v>52577.186329965785</v>
      </c>
      <c r="AE80" s="1012">
        <f t="shared" si="171"/>
        <v>51218.671551993648</v>
      </c>
      <c r="AF80" s="1012">
        <f t="shared" si="172"/>
        <v>52330.793826499044</v>
      </c>
      <c r="AG80" s="1012">
        <f t="shared" si="173"/>
        <v>55538.845784611651</v>
      </c>
      <c r="AI80" s="1018">
        <f t="shared" si="121"/>
        <v>-12685.411327054113</v>
      </c>
      <c r="AJ80" s="1018">
        <f t="shared" si="134"/>
        <v>-9281.8795260510378</v>
      </c>
      <c r="AK80" s="1018">
        <f t="shared" si="135"/>
        <v>-10640.394304023175</v>
      </c>
      <c r="AL80" s="1018">
        <f t="shared" si="145"/>
        <v>-9528.2720295177787</v>
      </c>
      <c r="AM80" s="1018">
        <f t="shared" si="158"/>
        <v>-6320.2200714051723</v>
      </c>
      <c r="AO80" s="1016">
        <f t="shared" si="167"/>
        <v>-0.20506955854426706</v>
      </c>
      <c r="AP80" s="1016">
        <f t="shared" si="136"/>
        <v>-0.15004881495714054</v>
      </c>
      <c r="AQ80" s="1016">
        <f t="shared" si="137"/>
        <v>-0.17201026489455498</v>
      </c>
      <c r="AR80" s="1016">
        <f t="shared" si="146"/>
        <v>-0.15403194176413507</v>
      </c>
      <c r="AS80" s="1016">
        <f t="shared" si="159"/>
        <v>-0.10217128215476319</v>
      </c>
      <c r="AU80" s="1022">
        <f t="shared" si="122"/>
        <v>0.20506955854426706</v>
      </c>
      <c r="AV80" s="1022">
        <f t="shared" si="123"/>
        <v>0.15004881495714054</v>
      </c>
      <c r="AW80" s="1022">
        <f t="shared" si="138"/>
        <v>0.17201026489455498</v>
      </c>
      <c r="AX80" s="1022">
        <f t="shared" si="147"/>
        <v>0.15403194176413507</v>
      </c>
      <c r="AY80" s="1022">
        <f t="shared" si="160"/>
        <v>0.10217128215476319</v>
      </c>
      <c r="BA80" s="1011">
        <v>2003</v>
      </c>
      <c r="BB80" s="1012">
        <f>RunXAge!$M29</f>
        <v>24229.01563333267</v>
      </c>
      <c r="BC80" s="1012">
        <f t="shared" si="124"/>
        <v>14143.73042540695</v>
      </c>
      <c r="BD80" s="1012">
        <f t="shared" si="139"/>
        <v>14604.352630754225</v>
      </c>
      <c r="BE80" s="1012">
        <f t="shared" si="148"/>
        <v>15071.120614247673</v>
      </c>
      <c r="BF80" s="1012">
        <f t="shared" si="161"/>
        <v>18260.948475027159</v>
      </c>
      <c r="BG80" s="1012">
        <f t="shared" si="168"/>
        <v>20550.185929440231</v>
      </c>
      <c r="BI80" s="1018">
        <f t="shared" si="125"/>
        <v>-10085.285207925721</v>
      </c>
      <c r="BJ80" s="1018">
        <f t="shared" si="126"/>
        <v>-9624.6630025784452</v>
      </c>
      <c r="BK80" s="1018">
        <f t="shared" si="140"/>
        <v>-9157.8950190849973</v>
      </c>
      <c r="BL80" s="1018">
        <f t="shared" si="149"/>
        <v>-5968.0671583055118</v>
      </c>
      <c r="BM80" s="1018">
        <f t="shared" si="162"/>
        <v>-3678.8297038924393</v>
      </c>
      <c r="BO80" s="1016">
        <f t="shared" si="127"/>
        <v>-0.41624824386390075</v>
      </c>
      <c r="BP80" s="1016">
        <f t="shared" si="128"/>
        <v>-0.39723706271159748</v>
      </c>
      <c r="BQ80" s="1016">
        <f t="shared" si="141"/>
        <v>-0.37797222791363316</v>
      </c>
      <c r="BR80" s="1016">
        <f t="shared" si="150"/>
        <v>-0.24631901058724984</v>
      </c>
      <c r="BS80" s="1016">
        <f t="shared" si="163"/>
        <v>-0.1518357063929312</v>
      </c>
      <c r="BU80" s="1022">
        <f t="shared" si="129"/>
        <v>0.41624824386390075</v>
      </c>
      <c r="BV80" s="1022">
        <f t="shared" si="130"/>
        <v>0.39723706271159748</v>
      </c>
      <c r="BW80" s="1022">
        <f t="shared" si="142"/>
        <v>0.37797222791363316</v>
      </c>
      <c r="BX80" s="1022">
        <f t="shared" si="151"/>
        <v>0.24631901058724984</v>
      </c>
      <c r="BY80" s="1022">
        <f t="shared" si="164"/>
        <v>0.1518357063929312</v>
      </c>
    </row>
    <row r="81" spans="1:77">
      <c r="A81" s="1011">
        <v>2004</v>
      </c>
      <c r="B81" s="1012">
        <f>RunXAge!F30</f>
        <v>5019.5720853945559</v>
      </c>
      <c r="C81" s="1012">
        <f t="shared" si="113"/>
        <v>5977.1853932395461</v>
      </c>
      <c r="D81" s="1012">
        <f t="shared" si="152"/>
        <v>6293.8971129330157</v>
      </c>
      <c r="E81" s="1012">
        <f t="shared" si="169"/>
        <v>7067.4972855847182</v>
      </c>
      <c r="F81" s="1012">
        <f t="shared" si="153"/>
        <v>6493.7578507626113</v>
      </c>
      <c r="G81" s="1012">
        <f t="shared" si="165"/>
        <v>7298.0111505268333</v>
      </c>
      <c r="I81" s="1018">
        <f t="shared" si="154"/>
        <v>957.61330784499023</v>
      </c>
      <c r="J81" s="1018">
        <f t="shared" si="115"/>
        <v>1274.3250275384598</v>
      </c>
      <c r="K81" s="1018">
        <f t="shared" si="131"/>
        <v>2047.9252001901623</v>
      </c>
      <c r="L81" s="1018">
        <f t="shared" si="155"/>
        <v>1474.1857653680554</v>
      </c>
      <c r="M81" s="1018">
        <f t="shared" si="156"/>
        <v>2278.4390651322774</v>
      </c>
      <c r="O81" s="1016">
        <f t="shared" si="116"/>
        <v>0.19077588518578242</v>
      </c>
      <c r="P81" s="1016">
        <f t="shared" si="117"/>
        <v>0.25387124756039708</v>
      </c>
      <c r="Q81" s="1016">
        <f t="shared" si="132"/>
        <v>0.40798800482395864</v>
      </c>
      <c r="R81" s="1016">
        <f t="shared" si="143"/>
        <v>0.29368753756072002</v>
      </c>
      <c r="S81" s="1016">
        <f t="shared" si="166"/>
        <v>0.45391101599314598</v>
      </c>
      <c r="U81" s="1022">
        <f t="shared" si="118"/>
        <v>0.19077588518578242</v>
      </c>
      <c r="V81" s="1022">
        <f t="shared" si="119"/>
        <v>0.25387124756039708</v>
      </c>
      <c r="W81" s="1022">
        <f t="shared" si="133"/>
        <v>0.40798800482395864</v>
      </c>
      <c r="X81" s="1022">
        <f t="shared" si="144"/>
        <v>0.29368753756072002</v>
      </c>
      <c r="Y81" s="1022">
        <f t="shared" si="157"/>
        <v>0.45391101599314598</v>
      </c>
      <c r="AA81" s="1011">
        <v>2004</v>
      </c>
      <c r="AB81" s="1012">
        <f>RunXAge!$I30</f>
        <v>47494.232967996417</v>
      </c>
      <c r="AC81" s="1012">
        <f t="shared" si="120"/>
        <v>61859.065856016823</v>
      </c>
      <c r="AD81" s="1012">
        <f t="shared" si="170"/>
        <v>55516.360192489767</v>
      </c>
      <c r="AE81" s="1012">
        <f t="shared" si="171"/>
        <v>55671.1461719828</v>
      </c>
      <c r="AF81" s="1012">
        <f t="shared" si="172"/>
        <v>53878.770127999444</v>
      </c>
      <c r="AG81" s="1012">
        <f t="shared" si="173"/>
        <v>54236.448232402603</v>
      </c>
      <c r="AI81" s="1018">
        <f t="shared" si="121"/>
        <v>14364.832888020406</v>
      </c>
      <c r="AJ81" s="1018">
        <f t="shared" si="134"/>
        <v>8022.1272244933498</v>
      </c>
      <c r="AK81" s="1018">
        <f t="shared" si="135"/>
        <v>8176.9132039863835</v>
      </c>
      <c r="AL81" s="1018">
        <f t="shared" si="145"/>
        <v>6384.5371600030267</v>
      </c>
      <c r="AM81" s="1018">
        <f t="shared" si="158"/>
        <v>6742.2152644061862</v>
      </c>
      <c r="AO81" s="1016">
        <f t="shared" si="167"/>
        <v>0.30245425581880703</v>
      </c>
      <c r="AP81" s="1016">
        <f t="shared" si="136"/>
        <v>0.16890739618637471</v>
      </c>
      <c r="AQ81" s="1016">
        <f t="shared" si="137"/>
        <v>0.17216644407114284</v>
      </c>
      <c r="AR81" s="1016">
        <f t="shared" si="146"/>
        <v>0.13442762965148194</v>
      </c>
      <c r="AS81" s="1016">
        <f t="shared" si="159"/>
        <v>0.1419586093526212</v>
      </c>
      <c r="AU81" s="1022">
        <f t="shared" si="122"/>
        <v>0.30245425581880703</v>
      </c>
      <c r="AV81" s="1022">
        <f t="shared" si="123"/>
        <v>0.16890739618637471</v>
      </c>
      <c r="AW81" s="1022">
        <f t="shared" si="138"/>
        <v>0.17216644407114284</v>
      </c>
      <c r="AX81" s="1022">
        <f t="shared" si="147"/>
        <v>0.13442762965148194</v>
      </c>
      <c r="AY81" s="1022">
        <f t="shared" si="160"/>
        <v>0.1419586093526212</v>
      </c>
      <c r="BA81" s="1011">
        <v>2004</v>
      </c>
      <c r="BB81" s="1012">
        <f>RunXAge!$M30</f>
        <v>26018.25851101712</v>
      </c>
      <c r="BC81" s="1012">
        <f t="shared" si="124"/>
        <v>24229.01563333267</v>
      </c>
      <c r="BD81" s="1012">
        <f t="shared" si="139"/>
        <v>19186.37302936981</v>
      </c>
      <c r="BE81" s="1012">
        <f t="shared" si="148"/>
        <v>17812.573631613708</v>
      </c>
      <c r="BF81" s="1012">
        <f t="shared" si="161"/>
        <v>17360.594369018923</v>
      </c>
      <c r="BG81" s="1012">
        <f t="shared" si="168"/>
        <v>19454.561906688261</v>
      </c>
      <c r="BI81" s="1018">
        <f t="shared" si="125"/>
        <v>-1789.2428776844499</v>
      </c>
      <c r="BJ81" s="1018">
        <f t="shared" si="126"/>
        <v>-6831.8854816473104</v>
      </c>
      <c r="BK81" s="1018">
        <f t="shared" si="140"/>
        <v>-8205.6848794034122</v>
      </c>
      <c r="BL81" s="1018">
        <f t="shared" si="149"/>
        <v>-8657.664141998197</v>
      </c>
      <c r="BM81" s="1018">
        <f t="shared" si="162"/>
        <v>-6563.6966043288594</v>
      </c>
      <c r="BO81" s="1016">
        <f t="shared" si="127"/>
        <v>-6.8768740879671733E-2</v>
      </c>
      <c r="BP81" s="1016">
        <f t="shared" si="128"/>
        <v>-0.2625804289996746</v>
      </c>
      <c r="BQ81" s="1016">
        <f t="shared" si="141"/>
        <v>-0.31538178759845947</v>
      </c>
      <c r="BR81" s="1016">
        <f t="shared" si="150"/>
        <v>-0.3327534061640679</v>
      </c>
      <c r="BS81" s="1016">
        <f t="shared" si="163"/>
        <v>-0.25227271077922225</v>
      </c>
      <c r="BU81" s="1022">
        <f t="shared" si="129"/>
        <v>6.8768740879671733E-2</v>
      </c>
      <c r="BV81" s="1022">
        <f t="shared" si="130"/>
        <v>0.2625804289996746</v>
      </c>
      <c r="BW81" s="1022">
        <f t="shared" si="142"/>
        <v>0.31538178759845947</v>
      </c>
      <c r="BX81" s="1022">
        <f t="shared" si="151"/>
        <v>0.3327534061640679</v>
      </c>
      <c r="BY81" s="1022">
        <f t="shared" si="164"/>
        <v>0.25227271077922225</v>
      </c>
    </row>
    <row r="82" spans="1:77">
      <c r="A82" s="1011">
        <v>2005</v>
      </c>
      <c r="B82" s="1012">
        <f>RunXAge!F31</f>
        <v>5891.6632712260234</v>
      </c>
      <c r="C82" s="1012">
        <f t="shared" si="113"/>
        <v>5019.5720853945559</v>
      </c>
      <c r="D82" s="1012">
        <f t="shared" si="152"/>
        <v>5498.3787393170514</v>
      </c>
      <c r="E82" s="1012">
        <f t="shared" si="169"/>
        <v>5869.1221037535288</v>
      </c>
      <c r="F82" s="1012">
        <f t="shared" si="153"/>
        <v>6555.5159855371776</v>
      </c>
      <c r="G82" s="1012">
        <f t="shared" si="165"/>
        <v>6198.920697689</v>
      </c>
      <c r="I82" s="1018">
        <f t="shared" si="154"/>
        <v>-872.09118583146756</v>
      </c>
      <c r="J82" s="1018">
        <f t="shared" si="115"/>
        <v>-393.28453190897199</v>
      </c>
      <c r="K82" s="1018">
        <f t="shared" si="131"/>
        <v>-22.541167472494635</v>
      </c>
      <c r="L82" s="1018">
        <f t="shared" si="155"/>
        <v>663.85271431115416</v>
      </c>
      <c r="M82" s="1018">
        <f t="shared" si="156"/>
        <v>307.25742646297658</v>
      </c>
      <c r="O82" s="1016">
        <f t="shared" si="116"/>
        <v>-0.14802122010105817</v>
      </c>
      <c r="P82" s="1016">
        <f t="shared" si="117"/>
        <v>-6.6752717153696323E-2</v>
      </c>
      <c r="Q82" s="1016">
        <f t="shared" si="132"/>
        <v>-3.8259429357720134E-3</v>
      </c>
      <c r="R82" s="1016">
        <f t="shared" si="143"/>
        <v>0.11267662182143176</v>
      </c>
      <c r="S82" s="1016">
        <f t="shared" si="166"/>
        <v>5.215121983694733E-2</v>
      </c>
      <c r="U82" s="1022">
        <f t="shared" si="118"/>
        <v>0.14802122010105817</v>
      </c>
      <c r="V82" s="1022">
        <f t="shared" si="119"/>
        <v>6.6752717153696323E-2</v>
      </c>
      <c r="W82" s="1022">
        <f t="shared" si="133"/>
        <v>3.8259429357720134E-3</v>
      </c>
      <c r="X82" s="1022">
        <f t="shared" si="144"/>
        <v>0.11267662182143176</v>
      </c>
      <c r="Y82" s="1022">
        <f t="shared" si="157"/>
        <v>5.215121983694733E-2</v>
      </c>
      <c r="AA82" s="1011">
        <v>2005</v>
      </c>
      <c r="AB82" s="1012">
        <f>RunXAge!$I31</f>
        <v>37628.29584616753</v>
      </c>
      <c r="AC82" s="1012">
        <f t="shared" si="120"/>
        <v>47494.232967996417</v>
      </c>
      <c r="AD82" s="1012">
        <f t="shared" si="170"/>
        <v>54676.64941200662</v>
      </c>
      <c r="AE82" s="1012">
        <f t="shared" si="171"/>
        <v>52842.317784325314</v>
      </c>
      <c r="AF82" s="1012">
        <f t="shared" si="172"/>
        <v>53626.917870986203</v>
      </c>
      <c r="AG82" s="1012">
        <f t="shared" si="173"/>
        <v>52601.86269599884</v>
      </c>
      <c r="AI82" s="1018">
        <f t="shared" si="121"/>
        <v>9865.937121828887</v>
      </c>
      <c r="AJ82" s="1018">
        <f t="shared" si="134"/>
        <v>17048.35356583909</v>
      </c>
      <c r="AK82" s="1018">
        <f t="shared" si="135"/>
        <v>15214.021938157784</v>
      </c>
      <c r="AL82" s="1018">
        <f t="shared" si="145"/>
        <v>15998.622024818673</v>
      </c>
      <c r="AM82" s="1018">
        <f t="shared" si="158"/>
        <v>14973.56684983131</v>
      </c>
      <c r="AO82" s="1016">
        <f t="shared" si="167"/>
        <v>0.26219463039630958</v>
      </c>
      <c r="AP82" s="1016">
        <f t="shared" si="136"/>
        <v>0.4530726992138146</v>
      </c>
      <c r="AQ82" s="1016">
        <f t="shared" si="137"/>
        <v>0.40432396939675236</v>
      </c>
      <c r="AR82" s="1016">
        <f t="shared" si="146"/>
        <v>0.42517530132707682</v>
      </c>
      <c r="AS82" s="1016">
        <f t="shared" si="159"/>
        <v>0.39793369625471303</v>
      </c>
      <c r="AU82" s="1022">
        <f t="shared" si="122"/>
        <v>0.26219463039630958</v>
      </c>
      <c r="AV82" s="1022">
        <f t="shared" si="123"/>
        <v>0.4530726992138146</v>
      </c>
      <c r="AW82" s="1022">
        <f t="shared" si="138"/>
        <v>0.40432396939675236</v>
      </c>
      <c r="AX82" s="1022">
        <f t="shared" si="147"/>
        <v>0.42517530132707682</v>
      </c>
      <c r="AY82" s="1022">
        <f t="shared" si="160"/>
        <v>0.39793369625471303</v>
      </c>
      <c r="BA82" s="1011">
        <v>2005</v>
      </c>
      <c r="BB82" s="1012">
        <f>RunXAge!$M31</f>
        <v>20304.918322954902</v>
      </c>
      <c r="BC82" s="1012">
        <f t="shared" si="124"/>
        <v>26018.25851101712</v>
      </c>
      <c r="BD82" s="1012">
        <f t="shared" si="139"/>
        <v>25123.637072174897</v>
      </c>
      <c r="BE82" s="1012">
        <f t="shared" si="148"/>
        <v>21463.668189918913</v>
      </c>
      <c r="BF82" s="1012">
        <f t="shared" si="161"/>
        <v>19863.994851464558</v>
      </c>
      <c r="BG82" s="1012">
        <f t="shared" si="168"/>
        <v>19092.127197418562</v>
      </c>
      <c r="BI82" s="1018">
        <f t="shared" si="125"/>
        <v>5713.3401880622187</v>
      </c>
      <c r="BJ82" s="1018">
        <f t="shared" si="126"/>
        <v>4818.7187492199955</v>
      </c>
      <c r="BK82" s="1018">
        <f t="shared" si="140"/>
        <v>1158.7498669640117</v>
      </c>
      <c r="BL82" s="1018">
        <f t="shared" si="149"/>
        <v>-440.92347149034322</v>
      </c>
      <c r="BM82" s="1018">
        <f t="shared" si="162"/>
        <v>-1212.7911255363397</v>
      </c>
      <c r="BO82" s="1016">
        <f t="shared" si="127"/>
        <v>0.28137715686367643</v>
      </c>
      <c r="BP82" s="1016">
        <f t="shared" si="128"/>
        <v>0.23731781002893218</v>
      </c>
      <c r="BQ82" s="1016">
        <f t="shared" si="141"/>
        <v>5.7067447823911419E-2</v>
      </c>
      <c r="BR82" s="1016">
        <f t="shared" si="150"/>
        <v>-2.171510687594715E-2</v>
      </c>
      <c r="BS82" s="1016">
        <f t="shared" si="163"/>
        <v>-5.9728933958097627E-2</v>
      </c>
      <c r="BU82" s="1022">
        <f t="shared" si="129"/>
        <v>0.28137715686367643</v>
      </c>
      <c r="BV82" s="1022">
        <f t="shared" si="130"/>
        <v>0.23731781002893218</v>
      </c>
      <c r="BW82" s="1022">
        <f t="shared" si="142"/>
        <v>5.7067447823911419E-2</v>
      </c>
      <c r="BX82" s="1022">
        <f t="shared" si="151"/>
        <v>2.171510687594715E-2</v>
      </c>
      <c r="BY82" s="1022">
        <f t="shared" si="164"/>
        <v>5.9728933958097627E-2</v>
      </c>
    </row>
    <row r="83" spans="1:77">
      <c r="A83" s="1011">
        <v>2006</v>
      </c>
      <c r="B83" s="1012">
        <f>RunXAge!F32</f>
        <v>9564.4699599625565</v>
      </c>
      <c r="C83" s="1012">
        <f t="shared" si="113"/>
        <v>5891.6632712260234</v>
      </c>
      <c r="D83" s="1012">
        <f t="shared" si="152"/>
        <v>5455.6176783102892</v>
      </c>
      <c r="E83" s="1012">
        <f t="shared" si="169"/>
        <v>5629.4735832867082</v>
      </c>
      <c r="F83" s="1012">
        <f t="shared" si="153"/>
        <v>5874.7573956216529</v>
      </c>
      <c r="G83" s="1012">
        <f t="shared" si="165"/>
        <v>6422.7454426749464</v>
      </c>
      <c r="I83" s="1018">
        <f t="shared" si="154"/>
        <v>-3672.806688736533</v>
      </c>
      <c r="J83" s="1018">
        <f t="shared" si="115"/>
        <v>-4108.8522816522673</v>
      </c>
      <c r="K83" s="1018">
        <f t="shared" si="131"/>
        <v>-3934.9963766758483</v>
      </c>
      <c r="L83" s="1018">
        <f t="shared" si="155"/>
        <v>-3689.7125643409036</v>
      </c>
      <c r="M83" s="1018">
        <f t="shared" si="156"/>
        <v>-3141.7245172876101</v>
      </c>
      <c r="O83" s="1016">
        <f t="shared" si="116"/>
        <v>-0.38400525111282918</v>
      </c>
      <c r="P83" s="1016">
        <f t="shared" si="117"/>
        <v>-0.42959539826589122</v>
      </c>
      <c r="Q83" s="1016">
        <f t="shared" si="132"/>
        <v>-0.41141813327324761</v>
      </c>
      <c r="R83" s="1016">
        <f t="shared" si="143"/>
        <v>-0.38577282168131233</v>
      </c>
      <c r="S83" s="1016">
        <f t="shared" si="166"/>
        <v>-0.32847868522135121</v>
      </c>
      <c r="U83" s="1022">
        <f t="shared" si="118"/>
        <v>0.38400525111282918</v>
      </c>
      <c r="V83" s="1022">
        <f t="shared" si="119"/>
        <v>0.42959539826589122</v>
      </c>
      <c r="W83" s="1022">
        <f t="shared" si="133"/>
        <v>0.41141813327324761</v>
      </c>
      <c r="X83" s="1022">
        <f t="shared" si="144"/>
        <v>0.38577282168131233</v>
      </c>
      <c r="Y83" s="1022">
        <f t="shared" si="157"/>
        <v>0.32847868522135121</v>
      </c>
      <c r="AA83" s="1011">
        <v>2006</v>
      </c>
      <c r="AB83" s="1012">
        <f>RunXAge!$I32</f>
        <v>68219.100697904621</v>
      </c>
      <c r="AC83" s="1012">
        <f t="shared" si="120"/>
        <v>37628.29584616753</v>
      </c>
      <c r="AD83" s="1012">
        <f t="shared" si="170"/>
        <v>42561.264407081973</v>
      </c>
      <c r="AE83" s="1012">
        <f t="shared" si="171"/>
        <v>48993.864890060249</v>
      </c>
      <c r="AF83" s="1012">
        <f t="shared" si="172"/>
        <v>49038.812299785874</v>
      </c>
      <c r="AG83" s="1012">
        <f t="shared" si="173"/>
        <v>50427.193466022472</v>
      </c>
      <c r="AI83" s="1018">
        <f t="shared" si="121"/>
        <v>-30590.804851737092</v>
      </c>
      <c r="AJ83" s="1018">
        <f t="shared" si="134"/>
        <v>-25657.836290822648</v>
      </c>
      <c r="AK83" s="1018">
        <f t="shared" si="135"/>
        <v>-19225.235807844372</v>
      </c>
      <c r="AL83" s="1018">
        <f t="shared" si="145"/>
        <v>-19180.288398118748</v>
      </c>
      <c r="AM83" s="1018">
        <f t="shared" si="158"/>
        <v>-17791.907231882149</v>
      </c>
      <c r="AO83" s="1016">
        <f t="shared" si="167"/>
        <v>-0.44841993721381174</v>
      </c>
      <c r="AP83" s="1016">
        <f t="shared" si="136"/>
        <v>-0.3761092718657128</v>
      </c>
      <c r="AQ83" s="1016">
        <f t="shared" si="137"/>
        <v>-0.28181602529443611</v>
      </c>
      <c r="AR83" s="1016">
        <f t="shared" si="146"/>
        <v>-0.28115715689444554</v>
      </c>
      <c r="AS83" s="1016">
        <f t="shared" si="159"/>
        <v>-0.26080536169291124</v>
      </c>
      <c r="AU83" s="1022">
        <f t="shared" si="122"/>
        <v>0.44841993721381174</v>
      </c>
      <c r="AV83" s="1022">
        <f t="shared" si="123"/>
        <v>0.3761092718657128</v>
      </c>
      <c r="AW83" s="1022">
        <f t="shared" si="138"/>
        <v>0.28181602529443611</v>
      </c>
      <c r="AX83" s="1022">
        <f t="shared" si="147"/>
        <v>0.28115715689444554</v>
      </c>
      <c r="AY83" s="1022">
        <f t="shared" si="160"/>
        <v>0.26080536169291124</v>
      </c>
      <c r="BA83" s="1011">
        <v>2006</v>
      </c>
      <c r="BB83" s="1012">
        <f>RunXAge!$M32</f>
        <v>16359.593867404627</v>
      </c>
      <c r="BC83" s="1012">
        <f t="shared" si="124"/>
        <v>20304.918322954902</v>
      </c>
      <c r="BD83" s="1012">
        <f t="shared" si="139"/>
        <v>23161.588416986011</v>
      </c>
      <c r="BE83" s="1012">
        <f t="shared" si="148"/>
        <v>23517.397489101568</v>
      </c>
      <c r="BF83" s="1012">
        <f t="shared" si="161"/>
        <v>21173.980723177912</v>
      </c>
      <c r="BG83" s="1012">
        <f t="shared" si="168"/>
        <v>19952.179545762629</v>
      </c>
      <c r="BI83" s="1018">
        <f t="shared" si="125"/>
        <v>3945.3244555502752</v>
      </c>
      <c r="BJ83" s="1018">
        <f t="shared" si="126"/>
        <v>6801.9945495813845</v>
      </c>
      <c r="BK83" s="1018">
        <f t="shared" si="140"/>
        <v>7157.8036216969413</v>
      </c>
      <c r="BL83" s="1018">
        <f t="shared" si="149"/>
        <v>4814.3868557732858</v>
      </c>
      <c r="BM83" s="1018">
        <f t="shared" si="162"/>
        <v>3592.585678358002</v>
      </c>
      <c r="BO83" s="1016">
        <f t="shared" si="127"/>
        <v>0.24116273836180399</v>
      </c>
      <c r="BP83" s="1016">
        <f t="shared" si="128"/>
        <v>0.41578015962449372</v>
      </c>
      <c r="BQ83" s="1016">
        <f t="shared" si="141"/>
        <v>0.43752942033349473</v>
      </c>
      <c r="BR83" s="1016">
        <f t="shared" si="150"/>
        <v>0.29428523072113805</v>
      </c>
      <c r="BS83" s="1016">
        <f t="shared" si="163"/>
        <v>0.21960115315062825</v>
      </c>
      <c r="BU83" s="1022">
        <f t="shared" si="129"/>
        <v>0.24116273836180399</v>
      </c>
      <c r="BV83" s="1022">
        <f t="shared" si="130"/>
        <v>0.41578015962449372</v>
      </c>
      <c r="BW83" s="1022">
        <f t="shared" si="142"/>
        <v>0.43752942033349473</v>
      </c>
      <c r="BX83" s="1022">
        <f t="shared" si="151"/>
        <v>0.29428523072113805</v>
      </c>
      <c r="BY83" s="1022">
        <f t="shared" si="164"/>
        <v>0.21960115315062825</v>
      </c>
    </row>
    <row r="84" spans="1:77">
      <c r="A84" s="1011">
        <v>2007</v>
      </c>
      <c r="B84" s="1012">
        <f>RunXAge!F33</f>
        <v>5160.4207337804701</v>
      </c>
      <c r="C84" s="1012">
        <f t="shared" si="113"/>
        <v>9564.4699599625565</v>
      </c>
      <c r="D84" s="1012">
        <f t="shared" si="152"/>
        <v>7728.0666155942899</v>
      </c>
      <c r="E84" s="1012">
        <f t="shared" si="169"/>
        <v>6825.2351055277113</v>
      </c>
      <c r="F84" s="1012">
        <f t="shared" si="153"/>
        <v>6613.2226774556702</v>
      </c>
      <c r="G84" s="1012">
        <f t="shared" si="165"/>
        <v>6612.6999084898325</v>
      </c>
      <c r="I84" s="1018">
        <f t="shared" si="154"/>
        <v>4404.0492261820864</v>
      </c>
      <c r="J84" s="1018">
        <f t="shared" si="115"/>
        <v>2567.6458818138199</v>
      </c>
      <c r="K84" s="1018">
        <f t="shared" si="131"/>
        <v>1664.8143717472412</v>
      </c>
      <c r="L84" s="1018">
        <f t="shared" si="155"/>
        <v>1452.8019436752002</v>
      </c>
      <c r="M84" s="1018">
        <f t="shared" si="156"/>
        <v>1452.2791747093625</v>
      </c>
      <c r="O84" s="1016">
        <f t="shared" si="116"/>
        <v>0.85342832559230619</v>
      </c>
      <c r="P84" s="1016">
        <f t="shared" si="117"/>
        <v>0.49756522079795407</v>
      </c>
      <c r="Q84" s="1016">
        <f t="shared" si="132"/>
        <v>0.3226121391322323</v>
      </c>
      <c r="R84" s="1016">
        <f t="shared" si="143"/>
        <v>0.28152780918909548</v>
      </c>
      <c r="S84" s="1016">
        <f t="shared" si="166"/>
        <v>0.28142650563405475</v>
      </c>
      <c r="U84" s="1022">
        <f t="shared" si="118"/>
        <v>0.85342832559230619</v>
      </c>
      <c r="V84" s="1022">
        <f t="shared" si="119"/>
        <v>0.49756522079795407</v>
      </c>
      <c r="W84" s="1022">
        <f t="shared" si="133"/>
        <v>0.3226121391322323</v>
      </c>
      <c r="X84" s="1022">
        <f t="shared" si="144"/>
        <v>0.28152780918909548</v>
      </c>
      <c r="Y84" s="1022">
        <f t="shared" si="157"/>
        <v>0.28142650563405475</v>
      </c>
      <c r="AA84" s="1011">
        <v>2007</v>
      </c>
      <c r="AB84" s="1012">
        <f>RunXAge!$I33</f>
        <v>57978.675515241623</v>
      </c>
      <c r="AC84" s="1012">
        <f t="shared" si="120"/>
        <v>68219.100697904621</v>
      </c>
      <c r="AD84" s="1012">
        <f t="shared" si="170"/>
        <v>52923.698272036076</v>
      </c>
      <c r="AE84" s="1012">
        <f t="shared" si="171"/>
        <v>51113.876504022861</v>
      </c>
      <c r="AF84" s="1012">
        <f t="shared" si="172"/>
        <v>53800.173842021344</v>
      </c>
      <c r="AG84" s="1012">
        <f t="shared" si="173"/>
        <v>52874.869979409617</v>
      </c>
      <c r="AI84" s="1018">
        <f t="shared" si="121"/>
        <v>10240.425182662999</v>
      </c>
      <c r="AJ84" s="1018">
        <f t="shared" si="134"/>
        <v>-5054.977243205547</v>
      </c>
      <c r="AK84" s="1018">
        <f t="shared" si="135"/>
        <v>-6864.7990112187617</v>
      </c>
      <c r="AL84" s="1018">
        <f t="shared" si="145"/>
        <v>-4178.5016732202785</v>
      </c>
      <c r="AM84" s="1018">
        <f t="shared" si="158"/>
        <v>-5103.8055358320053</v>
      </c>
      <c r="AO84" s="1016">
        <f t="shared" si="167"/>
        <v>0.17662399307433235</v>
      </c>
      <c r="AP84" s="1016">
        <f t="shared" si="136"/>
        <v>-8.718683547499595E-2</v>
      </c>
      <c r="AQ84" s="1016">
        <f t="shared" si="137"/>
        <v>-0.11840213578894401</v>
      </c>
      <c r="AR84" s="1016">
        <f t="shared" si="146"/>
        <v>-7.2069629671374952E-2</v>
      </c>
      <c r="AS84" s="1016">
        <f t="shared" si="159"/>
        <v>-8.8029012226922984E-2</v>
      </c>
      <c r="AU84" s="1022">
        <f t="shared" si="122"/>
        <v>0.17662399307433235</v>
      </c>
      <c r="AV84" s="1022">
        <f t="shared" si="123"/>
        <v>8.718683547499595E-2</v>
      </c>
      <c r="AW84" s="1022">
        <f t="shared" si="138"/>
        <v>0.11840213578894401</v>
      </c>
      <c r="AX84" s="1022">
        <f t="shared" si="147"/>
        <v>7.2069629671374952E-2</v>
      </c>
      <c r="AY84" s="1022">
        <f t="shared" si="160"/>
        <v>8.8029012226922984E-2</v>
      </c>
      <c r="BA84" s="1011">
        <v>2007</v>
      </c>
      <c r="BB84" s="1012">
        <f>RunXAge!$M33</f>
        <v>22479.559690778486</v>
      </c>
      <c r="BC84" s="1012">
        <f t="shared" si="124"/>
        <v>16359.593867404627</v>
      </c>
      <c r="BD84" s="1012">
        <f t="shared" si="139"/>
        <v>18332.256095179764</v>
      </c>
      <c r="BE84" s="1012">
        <f t="shared" si="148"/>
        <v>20894.256900458884</v>
      </c>
      <c r="BF84" s="1012">
        <f t="shared" si="161"/>
        <v>21727.946583677331</v>
      </c>
      <c r="BG84" s="1012">
        <f t="shared" si="168"/>
        <v>20211.103352023252</v>
      </c>
      <c r="BI84" s="1018">
        <f t="shared" si="125"/>
        <v>-6119.9658233738592</v>
      </c>
      <c r="BJ84" s="1018">
        <f t="shared" si="126"/>
        <v>-4147.3035955987216</v>
      </c>
      <c r="BK84" s="1018">
        <f t="shared" si="140"/>
        <v>-1585.3027903196016</v>
      </c>
      <c r="BL84" s="1018">
        <f t="shared" si="149"/>
        <v>-751.61310710115504</v>
      </c>
      <c r="BM84" s="1018">
        <f t="shared" si="162"/>
        <v>-2268.4563387552334</v>
      </c>
      <c r="BO84" s="1016">
        <f t="shared" si="127"/>
        <v>-0.27224580496940864</v>
      </c>
      <c r="BP84" s="1016">
        <f t="shared" si="128"/>
        <v>-0.18449220770547473</v>
      </c>
      <c r="BQ84" s="1016">
        <f t="shared" si="141"/>
        <v>-7.0521968051265746E-2</v>
      </c>
      <c r="BR84" s="1016">
        <f t="shared" si="150"/>
        <v>-3.343540164665592E-2</v>
      </c>
      <c r="BS84" s="1016">
        <f t="shared" si="163"/>
        <v>-0.1009119560151258</v>
      </c>
      <c r="BU84" s="1022">
        <f t="shared" si="129"/>
        <v>0.27224580496940864</v>
      </c>
      <c r="BV84" s="1022">
        <f t="shared" si="130"/>
        <v>0.18449220770547473</v>
      </c>
      <c r="BW84" s="1022">
        <f t="shared" si="142"/>
        <v>7.0521968051265746E-2</v>
      </c>
      <c r="BX84" s="1022">
        <f t="shared" si="151"/>
        <v>3.343540164665592E-2</v>
      </c>
      <c r="BY84" s="1022">
        <f t="shared" si="164"/>
        <v>0.1009119560151258</v>
      </c>
    </row>
    <row r="85" spans="1:77">
      <c r="A85" s="1011">
        <v>2008</v>
      </c>
      <c r="B85" s="1012">
        <f>RunXAge!F34</f>
        <v>3974.232174502526</v>
      </c>
      <c r="C85" s="1012">
        <f t="shared" si="113"/>
        <v>5160.4207337804701</v>
      </c>
      <c r="D85" s="1012">
        <f t="shared" si="152"/>
        <v>7362.4453468715128</v>
      </c>
      <c r="E85" s="1012">
        <f t="shared" si="169"/>
        <v>6872.1846549896836</v>
      </c>
      <c r="F85" s="1012">
        <f t="shared" si="153"/>
        <v>6409.031512590901</v>
      </c>
      <c r="G85" s="1012">
        <f t="shared" si="165"/>
        <v>6322.6622887206304</v>
      </c>
      <c r="I85" s="1018">
        <f t="shared" si="154"/>
        <v>1186.188559277944</v>
      </c>
      <c r="J85" s="1018">
        <f t="shared" si="115"/>
        <v>3388.2131723689868</v>
      </c>
      <c r="K85" s="1018">
        <f t="shared" si="131"/>
        <v>2897.9524804871576</v>
      </c>
      <c r="L85" s="1018">
        <f t="shared" si="155"/>
        <v>2434.799338088375</v>
      </c>
      <c r="M85" s="1018">
        <f t="shared" si="156"/>
        <v>2348.4301142181043</v>
      </c>
      <c r="O85" s="1016">
        <f t="shared" si="116"/>
        <v>0.2984698696991514</v>
      </c>
      <c r="P85" s="1016">
        <f t="shared" si="117"/>
        <v>0.85254535306385459</v>
      </c>
      <c r="Q85" s="1016">
        <f t="shared" si="132"/>
        <v>0.72918550131005078</v>
      </c>
      <c r="R85" s="1016">
        <f t="shared" si="143"/>
        <v>0.61264647639594705</v>
      </c>
      <c r="S85" s="1016">
        <f t="shared" si="166"/>
        <v>0.59091417187071327</v>
      </c>
      <c r="U85" s="1022">
        <f t="shared" si="118"/>
        <v>0.2984698696991514</v>
      </c>
      <c r="V85" s="1022">
        <f t="shared" si="119"/>
        <v>0.85254535306385459</v>
      </c>
      <c r="W85" s="1022">
        <f t="shared" si="133"/>
        <v>0.72918550131005078</v>
      </c>
      <c r="X85" s="1022">
        <f t="shared" si="144"/>
        <v>0.61264647639594705</v>
      </c>
      <c r="Y85" s="1022">
        <f t="shared" si="157"/>
        <v>0.59091417187071327</v>
      </c>
      <c r="AA85" s="1011">
        <v>2008</v>
      </c>
      <c r="AB85" s="1012">
        <f>RunXAge!$I34</f>
        <v>32189.833456419547</v>
      </c>
      <c r="AC85" s="1012">
        <f t="shared" si="120"/>
        <v>57978.675515241623</v>
      </c>
      <c r="AD85" s="1012">
        <f t="shared" si="170"/>
        <v>63098.888106573126</v>
      </c>
      <c r="AE85" s="1012">
        <f t="shared" si="171"/>
        <v>54608.69068643792</v>
      </c>
      <c r="AF85" s="1012">
        <f t="shared" si="172"/>
        <v>52830.076256827553</v>
      </c>
      <c r="AG85" s="1012">
        <f t="shared" si="173"/>
        <v>54635.874176665398</v>
      </c>
      <c r="AI85" s="1018">
        <f t="shared" si="121"/>
        <v>25788.842058822076</v>
      </c>
      <c r="AJ85" s="1018">
        <f t="shared" si="134"/>
        <v>30909.054650153579</v>
      </c>
      <c r="AK85" s="1018">
        <f t="shared" si="135"/>
        <v>22418.857230018373</v>
      </c>
      <c r="AL85" s="1018">
        <f t="shared" si="145"/>
        <v>20640.242800408007</v>
      </c>
      <c r="AM85" s="1018">
        <f t="shared" si="158"/>
        <v>22446.040720245852</v>
      </c>
      <c r="AO85" s="1016">
        <f t="shared" si="167"/>
        <v>0.80114866371509807</v>
      </c>
      <c r="AP85" s="1016">
        <f t="shared" si="136"/>
        <v>0.96021169826802744</v>
      </c>
      <c r="AQ85" s="1016">
        <f t="shared" si="137"/>
        <v>0.69645769557553983</v>
      </c>
      <c r="AR85" s="1016">
        <f t="shared" si="146"/>
        <v>0.64120377722214561</v>
      </c>
      <c r="AS85" s="1016">
        <f t="shared" si="159"/>
        <v>0.69730216997346683</v>
      </c>
      <c r="AU85" s="1022">
        <f t="shared" si="122"/>
        <v>0.80114866371509807</v>
      </c>
      <c r="AV85" s="1022">
        <f t="shared" si="123"/>
        <v>0.96021169826802744</v>
      </c>
      <c r="AW85" s="1022">
        <f t="shared" si="138"/>
        <v>0.69645769557553983</v>
      </c>
      <c r="AX85" s="1022">
        <f t="shared" si="147"/>
        <v>0.64120377722214561</v>
      </c>
      <c r="AY85" s="1022">
        <f t="shared" si="160"/>
        <v>0.69730216997346683</v>
      </c>
      <c r="BA85" s="1011">
        <v>2008</v>
      </c>
      <c r="BB85" s="1012">
        <f>RunXAge!$M34</f>
        <v>17049.005269657362</v>
      </c>
      <c r="BC85" s="1012">
        <f t="shared" si="124"/>
        <v>22479.559690778486</v>
      </c>
      <c r="BD85" s="1012">
        <f t="shared" si="139"/>
        <v>19419.576779091556</v>
      </c>
      <c r="BE85" s="1012">
        <f t="shared" si="148"/>
        <v>19714.690627046006</v>
      </c>
      <c r="BF85" s="1012">
        <f t="shared" si="161"/>
        <v>21290.582598038782</v>
      </c>
      <c r="BG85" s="1012">
        <f t="shared" si="168"/>
        <v>21878.269205097564</v>
      </c>
      <c r="BI85" s="1018">
        <f t="shared" si="125"/>
        <v>5430.5544211211236</v>
      </c>
      <c r="BJ85" s="1018">
        <f t="shared" si="126"/>
        <v>2370.571509434194</v>
      </c>
      <c r="BK85" s="1018">
        <f t="shared" si="140"/>
        <v>2665.6853573886438</v>
      </c>
      <c r="BL85" s="1018">
        <f t="shared" si="149"/>
        <v>4241.5773283814196</v>
      </c>
      <c r="BM85" s="1018">
        <f t="shared" si="162"/>
        <v>4829.2639354402017</v>
      </c>
      <c r="BO85" s="1016">
        <f t="shared" si="127"/>
        <v>0.31852617412149248</v>
      </c>
      <c r="BP85" s="1016">
        <f t="shared" si="128"/>
        <v>0.13904456429802228</v>
      </c>
      <c r="BQ85" s="1016">
        <f t="shared" si="141"/>
        <v>0.15635430426740765</v>
      </c>
      <c r="BR85" s="1016">
        <f t="shared" si="150"/>
        <v>0.24878737857687716</v>
      </c>
      <c r="BS85" s="1016">
        <f t="shared" si="163"/>
        <v>0.28325781235078806</v>
      </c>
      <c r="BU85" s="1022">
        <f t="shared" si="129"/>
        <v>0.31852617412149248</v>
      </c>
      <c r="BV85" s="1022">
        <f t="shared" si="130"/>
        <v>0.13904456429802228</v>
      </c>
      <c r="BW85" s="1022">
        <f t="shared" si="142"/>
        <v>0.15635430426740765</v>
      </c>
      <c r="BX85" s="1022">
        <f t="shared" si="151"/>
        <v>0.24878737857687716</v>
      </c>
      <c r="BY85" s="1022">
        <f t="shared" si="164"/>
        <v>0.28325781235078806</v>
      </c>
    </row>
    <row r="86" spans="1:77">
      <c r="A86" s="1011">
        <v>2009</v>
      </c>
      <c r="B86" s="1012">
        <f>RunXAge!F35</f>
        <v>4590.7362311379366</v>
      </c>
      <c r="C86" s="1012">
        <f t="shared" si="113"/>
        <v>3974.232174502526</v>
      </c>
      <c r="D86" s="1012">
        <f t="shared" si="152"/>
        <v>4567.3264541414983</v>
      </c>
      <c r="E86" s="1012">
        <f t="shared" si="169"/>
        <v>6233.0409560818507</v>
      </c>
      <c r="F86" s="1012">
        <f t="shared" si="153"/>
        <v>6147.6965348678941</v>
      </c>
      <c r="G86" s="1012">
        <f t="shared" si="165"/>
        <v>5922.0716449732263</v>
      </c>
      <c r="I86" s="1018">
        <f t="shared" si="154"/>
        <v>-616.50405663541051</v>
      </c>
      <c r="J86" s="1018">
        <f t="shared" si="115"/>
        <v>-23.409776996438268</v>
      </c>
      <c r="K86" s="1018">
        <f t="shared" si="131"/>
        <v>1642.3047249439142</v>
      </c>
      <c r="L86" s="1018">
        <f t="shared" si="155"/>
        <v>1556.9603037299576</v>
      </c>
      <c r="M86" s="1018">
        <f t="shared" si="156"/>
        <v>1331.3354138352897</v>
      </c>
      <c r="O86" s="1016">
        <f t="shared" si="116"/>
        <v>-0.13429306882277431</v>
      </c>
      <c r="P86" s="1016">
        <f t="shared" si="117"/>
        <v>-5.0993513497148866E-3</v>
      </c>
      <c r="Q86" s="1016">
        <f t="shared" si="132"/>
        <v>0.35774321203743503</v>
      </c>
      <c r="R86" s="1016">
        <f t="shared" si="143"/>
        <v>0.33915263812576385</v>
      </c>
      <c r="S86" s="1016">
        <f t="shared" si="166"/>
        <v>0.29000477195904645</v>
      </c>
      <c r="U86" s="1022">
        <f t="shared" si="118"/>
        <v>0.13429306882277431</v>
      </c>
      <c r="V86" s="1022">
        <f t="shared" si="119"/>
        <v>5.0993513497148866E-3</v>
      </c>
      <c r="W86" s="1022">
        <f t="shared" si="133"/>
        <v>0.35774321203743503</v>
      </c>
      <c r="X86" s="1022">
        <f t="shared" si="144"/>
        <v>0.33915263812576385</v>
      </c>
      <c r="Y86" s="1022">
        <f t="shared" si="157"/>
        <v>0.29000477195904645</v>
      </c>
      <c r="AA86" s="1011">
        <v>2009</v>
      </c>
      <c r="AB86" s="1012">
        <f>RunXAge!$I35</f>
        <v>27036.937247060858</v>
      </c>
      <c r="AC86" s="1012">
        <f t="shared" si="120"/>
        <v>32189.833456419547</v>
      </c>
      <c r="AD86" s="1012">
        <f t="shared" si="170"/>
        <v>45084.254485830585</v>
      </c>
      <c r="AE86" s="1012">
        <f t="shared" si="171"/>
        <v>52795.869889855268</v>
      </c>
      <c r="AF86" s="1012">
        <f t="shared" si="172"/>
        <v>49003.97637893333</v>
      </c>
      <c r="AG86" s="1012">
        <f t="shared" si="173"/>
        <v>48702.02769674595</v>
      </c>
      <c r="AI86" s="1018">
        <f t="shared" si="121"/>
        <v>5152.8962093586888</v>
      </c>
      <c r="AJ86" s="1018">
        <f t="shared" si="134"/>
        <v>18047.317238769727</v>
      </c>
      <c r="AK86" s="1018">
        <f t="shared" si="135"/>
        <v>25758.932642794411</v>
      </c>
      <c r="AL86" s="1018">
        <f t="shared" si="145"/>
        <v>21967.039131872472</v>
      </c>
      <c r="AM86" s="1018">
        <f t="shared" si="158"/>
        <v>21665.090449685093</v>
      </c>
      <c r="AO86" s="1016">
        <f t="shared" si="167"/>
        <v>0.19058727555832353</v>
      </c>
      <c r="AP86" s="1016">
        <f t="shared" si="136"/>
        <v>0.66750597798319855</v>
      </c>
      <c r="AQ86" s="1016">
        <f t="shared" si="137"/>
        <v>0.95273116209176478</v>
      </c>
      <c r="AR86" s="1016">
        <f t="shared" si="146"/>
        <v>0.81248252829600642</v>
      </c>
      <c r="AS86" s="1016">
        <f t="shared" si="159"/>
        <v>0.80131452211881993</v>
      </c>
      <c r="AU86" s="1022">
        <f t="shared" si="122"/>
        <v>0.19058727555832353</v>
      </c>
      <c r="AV86" s="1022">
        <f t="shared" si="123"/>
        <v>0.66750597798319855</v>
      </c>
      <c r="AW86" s="1022">
        <f t="shared" si="138"/>
        <v>0.95273116209176478</v>
      </c>
      <c r="AX86" s="1022">
        <f t="shared" si="147"/>
        <v>0.81248252829600642</v>
      </c>
      <c r="AY86" s="1022">
        <f t="shared" si="160"/>
        <v>0.80131452211881993</v>
      </c>
      <c r="BA86" s="1011">
        <v>2009</v>
      </c>
      <c r="BB86" s="1012">
        <f>RunXAge!$M35</f>
        <v>9624.6385284530425</v>
      </c>
      <c r="BC86" s="1012">
        <f t="shared" si="124"/>
        <v>17049.005269657362</v>
      </c>
      <c r="BD86" s="1012">
        <f t="shared" si="139"/>
        <v>19764.282480217924</v>
      </c>
      <c r="BE86" s="1012">
        <f t="shared" si="148"/>
        <v>18629.386275946825</v>
      </c>
      <c r="BF86" s="1012">
        <f t="shared" si="161"/>
        <v>19048.269287698844</v>
      </c>
      <c r="BG86" s="1012">
        <f t="shared" si="168"/>
        <v>20442.267132362496</v>
      </c>
      <c r="BI86" s="1018">
        <f t="shared" si="125"/>
        <v>7424.3667412043196</v>
      </c>
      <c r="BJ86" s="1018">
        <f t="shared" si="126"/>
        <v>10139.643951764881</v>
      </c>
      <c r="BK86" s="1018">
        <f t="shared" si="140"/>
        <v>9004.7477474937823</v>
      </c>
      <c r="BL86" s="1018">
        <f t="shared" si="149"/>
        <v>9423.6307592458015</v>
      </c>
      <c r="BM86" s="1018">
        <f t="shared" si="162"/>
        <v>10817.628603909454</v>
      </c>
      <c r="BO86" s="1016">
        <f t="shared" si="127"/>
        <v>0.77139174829848178</v>
      </c>
      <c r="BP86" s="1016">
        <f t="shared" si="128"/>
        <v>1.0535090665264304</v>
      </c>
      <c r="BQ86" s="1016">
        <f t="shared" si="141"/>
        <v>0.93559334419399809</v>
      </c>
      <c r="BR86" s="1016">
        <f t="shared" si="150"/>
        <v>0.97911529159115873</v>
      </c>
      <c r="BS86" s="1016">
        <f t="shared" si="163"/>
        <v>1.1239516758919943</v>
      </c>
      <c r="BU86" s="1022">
        <f t="shared" si="129"/>
        <v>0.77139174829848178</v>
      </c>
      <c r="BV86" s="1022">
        <f t="shared" si="130"/>
        <v>1.0535090665264304</v>
      </c>
      <c r="BW86" s="1022">
        <f t="shared" si="142"/>
        <v>0.93559334419399809</v>
      </c>
      <c r="BX86" s="1022">
        <f t="shared" si="151"/>
        <v>0.97911529159115873</v>
      </c>
      <c r="BY86" s="1022">
        <f t="shared" si="164"/>
        <v>1.1239516758919943</v>
      </c>
    </row>
    <row r="87" spans="1:77">
      <c r="A87" s="1011">
        <v>2010</v>
      </c>
      <c r="B87" s="1012">
        <f>RunXAge!F36</f>
        <v>5400.9059432897675</v>
      </c>
      <c r="C87" s="1012">
        <f t="shared" si="113"/>
        <v>4590.7362311379366</v>
      </c>
      <c r="D87" s="1012">
        <f t="shared" si="152"/>
        <v>4282.4842028202311</v>
      </c>
      <c r="E87" s="1012">
        <f t="shared" si="169"/>
        <v>4575.1297131403107</v>
      </c>
      <c r="F87" s="1012">
        <f t="shared" si="153"/>
        <v>5822.4647748458719</v>
      </c>
      <c r="G87" s="1012">
        <f t="shared" si="165"/>
        <v>5836.3044741219028</v>
      </c>
      <c r="I87" s="1018">
        <f t="shared" si="154"/>
        <v>-810.16971215183094</v>
      </c>
      <c r="J87" s="1018">
        <f t="shared" si="115"/>
        <v>-1118.4217404695364</v>
      </c>
      <c r="K87" s="1018">
        <f t="shared" si="131"/>
        <v>-825.77623014945675</v>
      </c>
      <c r="L87" s="1018">
        <f t="shared" si="155"/>
        <v>421.55883155610445</v>
      </c>
      <c r="M87" s="1018">
        <f t="shared" si="156"/>
        <v>435.39853083213529</v>
      </c>
      <c r="O87" s="1016">
        <f t="shared" si="116"/>
        <v>-0.15000626203431811</v>
      </c>
      <c r="P87" s="1016">
        <f t="shared" si="117"/>
        <v>-0.20708039581009441</v>
      </c>
      <c r="Q87" s="1016">
        <f t="shared" si="132"/>
        <v>-0.15289587317761452</v>
      </c>
      <c r="R87" s="1016">
        <f t="shared" si="143"/>
        <v>7.8053355489343529E-2</v>
      </c>
      <c r="S87" s="1016">
        <f t="shared" si="166"/>
        <v>8.0615832862834108E-2</v>
      </c>
      <c r="U87" s="1022">
        <f t="shared" si="118"/>
        <v>0.15000626203431811</v>
      </c>
      <c r="V87" s="1022">
        <f t="shared" si="119"/>
        <v>0.20708039581009441</v>
      </c>
      <c r="W87" s="1022">
        <f t="shared" si="133"/>
        <v>0.15289587317761452</v>
      </c>
      <c r="X87" s="1022">
        <f t="shared" si="144"/>
        <v>7.8053355489343529E-2</v>
      </c>
      <c r="Y87" s="1022">
        <f t="shared" si="157"/>
        <v>8.0615832862834108E-2</v>
      </c>
      <c r="AA87" s="1011">
        <v>2010</v>
      </c>
      <c r="AB87" s="1012">
        <f>RunXAge!$I36</f>
        <v>19724.564662776269</v>
      </c>
      <c r="AC87" s="1012">
        <f t="shared" si="120"/>
        <v>27036.937247060858</v>
      </c>
      <c r="AD87" s="1012">
        <f t="shared" si="170"/>
        <v>29613.385351740202</v>
      </c>
      <c r="AE87" s="1012">
        <f t="shared" si="171"/>
        <v>39068.482072907347</v>
      </c>
      <c r="AF87" s="1012">
        <f t="shared" si="172"/>
        <v>46356.136729156664</v>
      </c>
      <c r="AG87" s="1012">
        <f t="shared" si="173"/>
        <v>44610.568552558834</v>
      </c>
      <c r="AI87" s="1018">
        <f t="shared" si="121"/>
        <v>7312.3725842845888</v>
      </c>
      <c r="AJ87" s="1018">
        <f t="shared" si="134"/>
        <v>9888.8206889639332</v>
      </c>
      <c r="AK87" s="1018">
        <f t="shared" si="135"/>
        <v>19343.917410131078</v>
      </c>
      <c r="AL87" s="1018">
        <f t="shared" si="145"/>
        <v>26631.572066380395</v>
      </c>
      <c r="AM87" s="1018">
        <f t="shared" si="158"/>
        <v>24886.003889782565</v>
      </c>
      <c r="AO87" s="1016">
        <f t="shared" si="167"/>
        <v>0.3707241558585232</v>
      </c>
      <c r="AP87" s="1016">
        <f t="shared" si="136"/>
        <v>0.50134544706205264</v>
      </c>
      <c r="AQ87" s="1016">
        <f t="shared" si="137"/>
        <v>0.98070186799288206</v>
      </c>
      <c r="AR87" s="1016">
        <f t="shared" si="146"/>
        <v>1.3501728692972812</v>
      </c>
      <c r="AS87" s="1016">
        <f t="shared" si="159"/>
        <v>1.2616756980571968</v>
      </c>
      <c r="AU87" s="1022">
        <f t="shared" si="122"/>
        <v>0.3707241558585232</v>
      </c>
      <c r="AV87" s="1022">
        <f t="shared" si="123"/>
        <v>0.50134544706205264</v>
      </c>
      <c r="AW87" s="1022">
        <f t="shared" si="138"/>
        <v>0.98070186799288206</v>
      </c>
      <c r="AX87" s="1022">
        <f t="shared" si="147"/>
        <v>1.3501728692972812</v>
      </c>
      <c r="AY87" s="1022">
        <f t="shared" si="160"/>
        <v>1.2616756980571968</v>
      </c>
      <c r="BA87" s="1011">
        <v>2010</v>
      </c>
      <c r="BB87" s="1012">
        <f>RunXAge!$M36</f>
        <v>6759.2925226127109</v>
      </c>
      <c r="BC87" s="1012">
        <f t="shared" si="124"/>
        <v>9624.6385284530425</v>
      </c>
      <c r="BD87" s="1012">
        <f t="shared" si="139"/>
        <v>13336.821899055201</v>
      </c>
      <c r="BE87" s="1012">
        <f t="shared" si="148"/>
        <v>16384.401162962964</v>
      </c>
      <c r="BF87" s="1012">
        <f t="shared" si="161"/>
        <v>16378.199339073379</v>
      </c>
      <c r="BG87" s="1012">
        <f t="shared" si="168"/>
        <v>17163.543135849683</v>
      </c>
      <c r="BI87" s="1018">
        <f t="shared" si="125"/>
        <v>2865.3460058403316</v>
      </c>
      <c r="BJ87" s="1018">
        <f t="shared" si="126"/>
        <v>6577.5293764424905</v>
      </c>
      <c r="BK87" s="1018">
        <f t="shared" si="140"/>
        <v>9625.1086403502522</v>
      </c>
      <c r="BL87" s="1018">
        <f t="shared" si="149"/>
        <v>9618.9068164606688</v>
      </c>
      <c r="BM87" s="1018">
        <f t="shared" si="162"/>
        <v>10404.250613236971</v>
      </c>
      <c r="BO87" s="1016">
        <f t="shared" si="127"/>
        <v>0.42391211746710611</v>
      </c>
      <c r="BP87" s="1016">
        <f t="shared" si="128"/>
        <v>0.97310914632527812</v>
      </c>
      <c r="BQ87" s="1016">
        <f t="shared" si="141"/>
        <v>1.4239816679260686</v>
      </c>
      <c r="BR87" s="1016">
        <f t="shared" si="150"/>
        <v>1.4230641423316612</v>
      </c>
      <c r="BS87" s="1016">
        <f t="shared" si="163"/>
        <v>1.5392514199422977</v>
      </c>
      <c r="BU87" s="1022">
        <f t="shared" si="129"/>
        <v>0.42391211746710611</v>
      </c>
      <c r="BV87" s="1022">
        <f t="shared" si="130"/>
        <v>0.97310914632527812</v>
      </c>
      <c r="BW87" s="1022">
        <f t="shared" si="142"/>
        <v>1.4239816679260686</v>
      </c>
      <c r="BX87" s="1022">
        <f t="shared" si="151"/>
        <v>1.4230641423316612</v>
      </c>
      <c r="BY87" s="1022">
        <f t="shared" si="164"/>
        <v>1.5392514199422977</v>
      </c>
    </row>
    <row r="88" spans="1:77">
      <c r="A88" s="1011">
        <v>2011</v>
      </c>
      <c r="B88" s="1012">
        <f>RunXAge!F37</f>
        <v>5474.316891495072</v>
      </c>
      <c r="C88" s="1012">
        <f t="shared" si="113"/>
        <v>5400.9059432897675</v>
      </c>
      <c r="D88" s="1012">
        <f t="shared" si="152"/>
        <v>4995.8210872138516</v>
      </c>
      <c r="E88" s="1012">
        <f t="shared" si="169"/>
        <v>4655.2914496434096</v>
      </c>
      <c r="F88" s="1012">
        <f t="shared" si="153"/>
        <v>4781.5737706776754</v>
      </c>
      <c r="G88" s="1012">
        <f t="shared" si="165"/>
        <v>5738.1530085346512</v>
      </c>
      <c r="I88" s="1018">
        <f t="shared" si="154"/>
        <v>-73.410948205304521</v>
      </c>
      <c r="J88" s="1018">
        <f t="shared" si="115"/>
        <v>-478.49580428122044</v>
      </c>
      <c r="K88" s="1018">
        <f t="shared" si="131"/>
        <v>-819.02544185166244</v>
      </c>
      <c r="L88" s="1018">
        <f t="shared" si="155"/>
        <v>-692.74312081739663</v>
      </c>
      <c r="M88" s="1018">
        <f t="shared" si="156"/>
        <v>263.83611703957922</v>
      </c>
      <c r="O88" s="1016">
        <f t="shared" si="116"/>
        <v>-1.3410065522395345E-2</v>
      </c>
      <c r="P88" s="1016">
        <f t="shared" si="117"/>
        <v>-8.7407399638229577E-2</v>
      </c>
      <c r="Q88" s="1016">
        <f t="shared" si="132"/>
        <v>-0.1496123549449804</v>
      </c>
      <c r="R88" s="1016">
        <f t="shared" si="143"/>
        <v>-0.1265442126475444</v>
      </c>
      <c r="S88" s="1016">
        <f t="shared" si="166"/>
        <v>4.8195258379995581E-2</v>
      </c>
      <c r="U88" s="1022">
        <f t="shared" si="118"/>
        <v>1.3410065522395345E-2</v>
      </c>
      <c r="V88" s="1022">
        <f t="shared" si="119"/>
        <v>8.7407399638229577E-2</v>
      </c>
      <c r="W88" s="1022">
        <f t="shared" si="133"/>
        <v>0.1496123549449804</v>
      </c>
      <c r="X88" s="1022">
        <f t="shared" si="144"/>
        <v>0.1265442126475444</v>
      </c>
      <c r="Y88" s="1022">
        <f t="shared" si="157"/>
        <v>4.8195258379995581E-2</v>
      </c>
      <c r="AA88" s="1011">
        <v>2011</v>
      </c>
      <c r="AB88" s="1012">
        <f>RunXAge!$I37</f>
        <v>41072.77581880783</v>
      </c>
      <c r="AC88" s="1012">
        <f t="shared" si="120"/>
        <v>19724.564662776269</v>
      </c>
      <c r="AD88" s="1012">
        <f t="shared" si="170"/>
        <v>23380.750954918563</v>
      </c>
      <c r="AE88" s="1012">
        <f t="shared" si="171"/>
        <v>26317.111788752227</v>
      </c>
      <c r="AF88" s="1012">
        <f t="shared" si="172"/>
        <v>34232.502720374578</v>
      </c>
      <c r="AG88" s="1012">
        <f t="shared" si="173"/>
        <v>41029.822315880585</v>
      </c>
      <c r="AI88" s="1018">
        <f t="shared" si="121"/>
        <v>-21348.211156031561</v>
      </c>
      <c r="AJ88" s="1018">
        <f t="shared" si="134"/>
        <v>-17692.024863889266</v>
      </c>
      <c r="AK88" s="1018">
        <f t="shared" si="135"/>
        <v>-14755.664030055603</v>
      </c>
      <c r="AL88" s="1018">
        <f t="shared" si="145"/>
        <v>-6840.273098433252</v>
      </c>
      <c r="AM88" s="1018">
        <f t="shared" si="158"/>
        <v>-42.953502927244699</v>
      </c>
      <c r="AO88" s="1016">
        <f t="shared" si="167"/>
        <v>-0.51976548286409952</v>
      </c>
      <c r="AP88" s="1016">
        <f t="shared" si="136"/>
        <v>-0.43074821487443338</v>
      </c>
      <c r="AQ88" s="1016">
        <f t="shared" si="137"/>
        <v>-0.35925655707201476</v>
      </c>
      <c r="AR88" s="1016">
        <f t="shared" si="146"/>
        <v>-0.16654031684172146</v>
      </c>
      <c r="AS88" s="1016">
        <f t="shared" si="159"/>
        <v>-1.0457901145209587E-3</v>
      </c>
      <c r="AU88" s="1022">
        <f t="shared" si="122"/>
        <v>0.51976548286409952</v>
      </c>
      <c r="AV88" s="1022">
        <f t="shared" si="123"/>
        <v>0.43074821487443338</v>
      </c>
      <c r="AW88" s="1022">
        <f t="shared" si="138"/>
        <v>0.35925655707201476</v>
      </c>
      <c r="AX88" s="1022">
        <f t="shared" si="147"/>
        <v>0.16654031684172146</v>
      </c>
      <c r="AY88" s="1022">
        <f t="shared" si="160"/>
        <v>1.0457901145209587E-3</v>
      </c>
      <c r="BA88" s="1011">
        <v>2011</v>
      </c>
      <c r="BB88" s="1012">
        <f>RunXAge!$M37</f>
        <v>6002.9711144944513</v>
      </c>
      <c r="BC88" s="1012">
        <f t="shared" si="124"/>
        <v>6759.2925226127109</v>
      </c>
      <c r="BD88" s="1012">
        <f t="shared" si="139"/>
        <v>8191.9655255328762</v>
      </c>
      <c r="BE88" s="1012">
        <f t="shared" si="148"/>
        <v>11144.312106907704</v>
      </c>
      <c r="BF88" s="1012">
        <f t="shared" si="161"/>
        <v>13978.1240028754</v>
      </c>
      <c r="BG88" s="1012">
        <f t="shared" si="168"/>
        <v>14454.417975781244</v>
      </c>
      <c r="BI88" s="1018">
        <f t="shared" si="125"/>
        <v>756.32140811825957</v>
      </c>
      <c r="BJ88" s="1018">
        <f t="shared" si="126"/>
        <v>2188.9944110384249</v>
      </c>
      <c r="BK88" s="1018">
        <f t="shared" si="140"/>
        <v>5141.3409924132529</v>
      </c>
      <c r="BL88" s="1018">
        <f t="shared" si="149"/>
        <v>7975.1528883809488</v>
      </c>
      <c r="BM88" s="1018">
        <f t="shared" si="162"/>
        <v>8451.4468612867931</v>
      </c>
      <c r="BO88" s="1016">
        <f t="shared" si="127"/>
        <v>0.12599117898336817</v>
      </c>
      <c r="BP88" s="1016">
        <f t="shared" si="128"/>
        <v>0.36465183144942953</v>
      </c>
      <c r="BQ88" s="1016">
        <f t="shared" si="141"/>
        <v>0.8564660556169007</v>
      </c>
      <c r="BR88" s="1016">
        <f t="shared" si="150"/>
        <v>1.3285342768224511</v>
      </c>
      <c r="BS88" s="1016">
        <f t="shared" si="163"/>
        <v>1.4078773160977542</v>
      </c>
      <c r="BU88" s="1022">
        <f t="shared" si="129"/>
        <v>0.12599117898336817</v>
      </c>
      <c r="BV88" s="1022">
        <f t="shared" si="130"/>
        <v>0.36465183144942953</v>
      </c>
      <c r="BW88" s="1022">
        <f t="shared" si="142"/>
        <v>0.8564660556169007</v>
      </c>
      <c r="BX88" s="1022">
        <f t="shared" si="151"/>
        <v>1.3285342768224511</v>
      </c>
      <c r="BY88" s="1022">
        <f t="shared" si="164"/>
        <v>1.4078773160977542</v>
      </c>
    </row>
    <row r="89" spans="1:77">
      <c r="A89" s="1011">
        <v>2012</v>
      </c>
      <c r="B89" s="1012">
        <f>RunXAge!F38</f>
        <v>3822.0338773893727</v>
      </c>
      <c r="C89" s="1012">
        <f t="shared" si="113"/>
        <v>5474.316891495072</v>
      </c>
      <c r="D89" s="1012">
        <f t="shared" si="152"/>
        <v>5437.6114173924198</v>
      </c>
      <c r="E89" s="1012">
        <f t="shared" si="169"/>
        <v>5155.3196886409251</v>
      </c>
      <c r="F89" s="1012">
        <f t="shared" si="153"/>
        <v>4860.0478101063254</v>
      </c>
      <c r="G89" s="1012">
        <f t="shared" si="165"/>
        <v>4920.1223948411553</v>
      </c>
      <c r="I89" s="1018">
        <f t="shared" si="154"/>
        <v>1652.2830141056993</v>
      </c>
      <c r="J89" s="1018">
        <f t="shared" si="115"/>
        <v>1615.577540003047</v>
      </c>
      <c r="K89" s="1018">
        <f t="shared" si="131"/>
        <v>1333.2858112515523</v>
      </c>
      <c r="L89" s="1018">
        <f t="shared" si="155"/>
        <v>1038.0139327169527</v>
      </c>
      <c r="M89" s="1018">
        <f t="shared" si="156"/>
        <v>1098.0885174517825</v>
      </c>
      <c r="O89" s="1016">
        <f t="shared" si="116"/>
        <v>0.43230464907189298</v>
      </c>
      <c r="P89" s="1016">
        <f t="shared" si="117"/>
        <v>0.42270099947585021</v>
      </c>
      <c r="Q89" s="1016">
        <f t="shared" si="132"/>
        <v>0.34884196582847893</v>
      </c>
      <c r="R89" s="1016">
        <f t="shared" si="143"/>
        <v>0.27158679541217584</v>
      </c>
      <c r="S89" s="1016">
        <f t="shared" si="166"/>
        <v>0.28730475780131709</v>
      </c>
      <c r="U89" s="1022">
        <f t="shared" si="118"/>
        <v>0.43230464907189298</v>
      </c>
      <c r="V89" s="1022">
        <f t="shared" si="119"/>
        <v>0.42270099947585021</v>
      </c>
      <c r="W89" s="1022">
        <f t="shared" si="133"/>
        <v>0.34884196582847893</v>
      </c>
      <c r="X89" s="1022">
        <f t="shared" si="144"/>
        <v>0.27158679541217584</v>
      </c>
      <c r="Y89" s="1022">
        <f t="shared" si="157"/>
        <v>0.28730475780131709</v>
      </c>
      <c r="AA89" s="1011">
        <v>2012</v>
      </c>
      <c r="AB89" s="1012">
        <f>RunXAge!$I38</f>
        <v>35349.079570382564</v>
      </c>
      <c r="AC89" s="1012">
        <f t="shared" si="120"/>
        <v>41072.77581880783</v>
      </c>
      <c r="AD89" s="1012">
        <f t="shared" si="170"/>
        <v>30398.670240792049</v>
      </c>
      <c r="AE89" s="1012">
        <f t="shared" si="171"/>
        <v>29278.092576214985</v>
      </c>
      <c r="AF89" s="1012">
        <f t="shared" si="172"/>
        <v>30006.027796266128</v>
      </c>
      <c r="AG89" s="1012">
        <f t="shared" si="173"/>
        <v>35600.557340061227</v>
      </c>
      <c r="AI89" s="1018">
        <f t="shared" si="121"/>
        <v>5723.6962484252654</v>
      </c>
      <c r="AJ89" s="1018">
        <f t="shared" si="134"/>
        <v>-4950.409329590515</v>
      </c>
      <c r="AK89" s="1018">
        <f t="shared" si="135"/>
        <v>-6070.9869941675788</v>
      </c>
      <c r="AL89" s="1018">
        <f t="shared" si="145"/>
        <v>-5343.0517741164367</v>
      </c>
      <c r="AM89" s="1018">
        <f t="shared" si="158"/>
        <v>251.4777696786623</v>
      </c>
      <c r="AO89" s="1016">
        <f t="shared" si="167"/>
        <v>0.16191924423460513</v>
      </c>
      <c r="AP89" s="1016">
        <f t="shared" si="136"/>
        <v>-0.14004351427973941</v>
      </c>
      <c r="AQ89" s="1016">
        <f t="shared" si="137"/>
        <v>-0.17174384928693281</v>
      </c>
      <c r="AR89" s="1016">
        <f t="shared" si="146"/>
        <v>-0.15115108622497611</v>
      </c>
      <c r="AS89" s="1016">
        <f t="shared" si="159"/>
        <v>7.1141249711453433E-3</v>
      </c>
      <c r="AU89" s="1022">
        <f t="shared" si="122"/>
        <v>0.16191924423460513</v>
      </c>
      <c r="AV89" s="1022">
        <f t="shared" si="123"/>
        <v>0.14004351427973941</v>
      </c>
      <c r="AW89" s="1022">
        <f t="shared" si="138"/>
        <v>0.17174384928693281</v>
      </c>
      <c r="AX89" s="1022">
        <f t="shared" si="147"/>
        <v>0.15115108622497611</v>
      </c>
      <c r="AY89" s="1022">
        <f t="shared" si="160"/>
        <v>7.1141249711453433E-3</v>
      </c>
      <c r="BA89" s="1011">
        <v>2012</v>
      </c>
      <c r="BB89" s="1012">
        <f>RunXAge!$M38</f>
        <v>5328.7274734867533</v>
      </c>
      <c r="BC89" s="1012">
        <f t="shared" si="124"/>
        <v>6002.9711144944513</v>
      </c>
      <c r="BD89" s="1012">
        <f t="shared" si="139"/>
        <v>6381.1318185535811</v>
      </c>
      <c r="BE89" s="1012">
        <f t="shared" si="148"/>
        <v>7462.3007218534012</v>
      </c>
      <c r="BF89" s="1012">
        <f t="shared" si="161"/>
        <v>9858.9768588043917</v>
      </c>
      <c r="BG89" s="1012">
        <f t="shared" si="168"/>
        <v>12383.093425199211</v>
      </c>
      <c r="BI89" s="1018">
        <f t="shared" si="125"/>
        <v>674.24364100769799</v>
      </c>
      <c r="BJ89" s="1018">
        <f t="shared" si="126"/>
        <v>1052.4043450668278</v>
      </c>
      <c r="BK89" s="1018">
        <f t="shared" si="140"/>
        <v>2133.5732483666479</v>
      </c>
      <c r="BL89" s="1018">
        <f t="shared" si="149"/>
        <v>4530.2493853176384</v>
      </c>
      <c r="BM89" s="1018">
        <f t="shared" si="162"/>
        <v>7054.3659517124579</v>
      </c>
      <c r="BO89" s="1016">
        <f t="shared" si="127"/>
        <v>0.12652995379523871</v>
      </c>
      <c r="BP89" s="1016">
        <f t="shared" si="128"/>
        <v>0.1974963723146094</v>
      </c>
      <c r="BQ89" s="1016">
        <f t="shared" si="141"/>
        <v>0.4003907610179554</v>
      </c>
      <c r="BR89" s="1016">
        <f t="shared" si="150"/>
        <v>0.85015595334121197</v>
      </c>
      <c r="BS89" s="1016">
        <f t="shared" si="163"/>
        <v>1.3238368797825881</v>
      </c>
      <c r="BU89" s="1022">
        <f t="shared" si="129"/>
        <v>0.12652995379523871</v>
      </c>
      <c r="BV89" s="1022">
        <f t="shared" si="130"/>
        <v>0.1974963723146094</v>
      </c>
      <c r="BW89" s="1022">
        <f t="shared" si="142"/>
        <v>0.4003907610179554</v>
      </c>
      <c r="BX89" s="1022">
        <f t="shared" si="151"/>
        <v>0.85015595334121197</v>
      </c>
      <c r="BY89" s="1022">
        <f t="shared" si="164"/>
        <v>1.3238368797825881</v>
      </c>
    </row>
    <row r="90" spans="1:77">
      <c r="A90" s="1011">
        <v>2013</v>
      </c>
      <c r="B90" s="1012">
        <f>RunXAge!F39</f>
        <v>5820.9729508568271</v>
      </c>
      <c r="C90" s="1012">
        <f t="shared" si="113"/>
        <v>3822.0338773893727</v>
      </c>
      <c r="D90" s="1012">
        <f t="shared" si="152"/>
        <v>4648.1753844422219</v>
      </c>
      <c r="E90" s="1012">
        <f t="shared" si="169"/>
        <v>4899.0855707247374</v>
      </c>
      <c r="F90" s="1012">
        <f t="shared" si="153"/>
        <v>4821.9982358280377</v>
      </c>
      <c r="G90" s="1012">
        <f t="shared" si="165"/>
        <v>4652.4450235629356</v>
      </c>
      <c r="I90" s="1018">
        <f t="shared" si="154"/>
        <v>-1998.9390734674544</v>
      </c>
      <c r="J90" s="1018">
        <f t="shared" si="115"/>
        <v>-1172.7975664146052</v>
      </c>
      <c r="K90" s="1018">
        <f t="shared" si="131"/>
        <v>-921.88738013208967</v>
      </c>
      <c r="L90" s="1018">
        <f t="shared" si="155"/>
        <v>-998.97471502878943</v>
      </c>
      <c r="M90" s="1018">
        <f t="shared" si="156"/>
        <v>-1168.5279272938915</v>
      </c>
      <c r="O90" s="1016">
        <f t="shared" si="116"/>
        <v>-0.34340291397045875</v>
      </c>
      <c r="P90" s="1016">
        <f t="shared" si="117"/>
        <v>-0.20147792754164465</v>
      </c>
      <c r="Q90" s="1016">
        <f t="shared" si="132"/>
        <v>-0.15837341762538015</v>
      </c>
      <c r="R90" s="1016">
        <f t="shared" si="143"/>
        <v>-0.17161645028461159</v>
      </c>
      <c r="S90" s="1016">
        <f t="shared" si="166"/>
        <v>-0.20074443519306995</v>
      </c>
      <c r="U90" s="1022">
        <f t="shared" si="118"/>
        <v>0.34340291397045875</v>
      </c>
      <c r="V90" s="1022">
        <f t="shared" si="119"/>
        <v>0.20147792754164465</v>
      </c>
      <c r="W90" s="1022">
        <f t="shared" si="133"/>
        <v>0.15837341762538015</v>
      </c>
      <c r="X90" s="1022">
        <f t="shared" si="144"/>
        <v>0.17161645028461159</v>
      </c>
      <c r="Y90" s="1022">
        <f t="shared" si="157"/>
        <v>0.20074443519306995</v>
      </c>
      <c r="AA90" s="1011">
        <v>2013</v>
      </c>
      <c r="AB90" s="1012">
        <f>RunXAge!$I39</f>
        <v>26390.095675036351</v>
      </c>
      <c r="AC90" s="1012">
        <f t="shared" si="120"/>
        <v>35349.079570382564</v>
      </c>
      <c r="AD90" s="1012">
        <f t="shared" si="170"/>
        <v>38210.927694595201</v>
      </c>
      <c r="AE90" s="1012">
        <f t="shared" si="171"/>
        <v>32048.806683988889</v>
      </c>
      <c r="AF90" s="1012">
        <f t="shared" si="172"/>
        <v>30795.839324756882</v>
      </c>
      <c r="AG90" s="1012">
        <f t="shared" si="173"/>
        <v>31074.638151089417</v>
      </c>
      <c r="AI90" s="1018">
        <f t="shared" si="121"/>
        <v>8958.9838953462131</v>
      </c>
      <c r="AJ90" s="1018">
        <f t="shared" si="134"/>
        <v>11820.832019558849</v>
      </c>
      <c r="AK90" s="1018">
        <f t="shared" si="135"/>
        <v>5658.7110089525377</v>
      </c>
      <c r="AL90" s="1018">
        <f t="shared" si="145"/>
        <v>4405.7436497205308</v>
      </c>
      <c r="AM90" s="1018">
        <f t="shared" si="158"/>
        <v>4684.5424760530659</v>
      </c>
      <c r="AO90" s="1016">
        <f t="shared" si="167"/>
        <v>0.33948281225145172</v>
      </c>
      <c r="AP90" s="1016">
        <f t="shared" si="136"/>
        <v>0.4479268345639511</v>
      </c>
      <c r="AQ90" s="1016">
        <f t="shared" si="137"/>
        <v>0.2144255586881173</v>
      </c>
      <c r="AR90" s="1016">
        <f t="shared" si="146"/>
        <v>0.1669468615791391</v>
      </c>
      <c r="AS90" s="1016">
        <f t="shared" si="159"/>
        <v>0.17751138661025764</v>
      </c>
      <c r="AU90" s="1022">
        <f t="shared" si="122"/>
        <v>0.33948281225145172</v>
      </c>
      <c r="AV90" s="1022">
        <f t="shared" si="123"/>
        <v>0.4479268345639511</v>
      </c>
      <c r="AW90" s="1022">
        <f t="shared" si="138"/>
        <v>0.2144255586881173</v>
      </c>
      <c r="AX90" s="1022">
        <f t="shared" si="147"/>
        <v>0.1669468615791391</v>
      </c>
      <c r="AY90" s="1022">
        <f t="shared" si="160"/>
        <v>0.17751138661025764</v>
      </c>
      <c r="BA90" s="1011">
        <v>2013</v>
      </c>
      <c r="BB90" s="1012">
        <f>RunXAge!$M39</f>
        <v>4735.5815357155097</v>
      </c>
      <c r="BC90" s="1012">
        <f t="shared" si="124"/>
        <v>5328.7274734867533</v>
      </c>
      <c r="BD90" s="1012">
        <f t="shared" si="139"/>
        <v>5665.8492939906027</v>
      </c>
      <c r="BE90" s="1012">
        <f t="shared" si="148"/>
        <v>6030.3303701979721</v>
      </c>
      <c r="BF90" s="1012">
        <f t="shared" si="161"/>
        <v>6928.9074097617395</v>
      </c>
      <c r="BG90" s="1012">
        <f t="shared" si="168"/>
        <v>8952.926981740864</v>
      </c>
      <c r="BI90" s="1018">
        <f t="shared" si="125"/>
        <v>593.14593777124355</v>
      </c>
      <c r="BJ90" s="1018">
        <f t="shared" si="126"/>
        <v>930.267758275093</v>
      </c>
      <c r="BK90" s="1018">
        <f t="shared" si="140"/>
        <v>1294.7488344824624</v>
      </c>
      <c r="BL90" s="1018">
        <f t="shared" si="149"/>
        <v>2193.3258740462297</v>
      </c>
      <c r="BM90" s="1018">
        <f t="shared" si="162"/>
        <v>4217.3454460253542</v>
      </c>
      <c r="BO90" s="1016">
        <f t="shared" si="127"/>
        <v>0.12525303034015309</v>
      </c>
      <c r="BP90" s="1016">
        <f t="shared" si="128"/>
        <v>0.19644213730859916</v>
      </c>
      <c r="BQ90" s="1016">
        <f t="shared" si="141"/>
        <v>0.27340862462562071</v>
      </c>
      <c r="BR90" s="1016">
        <f t="shared" si="150"/>
        <v>0.46315871820689392</v>
      </c>
      <c r="BS90" s="1016">
        <f t="shared" si="163"/>
        <v>0.89056548054728957</v>
      </c>
      <c r="BU90" s="1022">
        <f t="shared" si="129"/>
        <v>0.12525303034015309</v>
      </c>
      <c r="BV90" s="1022">
        <f t="shared" si="130"/>
        <v>0.19644213730859916</v>
      </c>
      <c r="BW90" s="1022">
        <f t="shared" si="142"/>
        <v>0.27340862462562071</v>
      </c>
      <c r="BX90" s="1022">
        <f t="shared" si="151"/>
        <v>0.46315871820689392</v>
      </c>
      <c r="BY90" s="1022">
        <f t="shared" si="164"/>
        <v>0.89056548054728957</v>
      </c>
    </row>
    <row r="91" spans="1:77">
      <c r="A91" s="1011">
        <v>2014</v>
      </c>
      <c r="B91" s="1012">
        <f>RunXAge!F40</f>
        <v>8845.4023463963786</v>
      </c>
      <c r="C91" s="1012">
        <f t="shared" si="113"/>
        <v>5820.9729508568271</v>
      </c>
      <c r="D91" s="1012">
        <f t="shared" si="152"/>
        <v>4821.5034141230999</v>
      </c>
      <c r="E91" s="1012">
        <f t="shared" si="169"/>
        <v>5039.1079065804233</v>
      </c>
      <c r="F91" s="1012">
        <f t="shared" si="153"/>
        <v>5129.5574157577594</v>
      </c>
      <c r="G91" s="1012">
        <f t="shared" si="165"/>
        <v>5021.7931788337955</v>
      </c>
      <c r="I91" s="1018">
        <f t="shared" si="154"/>
        <v>-3024.4293955395515</v>
      </c>
      <c r="J91" s="1018">
        <f t="shared" si="115"/>
        <v>-4023.8989322732787</v>
      </c>
      <c r="K91" s="1018">
        <f t="shared" si="131"/>
        <v>-3806.2944398159552</v>
      </c>
      <c r="L91" s="1018">
        <f t="shared" si="155"/>
        <v>-3715.8449306386192</v>
      </c>
      <c r="M91" s="1018">
        <f t="shared" si="156"/>
        <v>-3823.609167562583</v>
      </c>
      <c r="O91" s="1016">
        <f t="shared" si="116"/>
        <v>-0.34192106555466134</v>
      </c>
      <c r="P91" s="1016">
        <f t="shared" si="117"/>
        <v>-0.45491417741021323</v>
      </c>
      <c r="Q91" s="1016">
        <f t="shared" si="132"/>
        <v>-0.43031331880190182</v>
      </c>
      <c r="R91" s="1016">
        <f t="shared" si="143"/>
        <v>-0.42008772299119401</v>
      </c>
      <c r="S91" s="1016">
        <f t="shared" si="166"/>
        <v>-0.43227080214393226</v>
      </c>
      <c r="U91" s="1022">
        <f t="shared" si="118"/>
        <v>0.34192106555466134</v>
      </c>
      <c r="V91" s="1022">
        <f t="shared" si="119"/>
        <v>0.45491417741021323</v>
      </c>
      <c r="W91" s="1022">
        <f t="shared" si="133"/>
        <v>0.43031331880190182</v>
      </c>
      <c r="X91" s="1022">
        <f t="shared" si="144"/>
        <v>0.42008772299119401</v>
      </c>
      <c r="Y91" s="1022">
        <f t="shared" si="157"/>
        <v>0.43227080214393226</v>
      </c>
      <c r="AA91" s="1011">
        <v>2014</v>
      </c>
      <c r="AB91" s="1012">
        <f>RunXAge!$I40</f>
        <v>15966.534037066889</v>
      </c>
      <c r="AC91" s="1012">
        <f t="shared" si="120"/>
        <v>26390.095675036351</v>
      </c>
      <c r="AD91" s="1012">
        <f t="shared" si="170"/>
        <v>30869.587622709456</v>
      </c>
      <c r="AE91" s="1012">
        <f t="shared" si="171"/>
        <v>34270.650354742254</v>
      </c>
      <c r="AF91" s="1012">
        <f t="shared" si="172"/>
        <v>30634.128931750754</v>
      </c>
      <c r="AG91" s="1012">
        <f t="shared" si="173"/>
        <v>29914.690594812775</v>
      </c>
      <c r="AI91" s="1018">
        <f t="shared" si="121"/>
        <v>10423.561637969462</v>
      </c>
      <c r="AJ91" s="1018">
        <f t="shared" si="134"/>
        <v>14903.053585642567</v>
      </c>
      <c r="AK91" s="1018">
        <f t="shared" si="135"/>
        <v>18304.116317675365</v>
      </c>
      <c r="AL91" s="1018">
        <f t="shared" si="145"/>
        <v>14667.594894683865</v>
      </c>
      <c r="AM91" s="1018">
        <f t="shared" si="158"/>
        <v>13948.156557745886</v>
      </c>
      <c r="AO91" s="1016">
        <f t="shared" si="167"/>
        <v>0.65283809333765142</v>
      </c>
      <c r="AP91" s="1016">
        <f t="shared" si="136"/>
        <v>0.93339315539894796</v>
      </c>
      <c r="AQ91" s="1016">
        <f t="shared" si="137"/>
        <v>1.1464051168012854</v>
      </c>
      <c r="AR91" s="1016">
        <f t="shared" si="146"/>
        <v>0.91864614202634776</v>
      </c>
      <c r="AS91" s="1016">
        <f t="shared" si="159"/>
        <v>0.87358699924258665</v>
      </c>
      <c r="AU91" s="1022">
        <f t="shared" si="122"/>
        <v>0.65283809333765142</v>
      </c>
      <c r="AV91" s="1022">
        <f t="shared" si="123"/>
        <v>0.93339315539894796</v>
      </c>
      <c r="AW91" s="1022">
        <f t="shared" si="138"/>
        <v>1.1464051168012854</v>
      </c>
      <c r="AX91" s="1022">
        <f t="shared" si="147"/>
        <v>0.91864614202634776</v>
      </c>
      <c r="AY91" s="1022">
        <f t="shared" si="160"/>
        <v>0.87358699924258665</v>
      </c>
      <c r="BA91" s="1011">
        <v>2014</v>
      </c>
      <c r="BB91" s="1012">
        <f>RunXAge!$M40</f>
        <v>8847.9708801162087</v>
      </c>
      <c r="BC91" s="1012">
        <f t="shared" si="124"/>
        <v>4735.5815357155097</v>
      </c>
      <c r="BD91" s="1012">
        <f t="shared" si="139"/>
        <v>5032.1545046011315</v>
      </c>
      <c r="BE91" s="1012">
        <f t="shared" si="148"/>
        <v>5355.7600412322381</v>
      </c>
      <c r="BF91" s="1012">
        <f t="shared" si="161"/>
        <v>5706.6431615773563</v>
      </c>
      <c r="BG91" s="1012">
        <f t="shared" si="168"/>
        <v>6490.2422349524932</v>
      </c>
      <c r="BI91" s="1018">
        <f t="shared" si="125"/>
        <v>-4112.389344400699</v>
      </c>
      <c r="BJ91" s="1018">
        <f t="shared" si="126"/>
        <v>-3815.8163755150772</v>
      </c>
      <c r="BK91" s="1018">
        <f t="shared" si="140"/>
        <v>-3492.2108388839706</v>
      </c>
      <c r="BL91" s="1018">
        <f t="shared" si="149"/>
        <v>-3141.3277185388524</v>
      </c>
      <c r="BM91" s="1018">
        <f t="shared" si="162"/>
        <v>-2357.7286451637156</v>
      </c>
      <c r="BO91" s="1016">
        <f t="shared" si="127"/>
        <v>-0.46478332717418336</v>
      </c>
      <c r="BP91" s="1016">
        <f t="shared" si="128"/>
        <v>-0.43126457209417945</v>
      </c>
      <c r="BQ91" s="1016">
        <f t="shared" si="141"/>
        <v>-0.39469058908544963</v>
      </c>
      <c r="BR91" s="1016">
        <f t="shared" si="150"/>
        <v>-0.35503368637867788</v>
      </c>
      <c r="BS91" s="1016">
        <f t="shared" si="163"/>
        <v>-0.26647111265501239</v>
      </c>
      <c r="BU91" s="1022">
        <f t="shared" si="129"/>
        <v>0.46478332717418336</v>
      </c>
      <c r="BV91" s="1022">
        <f t="shared" si="130"/>
        <v>0.43126457209417945</v>
      </c>
      <c r="BW91" s="1022">
        <f t="shared" si="142"/>
        <v>0.39469058908544963</v>
      </c>
      <c r="BX91" s="1022">
        <f t="shared" si="151"/>
        <v>0.35503368637867788</v>
      </c>
      <c r="BY91" s="1022">
        <f t="shared" si="164"/>
        <v>0.26647111265501239</v>
      </c>
    </row>
    <row r="92" spans="1:77">
      <c r="A92" s="1011">
        <v>2015</v>
      </c>
      <c r="B92" s="1012">
        <f>RunXAge!F41</f>
        <v>6464.9506057125072</v>
      </c>
      <c r="C92" s="1012">
        <f t="shared" si="113"/>
        <v>8845.4023463963786</v>
      </c>
      <c r="D92" s="1012">
        <f t="shared" si="152"/>
        <v>7333.1876486266028</v>
      </c>
      <c r="E92" s="1012">
        <f t="shared" si="169"/>
        <v>6162.8030582141919</v>
      </c>
      <c r="F92" s="1012">
        <f t="shared" si="153"/>
        <v>5990.6815165344124</v>
      </c>
      <c r="G92" s="1012">
        <f t="shared" si="165"/>
        <v>5872.726401885483</v>
      </c>
      <c r="I92" s="1018">
        <f t="shared" si="154"/>
        <v>2380.4517406838713</v>
      </c>
      <c r="J92" s="1018">
        <f t="shared" si="115"/>
        <v>868.23704291409558</v>
      </c>
      <c r="K92" s="1018">
        <f t="shared" si="131"/>
        <v>-302.14754749831536</v>
      </c>
      <c r="L92" s="1018">
        <f t="shared" si="155"/>
        <v>-474.26908917809487</v>
      </c>
      <c r="M92" s="1018">
        <f t="shared" si="156"/>
        <v>-592.22420382702421</v>
      </c>
      <c r="O92" s="1016">
        <f t="shared" si="116"/>
        <v>0.36820880558321295</v>
      </c>
      <c r="P92" s="1016">
        <f t="shared" si="117"/>
        <v>0.13429909923007161</v>
      </c>
      <c r="Q92" s="1016">
        <f t="shared" si="132"/>
        <v>-4.6736249961652328E-2</v>
      </c>
      <c r="R92" s="1016">
        <f t="shared" si="143"/>
        <v>-7.336004837516083E-2</v>
      </c>
      <c r="S92" s="1016">
        <f t="shared" si="166"/>
        <v>-9.1605371787949599E-2</v>
      </c>
      <c r="U92" s="1022">
        <f t="shared" si="118"/>
        <v>0.36820880558321295</v>
      </c>
      <c r="V92" s="1022">
        <f t="shared" si="119"/>
        <v>0.13429909923007161</v>
      </c>
      <c r="W92" s="1022">
        <f t="shared" si="133"/>
        <v>4.6736249961652328E-2</v>
      </c>
      <c r="X92" s="1022">
        <f t="shared" si="144"/>
        <v>7.336004837516083E-2</v>
      </c>
      <c r="Y92" s="1022">
        <f t="shared" si="157"/>
        <v>9.1605371787949599E-2</v>
      </c>
      <c r="AA92" s="1011">
        <v>2015</v>
      </c>
      <c r="AB92" s="1012">
        <f>RunXAge!$I41</f>
        <v>37214.22240730362</v>
      </c>
      <c r="AC92" s="1012">
        <f t="shared" si="120"/>
        <v>15966.534037066889</v>
      </c>
      <c r="AD92" s="1012">
        <f t="shared" si="170"/>
        <v>21178.31485605162</v>
      </c>
      <c r="AE92" s="1012">
        <f t="shared" si="171"/>
        <v>25901.903094161931</v>
      </c>
      <c r="AF92" s="1012">
        <f t="shared" si="172"/>
        <v>29694.62127532341</v>
      </c>
      <c r="AG92" s="1012">
        <f t="shared" si="173"/>
        <v>27700.609952813982</v>
      </c>
      <c r="AI92" s="1018">
        <f t="shared" si="121"/>
        <v>-21247.68837023673</v>
      </c>
      <c r="AJ92" s="1018">
        <f t="shared" si="134"/>
        <v>-16035.907551251999</v>
      </c>
      <c r="AK92" s="1018">
        <f t="shared" si="135"/>
        <v>-11312.319313141688</v>
      </c>
      <c r="AL92" s="1018">
        <f t="shared" si="145"/>
        <v>-7519.6011319802092</v>
      </c>
      <c r="AM92" s="1018">
        <f t="shared" si="158"/>
        <v>-9513.6124544896375</v>
      </c>
      <c r="AO92" s="1016">
        <f t="shared" si="167"/>
        <v>-0.5709561290219699</v>
      </c>
      <c r="AP92" s="1016">
        <f t="shared" si="136"/>
        <v>-0.43090803767821872</v>
      </c>
      <c r="AQ92" s="1016">
        <f t="shared" si="137"/>
        <v>-0.30397838733079496</v>
      </c>
      <c r="AR92" s="1016">
        <f t="shared" si="146"/>
        <v>-0.2020625622558869</v>
      </c>
      <c r="AS92" s="1016">
        <f t="shared" si="159"/>
        <v>-0.25564453155475597</v>
      </c>
      <c r="AU92" s="1022">
        <f t="shared" si="122"/>
        <v>0.5709561290219699</v>
      </c>
      <c r="AV92" s="1022">
        <f t="shared" si="123"/>
        <v>0.43090803767821872</v>
      </c>
      <c r="AW92" s="1022">
        <f t="shared" si="138"/>
        <v>0.30397838733079496</v>
      </c>
      <c r="AX92" s="1022">
        <f t="shared" si="147"/>
        <v>0.2020625622558869</v>
      </c>
      <c r="AY92" s="1022">
        <f t="shared" si="160"/>
        <v>0.25564453155475597</v>
      </c>
      <c r="BA92" s="1011">
        <v>2015</v>
      </c>
      <c r="BB92" s="1012">
        <f>RunXAge!$M41</f>
        <v>11689.021396905018</v>
      </c>
      <c r="BC92" s="1012">
        <f t="shared" si="124"/>
        <v>8847.9708801162087</v>
      </c>
      <c r="BD92" s="1012">
        <f t="shared" si="139"/>
        <v>6791.7762079158592</v>
      </c>
      <c r="BE92" s="1012">
        <f t="shared" si="148"/>
        <v>6304.0932964394915</v>
      </c>
      <c r="BF92" s="1012">
        <f t="shared" si="161"/>
        <v>6228.8127509532314</v>
      </c>
      <c r="BG92" s="1012">
        <f t="shared" si="168"/>
        <v>6334.9087052851264</v>
      </c>
      <c r="BI92" s="1018">
        <f t="shared" si="125"/>
        <v>-2841.0505167888095</v>
      </c>
      <c r="BJ92" s="1018">
        <f t="shared" si="126"/>
        <v>-4897.245188989159</v>
      </c>
      <c r="BK92" s="1018">
        <f t="shared" si="140"/>
        <v>-5384.9281004655268</v>
      </c>
      <c r="BL92" s="1018">
        <f t="shared" si="149"/>
        <v>-5460.2086459517868</v>
      </c>
      <c r="BM92" s="1018">
        <f t="shared" si="162"/>
        <v>-5354.1126916198918</v>
      </c>
      <c r="BO92" s="1016">
        <f t="shared" si="127"/>
        <v>-0.24305289727171292</v>
      </c>
      <c r="BP92" s="1016">
        <f t="shared" si="128"/>
        <v>-0.41896109372216872</v>
      </c>
      <c r="BQ92" s="1016">
        <f t="shared" si="141"/>
        <v>-0.46068254284240862</v>
      </c>
      <c r="BR92" s="1016">
        <f t="shared" si="150"/>
        <v>-0.46712282068347682</v>
      </c>
      <c r="BS92" s="1016">
        <f t="shared" si="163"/>
        <v>-0.45804627349193977</v>
      </c>
      <c r="BU92" s="1022">
        <f t="shared" si="129"/>
        <v>0.24305289727171292</v>
      </c>
      <c r="BV92" s="1022">
        <f t="shared" si="130"/>
        <v>0.41896109372216872</v>
      </c>
      <c r="BW92" s="1022">
        <f t="shared" si="142"/>
        <v>0.46068254284240862</v>
      </c>
      <c r="BX92" s="1022">
        <f t="shared" si="151"/>
        <v>0.46712282068347682</v>
      </c>
      <c r="BY92" s="1022">
        <f t="shared" si="164"/>
        <v>0.45804627349193977</v>
      </c>
    </row>
    <row r="93" spans="1:77">
      <c r="A93" s="1011">
        <v>2016</v>
      </c>
      <c r="B93" s="1012">
        <f>RunXAge!F42</f>
        <v>4129.0666291567468</v>
      </c>
      <c r="C93" s="1012">
        <f t="shared" si="113"/>
        <v>6464.9506057125072</v>
      </c>
      <c r="D93" s="1012">
        <f t="shared" si="152"/>
        <v>7655.1764760544429</v>
      </c>
      <c r="E93" s="1012">
        <f t="shared" si="169"/>
        <v>7043.775300988571</v>
      </c>
      <c r="F93" s="1012">
        <f t="shared" si="153"/>
        <v>6238.3399450887709</v>
      </c>
      <c r="G93" s="1012">
        <f t="shared" si="165"/>
        <v>6085.5353343700317</v>
      </c>
      <c r="I93" s="1018">
        <f t="shared" si="154"/>
        <v>2335.8839765557605</v>
      </c>
      <c r="J93" s="1018">
        <f t="shared" si="115"/>
        <v>3526.1098468976961</v>
      </c>
      <c r="K93" s="1018">
        <f t="shared" si="131"/>
        <v>2914.7086718318242</v>
      </c>
      <c r="L93" s="1018">
        <f t="shared" si="155"/>
        <v>2109.2733159320242</v>
      </c>
      <c r="M93" s="1018">
        <f t="shared" si="156"/>
        <v>1956.4687052132849</v>
      </c>
      <c r="O93" s="1016">
        <f t="shared" si="116"/>
        <v>0.56571719140139021</v>
      </c>
      <c r="P93" s="1016">
        <f t="shared" si="117"/>
        <v>0.85397261986489459</v>
      </c>
      <c r="Q93" s="1016">
        <f t="shared" si="132"/>
        <v>0.70590013037088639</v>
      </c>
      <c r="R93" s="1016">
        <f t="shared" si="143"/>
        <v>0.51083537888144659</v>
      </c>
      <c r="S93" s="1016">
        <f t="shared" si="166"/>
        <v>0.47382832027896876</v>
      </c>
      <c r="U93" s="1022">
        <f t="shared" si="118"/>
        <v>0.56571719140139021</v>
      </c>
      <c r="V93" s="1022">
        <f t="shared" si="119"/>
        <v>0.85397261986489459</v>
      </c>
      <c r="W93" s="1022">
        <f t="shared" si="133"/>
        <v>0.70590013037088639</v>
      </c>
      <c r="X93" s="1022">
        <f t="shared" si="144"/>
        <v>0.51083537888144659</v>
      </c>
      <c r="Y93" s="1022">
        <f t="shared" si="157"/>
        <v>0.47382832027896876</v>
      </c>
      <c r="AA93" s="1011">
        <v>2016</v>
      </c>
      <c r="AB93" s="1012">
        <f>RunXAge!$I42</f>
        <v>18145.948658012669</v>
      </c>
      <c r="AC93" s="1012">
        <f t="shared" si="120"/>
        <v>37214.22240730362</v>
      </c>
      <c r="AD93" s="1012">
        <f t="shared" si="170"/>
        <v>26590.378222185253</v>
      </c>
      <c r="AE93" s="1012">
        <f t="shared" si="171"/>
        <v>26523.617373135621</v>
      </c>
      <c r="AF93" s="1012">
        <f t="shared" si="172"/>
        <v>28729.982922447354</v>
      </c>
      <c r="AG93" s="1012">
        <f t="shared" si="173"/>
        <v>31198.541501719454</v>
      </c>
      <c r="AI93" s="1018">
        <f t="shared" si="121"/>
        <v>19068.273749290951</v>
      </c>
      <c r="AJ93" s="1018">
        <f t="shared" si="134"/>
        <v>8444.4295641725839</v>
      </c>
      <c r="AK93" s="1018">
        <f t="shared" si="135"/>
        <v>8377.6687151229526</v>
      </c>
      <c r="AL93" s="1018">
        <f t="shared" si="145"/>
        <v>10584.034264434686</v>
      </c>
      <c r="AM93" s="1018">
        <f t="shared" si="158"/>
        <v>13052.592843706785</v>
      </c>
      <c r="AO93" s="1016">
        <f t="shared" si="167"/>
        <v>1.0508281550147014</v>
      </c>
      <c r="AP93" s="1016">
        <f t="shared" si="136"/>
        <v>0.46536170267647015</v>
      </c>
      <c r="AQ93" s="1016">
        <f t="shared" si="137"/>
        <v>0.4616825977529504</v>
      </c>
      <c r="AR93" s="1016">
        <f t="shared" si="146"/>
        <v>0.58327257857423265</v>
      </c>
      <c r="AS93" s="1016">
        <f t="shared" si="159"/>
        <v>0.71931168161567449</v>
      </c>
      <c r="AU93" s="1022">
        <f t="shared" si="122"/>
        <v>1.0508281550147014</v>
      </c>
      <c r="AV93" s="1022">
        <f t="shared" si="123"/>
        <v>0.46536170267647015</v>
      </c>
      <c r="AW93" s="1022">
        <f t="shared" si="138"/>
        <v>0.4616825977529504</v>
      </c>
      <c r="AX93" s="1022">
        <f t="shared" si="147"/>
        <v>0.58327257857423265</v>
      </c>
      <c r="AY93" s="1022">
        <f t="shared" si="160"/>
        <v>0.71931168161567449</v>
      </c>
      <c r="BA93" s="1011">
        <v>2016</v>
      </c>
      <c r="BB93" s="1012">
        <f>RunXAge!$M42</f>
        <v>2622.4116843751758</v>
      </c>
      <c r="BC93" s="1012">
        <f t="shared" si="124"/>
        <v>11689.021396905018</v>
      </c>
      <c r="BD93" s="1012">
        <f t="shared" si="139"/>
        <v>10268.496138510614</v>
      </c>
      <c r="BE93" s="1012">
        <f t="shared" si="148"/>
        <v>8424.1912709122462</v>
      </c>
      <c r="BF93" s="1012">
        <f t="shared" si="161"/>
        <v>7650.3253215558725</v>
      </c>
      <c r="BG93" s="1012">
        <f t="shared" si="168"/>
        <v>7320.8544801435883</v>
      </c>
      <c r="BI93" s="1018">
        <f t="shared" si="125"/>
        <v>9066.609712529842</v>
      </c>
      <c r="BJ93" s="1018">
        <f t="shared" si="126"/>
        <v>7646.0844541354381</v>
      </c>
      <c r="BK93" s="1018">
        <f t="shared" si="140"/>
        <v>5801.7795865370699</v>
      </c>
      <c r="BL93" s="1018">
        <f t="shared" si="149"/>
        <v>5027.9136371806962</v>
      </c>
      <c r="BM93" s="1018">
        <f t="shared" si="162"/>
        <v>4698.4427957684129</v>
      </c>
      <c r="BO93" s="1016">
        <f>BI93/$BB93</f>
        <v>3.4573555962057427</v>
      </c>
      <c r="BP93" s="1016">
        <f t="shared" si="128"/>
        <v>2.9156690002916985</v>
      </c>
      <c r="BQ93" s="1016">
        <f t="shared" si="141"/>
        <v>2.2123832124090845</v>
      </c>
      <c r="BR93" s="1016">
        <f t="shared" si="150"/>
        <v>1.9172861633960661</v>
      </c>
      <c r="BS93" s="1016">
        <f t="shared" si="163"/>
        <v>1.7916495810946171</v>
      </c>
      <c r="BU93" s="1022">
        <f t="shared" si="129"/>
        <v>3.4573555962057427</v>
      </c>
      <c r="BV93" s="1022">
        <f t="shared" si="130"/>
        <v>2.9156690002916985</v>
      </c>
      <c r="BW93" s="1022">
        <f t="shared" si="142"/>
        <v>2.2123832124090845</v>
      </c>
      <c r="BX93" s="1022">
        <f t="shared" si="151"/>
        <v>1.9172861633960661</v>
      </c>
      <c r="BY93" s="1022">
        <f t="shared" si="164"/>
        <v>1.7916495810946171</v>
      </c>
    </row>
    <row r="94" spans="1:77">
      <c r="A94" s="1011">
        <v>2017</v>
      </c>
      <c r="B94" s="1014"/>
      <c r="C94" s="1012">
        <f t="shared" ref="C94" si="174">B93</f>
        <v>4129.0666291567468</v>
      </c>
      <c r="D94" s="1012">
        <f t="shared" ref="D94" si="175">AVERAGE(B92:B93)</f>
        <v>5297.008617434627</v>
      </c>
      <c r="E94" s="1012">
        <f t="shared" ref="E94" si="176">AVERAGE(B91:B93)</f>
        <v>6479.8065270885445</v>
      </c>
      <c r="F94" s="1012">
        <f t="shared" ref="F94" si="177">AVERAGE(B90:B93)</f>
        <v>6315.0981330306149</v>
      </c>
      <c r="G94" s="1012">
        <f t="shared" ref="G94" si="178">AVERAGE(B89:B93)</f>
        <v>5816.4852819023663</v>
      </c>
      <c r="I94" s="1018"/>
      <c r="J94" s="1018"/>
      <c r="K94" s="1018"/>
      <c r="L94" s="1018"/>
      <c r="M94" s="1018"/>
      <c r="O94" s="1016"/>
      <c r="AA94" s="1011">
        <v>2017</v>
      </c>
      <c r="AB94" s="1014"/>
      <c r="AC94" s="1012">
        <f t="shared" ref="AC94" si="179">AB93</f>
        <v>18145.948658012669</v>
      </c>
      <c r="AD94" s="1012">
        <f t="shared" ref="AD94" si="180">AVERAGE(AB92:AB93)</f>
        <v>27680.085532658144</v>
      </c>
      <c r="AE94" s="1012">
        <f t="shared" ref="AE94" si="181">AVERAGE(AB91:AB93)</f>
        <v>23775.568367461059</v>
      </c>
      <c r="AF94" s="1012">
        <f t="shared" ref="AF94" si="182">AVERAGE(AB90:AB93)</f>
        <v>24429.200194354882</v>
      </c>
      <c r="AG94" s="1012">
        <f t="shared" ref="AG94" si="183">AVERAGE(AB89:AB93)</f>
        <v>26613.176069560413</v>
      </c>
      <c r="AI94" s="1018"/>
      <c r="AJ94" s="1018"/>
      <c r="AK94" s="1018"/>
      <c r="AL94" s="1018"/>
      <c r="AM94" s="1018"/>
      <c r="AO94" s="1016"/>
      <c r="BA94" s="1011">
        <v>2017</v>
      </c>
      <c r="BB94" s="1014"/>
      <c r="BC94" s="1012">
        <f t="shared" ref="BC94" si="184">BB93</f>
        <v>2622.4116843751758</v>
      </c>
      <c r="BD94" s="1012">
        <f t="shared" ref="BD94" si="185">AVERAGE(BB92:BB93)</f>
        <v>7155.7165406400973</v>
      </c>
      <c r="BE94" s="1012">
        <f t="shared" ref="BE94" si="186">AVERAGE(BB91:BB93)</f>
        <v>7719.8013204654681</v>
      </c>
      <c r="BF94" s="1012">
        <f t="shared" ref="BF94" si="187">AVERAGE(BB90:BB93)</f>
        <v>6973.7463742779782</v>
      </c>
      <c r="BG94" s="1012">
        <f t="shared" ref="BG94" si="188">AVERAGE(BB89:BB93)</f>
        <v>6644.7425941197334</v>
      </c>
      <c r="BI94" s="1018"/>
      <c r="BJ94" s="1018"/>
      <c r="BK94" s="1018"/>
      <c r="BL94" s="1018"/>
      <c r="BM94" s="1018"/>
      <c r="BO94" s="1016"/>
    </row>
    <row r="95" spans="1:77">
      <c r="A95" s="1011"/>
      <c r="I95" s="1019" t="s">
        <v>425</v>
      </c>
      <c r="J95" s="1019"/>
      <c r="K95" s="1019"/>
      <c r="L95" s="1019"/>
      <c r="M95" s="1019"/>
      <c r="O95" t="s">
        <v>424</v>
      </c>
      <c r="U95" t="s">
        <v>426</v>
      </c>
      <c r="AA95" s="1011"/>
      <c r="AI95" s="1019" t="s">
        <v>425</v>
      </c>
      <c r="AJ95" s="1019"/>
      <c r="AK95" s="1019"/>
      <c r="AL95" s="1019"/>
      <c r="AM95" s="1019"/>
      <c r="AO95" t="s">
        <v>424</v>
      </c>
      <c r="AU95" t="s">
        <v>426</v>
      </c>
      <c r="BA95" s="1011"/>
      <c r="BI95" s="1019" t="s">
        <v>425</v>
      </c>
      <c r="BJ95" s="1019"/>
      <c r="BK95" s="1019"/>
      <c r="BL95" s="1019"/>
      <c r="BM95" s="1019"/>
      <c r="BO95" t="s">
        <v>424</v>
      </c>
      <c r="BU95" t="s">
        <v>426</v>
      </c>
    </row>
    <row r="96" spans="1:77">
      <c r="I96" s="1018">
        <f>SUM(I57:I94)</f>
        <v>-4051.6876337229569</v>
      </c>
      <c r="J96" s="1018">
        <f t="shared" ref="J96:M96" si="189">SUM(J57:J94)</f>
        <v>-6263.7265083701786</v>
      </c>
      <c r="K96" s="1018">
        <f t="shared" si="189"/>
        <v>-7079.0998919434423</v>
      </c>
      <c r="L96" s="1018">
        <f t="shared" si="189"/>
        <v>-9572.2306166597446</v>
      </c>
      <c r="M96" s="1018">
        <f t="shared" si="189"/>
        <v>-12574.593309960093</v>
      </c>
      <c r="O96" s="1204">
        <f>SUM(O57:O94)</f>
        <v>2.5118269700519935</v>
      </c>
      <c r="P96" s="1204">
        <f t="shared" ref="P96:S96" si="190">SUM(P57:P94)</f>
        <v>3.726380195861017</v>
      </c>
      <c r="Q96" s="1204">
        <f t="shared" si="190"/>
        <v>3.4360925207148485</v>
      </c>
      <c r="R96" s="1204">
        <f t="shared" si="190"/>
        <v>2.877525234410343</v>
      </c>
      <c r="S96" s="1204">
        <f t="shared" si="190"/>
        <v>2.0888114623874974</v>
      </c>
      <c r="U96" s="1020">
        <f>AVERAGE(U57:U94)</f>
        <v>0.43550196274973302</v>
      </c>
      <c r="V96" s="1020">
        <f t="shared" ref="V96:Y96" si="191">AVERAGE(V57:V94)</f>
        <v>0.42245564556513748</v>
      </c>
      <c r="W96" s="1020">
        <f t="shared" si="191"/>
        <v>0.40923083137629818</v>
      </c>
      <c r="X96" s="1035">
        <f t="shared" si="191"/>
        <v>0.38430989979852254</v>
      </c>
      <c r="Y96" s="1020">
        <f t="shared" si="191"/>
        <v>0.39849830694023225</v>
      </c>
      <c r="AI96" s="1018">
        <f>SUM(AI57:AI94)</f>
        <v>-15747.199799565176</v>
      </c>
      <c r="AJ96" s="1018">
        <f t="shared" ref="AJ96:AM96" si="192">SUM(AJ57:AJ94)</f>
        <v>-26929.374321329648</v>
      </c>
      <c r="AK96" s="1018">
        <f t="shared" si="192"/>
        <v>-16517.285444135556</v>
      </c>
      <c r="AL96" s="1018">
        <f t="shared" si="192"/>
        <v>-2899.6335509761557</v>
      </c>
      <c r="AM96" s="1018">
        <f t="shared" si="192"/>
        <v>-15748.810505722748</v>
      </c>
      <c r="AO96" s="1204">
        <f>SUM(AO57:AO94)</f>
        <v>3.5160872507069341</v>
      </c>
      <c r="AP96" s="1204">
        <f t="shared" ref="AP96:AS96" si="193">SUM(AP57:AP94)</f>
        <v>4.1246928171444397</v>
      </c>
      <c r="AQ96" s="1204">
        <f t="shared" si="193"/>
        <v>5.0577308206835596</v>
      </c>
      <c r="AR96" s="1204">
        <f t="shared" si="193"/>
        <v>5.8827326667033617</v>
      </c>
      <c r="AS96" s="1204">
        <f t="shared" si="193"/>
        <v>5.781555531477947</v>
      </c>
      <c r="AU96" s="1035">
        <f>AVERAGE(AU57:AU94)</f>
        <v>0.44437313274372719</v>
      </c>
      <c r="AV96" s="1020">
        <f t="shared" ref="AV96:AY96" si="194">AVERAGE(AV57:AV94)</f>
        <v>0.4483611461576047</v>
      </c>
      <c r="AW96" s="1035">
        <f t="shared" si="194"/>
        <v>0.43676598321312521</v>
      </c>
      <c r="AX96" s="1035">
        <f t="shared" si="194"/>
        <v>0.43533251366690284</v>
      </c>
      <c r="AY96" s="1020">
        <f t="shared" si="194"/>
        <v>0.45321799178045152</v>
      </c>
      <c r="BI96" s="1018">
        <f>SUM(BI57:BI94)</f>
        <v>2059.017539369117</v>
      </c>
      <c r="BJ96" s="1018">
        <f t="shared" ref="BJ96:BM96" si="195">SUM(BJ57:BJ94)</f>
        <v>2195.4959327481656</v>
      </c>
      <c r="BK96" s="1018">
        <f t="shared" si="195"/>
        <v>5797.1762509076307</v>
      </c>
      <c r="BL96" s="1018">
        <f t="shared" si="195"/>
        <v>14364.800541422639</v>
      </c>
      <c r="BM96" s="1018">
        <f t="shared" si="195"/>
        <v>26963.890131013308</v>
      </c>
      <c r="BO96" s="1204">
        <f>SUM(BO57:BO94)</f>
        <v>6.334405552724661</v>
      </c>
      <c r="BP96" s="1204">
        <f t="shared" ref="BP96:BS96" si="196">SUM(BP57:BP94)</f>
        <v>6.4522252787851375</v>
      </c>
      <c r="BQ96" s="1204">
        <f t="shared" si="196"/>
        <v>7.1305918518717952</v>
      </c>
      <c r="BR96" s="1204">
        <f t="shared" si="196"/>
        <v>8.3336320377622961</v>
      </c>
      <c r="BS96" s="1204">
        <f t="shared" si="196"/>
        <v>9.8375345225736073</v>
      </c>
      <c r="BU96" s="1035">
        <f>AVERAGE(BU57:BU94)</f>
        <v>0.44957142070489059</v>
      </c>
      <c r="BV96" s="1035">
        <f t="shared" ref="BV96:BY96" si="197">AVERAGE(BV57:BV94)</f>
        <v>0.44579976711407127</v>
      </c>
      <c r="BW96" s="1036">
        <f t="shared" si="197"/>
        <v>0.46899324009086829</v>
      </c>
      <c r="BX96" s="1036">
        <f t="shared" si="197"/>
        <v>0.49681798796238524</v>
      </c>
      <c r="BY96" s="1036">
        <f t="shared" si="197"/>
        <v>0.5365236374833654</v>
      </c>
    </row>
    <row r="97" spans="7:77">
      <c r="G97" s="209" t="s">
        <v>432</v>
      </c>
      <c r="I97" s="1021">
        <f>COUNT(I57:I94)</f>
        <v>36</v>
      </c>
      <c r="J97" s="1021">
        <f t="shared" ref="J97:O97" si="198">COUNT(J57:J94)</f>
        <v>35</v>
      </c>
      <c r="K97" s="1021">
        <f t="shared" si="198"/>
        <v>34</v>
      </c>
      <c r="L97" s="1021">
        <f t="shared" si="198"/>
        <v>33</v>
      </c>
      <c r="M97" s="1021">
        <f t="shared" si="198"/>
        <v>32</v>
      </c>
      <c r="O97" s="1021">
        <f t="shared" si="198"/>
        <v>36</v>
      </c>
      <c r="P97" s="1021">
        <f t="shared" ref="P97:S97" si="199">COUNT(P57:P94)</f>
        <v>35</v>
      </c>
      <c r="Q97" s="1021">
        <f t="shared" si="199"/>
        <v>34</v>
      </c>
      <c r="R97" s="1021">
        <f t="shared" si="199"/>
        <v>33</v>
      </c>
      <c r="S97" s="1021">
        <f t="shared" si="199"/>
        <v>32</v>
      </c>
      <c r="AG97" s="209" t="s">
        <v>432</v>
      </c>
      <c r="AI97" s="1021">
        <f>COUNT(AI57:AI94)</f>
        <v>36</v>
      </c>
      <c r="AJ97" s="1021">
        <f t="shared" ref="AJ97:AM97" si="200">COUNT(AJ57:AJ94)</f>
        <v>35</v>
      </c>
      <c r="AK97" s="1021">
        <f t="shared" si="200"/>
        <v>34</v>
      </c>
      <c r="AL97" s="1021">
        <f t="shared" si="200"/>
        <v>33</v>
      </c>
      <c r="AM97" s="1021">
        <f t="shared" si="200"/>
        <v>32</v>
      </c>
      <c r="AO97" s="1021">
        <f t="shared" ref="AO97:AS97" si="201">COUNT(AO57:AO94)</f>
        <v>36</v>
      </c>
      <c r="AP97" s="1021">
        <f t="shared" si="201"/>
        <v>35</v>
      </c>
      <c r="AQ97" s="1021">
        <f t="shared" si="201"/>
        <v>34</v>
      </c>
      <c r="AR97" s="1021">
        <f t="shared" si="201"/>
        <v>33</v>
      </c>
      <c r="AS97" s="1021">
        <f t="shared" si="201"/>
        <v>32</v>
      </c>
      <c r="BG97" s="209" t="s">
        <v>432</v>
      </c>
      <c r="BI97" s="1021">
        <f>COUNT(BI57:BI94)</f>
        <v>36</v>
      </c>
      <c r="BJ97" s="1021">
        <f t="shared" ref="BJ97:BM97" si="202">COUNT(BJ57:BJ94)</f>
        <v>35</v>
      </c>
      <c r="BK97" s="1021">
        <f t="shared" si="202"/>
        <v>34</v>
      </c>
      <c r="BL97" s="1021">
        <f t="shared" si="202"/>
        <v>33</v>
      </c>
      <c r="BM97" s="1021">
        <f t="shared" si="202"/>
        <v>32</v>
      </c>
      <c r="BO97" s="1021">
        <f t="shared" ref="BO97:BS97" si="203">COUNT(BO57:BO94)</f>
        <v>36</v>
      </c>
      <c r="BP97" s="1021">
        <f t="shared" si="203"/>
        <v>35</v>
      </c>
      <c r="BQ97" s="1021">
        <f t="shared" si="203"/>
        <v>34</v>
      </c>
      <c r="BR97" s="1021">
        <f t="shared" si="203"/>
        <v>33</v>
      </c>
      <c r="BS97" s="1021">
        <f t="shared" si="203"/>
        <v>32</v>
      </c>
    </row>
    <row r="98" spans="7:77">
      <c r="G98" s="209" t="s">
        <v>433</v>
      </c>
      <c r="I98" s="1021">
        <f>COUNTIF(I57:I94,"&lt;0")</f>
        <v>18</v>
      </c>
      <c r="J98" s="1021">
        <f t="shared" ref="J98:O98" si="204">COUNTIF(J57:J94,"&lt;0")</f>
        <v>20</v>
      </c>
      <c r="K98" s="1021">
        <f t="shared" si="204"/>
        <v>20</v>
      </c>
      <c r="L98" s="1021">
        <f t="shared" si="204"/>
        <v>18</v>
      </c>
      <c r="M98" s="1021">
        <f t="shared" si="204"/>
        <v>15</v>
      </c>
      <c r="O98" s="1021">
        <f t="shared" si="204"/>
        <v>18</v>
      </c>
      <c r="P98" s="1021">
        <f t="shared" ref="P98:S98" si="205">COUNTIF(P57:P94,"&lt;0")</f>
        <v>20</v>
      </c>
      <c r="Q98" s="1021">
        <f t="shared" si="205"/>
        <v>20</v>
      </c>
      <c r="R98" s="1021">
        <f t="shared" si="205"/>
        <v>18</v>
      </c>
      <c r="S98" s="1021">
        <f t="shared" si="205"/>
        <v>15</v>
      </c>
      <c r="AG98" s="209" t="s">
        <v>433</v>
      </c>
      <c r="AI98" s="1021">
        <f>COUNTIF(AI57:AI94,"&lt;0")</f>
        <v>15</v>
      </c>
      <c r="AJ98" s="1021">
        <f t="shared" ref="AJ98:AM98" si="206">COUNTIF(AJ57:AJ94,"&lt;0")</f>
        <v>16</v>
      </c>
      <c r="AK98" s="1021">
        <f t="shared" si="206"/>
        <v>16</v>
      </c>
      <c r="AL98" s="1021">
        <f t="shared" si="206"/>
        <v>14</v>
      </c>
      <c r="AM98" s="1021">
        <f t="shared" si="206"/>
        <v>15</v>
      </c>
      <c r="AO98" s="1021">
        <f t="shared" ref="AO98:AS98" si="207">COUNTIF(AO57:AO94,"&lt;0")</f>
        <v>15</v>
      </c>
      <c r="AP98" s="1021">
        <f t="shared" si="207"/>
        <v>16</v>
      </c>
      <c r="AQ98" s="1021">
        <f t="shared" si="207"/>
        <v>16</v>
      </c>
      <c r="AR98" s="1021">
        <f t="shared" si="207"/>
        <v>14</v>
      </c>
      <c r="AS98" s="1021">
        <f t="shared" si="207"/>
        <v>15</v>
      </c>
      <c r="BG98" s="209" t="s">
        <v>433</v>
      </c>
      <c r="BI98" s="1021">
        <f>COUNTIF(BI57:BI94,"&lt;0")</f>
        <v>17</v>
      </c>
      <c r="BJ98" s="1021">
        <f t="shared" ref="BJ98:BM98" si="208">COUNTIF(BJ57:BJ94,"&lt;0")</f>
        <v>14</v>
      </c>
      <c r="BK98" s="1021">
        <f t="shared" si="208"/>
        <v>13</v>
      </c>
      <c r="BL98" s="1021">
        <f t="shared" si="208"/>
        <v>13</v>
      </c>
      <c r="BM98" s="1021">
        <f t="shared" si="208"/>
        <v>13</v>
      </c>
      <c r="BO98" s="1021">
        <f t="shared" ref="BO98:BS98" si="209">COUNTIF(BO57:BO94,"&lt;0")</f>
        <v>17</v>
      </c>
      <c r="BP98" s="1021">
        <f t="shared" si="209"/>
        <v>14</v>
      </c>
      <c r="BQ98" s="1021">
        <f t="shared" si="209"/>
        <v>13</v>
      </c>
      <c r="BR98" s="1021">
        <f t="shared" si="209"/>
        <v>13</v>
      </c>
      <c r="BS98" s="1021">
        <f t="shared" si="209"/>
        <v>13</v>
      </c>
    </row>
    <row r="100" spans="7:77">
      <c r="U100" t="s">
        <v>400</v>
      </c>
      <c r="AU100" t="s">
        <v>400</v>
      </c>
      <c r="BU100" t="s">
        <v>400</v>
      </c>
    </row>
    <row r="101" spans="7:77">
      <c r="U101" s="1020">
        <f>_xlfn.STDEV.S(U57:U94)</f>
        <v>0.39530665129216164</v>
      </c>
      <c r="V101" s="1020">
        <f t="shared" ref="V101:Y101" si="210">_xlfn.STDEV.S(V57:V94)</f>
        <v>0.49629528696401171</v>
      </c>
      <c r="W101" s="1020">
        <f t="shared" si="210"/>
        <v>0.35954239124445203</v>
      </c>
      <c r="X101" s="1035">
        <f t="shared" si="210"/>
        <v>0.33229118539855612</v>
      </c>
      <c r="Y101" s="1020">
        <f t="shared" si="210"/>
        <v>0.35243679309838311</v>
      </c>
      <c r="AU101" s="1020">
        <f>_xlfn.STDEV.S(AU57:AU94)</f>
        <v>0.3567685804641455</v>
      </c>
      <c r="AV101" s="1035">
        <f t="shared" ref="AV101:AY101" si="211">_xlfn.STDEV.S(AV57:AV94)</f>
        <v>0.30876498125365565</v>
      </c>
      <c r="AW101" s="1020">
        <f t="shared" si="211"/>
        <v>0.31619378764441197</v>
      </c>
      <c r="AX101" s="1036">
        <f t="shared" si="211"/>
        <v>0.35237514453166746</v>
      </c>
      <c r="AY101" s="1020">
        <f t="shared" si="211"/>
        <v>0.38656989123097352</v>
      </c>
      <c r="BU101" s="1020">
        <f>_xlfn.STDEV.S(BU57:BU94)</f>
        <v>0.63914890287797765</v>
      </c>
      <c r="BV101" s="1020">
        <f t="shared" ref="BV101:BY101" si="212">_xlfn.STDEV.S(BV57:BV94)</f>
        <v>0.51006381982707716</v>
      </c>
      <c r="BW101" s="1020">
        <f t="shared" si="212"/>
        <v>0.43019206039585062</v>
      </c>
      <c r="BX101" s="1035">
        <f t="shared" si="212"/>
        <v>0.427696933194392</v>
      </c>
      <c r="BY101" s="1020">
        <f t="shared" si="212"/>
        <v>0.46732062251973355</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00000000-0003-0000-0A00-00000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Naive_AgeSpecific!BO57:BO94</xm:f>
              <xm:sqref>BO54</xm:sqref>
            </x14:sparkline>
            <x14:sparkline>
              <xm:f>Naive_AgeSpecific!BP57:BP94</xm:f>
              <xm:sqref>BP54</xm:sqref>
            </x14:sparkline>
            <x14:sparkline>
              <xm:f>Naive_AgeSpecific!BQ57:BQ94</xm:f>
              <xm:sqref>BQ54</xm:sqref>
            </x14:sparkline>
            <x14:sparkline>
              <xm:f>Naive_AgeSpecific!BR57:BR94</xm:f>
              <xm:sqref>BR54</xm:sqref>
            </x14:sparkline>
            <x14:sparkline>
              <xm:f>Naive_AgeSpecific!BS57:BS94</xm:f>
              <xm:sqref>BS54</xm:sqref>
            </x14:sparkline>
          </x14:sparklines>
        </x14:sparklineGroup>
        <x14:sparklineGroup type="column" displayEmptyCellsAs="gap" xr2:uid="{00000000-0003-0000-0A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Naive_AgeSpecific!AO57:AO94</xm:f>
              <xm:sqref>AO54</xm:sqref>
            </x14:sparkline>
            <x14:sparkline>
              <xm:f>Naive_AgeSpecific!AP57:AP94</xm:f>
              <xm:sqref>AP54</xm:sqref>
            </x14:sparkline>
            <x14:sparkline>
              <xm:f>Naive_AgeSpecific!AQ57:AQ94</xm:f>
              <xm:sqref>AQ54</xm:sqref>
            </x14:sparkline>
            <x14:sparkline>
              <xm:f>Naive_AgeSpecific!AR57:AR94</xm:f>
              <xm:sqref>AR54</xm:sqref>
            </x14:sparkline>
            <x14:sparkline>
              <xm:f>Naive_AgeSpecific!AS57:AS94</xm:f>
              <xm:sqref>AS54</xm:sqref>
            </x14:sparkline>
          </x14:sparklines>
        </x14:sparklineGroup>
        <x14:sparklineGroup type="column" displayEmptyCellsAs="gap" xr2:uid="{00000000-0003-0000-0A00-00000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Naive_AgeSpecific!O57:O94</xm:f>
              <xm:sqref>O54</xm:sqref>
            </x14:sparkline>
            <x14:sparkline>
              <xm:f>Naive_AgeSpecific!P57:P94</xm:f>
              <xm:sqref>P54</xm:sqref>
            </x14:sparkline>
            <x14:sparkline>
              <xm:f>Naive_AgeSpecific!Q57:Q94</xm:f>
              <xm:sqref>Q54</xm:sqref>
            </x14:sparkline>
            <x14:sparkline>
              <xm:f>Naive_AgeSpecific!R57:R94</xm:f>
              <xm:sqref>R54</xm:sqref>
            </x14:sparkline>
            <x14:sparkline>
              <xm:f>Naive_AgeSpecific!S57:S94</xm:f>
              <xm:sqref>S54</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pageSetUpPr fitToPage="1"/>
  </sheetPr>
  <dimension ref="A1:W108"/>
  <sheetViews>
    <sheetView zoomScale="75" zoomScaleNormal="75" workbookViewId="0">
      <pane xSplit="1" ySplit="5" topLeftCell="B15" activePane="bottomRight" state="frozen"/>
      <selection activeCell="D8" sqref="A1:XFD1048576"/>
      <selection pane="topRight" activeCell="D8" sqref="A1:XFD1048576"/>
      <selection pane="bottomLeft" activeCell="D8" sqref="A1:XFD1048576"/>
      <selection pane="bottomRight" activeCell="B43" sqref="B43"/>
    </sheetView>
  </sheetViews>
  <sheetFormatPr defaultRowHeight="15.75"/>
  <cols>
    <col min="1" max="1" width="19.75" customWidth="1"/>
    <col min="2" max="2" width="11" customWidth="1"/>
    <col min="3" max="3" width="12.75" customWidth="1"/>
    <col min="6" max="6" width="10.625" customWidth="1"/>
    <col min="7" max="7" width="8.5" customWidth="1"/>
    <col min="8" max="8" width="11" customWidth="1"/>
    <col min="9" max="9" width="10.625" customWidth="1"/>
    <col min="10" max="11" width="8.5" customWidth="1"/>
    <col min="12" max="12" width="8.75" customWidth="1"/>
    <col min="13" max="14" width="10.625" customWidth="1"/>
    <col min="15" max="15" width="8.25" customWidth="1"/>
    <col min="17" max="17" width="10.625" customWidth="1"/>
    <col min="18" max="20" width="9.75" customWidth="1"/>
    <col min="21" max="21" width="8.5" customWidth="1"/>
    <col min="22" max="22" width="19.5" customWidth="1"/>
  </cols>
  <sheetData>
    <row r="1" spans="1:23" ht="22.5">
      <c r="A1" s="5" t="s">
        <v>173</v>
      </c>
      <c r="B1" s="6"/>
      <c r="C1" s="6"/>
      <c r="D1" s="6"/>
      <c r="E1" s="6"/>
      <c r="F1" s="6"/>
      <c r="G1" s="6"/>
      <c r="H1" s="25" t="str">
        <f ca="1">CELL("filename",H1)</f>
        <v>C:\Projects\Shiny App\Aging Error\[Copprt Chinook brood.xlsx]RunXAge</v>
      </c>
      <c r="I1" s="6"/>
      <c r="J1" s="6"/>
      <c r="K1" s="6"/>
      <c r="L1" s="6"/>
      <c r="M1" s="6"/>
      <c r="N1" s="6"/>
      <c r="O1" s="6"/>
      <c r="P1" s="6"/>
      <c r="Q1" s="6"/>
      <c r="R1" s="6"/>
      <c r="S1" s="6"/>
      <c r="T1" s="6"/>
      <c r="U1" s="6"/>
      <c r="V1" s="6"/>
    </row>
    <row r="2" spans="1:23" ht="30.75">
      <c r="A2" s="218" t="s">
        <v>331</v>
      </c>
      <c r="B2" s="6"/>
      <c r="C2" s="6"/>
      <c r="D2" s="6"/>
      <c r="E2" s="6"/>
      <c r="F2" s="6"/>
      <c r="G2" s="6"/>
      <c r="H2" s="6"/>
      <c r="I2" s="6"/>
      <c r="J2" s="6"/>
      <c r="K2" s="6"/>
      <c r="L2" s="6"/>
      <c r="M2" s="6"/>
      <c r="N2" s="157"/>
      <c r="O2" s="6"/>
      <c r="P2" s="6"/>
      <c r="Q2" s="6"/>
      <c r="R2" s="6"/>
      <c r="S2" s="6"/>
      <c r="T2" s="6"/>
      <c r="U2" s="6"/>
      <c r="V2" s="4"/>
    </row>
    <row r="3" spans="1:23">
      <c r="A3" s="6"/>
      <c r="B3" s="1024"/>
      <c r="C3" s="1024"/>
      <c r="D3" s="1024"/>
      <c r="E3" s="1024"/>
      <c r="F3" s="1024"/>
      <c r="G3" s="1024"/>
      <c r="H3" s="1024"/>
      <c r="I3" s="1024"/>
      <c r="J3" s="1024"/>
      <c r="K3" s="1024"/>
      <c r="L3" s="1025"/>
      <c r="M3" s="1024"/>
      <c r="N3" s="1024"/>
      <c r="O3" s="1024"/>
      <c r="P3" s="1024"/>
      <c r="Q3" s="1024"/>
      <c r="R3" s="1024"/>
      <c r="S3" s="1024"/>
      <c r="T3" s="1024"/>
      <c r="U3" s="1024"/>
      <c r="V3" s="1024"/>
      <c r="W3" s="23"/>
    </row>
    <row r="4" spans="1:23">
      <c r="A4" s="187" t="s">
        <v>330</v>
      </c>
      <c r="B4" s="578" t="s">
        <v>5</v>
      </c>
      <c r="C4" s="579" t="s">
        <v>6</v>
      </c>
      <c r="D4" s="580"/>
      <c r="E4" s="579" t="s">
        <v>7</v>
      </c>
      <c r="F4" s="247"/>
      <c r="G4" s="580"/>
      <c r="H4" s="579" t="s">
        <v>8</v>
      </c>
      <c r="I4" s="247"/>
      <c r="J4" s="580"/>
      <c r="K4" s="247"/>
      <c r="L4" s="579" t="s">
        <v>9</v>
      </c>
      <c r="M4" s="1026"/>
      <c r="N4" s="247"/>
      <c r="O4" s="580"/>
      <c r="P4" s="1314" t="s">
        <v>10</v>
      </c>
      <c r="Q4" s="1315"/>
      <c r="R4" s="1316"/>
      <c r="S4" s="1317" t="s">
        <v>11</v>
      </c>
      <c r="T4" s="1318"/>
      <c r="U4" s="1319"/>
      <c r="V4" s="1027"/>
    </row>
    <row r="5" spans="1:23">
      <c r="A5" s="185" t="s">
        <v>12</v>
      </c>
      <c r="B5" s="1155">
        <v>0.1</v>
      </c>
      <c r="C5" s="1156">
        <v>0.2</v>
      </c>
      <c r="D5" s="1157">
        <v>1.1000000000000001</v>
      </c>
      <c r="E5" s="1156">
        <v>0.3</v>
      </c>
      <c r="F5" s="1158">
        <v>1.2</v>
      </c>
      <c r="G5" s="1157">
        <v>2.1</v>
      </c>
      <c r="H5" s="1156">
        <v>0.4</v>
      </c>
      <c r="I5" s="1158">
        <v>1.3</v>
      </c>
      <c r="J5" s="1157">
        <v>2.2000000000000002</v>
      </c>
      <c r="K5" s="1159">
        <v>3.1</v>
      </c>
      <c r="L5" s="1156">
        <v>0.5</v>
      </c>
      <c r="M5" s="1158">
        <v>1.4</v>
      </c>
      <c r="N5" s="1158">
        <v>2.2999999999999998</v>
      </c>
      <c r="O5" s="1157">
        <v>3.2</v>
      </c>
      <c r="P5" s="1156">
        <v>1.5</v>
      </c>
      <c r="Q5" s="1158">
        <v>2.4</v>
      </c>
      <c r="R5" s="1157">
        <v>3.3</v>
      </c>
      <c r="S5" s="1159">
        <v>6.1</v>
      </c>
      <c r="T5" s="1156">
        <v>2.5</v>
      </c>
      <c r="U5" s="1157">
        <v>3.4</v>
      </c>
      <c r="V5" s="197" t="s">
        <v>294</v>
      </c>
    </row>
    <row r="6" spans="1:23">
      <c r="A6" s="279">
        <v>1980</v>
      </c>
      <c r="B6" s="89">
        <f>UCRNumber!C7+CCNumber!C7</f>
        <v>0</v>
      </c>
      <c r="C6" s="89">
        <f>UCRNumber!D7+CCNumber!D7</f>
        <v>0</v>
      </c>
      <c r="D6" s="89">
        <f>UCRNumber!E7+CCNumber!E7</f>
        <v>0</v>
      </c>
      <c r="E6" s="89">
        <f>UCRNumber!F7+CCNumber!F7</f>
        <v>0</v>
      </c>
      <c r="F6" s="89">
        <f>UCRNumber!G7+CCNumber!G7</f>
        <v>77.378995433789953</v>
      </c>
      <c r="G6" s="89">
        <f>UCRNumber!H7+CCNumber!H7</f>
        <v>0</v>
      </c>
      <c r="H6" s="89">
        <f>UCRNumber!I7+CCNumber!I7</f>
        <v>0</v>
      </c>
      <c r="I6" s="89">
        <f>UCRNumber!J7+CCNumber!J7</f>
        <v>2398.7488584474886</v>
      </c>
      <c r="J6" s="89">
        <f>UCRNumber!K7+CCNumber!K7</f>
        <v>38.689497716894977</v>
      </c>
      <c r="K6" s="89">
        <f>UCRNumber!L7+CCNumber!L7</f>
        <v>0</v>
      </c>
      <c r="L6" s="89">
        <f>UCRNumber!M7+CCNumber!M7</f>
        <v>0</v>
      </c>
      <c r="M6" s="89">
        <f>UCRNumber!N7+CCNumber!N7</f>
        <v>4681.4292237442924</v>
      </c>
      <c r="N6" s="89">
        <f>UCRNumber!O7+CCNumber!O7</f>
        <v>657.72146118721457</v>
      </c>
      <c r="O6" s="89">
        <f>UCRNumber!P7+CCNumber!P7</f>
        <v>0</v>
      </c>
      <c r="P6" s="89">
        <f>UCRNumber!Q7+CCNumber!Q7</f>
        <v>77.378995433789953</v>
      </c>
      <c r="Q6" s="89">
        <f>UCRNumber!R7+CCNumber!R7</f>
        <v>502.96347031963467</v>
      </c>
      <c r="R6" s="89">
        <f>UCRNumber!S7+CCNumber!S7</f>
        <v>0</v>
      </c>
      <c r="S6" s="89">
        <f>UCRNumber!T7+CCNumber!T7</f>
        <v>0</v>
      </c>
      <c r="T6" s="89">
        <f>UCRNumber!U7+CCNumber!U7</f>
        <v>38.689497716894977</v>
      </c>
      <c r="U6" s="89">
        <f>UCRNumber!V7+CCNumber!V7</f>
        <v>0</v>
      </c>
      <c r="V6" s="161">
        <f>SUM(B6:U6)</f>
        <v>8473.0000000000018</v>
      </c>
    </row>
    <row r="7" spans="1:23">
      <c r="A7" s="279">
        <v>1981</v>
      </c>
      <c r="B7" s="89">
        <f>UCRNumber!C8+CCNumber!C8</f>
        <v>0</v>
      </c>
      <c r="C7" s="89">
        <f>UCRNumber!D8+CCNumber!D8</f>
        <v>0</v>
      </c>
      <c r="D7" s="89">
        <f>UCRNumber!E8+CCNumber!E8</f>
        <v>0</v>
      </c>
      <c r="E7" s="89">
        <f>UCRNumber!F8+CCNumber!F8</f>
        <v>756.51851851851848</v>
      </c>
      <c r="F7" s="89">
        <f>UCRNumber!G8+CCNumber!G8</f>
        <v>1059.1259259259259</v>
      </c>
      <c r="G7" s="89">
        <f>UCRNumber!H8+CCNumber!H8</f>
        <v>0</v>
      </c>
      <c r="H7" s="89">
        <f>UCRNumber!I8+CCNumber!I8</f>
        <v>0</v>
      </c>
      <c r="I7" s="89">
        <f>UCRNumber!J8+CCNumber!J8</f>
        <v>8624.3111111111102</v>
      </c>
      <c r="J7" s="89">
        <f>UCRNumber!K8+CCNumber!K8</f>
        <v>0</v>
      </c>
      <c r="K7" s="89">
        <f>UCRNumber!L8+CCNumber!L8</f>
        <v>0</v>
      </c>
      <c r="L7" s="89">
        <f>UCRNumber!M8+CCNumber!M8</f>
        <v>0</v>
      </c>
      <c r="M7" s="89">
        <f>UCRNumber!N8+CCNumber!N8</f>
        <v>8321.7037037037026</v>
      </c>
      <c r="N7" s="89">
        <f>UCRNumber!O8+CCNumber!O8</f>
        <v>151.30370370370372</v>
      </c>
      <c r="O7" s="89">
        <f>UCRNumber!P8+CCNumber!P8</f>
        <v>0</v>
      </c>
      <c r="P7" s="89">
        <f>UCRNumber!Q8+CCNumber!Q8</f>
        <v>0</v>
      </c>
      <c r="Q7" s="89">
        <f>UCRNumber!R8+CCNumber!R8</f>
        <v>1513.037037037037</v>
      </c>
      <c r="R7" s="89">
        <f>UCRNumber!S8+CCNumber!S8</f>
        <v>0</v>
      </c>
      <c r="S7" s="89">
        <f>UCRNumber!T8+CCNumber!T8</f>
        <v>0</v>
      </c>
      <c r="T7" s="89">
        <f>UCRNumber!U8+CCNumber!U8</f>
        <v>0</v>
      </c>
      <c r="U7" s="89">
        <f>UCRNumber!V8+CCNumber!V8</f>
        <v>0</v>
      </c>
      <c r="V7" s="161">
        <f t="shared" ref="V7:V42" si="0">SUM(B7:U7)</f>
        <v>20425.999999999996</v>
      </c>
    </row>
    <row r="8" spans="1:23">
      <c r="A8" s="279">
        <v>1982</v>
      </c>
      <c r="B8" s="89">
        <f>UCRNumber!C9+CCNumber!C9</f>
        <v>0</v>
      </c>
      <c r="C8" s="89">
        <f>UCRNumber!D9+CCNumber!D9</f>
        <v>49.458443513282617</v>
      </c>
      <c r="D8" s="89">
        <f>UCRNumber!E9+CCNumber!E9</f>
        <v>103.76575403767137</v>
      </c>
      <c r="E8" s="89">
        <f>UCRNumber!F9+CCNumber!F9</f>
        <v>17.4559212399821</v>
      </c>
      <c r="F8" s="89">
        <f>UCRNumber!G9+CCNumber!G9</f>
        <v>3576.5243073918882</v>
      </c>
      <c r="G8" s="89">
        <f>UCRNumber!H9+CCNumber!H9</f>
        <v>0</v>
      </c>
      <c r="H8" s="89">
        <f>UCRNumber!I9+CCNumber!I9</f>
        <v>0</v>
      </c>
      <c r="I8" s="89">
        <f>UCRNumber!J9+CCNumber!J9</f>
        <v>25211.19913754526</v>
      </c>
      <c r="J8" s="89">
        <f>UCRNumber!K9+CCNumber!K9</f>
        <v>453.85395223953464</v>
      </c>
      <c r="K8" s="89">
        <f>UCRNumber!L9+CCNumber!L9</f>
        <v>0</v>
      </c>
      <c r="L8" s="89">
        <f>UCRNumber!M9+CCNumber!M9</f>
        <v>0</v>
      </c>
      <c r="M8" s="89">
        <f>UCRNumber!N9+CCNumber!N9</f>
        <v>12053.313616207641</v>
      </c>
      <c r="N8" s="89">
        <f>UCRNumber!O9+CCNumber!O9</f>
        <v>3976.0709491070338</v>
      </c>
      <c r="O8" s="89">
        <f>UCRNumber!P9+CCNumber!P9</f>
        <v>0</v>
      </c>
      <c r="P8" s="89">
        <f>UCRNumber!Q9+CCNumber!Q9</f>
        <v>46.549123306618931</v>
      </c>
      <c r="Q8" s="89">
        <f>UCRNumber!R9+CCNumber!R9</f>
        <v>2187.8087954110902</v>
      </c>
      <c r="R8" s="89">
        <f>UCRNumber!S9+CCNumber!S9</f>
        <v>0</v>
      </c>
      <c r="S8" s="89">
        <f>UCRNumber!T9+CCNumber!T9</f>
        <v>0</v>
      </c>
      <c r="T8" s="89">
        <f>UCRNumber!U9+CCNumber!U9</f>
        <v>0</v>
      </c>
      <c r="U8" s="89">
        <f>UCRNumber!V9+CCNumber!V9</f>
        <v>0</v>
      </c>
      <c r="V8" s="161">
        <f t="shared" si="0"/>
        <v>47676</v>
      </c>
    </row>
    <row r="9" spans="1:23">
      <c r="A9" s="279">
        <v>1983</v>
      </c>
      <c r="B9" s="89">
        <f>UCRNumber!C10+CCNumber!C10</f>
        <v>0</v>
      </c>
      <c r="C9" s="89">
        <f>UCRNumber!D10+CCNumber!D10</f>
        <v>0</v>
      </c>
      <c r="D9" s="89">
        <f>UCRNumber!E10+CCNumber!E10</f>
        <v>23.392867138459078</v>
      </c>
      <c r="E9" s="89">
        <f>UCRNumber!F10+CCNumber!F10</f>
        <v>0</v>
      </c>
      <c r="F9" s="89">
        <f>UCRNumber!G10+CCNumber!G10</f>
        <v>2052.1924353284553</v>
      </c>
      <c r="G9" s="89">
        <f>UCRNumber!H10+CCNumber!H10</f>
        <v>0</v>
      </c>
      <c r="H9" s="89">
        <f>UCRNumber!I10+CCNumber!I10</f>
        <v>0</v>
      </c>
      <c r="I9" s="89">
        <f>UCRNumber!J10+CCNumber!J10</f>
        <v>33917.530726480349</v>
      </c>
      <c r="J9" s="89">
        <f>UCRNumber!K10+CCNumber!K10</f>
        <v>19.139618567830155</v>
      </c>
      <c r="K9" s="89">
        <f>UCRNumber!L10+CCNumber!L10</f>
        <v>0</v>
      </c>
      <c r="L9" s="89">
        <f>UCRNumber!M10+CCNumber!M10</f>
        <v>0</v>
      </c>
      <c r="M9" s="89">
        <f>UCRNumber!N10+CCNumber!N10</f>
        <v>16990.664727519888</v>
      </c>
      <c r="N9" s="89">
        <f>UCRNumber!O10+CCNumber!O10</f>
        <v>82.938347127263995</v>
      </c>
      <c r="O9" s="89">
        <f>UCRNumber!P10+CCNumber!P10</f>
        <v>0</v>
      </c>
      <c r="P9" s="89">
        <f>UCRNumber!Q10+CCNumber!Q10</f>
        <v>17.012994282515695</v>
      </c>
      <c r="Q9" s="89">
        <f>UCRNumber!R10+CCNumber!R10</f>
        <v>86.128283555235697</v>
      </c>
      <c r="R9" s="89">
        <f>UCRNumber!S10+CCNumber!S10</f>
        <v>0</v>
      </c>
      <c r="S9" s="89">
        <f>UCRNumber!T10+CCNumber!T10</f>
        <v>0</v>
      </c>
      <c r="T9" s="89">
        <f>UCRNumber!U10+CCNumber!U10</f>
        <v>0</v>
      </c>
      <c r="U9" s="89">
        <f>UCRNumber!V10+CCNumber!V10</f>
        <v>0</v>
      </c>
      <c r="V9" s="161">
        <f t="shared" si="0"/>
        <v>53189</v>
      </c>
    </row>
    <row r="10" spans="1:23">
      <c r="A10" s="279">
        <v>1984</v>
      </c>
      <c r="B10" s="89">
        <f>UCRNumber!C11+CCNumber!C11</f>
        <v>0</v>
      </c>
      <c r="C10" s="89">
        <f>UCRNumber!D11+CCNumber!D11</f>
        <v>0</v>
      </c>
      <c r="D10" s="89">
        <f>UCRNumber!E11+CCNumber!E11</f>
        <v>0</v>
      </c>
      <c r="E10" s="89">
        <f>UCRNumber!F11+CCNumber!F11</f>
        <v>15.24875364864516</v>
      </c>
      <c r="F10" s="89">
        <f>UCRNumber!G11+CCNumber!G11</f>
        <v>899.67646527006423</v>
      </c>
      <c r="G10" s="89">
        <f>UCRNumber!H11+CCNumber!H11</f>
        <v>9.149252189187095</v>
      </c>
      <c r="H10" s="89">
        <f>UCRNumber!I11+CCNumber!I11</f>
        <v>0</v>
      </c>
      <c r="I10" s="89">
        <f>UCRNumber!J11+CCNumber!J11</f>
        <v>13184.072404618604</v>
      </c>
      <c r="J10" s="89">
        <f>UCRNumber!K11+CCNumber!K11</f>
        <v>170.78604086482576</v>
      </c>
      <c r="K10" s="89">
        <f>UCRNumber!L11+CCNumber!L11</f>
        <v>0</v>
      </c>
      <c r="L10" s="89">
        <f>UCRNumber!M11+CCNumber!M11</f>
        <v>0</v>
      </c>
      <c r="M10" s="89">
        <f>UCRNumber!N11+CCNumber!N11</f>
        <v>22116.792291994938</v>
      </c>
      <c r="N10" s="89">
        <f>UCRNumber!O11+CCNumber!O11</f>
        <v>1639.7493090176424</v>
      </c>
      <c r="O10" s="89">
        <f>UCRNumber!P11+CCNumber!P11</f>
        <v>0</v>
      </c>
      <c r="P10" s="89">
        <f>UCRNumber!Q11+CCNumber!Q11</f>
        <v>18.29850437837419</v>
      </c>
      <c r="Q10" s="89">
        <f>UCRNumber!R11+CCNumber!R11</f>
        <v>1241.2485469997159</v>
      </c>
      <c r="R10" s="89">
        <f>UCRNumber!S11+CCNumber!S11</f>
        <v>59.978431018004279</v>
      </c>
      <c r="S10" s="89">
        <f>UCRNumber!T11+CCNumber!T11</f>
        <v>0</v>
      </c>
      <c r="T10" s="89">
        <f>UCRNumber!U11+CCNumber!U11</f>
        <v>0</v>
      </c>
      <c r="U10" s="89">
        <f>UCRNumber!V11+CCNumber!V11</f>
        <v>0</v>
      </c>
      <c r="V10" s="161">
        <f t="shared" si="0"/>
        <v>39355.000000000007</v>
      </c>
    </row>
    <row r="11" spans="1:23">
      <c r="A11" s="279">
        <v>1985</v>
      </c>
      <c r="B11" s="89">
        <f>UCRNumber!C12+CCNumber!C12</f>
        <v>0</v>
      </c>
      <c r="C11" s="89">
        <f>UCRNumber!D12+CCNumber!D12</f>
        <v>56.256692578503412</v>
      </c>
      <c r="D11" s="89">
        <f>UCRNumber!E12+CCNumber!E12</f>
        <v>0</v>
      </c>
      <c r="E11" s="89">
        <f>UCRNumber!F12+CCNumber!F12</f>
        <v>43.197103229922263</v>
      </c>
      <c r="F11" s="89">
        <f>UCRNumber!G12+CCNumber!G12</f>
        <v>2828.907969661886</v>
      </c>
      <c r="G11" s="89">
        <f>UCRNumber!H12+CCNumber!H12</f>
        <v>0</v>
      </c>
      <c r="H11" s="89">
        <f>UCRNumber!I12+CCNumber!I12</f>
        <v>62.284195354771633</v>
      </c>
      <c r="I11" s="89">
        <f>UCRNumber!J12+CCNumber!J12</f>
        <v>12239.848971008672</v>
      </c>
      <c r="J11" s="89">
        <f>UCRNumber!K12+CCNumber!K12</f>
        <v>70.320865723129259</v>
      </c>
      <c r="K11" s="89">
        <f>UCRNumber!L12+CCNumber!L12</f>
        <v>0</v>
      </c>
      <c r="L11" s="89">
        <f>UCRNumber!M12+CCNumber!M12</f>
        <v>0</v>
      </c>
      <c r="M11" s="89">
        <f>UCRNumber!N12+CCNumber!N12</f>
        <v>25990.591971268575</v>
      </c>
      <c r="N11" s="89">
        <f>UCRNumber!O12+CCNumber!O12</f>
        <v>344.5722420433334</v>
      </c>
      <c r="O11" s="89">
        <f>UCRNumber!P12+CCNumber!P12</f>
        <v>0</v>
      </c>
      <c r="P11" s="89">
        <f>UCRNumber!Q12+CCNumber!Q12</f>
        <v>228.04052170214777</v>
      </c>
      <c r="Q11" s="89">
        <f>UCRNumber!R12+CCNumber!R12</f>
        <v>652.97946742905742</v>
      </c>
      <c r="R11" s="89">
        <f>UCRNumber!S12+CCNumber!S12</f>
        <v>0</v>
      </c>
      <c r="S11" s="89">
        <f>UCRNumber!T12+CCNumber!T12</f>
        <v>0</v>
      </c>
      <c r="T11" s="89">
        <f>UCRNumber!U12+CCNumber!U12</f>
        <v>0</v>
      </c>
      <c r="U11" s="89">
        <f>UCRNumber!V12+CCNumber!V12</f>
        <v>0</v>
      </c>
      <c r="V11" s="161">
        <f t="shared" si="0"/>
        <v>42517</v>
      </c>
    </row>
    <row r="12" spans="1:23">
      <c r="A12" s="279">
        <v>1986</v>
      </c>
      <c r="B12" s="89">
        <f>UCRNumber!C13+CCNumber!C13</f>
        <v>0</v>
      </c>
      <c r="C12" s="89">
        <f>UCRNumber!D13+CCNumber!D13</f>
        <v>28.147332185886405</v>
      </c>
      <c r="D12" s="89">
        <f>UCRNumber!E13+CCNumber!E13</f>
        <v>0</v>
      </c>
      <c r="E12" s="89">
        <f>UCRNumber!F13+CCNumber!F13</f>
        <v>0</v>
      </c>
      <c r="F12" s="89">
        <f>UCRNumber!G13+CCNumber!G13</f>
        <v>2352.3127612490775</v>
      </c>
      <c r="G12" s="89">
        <f>UCRNumber!H13+CCNumber!H13</f>
        <v>0</v>
      </c>
      <c r="H12" s="89">
        <f>UCRNumber!I13+CCNumber!I13</f>
        <v>38.199950823702977</v>
      </c>
      <c r="I12" s="89">
        <f>UCRNumber!J13+CCNumber!J13</f>
        <v>21883.545512662899</v>
      </c>
      <c r="J12" s="89">
        <f>UCRNumber!K13+CCNumber!K13</f>
        <v>46.242045733956232</v>
      </c>
      <c r="K12" s="89">
        <f>UCRNumber!L13+CCNumber!L13</f>
        <v>0</v>
      </c>
      <c r="L12" s="89">
        <f>UCRNumber!M13+CCNumber!M13</f>
        <v>0</v>
      </c>
      <c r="M12" s="89">
        <f>UCRNumber!N13+CCNumber!N13</f>
        <v>14046.524022621099</v>
      </c>
      <c r="N12" s="89">
        <f>UCRNumber!O13+CCNumber!O13</f>
        <v>1601.3821490041801</v>
      </c>
      <c r="O12" s="89">
        <f>UCRNumber!P13+CCNumber!P13</f>
        <v>0</v>
      </c>
      <c r="P12" s="89">
        <f>UCRNumber!Q13+CCNumber!Q13</f>
        <v>244.2786328989427</v>
      </c>
      <c r="Q12" s="89">
        <f>UCRNumber!R13+CCNumber!R13</f>
        <v>623.26235554462755</v>
      </c>
      <c r="R12" s="89">
        <f>UCRNumber!S13+CCNumber!S13</f>
        <v>20.105237275633144</v>
      </c>
      <c r="S12" s="89">
        <f>UCRNumber!T13+CCNumber!T13</f>
        <v>0</v>
      </c>
      <c r="T12" s="89">
        <f>UCRNumber!U13+CCNumber!U13</f>
        <v>0</v>
      </c>
      <c r="U12" s="89">
        <f>UCRNumber!V13+CCNumber!V13</f>
        <v>0</v>
      </c>
      <c r="V12" s="161">
        <f t="shared" si="0"/>
        <v>40884.000000000007</v>
      </c>
    </row>
    <row r="13" spans="1:23">
      <c r="A13" s="279">
        <v>1987</v>
      </c>
      <c r="B13" s="89">
        <f>UCRNumber!C14+CCNumber!C14</f>
        <v>0</v>
      </c>
      <c r="C13" s="89">
        <f>UCRNumber!D14+CCNumber!D14</f>
        <v>19.546122836139439</v>
      </c>
      <c r="D13" s="89">
        <f>UCRNumber!E14+CCNumber!E14</f>
        <v>19.546122836139439</v>
      </c>
      <c r="E13" s="89">
        <f>UCRNumber!F14+CCNumber!F14</f>
        <v>19.546122836139439</v>
      </c>
      <c r="F13" s="89">
        <f>UCRNumber!G14+CCNumber!G14</f>
        <v>829.0813769662476</v>
      </c>
      <c r="G13" s="89">
        <f>UCRNumber!H14+CCNumber!H14</f>
        <v>0</v>
      </c>
      <c r="H13" s="89">
        <f>UCRNumber!I14+CCNumber!I14</f>
        <v>42.349932811635448</v>
      </c>
      <c r="I13" s="89">
        <f>UCRNumber!J14+CCNumber!J14</f>
        <v>9999.4706742550006</v>
      </c>
      <c r="J13" s="89">
        <f>UCRNumber!K14+CCNumber!K14</f>
        <v>19.546122836139439</v>
      </c>
      <c r="K13" s="89">
        <f>UCRNumber!L14+CCNumber!L14</f>
        <v>0</v>
      </c>
      <c r="L13" s="89">
        <f>UCRNumber!M14+CCNumber!M14</f>
        <v>0</v>
      </c>
      <c r="M13" s="89">
        <f>UCRNumber!N14+CCNumber!N14</f>
        <v>26330.256303849499</v>
      </c>
      <c r="N13" s="89">
        <f>UCRNumber!O14+CCNumber!O14</f>
        <v>1332.394039996838</v>
      </c>
      <c r="O13" s="89">
        <f>UCRNumber!P14+CCNumber!P14</f>
        <v>0</v>
      </c>
      <c r="P13" s="89">
        <f>UCRNumber!Q14+CCNumber!Q14</f>
        <v>508.19919373962534</v>
      </c>
      <c r="Q13" s="89">
        <f>UCRNumber!R14+CCNumber!R14</f>
        <v>2093.0639870365981</v>
      </c>
      <c r="R13" s="89">
        <f>UCRNumber!S14+CCNumber!S14</f>
        <v>0</v>
      </c>
      <c r="S13" s="89">
        <f>UCRNumber!T14+CCNumber!T14</f>
        <v>0</v>
      </c>
      <c r="T13" s="89">
        <f>UCRNumber!U14+CCNumber!U14</f>
        <v>0</v>
      </c>
      <c r="U13" s="89">
        <f>UCRNumber!V14+CCNumber!V14</f>
        <v>0</v>
      </c>
      <c r="V13" s="161">
        <f t="shared" si="0"/>
        <v>41213.000000000007</v>
      </c>
    </row>
    <row r="14" spans="1:23">
      <c r="A14" s="279">
        <v>1988</v>
      </c>
      <c r="B14" s="89">
        <f>UCRNumber!C15+CCNumber!C15</f>
        <v>0</v>
      </c>
      <c r="C14" s="89">
        <f>UCRNumber!D15+CCNumber!D15</f>
        <v>13.100067301902163</v>
      </c>
      <c r="D14" s="89">
        <f>UCRNumber!E15+CCNumber!E15</f>
        <v>43.666891006340542</v>
      </c>
      <c r="E14" s="89">
        <f>UCRNumber!F15+CCNumber!F15</f>
        <v>13.100067301902163</v>
      </c>
      <c r="F14" s="89">
        <f>UCRNumber!G15+CCNumber!G15</f>
        <v>970.49665261591872</v>
      </c>
      <c r="G14" s="89">
        <f>UCRNumber!H15+CCNumber!H15</f>
        <v>30.566823704438384</v>
      </c>
      <c r="H14" s="89">
        <f>UCRNumber!I15+CCNumber!I15</f>
        <v>28.383479154121357</v>
      </c>
      <c r="I14" s="89">
        <f>UCRNumber!J15+CCNumber!J15</f>
        <v>7774.8899436789352</v>
      </c>
      <c r="J14" s="89">
        <f>UCRNumber!K15+CCNumber!K15</f>
        <v>75.325386985937442</v>
      </c>
      <c r="K14" s="89">
        <f>UCRNumber!L15+CCNumber!L15</f>
        <v>0</v>
      </c>
      <c r="L14" s="89">
        <f>UCRNumber!M15+CCNumber!M15</f>
        <v>0</v>
      </c>
      <c r="M14" s="89">
        <f>UCRNumber!N15+CCNumber!N15</f>
        <v>19096.623109347878</v>
      </c>
      <c r="N14" s="89">
        <f>UCRNumber!O15+CCNumber!O15</f>
        <v>572.03627218306121</v>
      </c>
      <c r="O14" s="89">
        <f>UCRNumber!P15+CCNumber!P15</f>
        <v>0</v>
      </c>
      <c r="P14" s="89">
        <f>UCRNumber!Q15+CCNumber!Q15</f>
        <v>649.54500371931556</v>
      </c>
      <c r="Q14" s="89">
        <f>UCRNumber!R15+CCNumber!R15</f>
        <v>1551.2663030002479</v>
      </c>
      <c r="R14" s="89">
        <f>UCRNumber!S15+CCNumber!S15</f>
        <v>0</v>
      </c>
      <c r="S14" s="89">
        <f>UCRNumber!T15+CCNumber!T15</f>
        <v>0</v>
      </c>
      <c r="T14" s="89">
        <f>UCRNumber!U15+CCNumber!U15</f>
        <v>0</v>
      </c>
      <c r="U14" s="89">
        <f>UCRNumber!V15+CCNumber!V15</f>
        <v>0</v>
      </c>
      <c r="V14" s="161">
        <f t="shared" si="0"/>
        <v>30818.999999999996</v>
      </c>
    </row>
    <row r="15" spans="1:23">
      <c r="A15" s="279">
        <v>1989</v>
      </c>
      <c r="B15" s="89">
        <f>UCRNumber!C16+CCNumber!C16</f>
        <v>0</v>
      </c>
      <c r="C15" s="89">
        <f>UCRNumber!D16+CCNumber!D16</f>
        <v>0</v>
      </c>
      <c r="D15" s="89">
        <f>UCRNumber!E16+CCNumber!E16</f>
        <v>45.142898804316133</v>
      </c>
      <c r="E15" s="89">
        <f>UCRNumber!F16+CCNumber!F16</f>
        <v>0</v>
      </c>
      <c r="F15" s="89">
        <f>UCRNumber!G16+CCNumber!G16</f>
        <v>792.5086678979942</v>
      </c>
      <c r="G15" s="89">
        <f>UCRNumber!H16+CCNumber!H16</f>
        <v>62.196882797057782</v>
      </c>
      <c r="H15" s="89">
        <f>UCRNumber!I16+CCNumber!I16</f>
        <v>14.044457405787238</v>
      </c>
      <c r="I15" s="89">
        <f>UCRNumber!J16+CCNumber!J16</f>
        <v>7598.0514565308968</v>
      </c>
      <c r="J15" s="89">
        <f>UCRNumber!K16+CCNumber!K16</f>
        <v>57.181005152133764</v>
      </c>
      <c r="K15" s="89">
        <f>UCRNumber!L16+CCNumber!L16</f>
        <v>0</v>
      </c>
      <c r="L15" s="89">
        <f>UCRNumber!M16+CCNumber!M16</f>
        <v>0</v>
      </c>
      <c r="M15" s="89">
        <f>UCRNumber!N16+CCNumber!N16</f>
        <v>19097.45254528369</v>
      </c>
      <c r="N15" s="89">
        <f>UCRNumber!O16+CCNumber!O16</f>
        <v>699.21334370240743</v>
      </c>
      <c r="O15" s="89">
        <f>UCRNumber!P16+CCNumber!P16</f>
        <v>0</v>
      </c>
      <c r="P15" s="89">
        <f>UCRNumber!Q16+CCNumber!Q16</f>
        <v>770.43880626032853</v>
      </c>
      <c r="Q15" s="89">
        <f>UCRNumber!R16+CCNumber!R16</f>
        <v>1822.7699361653868</v>
      </c>
      <c r="R15" s="89">
        <f>UCRNumber!S16+CCNumber!S16</f>
        <v>0</v>
      </c>
      <c r="S15" s="89">
        <f>UCRNumber!T16+CCNumber!T16</f>
        <v>0</v>
      </c>
      <c r="T15" s="89">
        <f>UCRNumber!U16+CCNumber!U16</f>
        <v>0</v>
      </c>
      <c r="U15" s="89">
        <f>UCRNumber!V16+CCNumber!V16</f>
        <v>0</v>
      </c>
      <c r="V15" s="161">
        <f t="shared" si="0"/>
        <v>30958.999999999996</v>
      </c>
    </row>
    <row r="16" spans="1:23">
      <c r="A16" s="279">
        <v>1990</v>
      </c>
      <c r="B16" s="89">
        <f>UCRNumber!C17+CCNumber!C17</f>
        <v>0</v>
      </c>
      <c r="C16" s="89">
        <f>UCRNumber!D17+CCNumber!D17</f>
        <v>54.27373271889401</v>
      </c>
      <c r="D16" s="89">
        <f>UCRNumber!E17+CCNumber!E17</f>
        <v>65.329493087557609</v>
      </c>
      <c r="E16" s="89">
        <f>UCRNumber!F17+CCNumber!F17</f>
        <v>5.0253456221198158</v>
      </c>
      <c r="F16" s="89">
        <f>UCRNumber!G17+CCNumber!G17</f>
        <v>1269.4023041474654</v>
      </c>
      <c r="G16" s="89">
        <f>UCRNumber!H17+CCNumber!H17</f>
        <v>46.233179723502303</v>
      </c>
      <c r="H16" s="89">
        <f>UCRNumber!I17+CCNumber!I17</f>
        <v>0</v>
      </c>
      <c r="I16" s="89">
        <f>UCRNumber!J17+CCNumber!J17</f>
        <v>5597.4829838087717</v>
      </c>
      <c r="J16" s="89">
        <f>UCRNumber!K17+CCNumber!K17</f>
        <v>280.41428571428565</v>
      </c>
      <c r="K16" s="89">
        <f>UCRNumber!L17+CCNumber!L17</f>
        <v>0</v>
      </c>
      <c r="L16" s="89">
        <f>UCRNumber!M17+CCNumber!M17</f>
        <v>0</v>
      </c>
      <c r="M16" s="89">
        <f>UCRNumber!N17+CCNumber!N17</f>
        <v>11771.369585253457</v>
      </c>
      <c r="N16" s="89">
        <f>UCRNumber!O17+CCNumber!O17</f>
        <v>460.32165898617507</v>
      </c>
      <c r="O16" s="89">
        <f>UCRNumber!P17+CCNumber!P17</f>
        <v>41.207834101382481</v>
      </c>
      <c r="P16" s="89">
        <f>UCRNumber!Q17+CCNumber!Q17</f>
        <v>382.93133640552992</v>
      </c>
      <c r="Q16" s="89">
        <f>UCRNumber!R17+CCNumber!R17</f>
        <v>1884.5046082949309</v>
      </c>
      <c r="R16" s="89">
        <f>UCRNumber!S17+CCNumber!S17</f>
        <v>18.091244239631337</v>
      </c>
      <c r="S16" s="89">
        <f>UCRNumber!T17+CCNumber!T17</f>
        <v>0</v>
      </c>
      <c r="T16" s="89">
        <f>UCRNumber!U17+CCNumber!U17</f>
        <v>67.339631336405532</v>
      </c>
      <c r="U16" s="89">
        <f>UCRNumber!V17+CCNumber!V17</f>
        <v>0</v>
      </c>
      <c r="V16" s="161">
        <f t="shared" si="0"/>
        <v>21943.927223440114</v>
      </c>
    </row>
    <row r="17" spans="1:22">
      <c r="A17" s="279">
        <v>1991</v>
      </c>
      <c r="B17" s="89">
        <f>UCRNumber!C18+CCNumber!C18</f>
        <v>9.0667471541911002</v>
      </c>
      <c r="C17" s="89">
        <f>UCRNumber!D18+CCNumber!D18</f>
        <v>80.593308037254218</v>
      </c>
      <c r="D17" s="89">
        <f>UCRNumber!E18+CCNumber!E18</f>
        <v>87.645222490513973</v>
      </c>
      <c r="E17" s="89">
        <f>UCRNumber!F18+CCNumber!F18</f>
        <v>175.29044498102795</v>
      </c>
      <c r="F17" s="89">
        <f>UCRNumber!G18+CCNumber!G18</f>
        <v>1146.4398068299413</v>
      </c>
      <c r="G17" s="89">
        <f>UCRNumber!H18+CCNumber!H18</f>
        <v>42.311486719558467</v>
      </c>
      <c r="H17" s="89">
        <f>UCRNumber!I18+CCNumber!I18</f>
        <v>198.46102104173849</v>
      </c>
      <c r="I17" s="89">
        <f>UCRNumber!J18+CCNumber!J18</f>
        <v>19786.664539496378</v>
      </c>
      <c r="J17" s="89">
        <f>UCRNumber!K18+CCNumber!K18</f>
        <v>165.21628147637117</v>
      </c>
      <c r="K17" s="89">
        <f>UCRNumber!L18+CCNumber!L18</f>
        <v>0</v>
      </c>
      <c r="L17" s="89">
        <f>UCRNumber!M18+CCNumber!M18</f>
        <v>0</v>
      </c>
      <c r="M17" s="89">
        <f>UCRNumber!N18+CCNumber!N18</f>
        <v>12019.484477406002</v>
      </c>
      <c r="N17" s="89">
        <f>UCRNumber!O18+CCNumber!O18</f>
        <v>525.87133494308375</v>
      </c>
      <c r="O17" s="89">
        <f>UCRNumber!P18+CCNumber!P18</f>
        <v>9.0667471541911002</v>
      </c>
      <c r="P17" s="89">
        <f>UCRNumber!Q18+CCNumber!Q18</f>
        <v>355.61797171438428</v>
      </c>
      <c r="Q17" s="89">
        <f>UCRNumber!R18+CCNumber!R18</f>
        <v>420.09261814418761</v>
      </c>
      <c r="R17" s="89">
        <f>UCRNumber!S18+CCNumber!S18</f>
        <v>0</v>
      </c>
      <c r="S17" s="89">
        <f>UCRNumber!T18+CCNumber!T18</f>
        <v>0</v>
      </c>
      <c r="T17" s="89">
        <f>UCRNumber!U18+CCNumber!U18</f>
        <v>24.177992411176266</v>
      </c>
      <c r="U17" s="89">
        <f>UCRNumber!V18+CCNumber!V18</f>
        <v>0</v>
      </c>
      <c r="V17" s="161">
        <f t="shared" si="0"/>
        <v>35046</v>
      </c>
    </row>
    <row r="18" spans="1:22">
      <c r="A18" s="279">
        <v>1992</v>
      </c>
      <c r="B18" s="89">
        <f>UCRNumber!C19+CCNumber!C19</f>
        <v>0</v>
      </c>
      <c r="C18" s="89">
        <f>UCRNumber!D19+CCNumber!D19</f>
        <v>0</v>
      </c>
      <c r="D18" s="89">
        <f>UCRNumber!E19+CCNumber!E19</f>
        <v>757.16878182425785</v>
      </c>
      <c r="E18" s="89">
        <f>UCRNumber!F19+CCNumber!F19</f>
        <v>64.270116819495044</v>
      </c>
      <c r="F18" s="89">
        <f>UCRNumber!G19+CCNumber!G19</f>
        <v>3824.0334757690807</v>
      </c>
      <c r="G18" s="89">
        <f>UCRNumber!H19+CCNumber!H19</f>
        <v>0</v>
      </c>
      <c r="H18" s="89">
        <f>UCRNumber!I19+CCNumber!I19</f>
        <v>140.59088054264538</v>
      </c>
      <c r="I18" s="89">
        <f>UCRNumber!J19+CCNumber!J19</f>
        <v>9375.3263410620893</v>
      </c>
      <c r="J18" s="89">
        <f>UCRNumber!K19+CCNumber!K19</f>
        <v>502.7752573840354</v>
      </c>
      <c r="K18" s="89">
        <f>UCRNumber!L19+CCNumber!L19</f>
        <v>0</v>
      </c>
      <c r="L18" s="89">
        <f>UCRNumber!M19+CCNumber!M19</f>
        <v>19.080190930787591</v>
      </c>
      <c r="M18" s="89">
        <f>UCRNumber!N19+CCNumber!N19</f>
        <v>43279.314721733841</v>
      </c>
      <c r="N18" s="89">
        <f>UCRNumber!O19+CCNumber!O19</f>
        <v>759.85572466201552</v>
      </c>
      <c r="O18" s="89">
        <f>UCRNumber!P19+CCNumber!P19</f>
        <v>36.15194071096596</v>
      </c>
      <c r="P18" s="89">
        <f>UCRNumber!Q19+CCNumber!Q19</f>
        <v>365.536289410878</v>
      </c>
      <c r="Q18" s="89">
        <f>UCRNumber!R19+CCNumber!R19</f>
        <v>1978.3145333500813</v>
      </c>
      <c r="R18" s="89">
        <f>UCRNumber!S19+CCNumber!S19</f>
        <v>0</v>
      </c>
      <c r="S18" s="89">
        <f>UCRNumber!T19+CCNumber!T19</f>
        <v>0</v>
      </c>
      <c r="T18" s="89">
        <f>UCRNumber!U19+CCNumber!U19</f>
        <v>21.08863208139681</v>
      </c>
      <c r="U18" s="89">
        <f>UCRNumber!V19+CCNumber!V19</f>
        <v>58.244793367667377</v>
      </c>
      <c r="V18" s="161">
        <f t="shared" si="0"/>
        <v>61181.751679649235</v>
      </c>
    </row>
    <row r="19" spans="1:22">
      <c r="A19" s="279">
        <v>1993</v>
      </c>
      <c r="B19" s="89">
        <f>UCRNumber!C20+CCNumber!C20</f>
        <v>0</v>
      </c>
      <c r="C19" s="89">
        <f>UCRNumber!D20+CCNumber!D20</f>
        <v>107.90345477175632</v>
      </c>
      <c r="D19" s="89">
        <f>UCRNumber!E20+CCNumber!E20</f>
        <v>45.379957614290035</v>
      </c>
      <c r="E19" s="89">
        <f>UCRNumber!F20+CCNumber!F20</f>
        <v>12.101322030477345</v>
      </c>
      <c r="F19" s="89">
        <f>UCRNumber!G20+CCNumber!G20</f>
        <v>4111.1481321755628</v>
      </c>
      <c r="G19" s="89">
        <f>UCRNumber!H20+CCNumber!H20</f>
        <v>0</v>
      </c>
      <c r="H19" s="89">
        <f>UCRNumber!I20+CCNumber!I20</f>
        <v>36.303966091432031</v>
      </c>
      <c r="I19" s="89">
        <f>UCRNumber!J20+CCNumber!J20</f>
        <v>31347.880360364543</v>
      </c>
      <c r="J19" s="89">
        <f>UCRNumber!K20+CCNumber!K20</f>
        <v>57.481279644767383</v>
      </c>
      <c r="K19" s="89">
        <f>UCRNumber!L20+CCNumber!L20</f>
        <v>0</v>
      </c>
      <c r="L19" s="89">
        <f>UCRNumber!M20+CCNumber!M20</f>
        <v>9.0759915228580077</v>
      </c>
      <c r="M19" s="89">
        <f>UCRNumber!N20+CCNumber!N20</f>
        <v>13878.379842417628</v>
      </c>
      <c r="N19" s="89">
        <f>UCRNumber!O20+CCNumber!O20</f>
        <v>1397.5913621731454</v>
      </c>
      <c r="O19" s="89">
        <f>UCRNumber!P20+CCNumber!P20</f>
        <v>0</v>
      </c>
      <c r="P19" s="89">
        <f>UCRNumber!Q20+CCNumber!Q20</f>
        <v>401.36051401083193</v>
      </c>
      <c r="Q19" s="89">
        <f>UCRNumber!R20+CCNumber!R20</f>
        <v>1605.2773607112003</v>
      </c>
      <c r="R19" s="89">
        <f>UCRNumber!S20+CCNumber!S20</f>
        <v>0</v>
      </c>
      <c r="S19" s="89">
        <f>UCRNumber!T20+CCNumber!T20</f>
        <v>0</v>
      </c>
      <c r="T19" s="89">
        <f>UCRNumber!U20+CCNumber!U20</f>
        <v>0</v>
      </c>
      <c r="U19" s="89">
        <f>UCRNumber!V20+CCNumber!V20</f>
        <v>0</v>
      </c>
      <c r="V19" s="161">
        <f t="shared" si="0"/>
        <v>53009.883543528493</v>
      </c>
    </row>
    <row r="20" spans="1:22">
      <c r="A20" s="279">
        <v>1994</v>
      </c>
      <c r="B20" s="89">
        <f>UCRNumber!C21+CCNumber!C21</f>
        <v>0</v>
      </c>
      <c r="C20" s="89">
        <f>UCRNumber!D21+CCNumber!D21</f>
        <v>50.08081344694957</v>
      </c>
      <c r="D20" s="89">
        <f>UCRNumber!E21+CCNumber!E21</f>
        <v>23.507320597547761</v>
      </c>
      <c r="E20" s="89">
        <f>UCRNumber!F21+CCNumber!F21</f>
        <v>0</v>
      </c>
      <c r="F20" s="89">
        <f>UCRNumber!G21+CCNumber!G21</f>
        <v>4110.4521949177479</v>
      </c>
      <c r="G20" s="89">
        <f>UCRNumber!H21+CCNumber!H21</f>
        <v>0</v>
      </c>
      <c r="H20" s="89">
        <f>UCRNumber!I21+CCNumber!I21</f>
        <v>44.970526360526151</v>
      </c>
      <c r="I20" s="89">
        <f>UCRNumber!J21+CCNumber!J21</f>
        <v>31720.521207855119</v>
      </c>
      <c r="J20" s="89">
        <f>UCRNumber!K21+CCNumber!K21</f>
        <v>0</v>
      </c>
      <c r="K20" s="89">
        <f>UCRNumber!L21+CCNumber!L21</f>
        <v>0</v>
      </c>
      <c r="L20" s="89">
        <f>UCRNumber!M21+CCNumber!M21</f>
        <v>0</v>
      </c>
      <c r="M20" s="89">
        <f>UCRNumber!N21+CCNumber!N21</f>
        <v>36211.645151829012</v>
      </c>
      <c r="N20" s="89">
        <f>UCRNumber!O21+CCNumber!O21</f>
        <v>117.5366029877388</v>
      </c>
      <c r="O20" s="89">
        <f>UCRNumber!P21+CCNumber!P21</f>
        <v>0</v>
      </c>
      <c r="P20" s="89">
        <f>UCRNumber!Q21+CCNumber!Q21</f>
        <v>213.61000021249919</v>
      </c>
      <c r="Q20" s="89">
        <f>UCRNumber!R21+CCNumber!R21</f>
        <v>551.61163518015383</v>
      </c>
      <c r="R20" s="89">
        <f>UCRNumber!S21+CCNumber!S21</f>
        <v>0</v>
      </c>
      <c r="S20" s="89">
        <f>UCRNumber!T21+CCNumber!T21</f>
        <v>0</v>
      </c>
      <c r="T20" s="89">
        <f>UCRNumber!U21+CCNumber!U21</f>
        <v>0</v>
      </c>
      <c r="U20" s="89">
        <f>UCRNumber!V21+CCNumber!V21</f>
        <v>0</v>
      </c>
      <c r="V20" s="161">
        <f t="shared" si="0"/>
        <v>73043.935453387297</v>
      </c>
    </row>
    <row r="21" spans="1:22">
      <c r="A21" s="279">
        <v>1995</v>
      </c>
      <c r="B21" s="89">
        <f>UCRNumber!C22+CCNumber!C22</f>
        <v>0</v>
      </c>
      <c r="C21" s="89">
        <f>UCRNumber!D22+CCNumber!D22</f>
        <v>0</v>
      </c>
      <c r="D21" s="89">
        <f>UCRNumber!E22+CCNumber!E22</f>
        <v>189.28684106343454</v>
      </c>
      <c r="E21" s="89">
        <f>UCRNumber!F22+CCNumber!F22</f>
        <v>0</v>
      </c>
      <c r="F21" s="89">
        <f>UCRNumber!G22+CCNumber!G22</f>
        <v>7142.7400904797742</v>
      </c>
      <c r="G21" s="89">
        <f>UCRNumber!H22+CCNumber!H22</f>
        <v>0</v>
      </c>
      <c r="H21" s="89">
        <f>UCRNumber!I22+CCNumber!I22</f>
        <v>0</v>
      </c>
      <c r="I21" s="89">
        <f>UCRNumber!J22+CCNumber!J22</f>
        <v>55953.220203770397</v>
      </c>
      <c r="J21" s="89">
        <f>UCRNumber!K22+CCNumber!K22</f>
        <v>84.356092213052349</v>
      </c>
      <c r="K21" s="89">
        <f>UCRNumber!L22+CCNumber!L22</f>
        <v>0</v>
      </c>
      <c r="L21" s="89">
        <f>UCRNumber!M22+CCNumber!M22</f>
        <v>0</v>
      </c>
      <c r="M21" s="89">
        <f>UCRNumber!N22+CCNumber!N22</f>
        <v>31949.172801461413</v>
      </c>
      <c r="N21" s="89">
        <f>UCRNumber!O22+CCNumber!O22</f>
        <v>699.1884283150157</v>
      </c>
      <c r="O21" s="89">
        <f>UCRNumber!P22+CCNumber!P22</f>
        <v>0</v>
      </c>
      <c r="P21" s="89">
        <f>UCRNumber!Q22+CCNumber!Q22</f>
        <v>652.21661540335595</v>
      </c>
      <c r="Q21" s="89">
        <f>UCRNumber!R22+CCNumber!R22</f>
        <v>267.1206389310891</v>
      </c>
      <c r="R21" s="89">
        <f>UCRNumber!S22+CCNumber!S22</f>
        <v>0</v>
      </c>
      <c r="S21" s="89">
        <f>UCRNumber!T22+CCNumber!T22</f>
        <v>0</v>
      </c>
      <c r="T21" s="89">
        <f>UCRNumber!U22+CCNumber!U22</f>
        <v>0</v>
      </c>
      <c r="U21" s="89">
        <f>UCRNumber!V22+CCNumber!V22</f>
        <v>0</v>
      </c>
      <c r="V21" s="161">
        <f t="shared" si="0"/>
        <v>96937.301711637527</v>
      </c>
    </row>
    <row r="22" spans="1:22">
      <c r="A22" s="279">
        <v>1996</v>
      </c>
      <c r="B22" s="89">
        <f>UCRNumber!C23+CCNumber!C23</f>
        <v>0</v>
      </c>
      <c r="C22" s="89">
        <f>UCRNumber!D23+CCNumber!D23</f>
        <v>0</v>
      </c>
      <c r="D22" s="89">
        <f>UCRNumber!E23+CCNumber!E23</f>
        <v>1359.8411819909409</v>
      </c>
      <c r="E22" s="89">
        <f>UCRNumber!F23+CCNumber!F23</f>
        <v>0</v>
      </c>
      <c r="F22" s="89">
        <f>UCRNumber!G23+CCNumber!G23</f>
        <v>5839.0273979033991</v>
      </c>
      <c r="G22" s="89">
        <f>UCRNumber!H23+CCNumber!H23</f>
        <v>85.77683930561048</v>
      </c>
      <c r="H22" s="89">
        <f>UCRNumber!I23+CCNumber!I23</f>
        <v>0</v>
      </c>
      <c r="I22" s="89">
        <f>UCRNumber!J23+CCNumber!J23</f>
        <v>42451.662253200571</v>
      </c>
      <c r="J22" s="89">
        <f>UCRNumber!K23+CCNumber!K23</f>
        <v>794.46405323893805</v>
      </c>
      <c r="K22" s="89">
        <f>UCRNumber!L23+CCNumber!L23</f>
        <v>42.88841965280524</v>
      </c>
      <c r="L22" s="89">
        <f>UCRNumber!M23+CCNumber!M23</f>
        <v>0</v>
      </c>
      <c r="M22" s="89">
        <f>UCRNumber!N23+CCNumber!N23</f>
        <v>35391.488291243433</v>
      </c>
      <c r="N22" s="89">
        <f>UCRNumber!O23+CCNumber!O23</f>
        <v>1397.4993065641358</v>
      </c>
      <c r="O22" s="89">
        <f>UCRNumber!P23+CCNumber!P23</f>
        <v>0</v>
      </c>
      <c r="P22" s="89">
        <f>UCRNumber!Q23+CCNumber!Q23</f>
        <v>76.362308162311749</v>
      </c>
      <c r="Q22" s="89">
        <f>UCRNumber!R23+CCNumber!R23</f>
        <v>261.51475398051969</v>
      </c>
      <c r="R22" s="89">
        <f>UCRNumber!S23+CCNumber!S23</f>
        <v>0</v>
      </c>
      <c r="S22" s="89">
        <f>UCRNumber!T23+CCNumber!T23</f>
        <v>0</v>
      </c>
      <c r="T22" s="89">
        <f>UCRNumber!U23+CCNumber!U23</f>
        <v>24.059357366207816</v>
      </c>
      <c r="U22" s="89">
        <f>UCRNumber!V23+CCNumber!V23</f>
        <v>0</v>
      </c>
      <c r="V22" s="161">
        <f t="shared" si="0"/>
        <v>87724.584162608866</v>
      </c>
    </row>
    <row r="23" spans="1:22">
      <c r="A23" s="279">
        <v>1997</v>
      </c>
      <c r="B23" s="89">
        <f>UCRNumber!C24+CCNumber!C24</f>
        <v>0</v>
      </c>
      <c r="C23" s="89">
        <f>UCRNumber!D24+CCNumber!D24</f>
        <v>0</v>
      </c>
      <c r="D23" s="89">
        <f>UCRNumber!E24+CCNumber!E24</f>
        <v>132.68578616842842</v>
      </c>
      <c r="E23" s="89">
        <f>UCRNumber!F24+CCNumber!F24</f>
        <v>272.9091755475954</v>
      </c>
      <c r="F23" s="89">
        <f>UCRNumber!G24+CCNumber!G24</f>
        <v>7114.2514069195649</v>
      </c>
      <c r="G23" s="89">
        <f>UCRNumber!H24+CCNumber!H24</f>
        <v>0</v>
      </c>
      <c r="H23" s="89">
        <f>UCRNumber!I24+CCNumber!I24</f>
        <v>0</v>
      </c>
      <c r="I23" s="89">
        <f>UCRNumber!J24+CCNumber!J24</f>
        <v>56034.420564336666</v>
      </c>
      <c r="J23" s="89">
        <f>UCRNumber!K24+CCNumber!K24</f>
        <v>0</v>
      </c>
      <c r="K23" s="89">
        <f>UCRNumber!L24+CCNumber!L24</f>
        <v>0</v>
      </c>
      <c r="L23" s="89">
        <f>UCRNumber!M24+CCNumber!M24</f>
        <v>0</v>
      </c>
      <c r="M23" s="89">
        <f>UCRNumber!N24+CCNumber!N24</f>
        <v>26200.636613478768</v>
      </c>
      <c r="N23" s="89">
        <f>UCRNumber!O24+CCNumber!O24</f>
        <v>1417.3564223794169</v>
      </c>
      <c r="O23" s="89">
        <f>UCRNumber!P24+CCNumber!P24</f>
        <v>0</v>
      </c>
      <c r="P23" s="89">
        <f>UCRNumber!Q24+CCNumber!Q24</f>
        <v>77.14289893513282</v>
      </c>
      <c r="Q23" s="89">
        <f>UCRNumber!R24+CCNumber!R24</f>
        <v>515.65216419681337</v>
      </c>
      <c r="R23" s="89">
        <f>UCRNumber!S24+CCNumber!S24</f>
        <v>0</v>
      </c>
      <c r="S23" s="89">
        <f>UCRNumber!T24+CCNumber!T24</f>
        <v>0</v>
      </c>
      <c r="T23" s="89">
        <f>UCRNumber!U24+CCNumber!U24</f>
        <v>0</v>
      </c>
      <c r="U23" s="89">
        <f>UCRNumber!V24+CCNumber!V24</f>
        <v>0</v>
      </c>
      <c r="V23" s="161">
        <f t="shared" si="0"/>
        <v>91765.055031962387</v>
      </c>
    </row>
    <row r="24" spans="1:22">
      <c r="A24" s="279">
        <v>1998</v>
      </c>
      <c r="B24" s="89">
        <f>UCRNumber!C25+CCNumber!C25</f>
        <v>0</v>
      </c>
      <c r="C24" s="89">
        <f>UCRNumber!D25+CCNumber!D25</f>
        <v>44.227018466590145</v>
      </c>
      <c r="D24" s="89">
        <f>UCRNumber!E25+CCNumber!E25</f>
        <v>179.99367980589017</v>
      </c>
      <c r="E24" s="89">
        <f>UCRNumber!F25+CCNumber!F25</f>
        <v>44.227018466590145</v>
      </c>
      <c r="F24" s="89">
        <f>UCRNumber!G25+CCNumber!G25</f>
        <v>6161.0748337952673</v>
      </c>
      <c r="G24" s="89">
        <f>UCRNumber!H25+CCNumber!H25</f>
        <v>44.227018466590145</v>
      </c>
      <c r="H24" s="89">
        <f>UCRNumber!I25+CCNumber!I25</f>
        <v>0</v>
      </c>
      <c r="I24" s="89">
        <f>UCRNumber!J25+CCNumber!J25</f>
        <v>68371.053617062018</v>
      </c>
      <c r="J24" s="89">
        <f>UCRNumber!K25+CCNumber!K25</f>
        <v>192.33610356400831</v>
      </c>
      <c r="K24" s="89">
        <f>UCRNumber!L25+CCNumber!L25</f>
        <v>0</v>
      </c>
      <c r="L24" s="89">
        <f>UCRNumber!M25+CCNumber!M25</f>
        <v>0</v>
      </c>
      <c r="M24" s="89">
        <f>UCRNumber!N25+CCNumber!N25</f>
        <v>29707.135747092529</v>
      </c>
      <c r="N24" s="89">
        <f>UCRNumber!O25+CCNumber!O25</f>
        <v>348.67347116683862</v>
      </c>
      <c r="O24" s="89">
        <f>UCRNumber!P25+CCNumber!P25</f>
        <v>0</v>
      </c>
      <c r="P24" s="89">
        <f>UCRNumber!Q25+CCNumber!Q25</f>
        <v>0</v>
      </c>
      <c r="Q24" s="89">
        <f>UCRNumber!R25+CCNumber!R25</f>
        <v>642.8345707353219</v>
      </c>
      <c r="R24" s="89">
        <f>UCRNumber!S25+CCNumber!S25</f>
        <v>0</v>
      </c>
      <c r="S24" s="89">
        <f>UCRNumber!T25+CCNumber!T25</f>
        <v>0</v>
      </c>
      <c r="T24" s="89">
        <f>UCRNumber!U25+CCNumber!U25</f>
        <v>0</v>
      </c>
      <c r="U24" s="89">
        <f>UCRNumber!V25+CCNumber!V25</f>
        <v>0</v>
      </c>
      <c r="V24" s="161">
        <f t="shared" si="0"/>
        <v>105735.78307862164</v>
      </c>
    </row>
    <row r="25" spans="1:22">
      <c r="A25" s="279">
        <v>1999</v>
      </c>
      <c r="B25" s="89">
        <f>UCRNumber!C26+CCNumber!C26</f>
        <v>0</v>
      </c>
      <c r="C25" s="89">
        <f>UCRNumber!D26+CCNumber!D26</f>
        <v>0</v>
      </c>
      <c r="D25" s="89">
        <f>UCRNumber!E26+CCNumber!E26</f>
        <v>85.573333333333323</v>
      </c>
      <c r="E25" s="89">
        <f>UCRNumber!F26+CCNumber!F26</f>
        <v>0</v>
      </c>
      <c r="F25" s="89">
        <f>UCRNumber!G26+CCNumber!G26</f>
        <v>10515.024349583715</v>
      </c>
      <c r="G25" s="89">
        <f>UCRNumber!H26+CCNumber!H26</f>
        <v>0</v>
      </c>
      <c r="H25" s="89">
        <f>UCRNumber!I26+CCNumber!I26</f>
        <v>0</v>
      </c>
      <c r="I25" s="89">
        <f>UCRNumber!J26+CCNumber!J26</f>
        <v>55667.160650015241</v>
      </c>
      <c r="J25" s="89">
        <f>UCRNumber!K26+CCNumber!K26</f>
        <v>253.0385966600895</v>
      </c>
      <c r="K25" s="89">
        <f>UCRNumber!L26+CCNumber!L26</f>
        <v>0</v>
      </c>
      <c r="L25" s="89">
        <f>UCRNumber!M26+CCNumber!M26</f>
        <v>0</v>
      </c>
      <c r="M25" s="89">
        <f>UCRNumber!N26+CCNumber!N26</f>
        <v>27830.432057365608</v>
      </c>
      <c r="N25" s="89">
        <f>UCRNumber!O26+CCNumber!O26</f>
        <v>964.06923271893095</v>
      </c>
      <c r="O25" s="89">
        <f>UCRNumber!P26+CCNumber!P26</f>
        <v>0</v>
      </c>
      <c r="P25" s="89">
        <f>UCRNumber!Q26+CCNumber!Q26</f>
        <v>460.52121340455903</v>
      </c>
      <c r="Q25" s="89">
        <f>UCRNumber!R26+CCNumber!R26</f>
        <v>175.18056691852354</v>
      </c>
      <c r="R25" s="89">
        <f>UCRNumber!S26+CCNumber!S26</f>
        <v>0</v>
      </c>
      <c r="S25" s="89">
        <f>UCRNumber!T26+CCNumber!T26</f>
        <v>0</v>
      </c>
      <c r="T25" s="89">
        <f>UCRNumber!U26+CCNumber!U26</f>
        <v>0</v>
      </c>
      <c r="U25" s="89">
        <f>UCRNumber!V26+CCNumber!V26</f>
        <v>0</v>
      </c>
      <c r="V25" s="161">
        <f t="shared" si="0"/>
        <v>95951</v>
      </c>
    </row>
    <row r="26" spans="1:22">
      <c r="A26" s="279">
        <v>2000</v>
      </c>
      <c r="B26" s="89">
        <f>UCRNumber!C27+CCNumber!C27</f>
        <v>0</v>
      </c>
      <c r="C26" s="89">
        <f>UCRNumber!D27+CCNumber!D27</f>
        <v>0</v>
      </c>
      <c r="D26" s="89">
        <f>UCRNumber!E27+CCNumber!E27</f>
        <v>246.63254469135802</v>
      </c>
      <c r="E26" s="89">
        <f>UCRNumber!F27+CCNumber!F27</f>
        <v>0</v>
      </c>
      <c r="F26" s="89">
        <f>UCRNumber!G27+CCNumber!G27</f>
        <v>4772.5395462962961</v>
      </c>
      <c r="G26" s="89">
        <f>UCRNumber!H27+CCNumber!H27</f>
        <v>0</v>
      </c>
      <c r="H26" s="89">
        <f>UCRNumber!I27+CCNumber!I27</f>
        <v>0</v>
      </c>
      <c r="I26" s="89">
        <f>UCRNumber!J27+CCNumber!J27</f>
        <v>48501.64199604938</v>
      </c>
      <c r="J26" s="89">
        <f>UCRNumber!K27+CCNumber!K27</f>
        <v>240.73440234567903</v>
      </c>
      <c r="K26" s="89">
        <f>UCRNumber!L27+CCNumber!L27</f>
        <v>0</v>
      </c>
      <c r="L26" s="89">
        <f>UCRNumber!M27+CCNumber!M27</f>
        <v>0</v>
      </c>
      <c r="M26" s="89">
        <f>UCRNumber!N27+CCNumber!N27</f>
        <v>16004.656581234569</v>
      </c>
      <c r="N26" s="89">
        <f>UCRNumber!O27+CCNumber!O27</f>
        <v>541.32261469135801</v>
      </c>
      <c r="O26" s="89">
        <f>UCRNumber!P27+CCNumber!P27</f>
        <v>0</v>
      </c>
      <c r="P26" s="89">
        <f>UCRNumber!Q27+CCNumber!Q27</f>
        <v>77.188519999999983</v>
      </c>
      <c r="Q26" s="89">
        <f>UCRNumber!R27+CCNumber!R27</f>
        <v>368.30258469135799</v>
      </c>
      <c r="R26" s="89">
        <f>UCRNumber!S27+CCNumber!S27</f>
        <v>0</v>
      </c>
      <c r="S26" s="89">
        <f>UCRNumber!T27+CCNumber!T27</f>
        <v>0</v>
      </c>
      <c r="T26" s="89">
        <f>UCRNumber!U27+CCNumber!U27</f>
        <v>0</v>
      </c>
      <c r="U26" s="89">
        <f>UCRNumber!V27+CCNumber!V27</f>
        <v>0</v>
      </c>
      <c r="V26" s="161">
        <f t="shared" si="0"/>
        <v>70753.018789999987</v>
      </c>
    </row>
    <row r="27" spans="1:22">
      <c r="A27" s="279">
        <v>2001</v>
      </c>
      <c r="B27" s="89">
        <f>UCRNumber!C28+CCNumber!C28</f>
        <v>0</v>
      </c>
      <c r="C27" s="89">
        <f>UCRNumber!D28+CCNumber!D28</f>
        <v>43.015439999999998</v>
      </c>
      <c r="D27" s="89">
        <f>UCRNumber!E28+CCNumber!E28</f>
        <v>243.080024544406</v>
      </c>
      <c r="E27" s="89">
        <f>UCRNumber!F28+CCNumber!F28</f>
        <v>0</v>
      </c>
      <c r="F27" s="89">
        <f>UCRNumber!G28+CCNumber!G28</f>
        <v>8614.6976308881203</v>
      </c>
      <c r="G27" s="89">
        <f>UCRNumber!H28+CCNumber!H28</f>
        <v>98.439179999999993</v>
      </c>
      <c r="H27" s="89">
        <f>UCRNumber!I28+CCNumber!I28</f>
        <v>0</v>
      </c>
      <c r="I27" s="89">
        <f>UCRNumber!J28+CCNumber!J28</f>
        <v>55980.71813096886</v>
      </c>
      <c r="J27" s="89">
        <f>UCRNumber!K28+CCNumber!K28</f>
        <v>112.50192000000001</v>
      </c>
      <c r="K27" s="89">
        <f>UCRNumber!L28+CCNumber!L28</f>
        <v>0</v>
      </c>
      <c r="L27" s="89">
        <f>UCRNumber!M28+CCNumber!M28</f>
        <v>0</v>
      </c>
      <c r="M27" s="89">
        <f>UCRNumber!N28+CCNumber!N28</f>
        <v>15064.974836101501</v>
      </c>
      <c r="N27" s="89">
        <f>UCRNumber!O28+CCNumber!O28</f>
        <v>762.45152908881187</v>
      </c>
      <c r="O27" s="89">
        <f>UCRNumber!P28+CCNumber!P28</f>
        <v>0</v>
      </c>
      <c r="P27" s="89">
        <f>UCRNumber!Q28+CCNumber!Q28</f>
        <v>81.864116136101501</v>
      </c>
      <c r="Q27" s="89">
        <f>UCRNumber!R28+CCNumber!R28</f>
        <v>135.60275227220299</v>
      </c>
      <c r="R27" s="89">
        <f>UCRNumber!S28+CCNumber!S28</f>
        <v>0</v>
      </c>
      <c r="S27" s="89">
        <f>UCRNumber!T28+CCNumber!T28</f>
        <v>0</v>
      </c>
      <c r="T27" s="89">
        <f>UCRNumber!U28+CCNumber!U28</f>
        <v>0</v>
      </c>
      <c r="U27" s="89">
        <f>UCRNumber!V28+CCNumber!V28</f>
        <v>0</v>
      </c>
      <c r="V27" s="161">
        <f t="shared" si="0"/>
        <v>81137.345560000002</v>
      </c>
    </row>
    <row r="28" spans="1:22">
      <c r="A28" s="279">
        <v>2002</v>
      </c>
      <c r="B28" s="89">
        <f>UCRNumber!C29+CCNumber!C29</f>
        <v>0</v>
      </c>
      <c r="C28" s="89">
        <f>UCRNumber!D29+CCNumber!D29</f>
        <v>10.246736121316594</v>
      </c>
      <c r="D28" s="89">
        <f>UCRNumber!E29+CCNumber!E29</f>
        <v>159.87032144073362</v>
      </c>
      <c r="E28" s="89">
        <f>UCRNumber!F29+CCNumber!F29</f>
        <v>0</v>
      </c>
      <c r="F28" s="89">
        <f>UCRNumber!G29+CCNumber!G29</f>
        <v>6610.6088326264853</v>
      </c>
      <c r="G28" s="89">
        <f>UCRNumber!H29+CCNumber!H29</f>
        <v>25.464136247746051</v>
      </c>
      <c r="H28" s="89">
        <f>UCRNumber!I29+CCNumber!I29</f>
        <v>0</v>
      </c>
      <c r="I28" s="89">
        <f>UCRNumber!J29+CCNumber!J29</f>
        <v>49173.65452896271</v>
      </c>
      <c r="J28" s="89">
        <f>UCRNumber!K29+CCNumber!K29</f>
        <v>452.40659741199954</v>
      </c>
      <c r="K28" s="89">
        <f>UCRNumber!L29+CCNumber!L29</f>
        <v>0</v>
      </c>
      <c r="L28" s="89">
        <f>UCRNumber!M29+CCNumber!M29</f>
        <v>0</v>
      </c>
      <c r="M28" s="89">
        <f>UCRNumber!N29+CCNumber!N29</f>
        <v>14143.73042540695</v>
      </c>
      <c r="N28" s="89">
        <f>UCRNumber!O29+CCNumber!O29</f>
        <v>1411.3014534310739</v>
      </c>
      <c r="O28" s="89">
        <f>UCRNumber!P29+CCNumber!P29</f>
        <v>0</v>
      </c>
      <c r="P28" s="89">
        <f>UCRNumber!Q29+CCNumber!Q29</f>
        <v>28.155387956486891</v>
      </c>
      <c r="Q28" s="89">
        <f>UCRNumber!R29+CCNumber!R29</f>
        <v>958.56158039450077</v>
      </c>
      <c r="R28" s="89">
        <f>UCRNumber!S29+CCNumber!S29</f>
        <v>0</v>
      </c>
      <c r="S28" s="89">
        <f>UCRNumber!T29+CCNumber!T29</f>
        <v>0</v>
      </c>
      <c r="T28" s="89">
        <f>UCRNumber!U29+CCNumber!U29</f>
        <v>0</v>
      </c>
      <c r="U28" s="89">
        <f>UCRNumber!V29+CCNumber!V29</f>
        <v>0</v>
      </c>
      <c r="V28" s="161">
        <f t="shared" si="0"/>
        <v>72974</v>
      </c>
    </row>
    <row r="29" spans="1:22">
      <c r="A29" s="279">
        <v>2003</v>
      </c>
      <c r="B29" s="89">
        <f>UCRNumber!C30+CCNumber!C30</f>
        <v>0</v>
      </c>
      <c r="C29" s="89">
        <f>UCRNumber!D30+CCNumber!D30</f>
        <v>37.890512827698544</v>
      </c>
      <c r="D29" s="89">
        <f>UCRNumber!E30+CCNumber!E30</f>
        <v>394.71996351516987</v>
      </c>
      <c r="E29" s="89">
        <f>UCRNumber!F30+CCNumber!F30</f>
        <v>75.781025655397059</v>
      </c>
      <c r="F29" s="89">
        <f>UCRNumber!G30+CCNumber!G30</f>
        <v>5977.1853932395461</v>
      </c>
      <c r="G29" s="89">
        <f>UCRNumber!H30+CCNumber!H30</f>
        <v>32.258563187442107</v>
      </c>
      <c r="H29" s="89">
        <f>UCRNumber!I30+CCNumber!I30</f>
        <v>0</v>
      </c>
      <c r="I29" s="89">
        <f>UCRNumber!J30+CCNumber!J30</f>
        <v>61859.065856016823</v>
      </c>
      <c r="J29" s="89">
        <f>UCRNumber!K30+CCNumber!K30</f>
        <v>197.6335540838852</v>
      </c>
      <c r="K29" s="89">
        <f>UCRNumber!L30+CCNumber!L30</f>
        <v>0</v>
      </c>
      <c r="L29" s="89">
        <f>UCRNumber!M30+CCNumber!M30</f>
        <v>0</v>
      </c>
      <c r="M29" s="89">
        <f>UCRNumber!N30+CCNumber!N30</f>
        <v>24229.01563333267</v>
      </c>
      <c r="N29" s="89">
        <f>UCRNumber!O30+CCNumber!O30</f>
        <v>1276.3780348928658</v>
      </c>
      <c r="O29" s="89">
        <f>UCRNumber!P30+CCNumber!P30</f>
        <v>0</v>
      </c>
      <c r="P29" s="89">
        <f>UCRNumber!Q30+CCNumber!Q30</f>
        <v>112.08257197499094</v>
      </c>
      <c r="Q29" s="89">
        <f>UCRNumber!R30+CCNumber!R30</f>
        <v>362.98889127351299</v>
      </c>
      <c r="R29" s="89">
        <f>UCRNumber!S30+CCNumber!S30</f>
        <v>0</v>
      </c>
      <c r="S29" s="89">
        <f>UCRNumber!T30+CCNumber!T30</f>
        <v>0</v>
      </c>
      <c r="T29" s="89">
        <f>UCRNumber!U30+CCNumber!U30</f>
        <v>0</v>
      </c>
      <c r="U29" s="89">
        <f>UCRNumber!V30+CCNumber!V30</f>
        <v>0</v>
      </c>
      <c r="V29" s="161">
        <f t="shared" si="0"/>
        <v>94555.000000000015</v>
      </c>
    </row>
    <row r="30" spans="1:22">
      <c r="A30" s="279">
        <v>2004</v>
      </c>
      <c r="B30" s="89">
        <f>UCRNumber!C31+CCNumber!C31</f>
        <v>0</v>
      </c>
      <c r="C30" s="89">
        <f>UCRNumber!D31+CCNumber!D31</f>
        <v>0</v>
      </c>
      <c r="D30" s="89">
        <f>UCRNumber!E31+CCNumber!E31</f>
        <v>370.87298898823303</v>
      </c>
      <c r="E30" s="89">
        <f>UCRNumber!F31+CCNumber!F31</f>
        <v>115.23863636363636</v>
      </c>
      <c r="F30" s="89">
        <f>UCRNumber!G31+CCNumber!G31</f>
        <v>5019.5720853945559</v>
      </c>
      <c r="G30" s="89">
        <f>UCRNumber!H31+CCNumber!H31</f>
        <v>19.820400698513343</v>
      </c>
      <c r="H30" s="89">
        <f>UCRNumber!I31+CCNumber!I31</f>
        <v>0</v>
      </c>
      <c r="I30" s="89">
        <f>UCRNumber!J31+CCNumber!J31</f>
        <v>47494.232967996417</v>
      </c>
      <c r="J30" s="89">
        <f>UCRNumber!K31+CCNumber!K31</f>
        <v>206.00630828558241</v>
      </c>
      <c r="K30" s="89">
        <f>UCRNumber!L31+CCNumber!L31</f>
        <v>0</v>
      </c>
      <c r="L30" s="89">
        <f>UCRNumber!M31+CCNumber!M31</f>
        <v>0</v>
      </c>
      <c r="M30" s="89">
        <f>UCRNumber!N31+CCNumber!N31</f>
        <v>26018.25851101712</v>
      </c>
      <c r="N30" s="89">
        <f>UCRNumber!O31+CCNumber!O31</f>
        <v>1056.0433368575088</v>
      </c>
      <c r="O30" s="89">
        <f>UCRNumber!P31+CCNumber!P31</f>
        <v>0</v>
      </c>
      <c r="P30" s="89">
        <f>UCRNumber!Q31+CCNumber!Q31</f>
        <v>0</v>
      </c>
      <c r="Q30" s="89">
        <f>UCRNumber!R31+CCNumber!R31</f>
        <v>265.95476439843895</v>
      </c>
      <c r="R30" s="89">
        <f>UCRNumber!S31+CCNumber!S31</f>
        <v>0</v>
      </c>
      <c r="S30" s="89">
        <f>UCRNumber!T31+CCNumber!T31</f>
        <v>0</v>
      </c>
      <c r="T30" s="89">
        <f>UCRNumber!U31+CCNumber!U31</f>
        <v>0</v>
      </c>
      <c r="U30" s="89">
        <f>UCRNumber!V31+CCNumber!V31</f>
        <v>0</v>
      </c>
      <c r="V30" s="161">
        <f t="shared" si="0"/>
        <v>80566</v>
      </c>
    </row>
    <row r="31" spans="1:22">
      <c r="A31" s="279">
        <v>2005</v>
      </c>
      <c r="B31" s="89">
        <f>UCRNumber!C32+CCNumber!C32</f>
        <v>0</v>
      </c>
      <c r="C31" s="89">
        <f>UCRNumber!D32+CCNumber!D32</f>
        <v>17.008083435991534</v>
      </c>
      <c r="D31" s="89">
        <f>UCRNumber!E32+CCNumber!E32</f>
        <v>350.89666905394841</v>
      </c>
      <c r="E31" s="89">
        <f>UCRNumber!F32+CCNumber!F32</f>
        <v>73.112228386500249</v>
      </c>
      <c r="F31" s="89">
        <f>UCRNumber!G32+CCNumber!G32</f>
        <v>5891.6632712260234</v>
      </c>
      <c r="G31" s="89">
        <f>UCRNumber!H32+CCNumber!H32</f>
        <v>17.897595931576511</v>
      </c>
      <c r="H31" s="89">
        <f>UCRNumber!I32+CCNumber!I32</f>
        <v>0</v>
      </c>
      <c r="I31" s="89">
        <f>UCRNumber!J32+CCNumber!J32</f>
        <v>37628.29584616753</v>
      </c>
      <c r="J31" s="89">
        <f>UCRNumber!K32+CCNumber!K32</f>
        <v>109.03859044184568</v>
      </c>
      <c r="K31" s="89">
        <f>UCRNumber!L32+CCNumber!L32</f>
        <v>0</v>
      </c>
      <c r="L31" s="89">
        <f>UCRNumber!M32+CCNumber!M32</f>
        <v>0</v>
      </c>
      <c r="M31" s="89">
        <f>UCRNumber!N32+CCNumber!N32</f>
        <v>20304.918322954902</v>
      </c>
      <c r="N31" s="89">
        <f>UCRNumber!O32+CCNumber!O32</f>
        <v>1381.9537555538345</v>
      </c>
      <c r="O31" s="89">
        <f>UCRNumber!P32+CCNumber!P32</f>
        <v>0</v>
      </c>
      <c r="P31" s="89">
        <f>UCRNumber!Q32+CCNumber!Q32</f>
        <v>13.961484270083435</v>
      </c>
      <c r="Q31" s="89">
        <f>UCRNumber!R32+CCNumber!R32</f>
        <v>449.76587132775728</v>
      </c>
      <c r="R31" s="89">
        <f>UCRNumber!S32+CCNumber!S32</f>
        <v>0</v>
      </c>
      <c r="S31" s="89">
        <f>UCRNumber!T32+CCNumber!T32</f>
        <v>118.48828125</v>
      </c>
      <c r="T31" s="89">
        <f>UCRNumber!U32+CCNumber!U32</f>
        <v>0</v>
      </c>
      <c r="U31" s="89">
        <f>UCRNumber!V32+CCNumber!V32</f>
        <v>0</v>
      </c>
      <c r="V31" s="161">
        <f t="shared" si="0"/>
        <v>66357</v>
      </c>
    </row>
    <row r="32" spans="1:22">
      <c r="A32" s="279">
        <v>2006</v>
      </c>
      <c r="B32" s="89">
        <f>UCRNumber!C33+CCNumber!C33</f>
        <v>0</v>
      </c>
      <c r="C32" s="89">
        <f>UCRNumber!D33+CCNumber!D33</f>
        <v>0</v>
      </c>
      <c r="D32" s="89">
        <f>UCRNumber!E33+CCNumber!E33</f>
        <v>364.41511228830996</v>
      </c>
      <c r="E32" s="89">
        <f>UCRNumber!F33+CCNumber!F33</f>
        <v>0</v>
      </c>
      <c r="F32" s="89">
        <f>UCRNumber!G33+CCNumber!G33</f>
        <v>9564.4699599625565</v>
      </c>
      <c r="G32" s="89">
        <f>UCRNumber!H33+CCNumber!H33</f>
        <v>0</v>
      </c>
      <c r="H32" s="89">
        <f>UCRNumber!I33+CCNumber!I33</f>
        <v>0</v>
      </c>
      <c r="I32" s="89">
        <f>UCRNumber!J33+CCNumber!J33</f>
        <v>68219.100697904621</v>
      </c>
      <c r="J32" s="89">
        <f>UCRNumber!K33+CCNumber!K33</f>
        <v>850.7367863423442</v>
      </c>
      <c r="K32" s="89">
        <f>UCRNumber!L33+CCNumber!L33</f>
        <v>0</v>
      </c>
      <c r="L32" s="89">
        <f>UCRNumber!M33+CCNumber!M33</f>
        <v>0</v>
      </c>
      <c r="M32" s="89">
        <f>UCRNumber!N33+CCNumber!N33</f>
        <v>16359.593867404627</v>
      </c>
      <c r="N32" s="89">
        <f>UCRNumber!O33+CCNumber!O33</f>
        <v>3549.1644384477754</v>
      </c>
      <c r="O32" s="89">
        <f>UCRNumber!P33+CCNumber!P33</f>
        <v>0</v>
      </c>
      <c r="P32" s="89">
        <f>UCRNumber!Q33+CCNumber!Q33</f>
        <v>413.87159666615844</v>
      </c>
      <c r="Q32" s="89">
        <f>UCRNumber!R33+CCNumber!R33</f>
        <v>555.64754098360663</v>
      </c>
      <c r="R32" s="89">
        <f>UCRNumber!S33+CCNumber!S33</f>
        <v>0</v>
      </c>
      <c r="S32" s="89">
        <f>UCRNumber!T33+CCNumber!T33</f>
        <v>0</v>
      </c>
      <c r="T32" s="89">
        <f>UCRNumber!U33+CCNumber!U33</f>
        <v>0</v>
      </c>
      <c r="U32" s="89">
        <f>UCRNumber!V33+CCNumber!V33</f>
        <v>0</v>
      </c>
      <c r="V32" s="161">
        <f t="shared" si="0"/>
        <v>99877</v>
      </c>
    </row>
    <row r="33" spans="1:22">
      <c r="A33" s="279">
        <v>2007</v>
      </c>
      <c r="B33" s="89">
        <f>UCRNumber!C34+CCNumber!C34</f>
        <v>0</v>
      </c>
      <c r="C33" s="89">
        <f>UCRNumber!D34+CCNumber!D34</f>
        <v>0</v>
      </c>
      <c r="D33" s="89">
        <f>UCRNumber!E34+CCNumber!E34</f>
        <v>107.53828306264501</v>
      </c>
      <c r="E33" s="89">
        <f>UCRNumber!F34+CCNumber!F34</f>
        <v>25.883314953656669</v>
      </c>
      <c r="F33" s="89">
        <f>UCRNumber!G34+CCNumber!G34</f>
        <v>5160.4207337804701</v>
      </c>
      <c r="G33" s="89">
        <f>UCRNumber!H34+CCNumber!H34</f>
        <v>92.705603666156719</v>
      </c>
      <c r="H33" s="89">
        <f>UCRNumber!I34+CCNumber!I34</f>
        <v>0</v>
      </c>
      <c r="I33" s="89">
        <f>UCRNumber!J34+CCNumber!J34</f>
        <v>57978.675515241623</v>
      </c>
      <c r="J33" s="89">
        <f>UCRNumber!K34+CCNumber!K34</f>
        <v>501.61568882727835</v>
      </c>
      <c r="K33" s="89">
        <f>UCRNumber!L34+CCNumber!L34</f>
        <v>0</v>
      </c>
      <c r="L33" s="89">
        <f>UCRNumber!M34+CCNumber!M34</f>
        <v>0</v>
      </c>
      <c r="M33" s="89">
        <f>UCRNumber!N34+CCNumber!N34</f>
        <v>22479.559690778486</v>
      </c>
      <c r="N33" s="89">
        <f>UCRNumber!O34+CCNumber!O34</f>
        <v>830.49572317121533</v>
      </c>
      <c r="O33" s="89">
        <f>UCRNumber!P34+CCNumber!P34</f>
        <v>0</v>
      </c>
      <c r="P33" s="89">
        <f>UCRNumber!Q34+CCNumber!Q34</f>
        <v>215.07656612529001</v>
      </c>
      <c r="Q33" s="89">
        <f>UCRNumber!R34+CCNumber!R34</f>
        <v>379.02888039317679</v>
      </c>
      <c r="R33" s="89">
        <f>UCRNumber!S34+CCNumber!S34</f>
        <v>0</v>
      </c>
      <c r="S33" s="89">
        <f>UCRNumber!T34+CCNumber!T34</f>
        <v>0</v>
      </c>
      <c r="T33" s="89">
        <f>UCRNumber!U34+CCNumber!U34</f>
        <v>0</v>
      </c>
      <c r="U33" s="89">
        <f>UCRNumber!V34+CCNumber!V34</f>
        <v>0</v>
      </c>
      <c r="V33" s="161">
        <f t="shared" si="0"/>
        <v>87771.000000000015</v>
      </c>
    </row>
    <row r="34" spans="1:22">
      <c r="A34" s="279">
        <v>2008</v>
      </c>
      <c r="B34" s="89">
        <f>UCRNumber!C35+CCNumber!C35</f>
        <v>0</v>
      </c>
      <c r="C34" s="89">
        <f>UCRNumber!D35+CCNumber!D35</f>
        <v>15.858760917030567</v>
      </c>
      <c r="D34" s="89">
        <f>UCRNumber!E35+CCNumber!E35</f>
        <v>7.3205811700199144</v>
      </c>
      <c r="E34" s="89">
        <f>UCRNumber!F35+CCNumber!F35</f>
        <v>0</v>
      </c>
      <c r="F34" s="89">
        <f>UCRNumber!G35+CCNumber!G35</f>
        <v>3974.232174502526</v>
      </c>
      <c r="G34" s="89">
        <f>UCRNumber!H35+CCNumber!H35</f>
        <v>15.858760917030567</v>
      </c>
      <c r="H34" s="89">
        <f>UCRNumber!I35+CCNumber!I35</f>
        <v>0</v>
      </c>
      <c r="I34" s="89">
        <f>UCRNumber!J35+CCNumber!J35</f>
        <v>32189.833456419547</v>
      </c>
      <c r="J34" s="89">
        <f>UCRNumber!K35+CCNumber!K35</f>
        <v>199.05914895749413</v>
      </c>
      <c r="K34" s="89">
        <f>UCRNumber!L35+CCNumber!L35</f>
        <v>0</v>
      </c>
      <c r="L34" s="89">
        <f>UCRNumber!M35+CCNumber!M35</f>
        <v>0</v>
      </c>
      <c r="M34" s="89">
        <f>UCRNumber!N35+CCNumber!N35</f>
        <v>17049.005269657362</v>
      </c>
      <c r="N34" s="89">
        <f>UCRNumber!O35+CCNumber!O35</f>
        <v>395.68310076100681</v>
      </c>
      <c r="O34" s="89">
        <f>UCRNumber!P35+CCNumber!P35</f>
        <v>0</v>
      </c>
      <c r="P34" s="89">
        <f>UCRNumber!Q35+CCNumber!Q35</f>
        <v>21.564461623527386</v>
      </c>
      <c r="Q34" s="89">
        <f>UCRNumber!R35+CCNumber!R35</f>
        <v>24.584285074459746</v>
      </c>
      <c r="R34" s="89">
        <f>UCRNumber!S35+CCNumber!S35</f>
        <v>0</v>
      </c>
      <c r="S34" s="89">
        <f>UCRNumber!T35+CCNumber!T35</f>
        <v>0</v>
      </c>
      <c r="T34" s="89">
        <f>UCRNumber!U35+CCNumber!U35</f>
        <v>0</v>
      </c>
      <c r="U34" s="89">
        <f>UCRNumber!V35+CCNumber!V35</f>
        <v>0</v>
      </c>
      <c r="V34" s="161">
        <f t="shared" si="0"/>
        <v>53893.000000000007</v>
      </c>
    </row>
    <row r="35" spans="1:22">
      <c r="A35" s="279">
        <v>2009</v>
      </c>
      <c r="B35" s="89">
        <f>UCRNumber!C36+CCNumber!C36</f>
        <v>0</v>
      </c>
      <c r="C35" s="89">
        <f>UCRNumber!D36+CCNumber!D36</f>
        <v>0</v>
      </c>
      <c r="D35" s="89">
        <f>UCRNumber!E36+CCNumber!E36</f>
        <v>192.65190142698543</v>
      </c>
      <c r="E35" s="89">
        <f>UCRNumber!F36+CCNumber!F36</f>
        <v>0</v>
      </c>
      <c r="F35" s="89">
        <f>UCRNumber!G36+CCNumber!G36</f>
        <v>4590.7362311379366</v>
      </c>
      <c r="G35" s="89">
        <f>UCRNumber!H36+CCNumber!H36</f>
        <v>52.333564565996504</v>
      </c>
      <c r="H35" s="89">
        <f>UCRNumber!I36+CCNumber!I36</f>
        <v>0</v>
      </c>
      <c r="I35" s="89">
        <f>UCRNumber!J36+CCNumber!J36</f>
        <v>27036.937247060858</v>
      </c>
      <c r="J35" s="89">
        <f>UCRNumber!K36+CCNumber!K36</f>
        <v>358.03424332749523</v>
      </c>
      <c r="K35" s="89">
        <f>UCRNumber!L36+CCNumber!L36</f>
        <v>0</v>
      </c>
      <c r="L35" s="89">
        <f>UCRNumber!M36+CCNumber!M36</f>
        <v>0</v>
      </c>
      <c r="M35" s="89">
        <f>UCRNumber!N36+CCNumber!N36</f>
        <v>9624.6385284530425</v>
      </c>
      <c r="N35" s="89">
        <f>UCRNumber!O36+CCNumber!O36</f>
        <v>352.97030579027296</v>
      </c>
      <c r="O35" s="89">
        <f>UCRNumber!P36+CCNumber!P36</f>
        <v>0</v>
      </c>
      <c r="P35" s="89">
        <f>UCRNumber!Q36+CCNumber!Q36</f>
        <v>35.687931143007823</v>
      </c>
      <c r="Q35" s="89">
        <f>UCRNumber!R36+CCNumber!R36</f>
        <v>763.01004709440826</v>
      </c>
      <c r="R35" s="89">
        <f>UCRNumber!S36+CCNumber!S36</f>
        <v>0</v>
      </c>
      <c r="S35" s="89">
        <f>UCRNumber!T36+CCNumber!T36</f>
        <v>0</v>
      </c>
      <c r="T35" s="89">
        <f>UCRNumber!U36+CCNumber!U36</f>
        <v>0</v>
      </c>
      <c r="U35" s="89">
        <f>UCRNumber!V36+CCNumber!V36</f>
        <v>0</v>
      </c>
      <c r="V35" s="161">
        <f t="shared" si="0"/>
        <v>43007.000000000007</v>
      </c>
    </row>
    <row r="36" spans="1:22">
      <c r="A36" s="279">
        <v>2010</v>
      </c>
      <c r="B36" s="89">
        <f>UCRNumber!C37+CCNumber!C37</f>
        <v>0</v>
      </c>
      <c r="C36" s="89">
        <f>UCRNumber!D37+CCNumber!D37</f>
        <v>0</v>
      </c>
      <c r="D36" s="89">
        <f>UCRNumber!E37+CCNumber!E37</f>
        <v>357.52080121494441</v>
      </c>
      <c r="E36" s="89">
        <f>UCRNumber!F37+CCNumber!F37</f>
        <v>0</v>
      </c>
      <c r="F36" s="89">
        <f>UCRNumber!G37+CCNumber!G37</f>
        <v>5400.9059432897675</v>
      </c>
      <c r="G36" s="89">
        <f>UCRNumber!H37+CCNumber!H37</f>
        <v>128.10768918285595</v>
      </c>
      <c r="H36" s="89">
        <f>UCRNumber!I37+CCNumber!I37</f>
        <v>0</v>
      </c>
      <c r="I36" s="89">
        <f>UCRNumber!J37+CCNumber!J37</f>
        <v>19724.564662776269</v>
      </c>
      <c r="J36" s="89">
        <f>UCRNumber!K37+CCNumber!K37</f>
        <v>221.57497149536761</v>
      </c>
      <c r="K36" s="89">
        <f>UCRNumber!L37+CCNumber!L37</f>
        <v>0</v>
      </c>
      <c r="L36" s="89">
        <f>UCRNumber!M37+CCNumber!M37</f>
        <v>0</v>
      </c>
      <c r="M36" s="89">
        <f>UCRNumber!N37+CCNumber!N37</f>
        <v>6759.2925226127109</v>
      </c>
      <c r="N36" s="89">
        <f>UCRNumber!O37+CCNumber!O37</f>
        <v>452.34997717026795</v>
      </c>
      <c r="O36" s="89">
        <f>UCRNumber!P37+CCNumber!P37</f>
        <v>0</v>
      </c>
      <c r="P36" s="89">
        <f>UCRNumber!Q37+CCNumber!Q37</f>
        <v>0</v>
      </c>
      <c r="Q36" s="89">
        <f>UCRNumber!R37+CCNumber!R37</f>
        <v>139.68343225782144</v>
      </c>
      <c r="R36" s="89">
        <f>UCRNumber!S37+CCNumber!S37</f>
        <v>0</v>
      </c>
      <c r="S36" s="89">
        <f>UCRNumber!T37+CCNumber!T37</f>
        <v>0</v>
      </c>
      <c r="T36" s="89">
        <f>UCRNumber!U37+CCNumber!U37</f>
        <v>0</v>
      </c>
      <c r="U36" s="89">
        <f>UCRNumber!V37+CCNumber!V37</f>
        <v>0</v>
      </c>
      <c r="V36" s="161">
        <f t="shared" si="0"/>
        <v>33184.000000000007</v>
      </c>
    </row>
    <row r="37" spans="1:22">
      <c r="A37" s="279">
        <v>2011</v>
      </c>
      <c r="B37" s="89">
        <f>UCRNumber!C38+CCNumber!C38</f>
        <v>0</v>
      </c>
      <c r="C37" s="89">
        <f>UCRNumber!D38+CCNumber!D38</f>
        <v>0</v>
      </c>
      <c r="D37" s="614">
        <f>UCRNumber!E38+CCNumber!E38</f>
        <v>0</v>
      </c>
      <c r="E37" s="614">
        <f>UCRNumber!F38+CCNumber!F38</f>
        <v>0</v>
      </c>
      <c r="F37" s="614">
        <f>UCRNumber!G38+CCNumber!G38</f>
        <v>5474.316891495072</v>
      </c>
      <c r="G37" s="89">
        <f>UCRNumber!H38+CCNumber!H38</f>
        <v>22.821047852435107</v>
      </c>
      <c r="H37" s="89">
        <f>UCRNumber!I38+CCNumber!I38</f>
        <v>0</v>
      </c>
      <c r="I37" s="89">
        <f>UCRNumber!J38+CCNumber!J38</f>
        <v>41072.77581880783</v>
      </c>
      <c r="J37" s="89">
        <f>UCRNumber!K38+CCNumber!K38</f>
        <v>130.90607242499325</v>
      </c>
      <c r="K37" s="89">
        <f>UCRNumber!L38+CCNumber!L38</f>
        <v>0</v>
      </c>
      <c r="L37" s="89">
        <f>UCRNumber!M38+CCNumber!M38</f>
        <v>0</v>
      </c>
      <c r="M37" s="89">
        <f>UCRNumber!N38+CCNumber!N38</f>
        <v>6002.9711144944513</v>
      </c>
      <c r="N37" s="89">
        <f>UCRNumber!O38+CCNumber!O38</f>
        <v>1169.1191063463928</v>
      </c>
      <c r="O37" s="89">
        <f>UCRNumber!P38+CCNumber!P38</f>
        <v>0</v>
      </c>
      <c r="P37" s="89">
        <f>UCRNumber!Q38+CCNumber!Q38</f>
        <v>0</v>
      </c>
      <c r="Q37" s="89">
        <f>UCRNumber!R38+CCNumber!R38</f>
        <v>17.089948578827844</v>
      </c>
      <c r="R37" s="89">
        <f>UCRNumber!S38+CCNumber!S38</f>
        <v>0</v>
      </c>
      <c r="S37" s="89">
        <f>UCRNumber!T38+CCNumber!T38</f>
        <v>0</v>
      </c>
      <c r="T37" s="89">
        <f>UCRNumber!U38+CCNumber!U38</f>
        <v>0</v>
      </c>
      <c r="U37" s="89">
        <f>UCRNumber!V38+CCNumber!V38</f>
        <v>0</v>
      </c>
      <c r="V37" s="161">
        <f t="shared" si="0"/>
        <v>53890</v>
      </c>
    </row>
    <row r="38" spans="1:22">
      <c r="A38" s="279">
        <v>2012</v>
      </c>
      <c r="B38" s="89">
        <f>UCRNumber!C39+CCNumber!C39</f>
        <v>0</v>
      </c>
      <c r="C38" s="89">
        <f>UCRNumber!D39+CCNumber!D39</f>
        <v>12.023296787949652</v>
      </c>
      <c r="D38" s="614">
        <f>UCRNumber!E39+CCNumber!E39</f>
        <v>2.9937970696973846</v>
      </c>
      <c r="E38" s="614">
        <f>UCRNumber!F39+CCNumber!F39</f>
        <v>0</v>
      </c>
      <c r="F38" s="614">
        <f>UCRNumber!G39+CCNumber!G39</f>
        <v>3822.0338773893727</v>
      </c>
      <c r="G38" s="89">
        <f>UCRNumber!H39+CCNumber!H39</f>
        <v>12.023296787949652</v>
      </c>
      <c r="H38" s="89">
        <f>UCRNumber!I39+CCNumber!I39</f>
        <v>0</v>
      </c>
      <c r="I38" s="89">
        <f>UCRNumber!J39+CCNumber!J39</f>
        <v>35349.079570382564</v>
      </c>
      <c r="J38" s="89">
        <f>UCRNumber!K39+CCNumber!K39</f>
        <v>68.950880068917485</v>
      </c>
      <c r="K38" s="89">
        <f>UCRNumber!L39+CCNumber!L39</f>
        <v>0</v>
      </c>
      <c r="L38" s="89">
        <f>UCRNumber!M39+CCNumber!M39</f>
        <v>0</v>
      </c>
      <c r="M38" s="89">
        <f>UCRNumber!N39+CCNumber!N39</f>
        <v>5328.7274734867533</v>
      </c>
      <c r="N38" s="89">
        <f>UCRNumber!O39+CCNumber!O39</f>
        <v>984.21491204150516</v>
      </c>
      <c r="O38" s="89">
        <f>UCRNumber!P39+CCNumber!P39</f>
        <v>0</v>
      </c>
      <c r="P38" s="89">
        <f>UCRNumber!Q39+CCNumber!Q39</f>
        <v>831.60874813937437</v>
      </c>
      <c r="Q38" s="89">
        <f>UCRNumber!R39+CCNumber!R39</f>
        <v>31.344147845916613</v>
      </c>
      <c r="R38" s="89">
        <f>UCRNumber!S39+CCNumber!S39</f>
        <v>0</v>
      </c>
      <c r="S38" s="89">
        <f>UCRNumber!T39+CCNumber!T39</f>
        <v>0</v>
      </c>
      <c r="T38" s="89">
        <f>UCRNumber!U39+CCNumber!U39</f>
        <v>0</v>
      </c>
      <c r="U38" s="89">
        <f>UCRNumber!V39+CCNumber!V39</f>
        <v>0</v>
      </c>
      <c r="V38" s="161">
        <f t="shared" si="0"/>
        <v>46443</v>
      </c>
    </row>
    <row r="39" spans="1:22">
      <c r="A39" s="279">
        <v>2013</v>
      </c>
      <c r="B39" s="89">
        <f>UCRNumber!C40+CCNumber!C40</f>
        <v>0</v>
      </c>
      <c r="C39" s="89">
        <f>UCRNumber!D40+CCNumber!D40</f>
        <v>0</v>
      </c>
      <c r="D39" s="614">
        <f>UCRNumber!E40+CCNumber!E40</f>
        <v>4456.4852882084833</v>
      </c>
      <c r="E39" s="614">
        <f>UCRNumber!F40+CCNumber!F40</f>
        <v>0</v>
      </c>
      <c r="F39" s="614">
        <f>UCRNumber!G40+CCNumber!G40</f>
        <v>5820.9729508568271</v>
      </c>
      <c r="G39" s="89">
        <f>UCRNumber!H40+CCNumber!H40</f>
        <v>25.7470054583547</v>
      </c>
      <c r="H39" s="89">
        <f>UCRNumber!I40+CCNumber!I40</f>
        <v>0</v>
      </c>
      <c r="I39" s="89">
        <f>UCRNumber!J40+CCNumber!J40</f>
        <v>26390.095675036351</v>
      </c>
      <c r="J39" s="89">
        <f>UCRNumber!K40+CCNumber!K40</f>
        <v>162.98326312609075</v>
      </c>
      <c r="K39" s="89">
        <f>UCRNumber!L40+CCNumber!L40</f>
        <v>0</v>
      </c>
      <c r="L39" s="89">
        <f>UCRNumber!M40+CCNumber!M40</f>
        <v>0</v>
      </c>
      <c r="M39" s="89">
        <f>UCRNumber!N40+CCNumber!N40</f>
        <v>4735.5815357155097</v>
      </c>
      <c r="N39" s="89">
        <f>UCRNumber!O40+CCNumber!O40</f>
        <v>1303.8897608641912</v>
      </c>
      <c r="O39" s="89">
        <f>UCRNumber!P40+CCNumber!P40</f>
        <v>0</v>
      </c>
      <c r="P39" s="89">
        <f>UCRNumber!Q40+CCNumber!Q40</f>
        <v>0</v>
      </c>
      <c r="Q39" s="89">
        <f>UCRNumber!R40+CCNumber!R40</f>
        <v>0</v>
      </c>
      <c r="R39" s="89">
        <f>UCRNumber!S40+CCNumber!S40</f>
        <v>6.2445207341944258</v>
      </c>
      <c r="S39" s="89">
        <f>UCRNumber!T40+CCNumber!T40</f>
        <v>0</v>
      </c>
      <c r="T39" s="89">
        <f>UCRNumber!U40+CCNumber!U40</f>
        <v>0</v>
      </c>
      <c r="U39" s="89">
        <f>UCRNumber!V40+CCNumber!V40</f>
        <v>0</v>
      </c>
      <c r="V39" s="161">
        <f t="shared" si="0"/>
        <v>42902.000000000007</v>
      </c>
    </row>
    <row r="40" spans="1:22">
      <c r="A40" s="279">
        <v>2014</v>
      </c>
      <c r="B40" s="89">
        <f>UCRNumber!C41+CCNumber!C41</f>
        <v>0</v>
      </c>
      <c r="C40" s="89">
        <f>UCRNumber!D41+CCNumber!D41</f>
        <v>0</v>
      </c>
      <c r="D40" s="89">
        <f>UCRNumber!E41+CCNumber!E41</f>
        <v>490.59579087974129</v>
      </c>
      <c r="E40" s="89">
        <f>UCRNumber!F41+CCNumber!F41</f>
        <v>0</v>
      </c>
      <c r="F40" s="89">
        <f>UCRNumber!G41+CCNumber!G41</f>
        <v>8845.4023463963786</v>
      </c>
      <c r="G40" s="89">
        <f>UCRNumber!H41+CCNumber!H41</f>
        <v>25.148485880967588</v>
      </c>
      <c r="H40" s="89">
        <f>UCRNumber!I41+CCNumber!I41</f>
        <v>0</v>
      </c>
      <c r="I40" s="89">
        <f>UCRNumber!J41+CCNumber!J41</f>
        <v>15966.534037066889</v>
      </c>
      <c r="J40" s="89">
        <f>UCRNumber!K41+CCNumber!K41</f>
        <v>436.58050839455848</v>
      </c>
      <c r="K40" s="89">
        <f>UCRNumber!L41+CCNumber!L41</f>
        <v>0</v>
      </c>
      <c r="L40" s="89">
        <f>UCRNumber!M41+CCNumber!M41</f>
        <v>0</v>
      </c>
      <c r="M40" s="89">
        <f>UCRNumber!N41+CCNumber!N41</f>
        <v>8847.9708801162087</v>
      </c>
      <c r="N40" s="89">
        <f>UCRNumber!O41+CCNumber!O41</f>
        <v>585.68404835473541</v>
      </c>
      <c r="O40" s="89">
        <f>UCRNumber!P41+CCNumber!P41</f>
        <v>0</v>
      </c>
      <c r="P40" s="89">
        <f>UCRNumber!Q41+CCNumber!Q41</f>
        <v>4.483364326492719</v>
      </c>
      <c r="Q40" s="89">
        <f>UCRNumber!R41+CCNumber!R41</f>
        <v>119.600538584028</v>
      </c>
      <c r="R40" s="89">
        <f>UCRNumber!S41+CCNumber!S41</f>
        <v>0</v>
      </c>
      <c r="S40" s="89">
        <f>UCRNumber!T41+CCNumber!T41</f>
        <v>0</v>
      </c>
      <c r="T40" s="89">
        <f>UCRNumber!U41+CCNumber!U41</f>
        <v>0</v>
      </c>
      <c r="U40" s="89">
        <f>UCRNumber!V41+CCNumber!V41</f>
        <v>0</v>
      </c>
      <c r="V40" s="161">
        <f t="shared" si="0"/>
        <v>35322</v>
      </c>
    </row>
    <row r="41" spans="1:22">
      <c r="A41" s="279">
        <v>2015</v>
      </c>
      <c r="B41" s="614">
        <f>UCRNumber!C42+CCNumber!C42</f>
        <v>0</v>
      </c>
      <c r="C41" s="614">
        <f>UCRNumber!D42+CCNumber!D42</f>
        <v>25.948810289404083</v>
      </c>
      <c r="D41" s="614">
        <f>UCRNumber!E42+CCNumber!E42</f>
        <v>91.429557796111311</v>
      </c>
      <c r="E41" s="614">
        <f>UCRNumber!F42+CCNumber!F42</f>
        <v>25.948810289404083</v>
      </c>
      <c r="F41" s="614">
        <f>UCRNumber!G42+CCNumber!G42</f>
        <v>6464.9506057125072</v>
      </c>
      <c r="G41" s="614">
        <f>UCRNumber!H42+CCNumber!H42</f>
        <v>8.8650737877153905</v>
      </c>
      <c r="H41" s="614">
        <f>UCRNumber!I42+CCNumber!I42</f>
        <v>0</v>
      </c>
      <c r="I41" s="614">
        <f>UCRNumber!J42+CCNumber!J42</f>
        <v>37214.22240730362</v>
      </c>
      <c r="J41" s="89">
        <f>UCRNumber!K42+CCNumber!K42</f>
        <v>142.08312168881176</v>
      </c>
      <c r="K41" s="89">
        <f>UCRNumber!L42+CCNumber!L42</f>
        <v>0</v>
      </c>
      <c r="L41" s="89">
        <f>UCRNumber!M42+CCNumber!M42</f>
        <v>0</v>
      </c>
      <c r="M41" s="89">
        <f>UCRNumber!N42+CCNumber!N42</f>
        <v>11689.021396905018</v>
      </c>
      <c r="N41" s="89">
        <f>UCRNumber!O42+CCNumber!O42</f>
        <v>196.77063835740873</v>
      </c>
      <c r="O41" s="89">
        <f>UCRNumber!P42+CCNumber!P42</f>
        <v>0</v>
      </c>
      <c r="P41" s="89">
        <f>UCRNumber!Q42+CCNumber!Q42</f>
        <v>287.25283374166622</v>
      </c>
      <c r="Q41" s="89">
        <f>UCRNumber!R42+CCNumber!R42</f>
        <v>40.506744128332237</v>
      </c>
      <c r="R41" s="89">
        <f>UCRNumber!S42+CCNumber!S42</f>
        <v>0</v>
      </c>
      <c r="S41" s="89">
        <f>UCRNumber!T42+CCNumber!T42</f>
        <v>0</v>
      </c>
      <c r="T41" s="89">
        <f>UCRNumber!U42+CCNumber!U42</f>
        <v>0</v>
      </c>
      <c r="U41" s="89">
        <f>UCRNumber!V42+CCNumber!V42</f>
        <v>0</v>
      </c>
      <c r="V41" s="817">
        <f t="shared" si="0"/>
        <v>56187</v>
      </c>
    </row>
    <row r="42" spans="1:22">
      <c r="A42" s="279">
        <v>2016</v>
      </c>
      <c r="B42" s="614">
        <f>UCRNumber!C43+CCNumber!C43</f>
        <v>0</v>
      </c>
      <c r="C42" s="614">
        <f>UCRNumber!D43+CCNumber!D43</f>
        <v>55.32267818574514</v>
      </c>
      <c r="D42" s="614">
        <f>UCRNumber!E43+CCNumber!E43</f>
        <v>94.297232324704794</v>
      </c>
      <c r="E42" s="614">
        <f>UCRNumber!F43+CCNumber!F43</f>
        <v>139.81617572625768</v>
      </c>
      <c r="F42" s="614">
        <f>UCRNumber!G43+CCNumber!G43</f>
        <v>4129.0666291567468</v>
      </c>
      <c r="G42" s="614">
        <f>UCRNumber!H43+CCNumber!H43</f>
        <v>7.7978646115690138</v>
      </c>
      <c r="H42" s="614">
        <f>UCRNumber!I43+CCNumber!I43</f>
        <v>9.6384133133201715</v>
      </c>
      <c r="I42" s="614">
        <f>UCRNumber!J43+CCNumber!J43</f>
        <v>18145.948658012669</v>
      </c>
      <c r="J42" s="89">
        <f>UCRNumber!K43+CCNumber!K43</f>
        <v>1267.5325155396354</v>
      </c>
      <c r="K42" s="89">
        <f>UCRNumber!L43+CCNumber!L43</f>
        <v>0</v>
      </c>
      <c r="L42" s="89">
        <f>UCRNumber!M43+CCNumber!M43</f>
        <v>0</v>
      </c>
      <c r="M42" s="89">
        <f>UCRNumber!N43+CCNumber!N43</f>
        <v>2622.4116843751758</v>
      </c>
      <c r="N42" s="89">
        <f>UCRNumber!O43+CCNumber!O43</f>
        <v>2664.0291952140014</v>
      </c>
      <c r="O42" s="89">
        <f>UCRNumber!P43+CCNumber!P43</f>
        <v>13.830669546436285</v>
      </c>
      <c r="P42" s="89">
        <f>UCRNumber!Q43+CCNumber!Q43</f>
        <v>108.70535808693435</v>
      </c>
      <c r="Q42" s="89">
        <f>UCRNumber!R43+CCNumber!R43</f>
        <v>29.687591133587858</v>
      </c>
      <c r="R42" s="89">
        <f>UCRNumber!S43+CCNumber!S43</f>
        <v>6.9153347732181425</v>
      </c>
      <c r="S42" s="89">
        <f>UCRNumber!T43+CCNumber!T43</f>
        <v>0</v>
      </c>
      <c r="T42" s="89">
        <f>UCRNumber!U43+CCNumber!U43</f>
        <v>0</v>
      </c>
      <c r="U42" s="89">
        <f>UCRNumber!V43+CCNumber!V43</f>
        <v>0</v>
      </c>
      <c r="V42" s="817">
        <f t="shared" si="0"/>
        <v>29295.000000000004</v>
      </c>
    </row>
    <row r="43" spans="1:22">
      <c r="A43" s="279">
        <v>2017</v>
      </c>
      <c r="B43" s="614">
        <f>UCRNumber!C44+CCNumber!C44</f>
        <v>0</v>
      </c>
      <c r="C43" s="614">
        <f>UCRNumber!D44+CCNumber!D44</f>
        <v>0</v>
      </c>
      <c r="D43" s="614">
        <f>UCRNumber!E44+CCNumber!E44</f>
        <v>56.167000000000002</v>
      </c>
      <c r="E43" s="614">
        <f>UCRNumber!F44+CCNumber!F44</f>
        <v>56.167000000000002</v>
      </c>
      <c r="F43" s="614">
        <f>UCRNumber!G44+CCNumber!G44</f>
        <v>9379.8889999999992</v>
      </c>
      <c r="G43" s="614">
        <f>UCRNumber!H44+CCNumber!H44</f>
        <v>56.167000000000002</v>
      </c>
      <c r="H43" s="614">
        <f>UCRNumber!I44+CCNumber!I44</f>
        <v>0</v>
      </c>
      <c r="I43" s="614">
        <f>UCRNumber!J44+CCNumber!J44</f>
        <v>24825.814000000002</v>
      </c>
      <c r="J43" s="89">
        <f>UCRNumber!K44+CCNumber!K44</f>
        <v>56.167000000000002</v>
      </c>
      <c r="K43" s="89">
        <f>UCRNumber!L44+CCNumber!L44</f>
        <v>0</v>
      </c>
      <c r="L43" s="89">
        <f>UCRNumber!M44+CCNumber!M44</f>
        <v>0</v>
      </c>
      <c r="M43" s="89">
        <f>UCRNumber!N44+CCNumber!N44</f>
        <v>21118.792000000001</v>
      </c>
      <c r="N43" s="89">
        <f>UCRNumber!O44+CCNumber!O44</f>
        <v>112.334</v>
      </c>
      <c r="O43" s="89">
        <f>UCRNumber!P44+CCNumber!P44</f>
        <v>0</v>
      </c>
      <c r="P43" s="89">
        <f>UCRNumber!Q44+CCNumber!Q44</f>
        <v>393.16899999999998</v>
      </c>
      <c r="Q43" s="89">
        <f>UCRNumber!R44+CCNumber!R44</f>
        <v>112.334</v>
      </c>
      <c r="R43" s="89">
        <f>UCRNumber!S44+CCNumber!S44</f>
        <v>0</v>
      </c>
      <c r="S43" s="89">
        <f>UCRNumber!T44+CCNumber!T44</f>
        <v>0</v>
      </c>
      <c r="T43" s="89">
        <f>UCRNumber!U44+CCNumber!U44</f>
        <v>0</v>
      </c>
      <c r="U43" s="89">
        <f>UCRNumber!V44+CCNumber!V44</f>
        <v>0</v>
      </c>
      <c r="V43" s="817">
        <f t="shared" ref="V43" si="1">SUM(B43:U43)</f>
        <v>56167.000000000007</v>
      </c>
    </row>
    <row r="44" spans="1:22">
      <c r="A44" s="279"/>
      <c r="B44" s="89"/>
      <c r="C44" s="89"/>
      <c r="D44" s="89"/>
      <c r="E44" s="89"/>
      <c r="F44" s="89"/>
      <c r="G44" s="89"/>
      <c r="H44" s="91"/>
      <c r="I44" s="92"/>
      <c r="J44" s="92"/>
      <c r="K44" s="92"/>
      <c r="L44" s="92"/>
      <c r="M44" s="547"/>
      <c r="N44" s="92"/>
      <c r="O44" s="92"/>
      <c r="P44" s="92"/>
      <c r="Q44" s="92"/>
      <c r="R44" s="92"/>
      <c r="S44" s="92"/>
      <c r="T44" s="92"/>
      <c r="U44" s="92"/>
      <c r="V44" s="161"/>
    </row>
    <row r="45" spans="1:22" ht="16.5" thickBot="1">
      <c r="A45" s="13"/>
      <c r="B45" s="89"/>
      <c r="C45" s="89"/>
      <c r="D45" s="89"/>
      <c r="E45" s="89"/>
      <c r="F45" s="89"/>
      <c r="G45" s="89"/>
      <c r="H45" s="91"/>
      <c r="I45" s="92"/>
      <c r="J45" s="92"/>
      <c r="K45" s="92"/>
      <c r="L45" s="92"/>
      <c r="M45" s="547"/>
      <c r="N45" s="92"/>
      <c r="O45" s="92"/>
      <c r="P45" s="92"/>
      <c r="Q45" s="92"/>
      <c r="R45" s="92"/>
      <c r="S45" s="92"/>
      <c r="T45" s="92"/>
      <c r="U45" s="92"/>
      <c r="V45" s="161"/>
    </row>
    <row r="46" spans="1:22" ht="18" customHeight="1" thickBot="1">
      <c r="A46" s="158" t="s">
        <v>313</v>
      </c>
      <c r="B46" s="1008">
        <f>AVERAGE(B38:B42)</f>
        <v>0</v>
      </c>
      <c r="C46" s="1008">
        <f t="shared" ref="C46:V46" si="2">AVERAGE(C38:C42)</f>
        <v>18.658957052619776</v>
      </c>
      <c r="D46" s="1008">
        <f t="shared" si="2"/>
        <v>1027.1603332557474</v>
      </c>
      <c r="E46" s="1008">
        <f t="shared" si="2"/>
        <v>33.152997203132358</v>
      </c>
      <c r="F46" s="1008">
        <f t="shared" si="2"/>
        <v>5816.4852819023663</v>
      </c>
      <c r="G46" s="1008">
        <f t="shared" si="2"/>
        <v>15.916345305311268</v>
      </c>
      <c r="H46" s="1008">
        <f t="shared" si="2"/>
        <v>1.9276826626640342</v>
      </c>
      <c r="I46" s="1008">
        <f t="shared" si="2"/>
        <v>26613.176069560413</v>
      </c>
      <c r="J46" s="1008">
        <f t="shared" si="2"/>
        <v>415.62605776360277</v>
      </c>
      <c r="K46" s="1008">
        <f t="shared" si="2"/>
        <v>0</v>
      </c>
      <c r="L46" s="1008">
        <f t="shared" si="2"/>
        <v>0</v>
      </c>
      <c r="M46" s="1008">
        <f t="shared" si="2"/>
        <v>6644.7425941197334</v>
      </c>
      <c r="N46" s="1008">
        <f t="shared" si="2"/>
        <v>1146.9177109663683</v>
      </c>
      <c r="O46" s="1008">
        <f t="shared" si="2"/>
        <v>2.766133909287257</v>
      </c>
      <c r="P46" s="1008">
        <f t="shared" si="2"/>
        <v>246.41006085889353</v>
      </c>
      <c r="Q46" s="1008">
        <f t="shared" si="2"/>
        <v>44.227804338372941</v>
      </c>
      <c r="R46" s="1008">
        <f t="shared" si="2"/>
        <v>2.631971101482514</v>
      </c>
      <c r="S46" s="1008">
        <f t="shared" ref="S46" si="3">AVERAGE(S38:S42)</f>
        <v>0</v>
      </c>
      <c r="T46" s="1008">
        <f t="shared" si="2"/>
        <v>0</v>
      </c>
      <c r="U46" s="1008">
        <f t="shared" si="2"/>
        <v>0</v>
      </c>
      <c r="V46" s="1008">
        <f t="shared" si="2"/>
        <v>42029.8</v>
      </c>
    </row>
    <row r="47" spans="1:22" ht="18" customHeight="1" thickBot="1">
      <c r="A47" s="154" t="s">
        <v>312</v>
      </c>
      <c r="B47" s="515">
        <f>AVERAGE(B6:B45)</f>
        <v>0.23859860932081842</v>
      </c>
      <c r="C47" s="515">
        <f t="shared" ref="C47:U47" si="4">AVERAGE(C6:C45)</f>
        <v>18.971086958481436</v>
      </c>
      <c r="D47" s="515">
        <f>AVERAGE(D6:D45)</f>
        <v>293.40563130196352</v>
      </c>
      <c r="E47" s="515">
        <f t="shared" si="4"/>
        <v>51.337818463612301</v>
      </c>
      <c r="F47" s="515">
        <f t="shared" si="4"/>
        <v>4636.4595698319463</v>
      </c>
      <c r="G47" s="515">
        <f t="shared" si="4"/>
        <v>25.313598728480365</v>
      </c>
      <c r="H47" s="515">
        <f t="shared" si="4"/>
        <v>16.190179549991601</v>
      </c>
      <c r="I47" s="515">
        <f t="shared" si="4"/>
        <v>32207.585594460143</v>
      </c>
      <c r="J47" s="515">
        <f t="shared" si="4"/>
        <v>236.72926469678706</v>
      </c>
      <c r="K47" s="515">
        <f t="shared" si="4"/>
        <v>1.1286426224422432</v>
      </c>
      <c r="L47" s="515">
        <f t="shared" si="4"/>
        <v>0.7409521698327789</v>
      </c>
      <c r="M47" s="515">
        <f t="shared" si="4"/>
        <v>18035.461344180792</v>
      </c>
      <c r="N47" s="515">
        <f t="shared" si="4"/>
        <v>1004.5131919211423</v>
      </c>
      <c r="O47" s="515">
        <f t="shared" si="4"/>
        <v>2.6383471450783111</v>
      </c>
      <c r="P47" s="515">
        <f t="shared" si="4"/>
        <v>214.99244377819088</v>
      </c>
      <c r="Q47" s="515">
        <f t="shared" si="4"/>
        <v>666.5875061414049</v>
      </c>
      <c r="R47" s="515">
        <f t="shared" si="4"/>
        <v>2.9298623168600351</v>
      </c>
      <c r="S47" s="515">
        <f t="shared" ref="S47" si="5">AVERAGE(S6:S45)</f>
        <v>3.1181126644736841</v>
      </c>
      <c r="T47" s="515">
        <f t="shared" si="4"/>
        <v>4.6146081818968794</v>
      </c>
      <c r="U47" s="515">
        <f t="shared" si="4"/>
        <v>1.532757720201773</v>
      </c>
      <c r="V47" s="159">
        <f>SUM(B47:U47)</f>
        <v>57424.489111443028</v>
      </c>
    </row>
    <row r="48" spans="1:22" ht="18" customHeight="1">
      <c r="A48" s="1161" t="s">
        <v>502</v>
      </c>
      <c r="B48" s="93">
        <f>B46/$V$46</f>
        <v>0</v>
      </c>
      <c r="C48" s="93">
        <f t="shared" ref="C48:U48" si="6">C46/$V$46</f>
        <v>4.4394589202470091E-4</v>
      </c>
      <c r="D48" s="93">
        <f t="shared" si="6"/>
        <v>2.4438858458896959E-2</v>
      </c>
      <c r="E48" s="93">
        <f t="shared" si="6"/>
        <v>7.8879740572480373E-4</v>
      </c>
      <c r="F48" s="338">
        <f t="shared" si="6"/>
        <v>0.13838955412355913</v>
      </c>
      <c r="G48" s="93">
        <f t="shared" si="6"/>
        <v>3.7869191157967124E-4</v>
      </c>
      <c r="H48" s="93">
        <f t="shared" si="6"/>
        <v>4.5864664182652168E-5</v>
      </c>
      <c r="I48" s="289">
        <f t="shared" si="6"/>
        <v>0.63319778037393493</v>
      </c>
      <c r="J48" s="93">
        <f t="shared" si="6"/>
        <v>9.8888421492275176E-3</v>
      </c>
      <c r="K48" s="93">
        <f t="shared" si="6"/>
        <v>0</v>
      </c>
      <c r="L48" s="93">
        <f t="shared" si="6"/>
        <v>0</v>
      </c>
      <c r="M48" s="548">
        <f t="shared" si="6"/>
        <v>0.15809598413791484</v>
      </c>
      <c r="N48" s="93">
        <f t="shared" si="6"/>
        <v>2.7288202917129471E-2</v>
      </c>
      <c r="O48" s="93">
        <f t="shared" si="6"/>
        <v>6.5813634832601081E-5</v>
      </c>
      <c r="P48" s="93">
        <f t="shared" si="6"/>
        <v>5.862746452728624E-3</v>
      </c>
      <c r="Q48" s="93">
        <f t="shared" si="6"/>
        <v>1.0522963311358354E-3</v>
      </c>
      <c r="R48" s="93">
        <f t="shared" si="6"/>
        <v>6.2621547128049947E-5</v>
      </c>
      <c r="S48" s="93">
        <f t="shared" si="6"/>
        <v>0</v>
      </c>
      <c r="T48" s="93">
        <f t="shared" si="6"/>
        <v>0</v>
      </c>
      <c r="U48" s="93">
        <f t="shared" si="6"/>
        <v>0</v>
      </c>
      <c r="V48" s="550">
        <f>SUM(B48:U48)</f>
        <v>0.99999999999999967</v>
      </c>
    </row>
    <row r="49" spans="1:22" ht="18" customHeight="1">
      <c r="A49" s="154" t="s">
        <v>148</v>
      </c>
      <c r="B49" s="614">
        <f>COUNT(B38:B42)</f>
        <v>5</v>
      </c>
      <c r="C49" s="614">
        <f t="shared" ref="C49:U49" si="7">COUNT(C38:C42)</f>
        <v>5</v>
      </c>
      <c r="D49" s="614">
        <f t="shared" si="7"/>
        <v>5</v>
      </c>
      <c r="E49" s="614">
        <f t="shared" si="7"/>
        <v>5</v>
      </c>
      <c r="F49" s="614">
        <f t="shared" si="7"/>
        <v>5</v>
      </c>
      <c r="G49" s="614">
        <f t="shared" si="7"/>
        <v>5</v>
      </c>
      <c r="H49" s="614">
        <f t="shared" si="7"/>
        <v>5</v>
      </c>
      <c r="I49" s="614">
        <f t="shared" si="7"/>
        <v>5</v>
      </c>
      <c r="J49" s="614">
        <f t="shared" si="7"/>
        <v>5</v>
      </c>
      <c r="K49" s="614">
        <f t="shared" si="7"/>
        <v>5</v>
      </c>
      <c r="L49" s="614">
        <f t="shared" si="7"/>
        <v>5</v>
      </c>
      <c r="M49" s="614">
        <f t="shared" si="7"/>
        <v>5</v>
      </c>
      <c r="N49" s="614">
        <f t="shared" si="7"/>
        <v>5</v>
      </c>
      <c r="O49" s="614">
        <f t="shared" si="7"/>
        <v>5</v>
      </c>
      <c r="P49" s="614">
        <f t="shared" si="7"/>
        <v>5</v>
      </c>
      <c r="Q49" s="614">
        <f t="shared" si="7"/>
        <v>5</v>
      </c>
      <c r="R49" s="614">
        <f t="shared" si="7"/>
        <v>5</v>
      </c>
      <c r="S49" s="614">
        <f t="shared" si="7"/>
        <v>5</v>
      </c>
      <c r="T49" s="614">
        <f t="shared" si="7"/>
        <v>5</v>
      </c>
      <c r="U49" s="614">
        <f t="shared" si="7"/>
        <v>5</v>
      </c>
      <c r="V49" s="160"/>
    </row>
    <row r="50" spans="1:22" ht="18" customHeight="1">
      <c r="A50" s="154" t="s">
        <v>149</v>
      </c>
      <c r="B50" s="817">
        <f>STDEVP(B38:B42)</f>
        <v>0</v>
      </c>
      <c r="C50" s="817">
        <f t="shared" ref="C50:U50" si="8">STDEVP(C38:C42)</f>
        <v>20.677116584633257</v>
      </c>
      <c r="D50" s="817">
        <f t="shared" si="8"/>
        <v>1722.957567548375</v>
      </c>
      <c r="E50" s="817">
        <f t="shared" si="8"/>
        <v>54.270245314346504</v>
      </c>
      <c r="F50" s="817">
        <f t="shared" si="8"/>
        <v>1812.1856479697424</v>
      </c>
      <c r="G50" s="817">
        <f>STDEVP(G38:G42)</f>
        <v>7.9077213431098095</v>
      </c>
      <c r="H50" s="817">
        <f t="shared" si="8"/>
        <v>3.8553653253280684</v>
      </c>
      <c r="I50" s="817">
        <f t="shared" si="8"/>
        <v>8646.30423822804</v>
      </c>
      <c r="J50" s="817">
        <f t="shared" si="8"/>
        <v>443.85166445335392</v>
      </c>
      <c r="K50" s="817">
        <f t="shared" si="8"/>
        <v>0</v>
      </c>
      <c r="L50" s="817">
        <f t="shared" si="8"/>
        <v>0</v>
      </c>
      <c r="M50" s="817">
        <f t="shared" si="8"/>
        <v>3220.4006338526319</v>
      </c>
      <c r="N50" s="817">
        <f t="shared" si="8"/>
        <v>845.04465734054656</v>
      </c>
      <c r="O50" s="817">
        <f t="shared" si="8"/>
        <v>5.532267818574514</v>
      </c>
      <c r="P50" s="817">
        <f t="shared" si="8"/>
        <v>310.59126370348196</v>
      </c>
      <c r="Q50" s="817">
        <f t="shared" si="8"/>
        <v>40.070938192167432</v>
      </c>
      <c r="R50" s="817">
        <f t="shared" si="8"/>
        <v>3.2304654410864302</v>
      </c>
      <c r="S50" s="817">
        <f t="shared" si="8"/>
        <v>0</v>
      </c>
      <c r="T50" s="817">
        <f t="shared" si="8"/>
        <v>0</v>
      </c>
      <c r="U50" s="817">
        <f t="shared" si="8"/>
        <v>0</v>
      </c>
      <c r="V50" s="160"/>
    </row>
    <row r="51" spans="1:22" ht="18" customHeight="1">
      <c r="A51" s="154" t="s">
        <v>150</v>
      </c>
      <c r="B51" s="1009">
        <f>TINV(0.2,B49-1)</f>
        <v>1.5332062740589443</v>
      </c>
      <c r="C51" s="1009">
        <f t="shared" ref="C51:U51" si="9">TINV(0.2,C49-1)</f>
        <v>1.5332062740589443</v>
      </c>
      <c r="D51" s="1009">
        <f t="shared" si="9"/>
        <v>1.5332062740589443</v>
      </c>
      <c r="E51" s="1009">
        <f t="shared" si="9"/>
        <v>1.5332062740589443</v>
      </c>
      <c r="F51" s="1009">
        <f t="shared" si="9"/>
        <v>1.5332062740589443</v>
      </c>
      <c r="G51" s="1009">
        <f t="shared" si="9"/>
        <v>1.5332062740589443</v>
      </c>
      <c r="H51" s="1009">
        <f t="shared" si="9"/>
        <v>1.5332062740589443</v>
      </c>
      <c r="I51" s="1009">
        <f t="shared" si="9"/>
        <v>1.5332062740589443</v>
      </c>
      <c r="J51" s="1009">
        <f t="shared" si="9"/>
        <v>1.5332062740589443</v>
      </c>
      <c r="K51" s="1009">
        <f t="shared" si="9"/>
        <v>1.5332062740589443</v>
      </c>
      <c r="L51" s="1009">
        <f t="shared" si="9"/>
        <v>1.5332062740589443</v>
      </c>
      <c r="M51" s="1010">
        <f t="shared" si="9"/>
        <v>1.5332062740589443</v>
      </c>
      <c r="N51" s="1009">
        <f t="shared" si="9"/>
        <v>1.5332062740589443</v>
      </c>
      <c r="O51" s="1009">
        <f t="shared" si="9"/>
        <v>1.5332062740589443</v>
      </c>
      <c r="P51" s="1009">
        <f t="shared" si="9"/>
        <v>1.5332062740589443</v>
      </c>
      <c r="Q51" s="1009">
        <f t="shared" si="9"/>
        <v>1.5332062740589443</v>
      </c>
      <c r="R51" s="1009">
        <f t="shared" si="9"/>
        <v>1.5332062740589443</v>
      </c>
      <c r="S51" s="1009">
        <f t="shared" si="9"/>
        <v>1.5332062740589443</v>
      </c>
      <c r="T51" s="1009">
        <f t="shared" si="9"/>
        <v>1.5332062740589443</v>
      </c>
      <c r="U51" s="1009">
        <f t="shared" si="9"/>
        <v>1.5332062740589443</v>
      </c>
      <c r="V51" s="160"/>
    </row>
    <row r="52" spans="1:22" ht="18" customHeight="1" thickBot="1">
      <c r="A52" s="162"/>
      <c r="B52" s="163"/>
      <c r="C52" s="163"/>
      <c r="D52" s="163"/>
      <c r="E52" s="163"/>
      <c r="F52" s="163"/>
      <c r="G52" s="163"/>
      <c r="H52" s="163"/>
      <c r="I52" s="163"/>
      <c r="J52" s="163"/>
      <c r="K52" s="163"/>
      <c r="L52" s="163"/>
      <c r="M52" s="549"/>
      <c r="N52" s="163"/>
      <c r="O52" s="163"/>
      <c r="P52" s="163"/>
      <c r="Q52" s="163"/>
      <c r="R52" s="163"/>
      <c r="S52" s="163"/>
      <c r="T52" s="163"/>
      <c r="U52" s="163"/>
      <c r="V52" s="164"/>
    </row>
    <row r="53" spans="1:22" ht="18" customHeight="1">
      <c r="B53" s="90"/>
      <c r="C53" s="90"/>
      <c r="D53" s="90"/>
      <c r="E53" s="90"/>
      <c r="F53" s="90"/>
      <c r="G53" s="90"/>
      <c r="H53" s="90"/>
      <c r="I53" s="90"/>
      <c r="J53" s="90"/>
      <c r="K53" s="90"/>
      <c r="L53" s="90"/>
      <c r="M53" s="90"/>
      <c r="N53" s="90"/>
      <c r="O53" s="90"/>
      <c r="P53" s="90"/>
      <c r="Q53" s="90"/>
      <c r="R53" s="90"/>
      <c r="S53" s="90"/>
      <c r="T53" s="90"/>
      <c r="U53" s="90"/>
      <c r="V53" s="6"/>
    </row>
    <row r="54" spans="1:22" ht="18" customHeight="1">
      <c r="A54" s="6"/>
      <c r="B54" s="90"/>
      <c r="C54" s="90"/>
      <c r="D54" s="90"/>
      <c r="E54" s="90"/>
      <c r="F54" s="90"/>
      <c r="G54" s="90"/>
      <c r="H54" s="90"/>
      <c r="I54" s="90">
        <f>SUM(I14:I43)/SUM(V14:V43)</f>
        <v>0.5806137082495757</v>
      </c>
      <c r="J54" s="90"/>
      <c r="K54" s="90"/>
      <c r="L54" s="90"/>
      <c r="M54" s="90"/>
      <c r="N54" s="90"/>
      <c r="O54" s="90"/>
      <c r="P54" s="90"/>
      <c r="Q54" s="90"/>
      <c r="R54" s="90"/>
      <c r="S54" s="90"/>
      <c r="T54" s="90"/>
      <c r="U54" s="90"/>
      <c r="V54" s="6"/>
    </row>
    <row r="55" spans="1:22" ht="18" customHeight="1">
      <c r="A55" s="6"/>
      <c r="B55" s="90"/>
      <c r="C55" s="90"/>
      <c r="D55" s="90"/>
      <c r="E55" s="90"/>
      <c r="F55" s="90"/>
      <c r="G55" s="90"/>
      <c r="H55" s="90"/>
      <c r="I55" s="90"/>
      <c r="J55" s="90"/>
      <c r="K55" s="90"/>
      <c r="L55" s="90"/>
      <c r="M55" s="90"/>
      <c r="N55" s="90"/>
      <c r="O55" s="90"/>
      <c r="P55" s="90"/>
      <c r="Q55" s="90"/>
      <c r="R55" s="90"/>
      <c r="S55" s="90"/>
      <c r="T55" s="90"/>
      <c r="U55" s="90"/>
      <c r="V55" s="6"/>
    </row>
    <row r="56" spans="1:22" ht="18" customHeight="1">
      <c r="A56" s="6"/>
      <c r="B56" s="1160"/>
      <c r="C56" s="90"/>
      <c r="D56" s="90"/>
      <c r="E56" s="90"/>
      <c r="F56" s="90"/>
      <c r="G56" s="90"/>
      <c r="H56" s="90"/>
      <c r="I56" s="90"/>
      <c r="J56" s="90"/>
      <c r="K56" s="90"/>
      <c r="L56" s="90"/>
      <c r="M56" s="90"/>
      <c r="N56" s="90"/>
      <c r="O56" s="90"/>
      <c r="P56" s="90"/>
      <c r="Q56" s="90"/>
      <c r="R56" s="90"/>
      <c r="S56" s="90"/>
      <c r="T56" s="90"/>
      <c r="U56" s="90"/>
      <c r="V56" s="6"/>
    </row>
    <row r="57" spans="1:22" ht="18" customHeight="1">
      <c r="A57" s="6"/>
      <c r="B57" s="90"/>
      <c r="C57" s="90"/>
      <c r="D57" s="90"/>
      <c r="E57" s="90"/>
      <c r="F57" s="90"/>
      <c r="G57" s="90"/>
      <c r="H57" s="90"/>
      <c r="I57" s="90"/>
      <c r="J57" s="90"/>
      <c r="K57" s="90"/>
      <c r="L57" s="90"/>
      <c r="M57" s="90"/>
      <c r="N57" s="90"/>
      <c r="O57" s="90"/>
      <c r="P57" s="90"/>
      <c r="Q57" s="90"/>
      <c r="R57" s="90"/>
      <c r="S57" s="90"/>
      <c r="T57" s="90"/>
      <c r="U57" s="90"/>
      <c r="V57" s="6"/>
    </row>
    <row r="58" spans="1:22" ht="18" customHeight="1">
      <c r="A58" s="6"/>
      <c r="B58" s="33"/>
      <c r="C58" s="33"/>
      <c r="D58" s="33"/>
      <c r="E58" s="33"/>
      <c r="F58" s="33"/>
      <c r="G58" s="33"/>
      <c r="H58" s="33"/>
      <c r="I58" s="33"/>
      <c r="J58" s="33"/>
      <c r="K58" s="33"/>
      <c r="L58" s="33"/>
      <c r="M58" s="33"/>
      <c r="N58" s="33"/>
      <c r="O58" s="33"/>
      <c r="P58" s="33"/>
      <c r="Q58" s="33"/>
      <c r="R58" s="33"/>
      <c r="S58" s="33"/>
      <c r="T58" s="33"/>
      <c r="U58" s="33"/>
      <c r="V58" s="6"/>
    </row>
    <row r="106" spans="12:22">
      <c r="L106" s="4"/>
      <c r="M106" s="4"/>
      <c r="N106" s="4"/>
      <c r="O106" s="4"/>
      <c r="P106" s="4"/>
      <c r="Q106" s="4"/>
      <c r="R106" s="4"/>
      <c r="S106" s="4"/>
      <c r="T106" s="4"/>
      <c r="U106" s="4"/>
      <c r="V106" s="4"/>
    </row>
    <row r="107" spans="12:22">
      <c r="L107" s="4"/>
      <c r="M107" s="4"/>
      <c r="N107" s="4"/>
      <c r="O107" s="4"/>
      <c r="P107" s="4"/>
      <c r="Q107" s="4"/>
      <c r="R107" s="4"/>
      <c r="S107" s="4"/>
      <c r="T107" s="4"/>
      <c r="U107" s="4"/>
      <c r="V107" s="4"/>
    </row>
    <row r="108" spans="12:22">
      <c r="L108" s="4"/>
      <c r="M108" s="4"/>
      <c r="N108" s="4"/>
      <c r="O108" s="4"/>
      <c r="P108" s="4"/>
      <c r="Q108" s="4"/>
      <c r="R108" s="4"/>
      <c r="S108" s="4"/>
      <c r="T108" s="4"/>
      <c r="U108" s="4"/>
      <c r="V108" s="4"/>
    </row>
  </sheetData>
  <mergeCells count="2">
    <mergeCell ref="P4:R4"/>
    <mergeCell ref="S4:U4"/>
  </mergeCells>
  <conditionalFormatting sqref="F6:F43">
    <cfRule type="top10" dxfId="5" priority="4" rank="10"/>
  </conditionalFormatting>
  <conditionalFormatting sqref="I6:I43">
    <cfRule type="top10" dxfId="4" priority="3" rank="10"/>
  </conditionalFormatting>
  <conditionalFormatting sqref="V6:V43">
    <cfRule type="top10" dxfId="3" priority="1" rank="10"/>
  </conditionalFormatting>
  <pageMargins left="0.75" right="0.75" top="1" bottom="1" header="0.5" footer="0.5"/>
  <pageSetup scale="72"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F111"/>
  <sheetViews>
    <sheetView topLeftCell="A10" workbookViewId="0">
      <selection activeCell="H17" sqref="H17"/>
    </sheetView>
  </sheetViews>
  <sheetFormatPr defaultRowHeight="15.75"/>
  <cols>
    <col min="1" max="1" width="7.25" customWidth="1"/>
    <col min="2" max="2" width="6.125" customWidth="1"/>
    <col min="3" max="3" width="12.25" customWidth="1"/>
    <col min="4" max="4" width="1.625" customWidth="1"/>
    <col min="5" max="5" width="10.625" customWidth="1"/>
    <col min="8" max="8" width="11.75" customWidth="1"/>
    <col min="9" max="9" width="11.625" customWidth="1"/>
    <col min="10" max="10" width="9.25" customWidth="1"/>
    <col min="12" max="12" width="17.25" customWidth="1"/>
    <col min="13" max="15" width="1.625" customWidth="1"/>
    <col min="16" max="16" width="21.25" customWidth="1"/>
    <col min="17" max="17" width="12.125" customWidth="1"/>
    <col min="18" max="18" width="13.125" customWidth="1"/>
    <col min="19" max="19" width="11" customWidth="1"/>
    <col min="20" max="20" width="16.625" customWidth="1"/>
    <col min="26" max="26" width="13.125" customWidth="1"/>
    <col min="27" max="27" width="13.5" customWidth="1"/>
    <col min="28" max="28" width="12.25" customWidth="1"/>
  </cols>
  <sheetData>
    <row r="1" spans="1:28">
      <c r="A1" s="255" t="str">
        <f ca="1">CELL("filename",A1)</f>
        <v>C:\Projects\Shiny App\Aging Error\[Copprt Chinook brood.xlsx]Ricker</v>
      </c>
    </row>
    <row r="3" spans="1:28">
      <c r="A3" s="239" t="s">
        <v>216</v>
      </c>
    </row>
    <row r="4" spans="1:28">
      <c r="A4" s="820" t="s">
        <v>377</v>
      </c>
      <c r="B4" s="2"/>
      <c r="C4" s="2"/>
      <c r="D4" s="2"/>
      <c r="E4" s="2"/>
      <c r="F4" s="2"/>
      <c r="Z4" s="2"/>
    </row>
    <row r="5" spans="1:28" ht="18.75">
      <c r="A5" s="219" t="s">
        <v>184</v>
      </c>
      <c r="B5" s="219" t="s">
        <v>185</v>
      </c>
      <c r="C5" s="219"/>
      <c r="D5" s="219"/>
      <c r="E5" s="219" t="s">
        <v>0</v>
      </c>
      <c r="F5" s="94"/>
      <c r="G5" s="220"/>
      <c r="H5" s="221" t="s">
        <v>82</v>
      </c>
      <c r="I5" s="221" t="s">
        <v>186</v>
      </c>
      <c r="J5" s="221" t="s">
        <v>82</v>
      </c>
      <c r="K5" s="221" t="s">
        <v>26</v>
      </c>
      <c r="L5" s="221" t="s">
        <v>187</v>
      </c>
      <c r="P5" s="241" t="s">
        <v>207</v>
      </c>
      <c r="Z5" s="219"/>
      <c r="AA5" s="221" t="s">
        <v>186</v>
      </c>
      <c r="AB5" s="221" t="s">
        <v>82</v>
      </c>
    </row>
    <row r="6" spans="1:28">
      <c r="A6" s="222" t="s">
        <v>12</v>
      </c>
      <c r="B6" s="222" t="s">
        <v>188</v>
      </c>
      <c r="C6" s="819" t="s">
        <v>175</v>
      </c>
      <c r="D6" s="222"/>
      <c r="E6" s="222" t="s">
        <v>28</v>
      </c>
      <c r="F6" s="222" t="s">
        <v>189</v>
      </c>
      <c r="G6" s="819" t="s">
        <v>190</v>
      </c>
      <c r="H6" s="222" t="s">
        <v>190</v>
      </c>
      <c r="I6" s="222" t="s">
        <v>28</v>
      </c>
      <c r="J6" s="222" t="s">
        <v>191</v>
      </c>
      <c r="K6" s="222" t="s">
        <v>191</v>
      </c>
      <c r="L6" s="222" t="s">
        <v>192</v>
      </c>
      <c r="Z6" s="222" t="s">
        <v>175</v>
      </c>
      <c r="AA6" s="222" t="s">
        <v>28</v>
      </c>
      <c r="AB6" s="222" t="s">
        <v>191</v>
      </c>
    </row>
    <row r="7" spans="1:28">
      <c r="A7" s="119"/>
      <c r="B7" s="119"/>
      <c r="C7" s="224">
        <v>0</v>
      </c>
      <c r="D7" s="119"/>
      <c r="E7" s="119"/>
      <c r="F7" s="119"/>
      <c r="G7" s="119"/>
      <c r="H7" s="119"/>
      <c r="I7" s="236">
        <f t="shared" ref="I7:I45" si="0">$C7*EXP(a_parameter_even*(1-$C7/b_parameter_even))</f>
        <v>0</v>
      </c>
      <c r="J7" s="119"/>
      <c r="K7" s="119"/>
      <c r="L7" s="119"/>
      <c r="Z7" s="209">
        <v>0</v>
      </c>
      <c r="AA7" s="156">
        <f t="shared" ref="AA7:AA38" si="1">$Z7*EXP(a_parameter_even*(1-$Z7/b_parameter_even))</f>
        <v>0</v>
      </c>
      <c r="AB7" s="33">
        <f>AA7-Z7</f>
        <v>0</v>
      </c>
    </row>
    <row r="8" spans="1:28">
      <c r="A8" s="119"/>
      <c r="B8" s="119"/>
      <c r="C8" s="224">
        <v>1000</v>
      </c>
      <c r="D8" s="119"/>
      <c r="E8" s="119"/>
      <c r="F8" s="119"/>
      <c r="G8" s="119"/>
      <c r="H8" s="119"/>
      <c r="I8" s="156">
        <f t="shared" si="0"/>
        <v>7415.042646003767</v>
      </c>
      <c r="J8" s="238">
        <f t="shared" ref="J8:J32" si="2">I8-C8</f>
        <v>6415.042646003767</v>
      </c>
      <c r="K8" s="119"/>
      <c r="L8" s="119"/>
      <c r="Z8" s="209">
        <v>100</v>
      </c>
      <c r="AA8" s="156">
        <f t="shared" si="1"/>
        <v>773.57945120906777</v>
      </c>
      <c r="AB8" s="33">
        <f>AA8-Z8</f>
        <v>673.57945120906777</v>
      </c>
    </row>
    <row r="9" spans="1:28">
      <c r="A9" s="119"/>
      <c r="B9" s="119"/>
      <c r="C9" s="224">
        <v>1500</v>
      </c>
      <c r="D9" s="119"/>
      <c r="E9" s="119"/>
      <c r="F9" s="119"/>
      <c r="G9" s="119"/>
      <c r="H9" s="119"/>
      <c r="I9" s="156">
        <f t="shared" si="0"/>
        <v>10863.944516296689</v>
      </c>
      <c r="J9" s="238">
        <f t="shared" si="2"/>
        <v>9363.9445162966895</v>
      </c>
      <c r="K9" s="119"/>
      <c r="L9" s="119"/>
      <c r="Z9" s="209">
        <v>250</v>
      </c>
      <c r="AA9" s="156">
        <f t="shared" si="1"/>
        <v>1920.3470458114878</v>
      </c>
      <c r="AB9" s="33">
        <f>AA9-Z9</f>
        <v>1670.3470458114878</v>
      </c>
    </row>
    <row r="10" spans="1:28" ht="16.5" thickBot="1">
      <c r="A10" s="119"/>
      <c r="B10" s="119"/>
      <c r="C10" s="224">
        <v>2500</v>
      </c>
      <c r="D10" s="119"/>
      <c r="E10" s="119"/>
      <c r="F10" s="119"/>
      <c r="G10" s="119"/>
      <c r="H10" s="119"/>
      <c r="I10" s="156">
        <f t="shared" si="0"/>
        <v>17274.343133751659</v>
      </c>
      <c r="J10" s="238">
        <f t="shared" si="2"/>
        <v>14774.343133751659</v>
      </c>
      <c r="K10" s="119"/>
      <c r="L10" s="119"/>
      <c r="Z10" s="240">
        <v>500</v>
      </c>
      <c r="AA10" s="156">
        <f t="shared" si="1"/>
        <v>3795.7799784122853</v>
      </c>
      <c r="AB10" s="33">
        <f>AA10-Z10</f>
        <v>3295.7799784122853</v>
      </c>
    </row>
    <row r="11" spans="1:28">
      <c r="A11" s="119">
        <v>1980</v>
      </c>
      <c r="B11" s="223" t="str">
        <f t="shared" ref="B11:B41" si="3">RIGHT(A11,2)</f>
        <v>80</v>
      </c>
      <c r="C11" s="1208">
        <f>Escapements!M9</f>
        <v>29548.748314976161</v>
      </c>
      <c r="D11" s="119"/>
      <c r="E11" s="226">
        <f>Brood_Tab!W11</f>
        <v>31569.090722734436</v>
      </c>
      <c r="F11" s="227">
        <f>E11/C11</f>
        <v>1.0683731976130544</v>
      </c>
      <c r="G11" s="227">
        <f t="shared" ref="G11:G37" si="4">LN(F11)</f>
        <v>6.6137115466753826E-2</v>
      </c>
      <c r="H11" s="237">
        <f t="shared" ref="H11:H45" si="5">a_parameter_even-(minus_a_over_b_even)*$C11</f>
        <v>3.4409131186664075</v>
      </c>
      <c r="I11" s="156">
        <f t="shared" si="0"/>
        <v>57182.917295174018</v>
      </c>
      <c r="J11" s="238">
        <f t="shared" si="2"/>
        <v>27634.168980197857</v>
      </c>
      <c r="P11" s="228" t="s">
        <v>193</v>
      </c>
      <c r="Q11" s="231">
        <f>Q38</f>
        <v>2.0505634695071273</v>
      </c>
      <c r="Z11" s="240">
        <v>1000</v>
      </c>
      <c r="AA11" s="156">
        <f t="shared" si="1"/>
        <v>7415.042646003767</v>
      </c>
      <c r="AB11" s="33">
        <f t="shared" ref="AB11:AB74" si="6">AA11-Z11</f>
        <v>6415.042646003767</v>
      </c>
    </row>
    <row r="12" spans="1:28">
      <c r="A12" s="1">
        <v>1981</v>
      </c>
      <c r="B12" s="223" t="str">
        <f t="shared" si="3"/>
        <v>81</v>
      </c>
      <c r="C12" s="1209">
        <f>Escapements!M10</f>
        <v>15655.078590640129</v>
      </c>
      <c r="E12" s="226">
        <f>Brood_Tab!W12</f>
        <v>54703.554232678274</v>
      </c>
      <c r="F12" s="227">
        <f t="shared" ref="F12:F32" si="7">E12/C12</f>
        <v>3.4943008376453939</v>
      </c>
      <c r="G12" s="227">
        <f t="shared" si="4"/>
        <v>1.2511333092204207</v>
      </c>
      <c r="H12" s="237">
        <f t="shared" si="5"/>
        <v>2.7871778531027198</v>
      </c>
      <c r="I12" s="156">
        <f t="shared" si="0"/>
        <v>58250.021458939882</v>
      </c>
      <c r="J12" s="238">
        <f t="shared" si="2"/>
        <v>42594.942868299753</v>
      </c>
      <c r="P12" s="229" t="s">
        <v>194</v>
      </c>
      <c r="Q12" s="232">
        <f>Q39</f>
        <v>-4.7052742618360282E-5</v>
      </c>
      <c r="Z12" s="240">
        <v>1500</v>
      </c>
      <c r="AA12" s="156">
        <f t="shared" si="1"/>
        <v>10863.944516296689</v>
      </c>
      <c r="AB12" s="33">
        <f t="shared" si="6"/>
        <v>9363.9445162966895</v>
      </c>
    </row>
    <row r="13" spans="1:28">
      <c r="A13" s="119">
        <v>1982</v>
      </c>
      <c r="B13" s="223" t="str">
        <f t="shared" si="3"/>
        <v>82</v>
      </c>
      <c r="C13" s="1209">
        <f>Escapements!M11</f>
        <v>8471.6211261023891</v>
      </c>
      <c r="E13" s="226">
        <f>Brood_Tab!W13</f>
        <v>34799.143939023423</v>
      </c>
      <c r="F13" s="227">
        <f t="shared" si="7"/>
        <v>4.107731379983675</v>
      </c>
      <c r="G13" s="227">
        <f t="shared" si="4"/>
        <v>1.4128709004404183</v>
      </c>
      <c r="H13" s="237">
        <f t="shared" si="5"/>
        <v>2.4491764779138867</v>
      </c>
      <c r="I13" s="156">
        <f t="shared" si="0"/>
        <v>44197.682150931723</v>
      </c>
      <c r="J13" s="238">
        <f t="shared" si="2"/>
        <v>35726.061024829338</v>
      </c>
      <c r="P13" s="229" t="s">
        <v>195</v>
      </c>
      <c r="Q13" s="233">
        <f>a_parameter_even/-minus_a_over_b_even</f>
        <v>43580.105120312037</v>
      </c>
      <c r="Z13" s="275">
        <v>2000</v>
      </c>
      <c r="AA13" s="276">
        <f t="shared" si="1"/>
        <v>14148.451236251452</v>
      </c>
      <c r="AB13" s="277">
        <f t="shared" si="6"/>
        <v>12148.451236251452</v>
      </c>
    </row>
    <row r="14" spans="1:28">
      <c r="A14" s="1">
        <v>1983</v>
      </c>
      <c r="B14" s="223" t="str">
        <f t="shared" si="3"/>
        <v>83</v>
      </c>
      <c r="C14" s="1209">
        <f>Escapements!M12</f>
        <v>21185.206639779477</v>
      </c>
      <c r="E14" s="226">
        <f>Brood_Tab!W14</f>
        <v>30861.744712144631</v>
      </c>
      <c r="F14" s="227">
        <f t="shared" si="7"/>
        <v>1.4567592016872524</v>
      </c>
      <c r="G14" s="227">
        <f t="shared" si="4"/>
        <v>0.37621424360750672</v>
      </c>
      <c r="H14" s="237">
        <f t="shared" si="5"/>
        <v>3.0473855448454481</v>
      </c>
      <c r="I14" s="156">
        <f t="shared" si="0"/>
        <v>60766.857428367002</v>
      </c>
      <c r="J14" s="238">
        <f t="shared" si="2"/>
        <v>39581.650788587525</v>
      </c>
      <c r="P14" s="229" t="s">
        <v>196</v>
      </c>
      <c r="Q14" s="1217">
        <f>Q11+($R$67/2)</f>
        <v>2.3155562945550736</v>
      </c>
      <c r="Z14" s="275">
        <v>2500</v>
      </c>
      <c r="AA14" s="276">
        <f t="shared" si="1"/>
        <v>17274.343133751659</v>
      </c>
      <c r="AB14" s="277">
        <f t="shared" si="6"/>
        <v>14774.343133751659</v>
      </c>
    </row>
    <row r="15" spans="1:28">
      <c r="A15" s="119">
        <v>1984</v>
      </c>
      <c r="B15" s="223" t="str">
        <f t="shared" si="3"/>
        <v>84</v>
      </c>
      <c r="C15" s="1209">
        <f>Escapements!M13</f>
        <v>13239.593658838436</v>
      </c>
      <c r="E15" s="226">
        <f>Brood_Tab!W15</f>
        <v>21850.475802032008</v>
      </c>
      <c r="F15" s="227">
        <f t="shared" si="7"/>
        <v>1.6503887026355339</v>
      </c>
      <c r="G15" s="227">
        <f t="shared" si="4"/>
        <v>0.50101083752337039</v>
      </c>
      <c r="H15" s="237">
        <f t="shared" si="5"/>
        <v>2.6735226623081272</v>
      </c>
      <c r="I15" s="156">
        <f t="shared" si="0"/>
        <v>55191.896298753818</v>
      </c>
      <c r="J15" s="238">
        <f t="shared" si="2"/>
        <v>41952.302639915382</v>
      </c>
      <c r="P15" s="229" t="s">
        <v>197</v>
      </c>
      <c r="Q15" s="1218">
        <f>(Q14/Q11)*Q13</f>
        <v>49211.93039343744</v>
      </c>
      <c r="Z15" s="275">
        <v>3000</v>
      </c>
      <c r="AA15" s="276">
        <f t="shared" si="1"/>
        <v>20247.220610302429</v>
      </c>
      <c r="AB15" s="277">
        <f t="shared" si="6"/>
        <v>17247.220610302429</v>
      </c>
    </row>
    <row r="16" spans="1:28">
      <c r="A16" s="1">
        <v>1985</v>
      </c>
      <c r="B16" s="223" t="str">
        <f t="shared" si="3"/>
        <v>85</v>
      </c>
      <c r="C16" s="1209">
        <f>Escapements!M14</f>
        <v>10901.138127312399</v>
      </c>
      <c r="E16" s="226">
        <f>Brood_Tab!W16</f>
        <v>21687.643160790587</v>
      </c>
      <c r="F16" s="227">
        <f t="shared" si="7"/>
        <v>1.9894843004009828</v>
      </c>
      <c r="G16" s="227">
        <f t="shared" si="4"/>
        <v>0.68787545962525232</v>
      </c>
      <c r="H16" s="237">
        <f t="shared" si="5"/>
        <v>2.5634919160587515</v>
      </c>
      <c r="I16" s="156">
        <f t="shared" si="0"/>
        <v>50729.227413899018</v>
      </c>
      <c r="J16" s="238">
        <f t="shared" si="2"/>
        <v>39828.089286586619</v>
      </c>
      <c r="P16" s="229" t="s">
        <v>198</v>
      </c>
      <c r="Q16" s="234">
        <f>b_parameter_even*(0.5-(0.07*a_parameter_even))</f>
        <v>15534.588551166553</v>
      </c>
      <c r="Z16" s="275">
        <v>3500</v>
      </c>
      <c r="AA16" s="276">
        <f t="shared" si="1"/>
        <v>23072.509383140965</v>
      </c>
      <c r="AB16" s="277">
        <f t="shared" si="6"/>
        <v>19572.509383140965</v>
      </c>
    </row>
    <row r="17" spans="1:30" ht="16.5" thickBot="1">
      <c r="A17" s="119">
        <v>1986</v>
      </c>
      <c r="B17" s="223" t="str">
        <f t="shared" si="3"/>
        <v>86</v>
      </c>
      <c r="C17" s="1209">
        <f>Escapements!M15</f>
        <v>13821.065847773632</v>
      </c>
      <c r="E17" s="226">
        <f>Brood_Tab!W17</f>
        <v>67617.186023071525</v>
      </c>
      <c r="F17" s="227">
        <f t="shared" si="7"/>
        <v>4.892327897704333</v>
      </c>
      <c r="G17" s="227">
        <f t="shared" si="4"/>
        <v>1.5876682429099156</v>
      </c>
      <c r="H17" s="237">
        <f t="shared" si="5"/>
        <v>2.7008825235538296</v>
      </c>
      <c r="I17" s="156">
        <f t="shared" si="0"/>
        <v>56060.886240600135</v>
      </c>
      <c r="J17" s="238">
        <f t="shared" si="2"/>
        <v>42239.820392826499</v>
      </c>
      <c r="P17" s="230" t="s">
        <v>199</v>
      </c>
      <c r="Q17" s="235">
        <f>0.5*Q11-0.07*Q11^2</f>
        <v>0.730944996780166</v>
      </c>
      <c r="Z17" s="275">
        <v>4000</v>
      </c>
      <c r="AA17" s="276">
        <f t="shared" si="1"/>
        <v>25755.46558084658</v>
      </c>
      <c r="AB17" s="277">
        <f t="shared" si="6"/>
        <v>21755.46558084658</v>
      </c>
    </row>
    <row r="18" spans="1:30">
      <c r="A18" s="1">
        <v>1987</v>
      </c>
      <c r="B18" s="223" t="str">
        <f t="shared" si="3"/>
        <v>87</v>
      </c>
      <c r="C18" s="1209">
        <f>Escapements!M16</f>
        <v>20038.042632236058</v>
      </c>
      <c r="E18" s="226">
        <f>Brood_Tab!W18</f>
        <v>27552.606274832029</v>
      </c>
      <c r="F18" s="227">
        <f t="shared" si="7"/>
        <v>1.3750148545201202</v>
      </c>
      <c r="G18" s="227">
        <f t="shared" si="4"/>
        <v>0.31846453434753963</v>
      </c>
      <c r="H18" s="237">
        <f t="shared" si="5"/>
        <v>2.9934083320574612</v>
      </c>
      <c r="I18" s="156">
        <f t="shared" si="0"/>
        <v>60664.046345032024</v>
      </c>
      <c r="J18" s="238">
        <f t="shared" si="2"/>
        <v>40626.003712795966</v>
      </c>
      <c r="Z18" s="275">
        <v>4500</v>
      </c>
      <c r="AA18" s="276">
        <f t="shared" si="1"/>
        <v>28301.180696429019</v>
      </c>
      <c r="AB18" s="277">
        <f t="shared" si="6"/>
        <v>23801.180696429019</v>
      </c>
    </row>
    <row r="19" spans="1:30">
      <c r="A19" s="119">
        <v>1988</v>
      </c>
      <c r="B19" s="223" t="str">
        <f t="shared" si="3"/>
        <v>88</v>
      </c>
      <c r="C19" s="1209">
        <f>Escapements!M17</f>
        <v>23122.039815358257</v>
      </c>
      <c r="E19" s="226">
        <f>Brood_Tab!W19</f>
        <v>72770.786095734482</v>
      </c>
      <c r="F19" s="227">
        <f t="shared" si="7"/>
        <v>3.1472476769717455</v>
      </c>
      <c r="G19" s="227">
        <f t="shared" si="4"/>
        <v>1.1465283175502872</v>
      </c>
      <c r="H19" s="237">
        <f t="shared" si="5"/>
        <v>3.138518857750658</v>
      </c>
      <c r="I19" s="156">
        <f t="shared" si="0"/>
        <v>60545.451563096787</v>
      </c>
      <c r="J19" s="238">
        <f t="shared" si="2"/>
        <v>37423.41174773853</v>
      </c>
      <c r="Z19" s="275">
        <v>5000</v>
      </c>
      <c r="AA19" s="276">
        <f t="shared" si="1"/>
        <v>30714.58640176776</v>
      </c>
      <c r="AB19" s="277">
        <f t="shared" si="6"/>
        <v>25714.58640176776</v>
      </c>
    </row>
    <row r="20" spans="1:30">
      <c r="A20" s="1">
        <v>1989</v>
      </c>
      <c r="B20" s="223" t="str">
        <f t="shared" si="3"/>
        <v>89</v>
      </c>
      <c r="C20" s="1209">
        <f>Escapements!M18</f>
        <v>16821.837731152205</v>
      </c>
      <c r="E20" s="226">
        <f>Brood_Tab!W20</f>
        <v>69641.215009319392</v>
      </c>
      <c r="F20" s="227">
        <f t="shared" si="7"/>
        <v>4.139929068531643</v>
      </c>
      <c r="G20" s="227">
        <f t="shared" si="4"/>
        <v>1.4206786544855308</v>
      </c>
      <c r="H20" s="237">
        <f t="shared" si="5"/>
        <v>2.8420770706388536</v>
      </c>
      <c r="I20" s="156">
        <f t="shared" si="0"/>
        <v>59247.748283619898</v>
      </c>
      <c r="J20" s="238">
        <f t="shared" si="2"/>
        <v>42425.910552467692</v>
      </c>
      <c r="Z20" s="275">
        <v>5500</v>
      </c>
      <c r="AA20" s="276">
        <f t="shared" si="1"/>
        <v>33000.459227172258</v>
      </c>
      <c r="AB20" s="277">
        <f t="shared" si="6"/>
        <v>27500.459227172258</v>
      </c>
    </row>
    <row r="21" spans="1:30">
      <c r="A21" s="119">
        <v>1990</v>
      </c>
      <c r="B21" s="223" t="str">
        <f t="shared" si="3"/>
        <v>90</v>
      </c>
      <c r="C21" s="1209">
        <f>Escapements!M19</f>
        <v>14723.229653929488</v>
      </c>
      <c r="E21" s="226">
        <f>Brood_Tab!W21</f>
        <v>97683.094564226747</v>
      </c>
      <c r="F21" s="227">
        <f t="shared" si="7"/>
        <v>6.634624118503516</v>
      </c>
      <c r="G21" s="227">
        <f t="shared" si="4"/>
        <v>1.89230201486119</v>
      </c>
      <c r="H21" s="237">
        <f t="shared" si="5"/>
        <v>2.7433318049244813</v>
      </c>
      <c r="I21" s="156">
        <f t="shared" si="0"/>
        <v>57238.206954971</v>
      </c>
      <c r="J21" s="238">
        <f t="shared" si="2"/>
        <v>42514.977301041508</v>
      </c>
      <c r="Z21" s="275">
        <v>6000</v>
      </c>
      <c r="AA21" s="276">
        <f t="shared" si="1"/>
        <v>35163.42510973246</v>
      </c>
      <c r="AB21" s="277">
        <f t="shared" si="6"/>
        <v>29163.42510973246</v>
      </c>
    </row>
    <row r="22" spans="1:30">
      <c r="A22" s="1">
        <v>1991</v>
      </c>
      <c r="B22" s="223" t="str">
        <f t="shared" si="3"/>
        <v>91</v>
      </c>
      <c r="C22" s="1209">
        <f>Escapements!M20</f>
        <v>15167.794866684937</v>
      </c>
      <c r="E22" s="226">
        <f>Brood_Tab!W22</f>
        <v>78766.170557210105</v>
      </c>
      <c r="F22" s="227">
        <f t="shared" si="7"/>
        <v>5.1929875930887501</v>
      </c>
      <c r="G22" s="227">
        <f t="shared" si="4"/>
        <v>1.6473091756986789</v>
      </c>
      <c r="H22" s="237">
        <f t="shared" si="5"/>
        <v>2.76424981745734</v>
      </c>
      <c r="I22" s="156">
        <f t="shared" si="0"/>
        <v>57745.853323022973</v>
      </c>
      <c r="J22" s="238">
        <f t="shared" si="2"/>
        <v>42578.05845633804</v>
      </c>
      <c r="P22" s="1212" t="s">
        <v>32</v>
      </c>
      <c r="Q22" s="1212"/>
      <c r="R22" s="1212"/>
      <c r="S22" s="1212"/>
      <c r="T22" s="1212"/>
      <c r="U22" s="1212"/>
      <c r="V22" s="1212"/>
      <c r="W22" s="1212"/>
      <c r="X22" s="1212"/>
      <c r="Z22" s="275">
        <v>6500</v>
      </c>
      <c r="AA22" s="276">
        <f t="shared" si="1"/>
        <v>37207.963814031347</v>
      </c>
      <c r="AB22" s="277">
        <f t="shared" si="6"/>
        <v>30707.963814031347</v>
      </c>
    </row>
    <row r="23" spans="1:30" ht="16.5" thickBot="1">
      <c r="A23" s="119">
        <v>1992</v>
      </c>
      <c r="B23" s="223" t="str">
        <f t="shared" si="3"/>
        <v>92</v>
      </c>
      <c r="C23" s="1209">
        <f>Escapements!M21</f>
        <v>11942.753800524621</v>
      </c>
      <c r="E23" s="226">
        <f>Brood_Tab!W23</f>
        <v>92840.022641191565</v>
      </c>
      <c r="F23" s="227">
        <f t="shared" si="7"/>
        <v>7.7737533731218083</v>
      </c>
      <c r="G23" s="227">
        <f t="shared" si="4"/>
        <v>2.0507531073476617</v>
      </c>
      <c r="H23" s="237">
        <f t="shared" si="5"/>
        <v>2.6125027902376563</v>
      </c>
      <c r="I23" s="156">
        <f t="shared" si="0"/>
        <v>52918.281581170195</v>
      </c>
      <c r="J23" s="238">
        <f t="shared" si="2"/>
        <v>40975.527780645571</v>
      </c>
      <c r="P23" s="1212"/>
      <c r="Q23" s="1212"/>
      <c r="R23" s="1212"/>
      <c r="S23" s="1212"/>
      <c r="T23" s="1212"/>
      <c r="U23" s="1212"/>
      <c r="V23" s="1212"/>
      <c r="W23" s="1212"/>
      <c r="X23" s="1212"/>
      <c r="Z23" s="275">
        <v>7000</v>
      </c>
      <c r="AA23" s="276">
        <f t="shared" si="1"/>
        <v>39138.413228696234</v>
      </c>
      <c r="AB23" s="277">
        <f t="shared" si="6"/>
        <v>32138.413228696234</v>
      </c>
    </row>
    <row r="24" spans="1:30">
      <c r="A24" s="1">
        <v>1993</v>
      </c>
      <c r="B24" s="223" t="str">
        <f t="shared" si="3"/>
        <v>93</v>
      </c>
      <c r="C24" s="1209">
        <f>Escapements!M22</f>
        <v>10534.883543528496</v>
      </c>
      <c r="E24" s="226">
        <f>Brood_Tab!W24</f>
        <v>106550.38387986002</v>
      </c>
      <c r="F24" s="227">
        <f t="shared" si="7"/>
        <v>10.114054269286456</v>
      </c>
      <c r="G24" s="227">
        <f t="shared" si="4"/>
        <v>2.3139259684023887</v>
      </c>
      <c r="H24" s="237">
        <f t="shared" si="5"/>
        <v>2.5462586333951731</v>
      </c>
      <c r="I24" s="156">
        <f t="shared" si="0"/>
        <v>49877.016155783102</v>
      </c>
      <c r="J24" s="238">
        <f t="shared" si="2"/>
        <v>39342.132612254602</v>
      </c>
      <c r="P24" s="1213" t="s">
        <v>33</v>
      </c>
      <c r="Q24" s="1213"/>
      <c r="R24" s="1212"/>
      <c r="S24" s="1212"/>
      <c r="T24" s="1212"/>
      <c r="U24" s="1212"/>
      <c r="V24" s="1212"/>
      <c r="W24" s="1212"/>
      <c r="X24" s="1212"/>
      <c r="Z24" s="275">
        <v>7500</v>
      </c>
      <c r="AA24" s="276">
        <f t="shared" si="1"/>
        <v>40958.973542172462</v>
      </c>
      <c r="AB24" s="277">
        <f t="shared" si="6"/>
        <v>33458.973542172462</v>
      </c>
    </row>
    <row r="25" spans="1:30">
      <c r="A25" s="119">
        <v>1994</v>
      </c>
      <c r="B25" s="223" t="str">
        <f t="shared" si="3"/>
        <v>94</v>
      </c>
      <c r="C25" s="1209">
        <f>Escapements!M23</f>
        <v>12783.91549585489</v>
      </c>
      <c r="E25" s="226">
        <f>Brood_Tab!W25</f>
        <v>79065.859967906421</v>
      </c>
      <c r="F25" s="227">
        <f t="shared" si="7"/>
        <v>6.1847921314516716</v>
      </c>
      <c r="G25" s="227">
        <f t="shared" si="4"/>
        <v>1.8220933967835811</v>
      </c>
      <c r="H25" s="237">
        <f t="shared" si="5"/>
        <v>2.6520817549884552</v>
      </c>
      <c r="I25" s="156">
        <f t="shared" si="0"/>
        <v>54447.283747821108</v>
      </c>
      <c r="J25" s="238">
        <f t="shared" si="2"/>
        <v>41663.368251966218</v>
      </c>
      <c r="P25" s="1058" t="s">
        <v>34</v>
      </c>
      <c r="Q25" s="1058">
        <v>0.70326610984550442</v>
      </c>
      <c r="R25" s="1212"/>
      <c r="S25" s="1212"/>
      <c r="T25" s="1212"/>
      <c r="U25" s="1212"/>
      <c r="V25" s="1212"/>
      <c r="W25" s="1212"/>
      <c r="X25" s="1212"/>
      <c r="Z25" s="275">
        <v>8000</v>
      </c>
      <c r="AA25" s="276">
        <f t="shared" si="1"/>
        <v>42673.711301013376</v>
      </c>
      <c r="AB25" s="277">
        <f t="shared" si="6"/>
        <v>34673.711301013376</v>
      </c>
      <c r="AD25" s="35"/>
    </row>
    <row r="26" spans="1:30">
      <c r="A26" s="1">
        <v>1995</v>
      </c>
      <c r="B26" s="223" t="str">
        <f t="shared" si="3"/>
        <v>95</v>
      </c>
      <c r="C26" s="1209">
        <f>Escapements!M24</f>
        <v>16068.301711637534</v>
      </c>
      <c r="E26" s="226">
        <f>Brood_Tab!W26</f>
        <v>76295.764779792546</v>
      </c>
      <c r="F26" s="227">
        <f t="shared" si="7"/>
        <v>4.7482158443997244</v>
      </c>
      <c r="G26" s="227">
        <f t="shared" si="4"/>
        <v>1.5577689357814828</v>
      </c>
      <c r="H26" s="237">
        <f t="shared" si="5"/>
        <v>2.8066211342589664</v>
      </c>
      <c r="I26" s="156">
        <f t="shared" si="0"/>
        <v>58636.319908486985</v>
      </c>
      <c r="J26" s="238">
        <f t="shared" si="2"/>
        <v>42568.018196849451</v>
      </c>
      <c r="P26" s="1058" t="s">
        <v>35</v>
      </c>
      <c r="Q26" s="1058">
        <v>0.49458322125722903</v>
      </c>
      <c r="R26" s="1212"/>
      <c r="S26" s="1212"/>
      <c r="T26" s="1212"/>
      <c r="U26" s="1212"/>
      <c r="V26" s="1212"/>
      <c r="W26" s="1212"/>
      <c r="X26" s="1212"/>
      <c r="Z26" s="275">
        <v>8500</v>
      </c>
      <c r="AA26" s="276">
        <f t="shared" si="1"/>
        <v>44286.563353892372</v>
      </c>
      <c r="AB26" s="277">
        <f t="shared" si="6"/>
        <v>35786.563353892372</v>
      </c>
      <c r="AD26" s="33"/>
    </row>
    <row r="27" spans="1:30">
      <c r="A27" s="119">
        <v>1996</v>
      </c>
      <c r="B27" s="223" t="str">
        <f t="shared" si="3"/>
        <v>96</v>
      </c>
      <c r="C27" s="1209">
        <f>Escapements!M25</f>
        <v>15333.581211050758</v>
      </c>
      <c r="E27" s="226">
        <f>Brood_Tab!W27</f>
        <v>76981.436272685023</v>
      </c>
      <c r="F27" s="227">
        <f t="shared" si="7"/>
        <v>5.0204472923262884</v>
      </c>
      <c r="G27" s="227">
        <f t="shared" si="4"/>
        <v>1.6135190317913148</v>
      </c>
      <c r="H27" s="237">
        <f t="shared" si="5"/>
        <v>2.772050519648424</v>
      </c>
      <c r="I27" s="156">
        <f t="shared" si="0"/>
        <v>57923.414190203534</v>
      </c>
      <c r="J27" s="238">
        <f t="shared" si="2"/>
        <v>42589.832979152779</v>
      </c>
      <c r="P27" s="1058" t="s">
        <v>36</v>
      </c>
      <c r="Q27" s="1058">
        <v>0.47715505647299555</v>
      </c>
      <c r="R27" s="1212"/>
      <c r="S27" s="1212"/>
      <c r="T27" s="1212"/>
      <c r="U27" s="1212"/>
      <c r="V27" s="1212"/>
      <c r="W27" s="1212"/>
      <c r="X27" s="1212"/>
      <c r="Z27" s="275">
        <v>9250</v>
      </c>
      <c r="AA27" s="276">
        <f t="shared" si="1"/>
        <v>46523.108763846496</v>
      </c>
      <c r="AB27" s="277">
        <f t="shared" si="6"/>
        <v>37273.108763846496</v>
      </c>
      <c r="AD27" s="35"/>
    </row>
    <row r="28" spans="1:30">
      <c r="A28" s="1">
        <v>1997</v>
      </c>
      <c r="B28" s="223" t="str">
        <f t="shared" si="3"/>
        <v>97</v>
      </c>
      <c r="C28" s="1209">
        <f>Escapements!M26</f>
        <v>22650.051129357271</v>
      </c>
      <c r="E28" s="226">
        <f>Brood_Tab!W28</f>
        <v>84475.667195828166</v>
      </c>
      <c r="F28" s="227">
        <f t="shared" si="7"/>
        <v>3.7296016116421584</v>
      </c>
      <c r="G28" s="227">
        <f t="shared" si="4"/>
        <v>1.3163014214212481</v>
      </c>
      <c r="H28" s="237">
        <f t="shared" si="5"/>
        <v>3.1163104955894756</v>
      </c>
      <c r="I28" s="156">
        <f t="shared" si="0"/>
        <v>60641.443939512232</v>
      </c>
      <c r="J28" s="238">
        <f t="shared" si="2"/>
        <v>37991.392810154961</v>
      </c>
      <c r="P28" s="1058" t="s">
        <v>37</v>
      </c>
      <c r="Q28" s="1058">
        <v>0.48603758789019347</v>
      </c>
      <c r="R28" s="1212"/>
      <c r="S28" s="1212"/>
      <c r="T28" s="1212"/>
      <c r="U28" s="1212"/>
      <c r="V28" s="1212"/>
      <c r="W28" s="1212"/>
      <c r="X28" s="1212"/>
      <c r="Z28" s="275">
        <v>9500</v>
      </c>
      <c r="AA28" s="276">
        <f t="shared" si="1"/>
        <v>47221.732136062703</v>
      </c>
      <c r="AB28" s="277">
        <f t="shared" si="6"/>
        <v>37721.732136062703</v>
      </c>
    </row>
    <row r="29" spans="1:30" ht="16.5" thickBot="1">
      <c r="A29" s="119">
        <v>1998</v>
      </c>
      <c r="B29" s="223" t="str">
        <f t="shared" si="3"/>
        <v>98</v>
      </c>
      <c r="C29" s="1210">
        <f>Escapements!M27</f>
        <v>18134.783078621651</v>
      </c>
      <c r="E29" s="226">
        <f>Brood_Tab!W29</f>
        <v>96516.897046991828</v>
      </c>
      <c r="F29" s="227">
        <f t="shared" si="7"/>
        <v>5.322197493543313</v>
      </c>
      <c r="G29" s="227">
        <f t="shared" si="4"/>
        <v>1.6718862807627541</v>
      </c>
      <c r="H29" s="237">
        <f t="shared" si="5"/>
        <v>2.9038547501453071</v>
      </c>
      <c r="I29" s="156">
        <f t="shared" si="0"/>
        <v>60045.583576769262</v>
      </c>
      <c r="J29" s="238">
        <f t="shared" si="2"/>
        <v>41910.800498147612</v>
      </c>
      <c r="P29" s="1214" t="s">
        <v>38</v>
      </c>
      <c r="Q29" s="1214">
        <v>31</v>
      </c>
      <c r="R29" s="1212"/>
      <c r="S29" s="1212"/>
      <c r="T29" s="1212"/>
      <c r="U29" s="1212"/>
      <c r="V29" s="1212"/>
      <c r="W29" s="1212"/>
      <c r="X29" s="1212"/>
      <c r="Z29" s="275">
        <v>10000</v>
      </c>
      <c r="AA29" s="276">
        <f t="shared" si="1"/>
        <v>48551.308031340603</v>
      </c>
      <c r="AB29" s="277">
        <f t="shared" si="6"/>
        <v>38551.308031340603</v>
      </c>
    </row>
    <row r="30" spans="1:30">
      <c r="A30" s="1">
        <v>1999</v>
      </c>
      <c r="B30" s="223" t="str">
        <f t="shared" si="3"/>
        <v>99</v>
      </c>
      <c r="C30" s="225">
        <f>Escapements!N28</f>
        <v>16157</v>
      </c>
      <c r="E30" s="226">
        <f>Brood_Tab!W30</f>
        <v>76611.972532084939</v>
      </c>
      <c r="F30" s="227">
        <f t="shared" si="7"/>
        <v>4.7417201542418113</v>
      </c>
      <c r="G30" s="227">
        <f t="shared" si="4"/>
        <v>1.5563999716128547</v>
      </c>
      <c r="H30" s="237">
        <f t="shared" si="5"/>
        <v>2.8107946319919743</v>
      </c>
      <c r="I30" s="156">
        <f t="shared" si="0"/>
        <v>58714.440360640452</v>
      </c>
      <c r="J30" s="238">
        <f t="shared" si="2"/>
        <v>42557.440360640452</v>
      </c>
      <c r="P30" s="1212"/>
      <c r="Q30" s="1212"/>
      <c r="R30" s="1212"/>
      <c r="S30" s="1212"/>
      <c r="T30" s="1212"/>
      <c r="U30" s="1212"/>
      <c r="V30" s="1212"/>
      <c r="W30" s="1212"/>
      <c r="X30" s="1212"/>
      <c r="Z30" s="821">
        <v>10500</v>
      </c>
      <c r="AA30" s="276">
        <f t="shared" si="1"/>
        <v>49793.523689478243</v>
      </c>
      <c r="AB30" s="617">
        <f t="shared" si="6"/>
        <v>39293.523689478243</v>
      </c>
      <c r="AC30" s="331" t="s">
        <v>380</v>
      </c>
    </row>
    <row r="31" spans="1:30" ht="16.5" thickBot="1">
      <c r="A31" s="119">
        <v>2000</v>
      </c>
      <c r="B31" s="223" t="str">
        <f t="shared" si="3"/>
        <v>00</v>
      </c>
      <c r="C31" s="225">
        <f>Escapements!N29</f>
        <v>24492</v>
      </c>
      <c r="E31" s="226">
        <f>Brood_Tab!W31</f>
        <v>63827.439787779818</v>
      </c>
      <c r="F31" s="227">
        <f t="shared" si="7"/>
        <v>2.6060525799354819</v>
      </c>
      <c r="G31" s="227">
        <f t="shared" si="4"/>
        <v>0.95783665499008608</v>
      </c>
      <c r="H31" s="237">
        <f t="shared" si="5"/>
        <v>3.2029792417160072</v>
      </c>
      <c r="I31" s="156">
        <f t="shared" si="0"/>
        <v>60129.118853167041</v>
      </c>
      <c r="J31" s="238">
        <f t="shared" si="2"/>
        <v>35637.118853167041</v>
      </c>
      <c r="P31" s="1212" t="s">
        <v>39</v>
      </c>
      <c r="Q31" s="1212"/>
      <c r="R31" s="1212"/>
      <c r="S31" s="1212"/>
      <c r="T31" s="1212"/>
      <c r="U31" s="1212"/>
      <c r="V31" s="1212"/>
      <c r="W31" s="1212"/>
      <c r="X31" s="1212"/>
      <c r="Z31" s="275">
        <v>11000</v>
      </c>
      <c r="AA31" s="276">
        <f t="shared" si="1"/>
        <v>50951.722844010925</v>
      </c>
      <c r="AB31" s="277">
        <f t="shared" si="6"/>
        <v>39951.722844010925</v>
      </c>
    </row>
    <row r="32" spans="1:30">
      <c r="A32" s="1">
        <v>2001</v>
      </c>
      <c r="B32" s="223" t="str">
        <f t="shared" si="3"/>
        <v>01</v>
      </c>
      <c r="C32" s="225">
        <f>Escapements!N30</f>
        <v>28208</v>
      </c>
      <c r="E32" s="226">
        <f>Brood_Tab!W32</f>
        <v>98779.587729427003</v>
      </c>
      <c r="F32" s="227">
        <f t="shared" si="7"/>
        <v>3.5018288332893861</v>
      </c>
      <c r="G32" s="227">
        <f t="shared" si="4"/>
        <v>1.2532853558243127</v>
      </c>
      <c r="H32" s="237">
        <f t="shared" si="5"/>
        <v>3.3778272332858341</v>
      </c>
      <c r="I32" s="156">
        <f t="shared" si="0"/>
        <v>58142.99058067282</v>
      </c>
      <c r="J32" s="238">
        <f t="shared" si="2"/>
        <v>29934.99058067282</v>
      </c>
      <c r="P32" s="1215"/>
      <c r="Q32" s="1215" t="s">
        <v>43</v>
      </c>
      <c r="R32" s="1215" t="s">
        <v>44</v>
      </c>
      <c r="S32" s="1215" t="s">
        <v>45</v>
      </c>
      <c r="T32" s="1215" t="s">
        <v>46</v>
      </c>
      <c r="U32" s="1215" t="s">
        <v>47</v>
      </c>
      <c r="V32" s="1212"/>
      <c r="W32" s="1212"/>
      <c r="X32" s="1212"/>
      <c r="Z32" s="275">
        <v>11500</v>
      </c>
      <c r="AA32" s="276">
        <f t="shared" si="1"/>
        <v>52029.140963850245</v>
      </c>
      <c r="AB32" s="277">
        <f t="shared" si="6"/>
        <v>40529.140963850245</v>
      </c>
    </row>
    <row r="33" spans="1:32">
      <c r="A33" s="1">
        <v>2002</v>
      </c>
      <c r="B33" s="223" t="str">
        <f t="shared" si="3"/>
        <v>02</v>
      </c>
      <c r="C33" s="225">
        <f>Escapements!N31</f>
        <v>21502</v>
      </c>
      <c r="E33" s="226">
        <f>Brood_Tab!W33</f>
        <v>86656.05226517719</v>
      </c>
      <c r="F33" s="227">
        <f t="shared" ref="F33:F40" si="8">E33/C33</f>
        <v>4.0301391621792018</v>
      </c>
      <c r="G33" s="227">
        <f t="shared" si="4"/>
        <v>1.3938009069205057</v>
      </c>
      <c r="H33" s="237">
        <f t="shared" si="5"/>
        <v>3.0622915412871103</v>
      </c>
      <c r="I33" s="156">
        <f t="shared" si="0"/>
        <v>60763.018271008375</v>
      </c>
      <c r="J33" s="238">
        <f t="shared" ref="J33:J40" si="9">I33-C33</f>
        <v>39261.018271008375</v>
      </c>
      <c r="P33" s="1058" t="s">
        <v>40</v>
      </c>
      <c r="Q33" s="1058">
        <v>1</v>
      </c>
      <c r="R33" s="1058">
        <v>6.7038985735800862</v>
      </c>
      <c r="S33" s="1058">
        <v>6.7038985735800862</v>
      </c>
      <c r="T33" s="1058">
        <v>28.378387935869039</v>
      </c>
      <c r="U33" s="1058">
        <v>1.0219861731376086E-5</v>
      </c>
      <c r="V33" s="1212"/>
      <c r="W33" s="1212"/>
      <c r="X33" s="1212"/>
      <c r="Z33" s="275">
        <v>12000</v>
      </c>
      <c r="AA33" s="276">
        <f t="shared" si="1"/>
        <v>53028.908480200909</v>
      </c>
      <c r="AB33" s="277">
        <f t="shared" si="6"/>
        <v>41028.908480200909</v>
      </c>
    </row>
    <row r="34" spans="1:32">
      <c r="A34" s="119">
        <v>2003</v>
      </c>
      <c r="B34" s="223" t="str">
        <f t="shared" si="3"/>
        <v>03</v>
      </c>
      <c r="C34" s="225">
        <f>Escapements!N32</f>
        <v>34034</v>
      </c>
      <c r="E34" s="226">
        <f>Brood_Tab!W34</f>
        <v>48149.609636566769</v>
      </c>
      <c r="F34" s="227">
        <f t="shared" si="8"/>
        <v>1.4147502390717157</v>
      </c>
      <c r="G34" s="227">
        <f t="shared" si="4"/>
        <v>0.34695300602561402</v>
      </c>
      <c r="H34" s="237">
        <f t="shared" si="5"/>
        <v>3.6519565117804014</v>
      </c>
      <c r="I34" s="156">
        <f t="shared" si="0"/>
        <v>53331.676058676523</v>
      </c>
      <c r="J34" s="238">
        <f t="shared" si="9"/>
        <v>19297.676058676523</v>
      </c>
      <c r="P34" s="1058" t="s">
        <v>41</v>
      </c>
      <c r="Q34" s="1058">
        <v>29</v>
      </c>
      <c r="R34" s="1058">
        <v>6.8507435684214082</v>
      </c>
      <c r="S34" s="1058">
        <v>0.23623253684211754</v>
      </c>
      <c r="T34" s="1058"/>
      <c r="U34" s="1058"/>
      <c r="V34" s="1212"/>
      <c r="W34" s="1212"/>
      <c r="X34" s="1212"/>
      <c r="Z34" s="275">
        <v>12500</v>
      </c>
      <c r="AA34" s="276">
        <f t="shared" si="1"/>
        <v>53954.053921947321</v>
      </c>
      <c r="AB34" s="277">
        <f t="shared" si="6"/>
        <v>41454.053921947321</v>
      </c>
    </row>
    <row r="35" spans="1:32" ht="16.5" thickBot="1">
      <c r="A35" s="1">
        <v>2004</v>
      </c>
      <c r="B35" s="223" t="str">
        <f t="shared" si="3"/>
        <v>04</v>
      </c>
      <c r="C35" s="225">
        <f>Escapements!N33</f>
        <v>30645</v>
      </c>
      <c r="E35" s="226">
        <f>Brood_Tab!W35</f>
        <v>38721.333157232359</v>
      </c>
      <c r="F35" s="227">
        <f t="shared" si="8"/>
        <v>1.263544890103846</v>
      </c>
      <c r="G35" s="227">
        <f t="shared" si="4"/>
        <v>0.23392117559160344</v>
      </c>
      <c r="H35" s="237">
        <f t="shared" si="5"/>
        <v>3.4924947670467779</v>
      </c>
      <c r="I35" s="156">
        <f t="shared" si="0"/>
        <v>56322.927423838039</v>
      </c>
      <c r="J35" s="238">
        <f t="shared" si="9"/>
        <v>25677.927423838039</v>
      </c>
      <c r="P35" s="1214" t="s">
        <v>0</v>
      </c>
      <c r="Q35" s="1214">
        <v>30</v>
      </c>
      <c r="R35" s="1214">
        <v>13.554642142001494</v>
      </c>
      <c r="S35" s="1214"/>
      <c r="T35" s="1214"/>
      <c r="U35" s="1214"/>
      <c r="V35" s="1212"/>
      <c r="W35" s="1212"/>
      <c r="X35" s="1212"/>
      <c r="Z35" s="275">
        <v>13000</v>
      </c>
      <c r="AA35" s="276">
        <f t="shared" si="1"/>
        <v>54807.506962021631</v>
      </c>
      <c r="AB35" s="277">
        <f t="shared" si="6"/>
        <v>41807.506962021631</v>
      </c>
    </row>
    <row r="36" spans="1:32" ht="16.5" thickBot="1">
      <c r="A36" s="119">
        <v>2005</v>
      </c>
      <c r="B36" s="223" t="str">
        <f t="shared" si="3"/>
        <v>05</v>
      </c>
      <c r="C36" s="225">
        <f>Escapements!N34</f>
        <v>21528</v>
      </c>
      <c r="E36" s="226">
        <f>Brood_Tab!W36</f>
        <v>32647.431888888754</v>
      </c>
      <c r="F36" s="227">
        <f t="shared" si="8"/>
        <v>1.5165102140881064</v>
      </c>
      <c r="G36" s="227">
        <f t="shared" si="4"/>
        <v>0.41641178342754659</v>
      </c>
      <c r="H36" s="237">
        <f t="shared" si="5"/>
        <v>3.0635149125951875</v>
      </c>
      <c r="I36" s="156">
        <f t="shared" si="0"/>
        <v>60762.112182885976</v>
      </c>
      <c r="J36" s="238">
        <f t="shared" si="9"/>
        <v>39234.112182885976</v>
      </c>
      <c r="P36" s="1212"/>
      <c r="Q36" s="1212"/>
      <c r="R36" s="1212"/>
      <c r="S36" s="1212"/>
      <c r="T36" s="1212"/>
      <c r="U36" s="1212"/>
      <c r="V36" s="1212"/>
      <c r="W36" s="1212"/>
      <c r="X36" s="1212"/>
      <c r="Z36" s="275">
        <v>13500</v>
      </c>
      <c r="AA36" s="276">
        <f t="shared" si="1"/>
        <v>55592.101377197825</v>
      </c>
      <c r="AB36" s="277">
        <f t="shared" si="6"/>
        <v>42092.101377197825</v>
      </c>
    </row>
    <row r="37" spans="1:32">
      <c r="A37" s="1">
        <v>2006</v>
      </c>
      <c r="B37" s="223" t="str">
        <f t="shared" si="3"/>
        <v>06</v>
      </c>
      <c r="C37" s="225">
        <f>Escapements!N35</f>
        <v>58454</v>
      </c>
      <c r="E37" s="226">
        <f>Brood_Tab!W37</f>
        <v>53244.534331394883</v>
      </c>
      <c r="F37" s="227">
        <f t="shared" si="8"/>
        <v>0.91087922693733336</v>
      </c>
      <c r="G37" s="227">
        <f t="shared" si="4"/>
        <v>-9.334496247841971E-2</v>
      </c>
      <c r="H37" s="237">
        <f t="shared" si="5"/>
        <v>4.8009844865207594</v>
      </c>
      <c r="I37" s="156">
        <f t="shared" si="0"/>
        <v>29031.532667491232</v>
      </c>
      <c r="J37" s="238">
        <f t="shared" si="9"/>
        <v>-29422.467332508768</v>
      </c>
      <c r="P37" s="1215"/>
      <c r="Q37" s="1215" t="s">
        <v>48</v>
      </c>
      <c r="R37" s="1215" t="s">
        <v>37</v>
      </c>
      <c r="S37" s="1215" t="s">
        <v>49</v>
      </c>
      <c r="T37" s="1215" t="s">
        <v>50</v>
      </c>
      <c r="U37" s="1215" t="s">
        <v>51</v>
      </c>
      <c r="V37" s="1215" t="s">
        <v>52</v>
      </c>
      <c r="W37" s="1215" t="s">
        <v>200</v>
      </c>
      <c r="X37" s="1215" t="s">
        <v>201</v>
      </c>
      <c r="Z37" s="275">
        <v>14000</v>
      </c>
      <c r="AA37" s="276">
        <f t="shared" si="1"/>
        <v>56310.577923690937</v>
      </c>
      <c r="AB37" s="277">
        <f t="shared" si="6"/>
        <v>42310.577923690937</v>
      </c>
      <c r="AD37" s="35"/>
    </row>
    <row r="38" spans="1:32">
      <c r="A38" s="119">
        <v>2007</v>
      </c>
      <c r="B38" s="223" t="str">
        <f t="shared" si="3"/>
        <v>07</v>
      </c>
      <c r="C38" s="225">
        <f>Escapements!N36</f>
        <v>34575</v>
      </c>
      <c r="E38" s="226">
        <f>Brood_Tab!W38</f>
        <v>47436.244390504151</v>
      </c>
      <c r="F38" s="227">
        <f t="shared" si="8"/>
        <v>1.3719810380478423</v>
      </c>
      <c r="G38" s="227">
        <f>LN(F38)</f>
        <v>0.31625570854334928</v>
      </c>
      <c r="H38" s="237">
        <f t="shared" si="5"/>
        <v>3.6774120455369341</v>
      </c>
      <c r="I38" s="156">
        <f t="shared" si="0"/>
        <v>52817.66879633184</v>
      </c>
      <c r="J38" s="238">
        <f t="shared" si="9"/>
        <v>18242.66879633184</v>
      </c>
      <c r="P38" s="1058" t="s">
        <v>42</v>
      </c>
      <c r="Q38" s="1058">
        <v>2.0505634695071273</v>
      </c>
      <c r="R38" s="1058">
        <v>0.20649253964067221</v>
      </c>
      <c r="S38" s="1058">
        <v>9.9304482044504532</v>
      </c>
      <c r="T38" s="1058">
        <v>7.7303682402556622E-11</v>
      </c>
      <c r="U38" s="1058">
        <v>1.6282388065547619</v>
      </c>
      <c r="V38" s="1058">
        <v>2.4728881324594925</v>
      </c>
      <c r="W38" s="1058">
        <v>1.6282388065547619</v>
      </c>
      <c r="X38" s="1058">
        <v>2.4728881324594925</v>
      </c>
      <c r="Z38" s="275">
        <v>14708</v>
      </c>
      <c r="AA38" s="276">
        <f t="shared" si="1"/>
        <v>57219.98895043831</v>
      </c>
      <c r="AB38" s="277">
        <f t="shared" si="6"/>
        <v>42511.98895043831</v>
      </c>
    </row>
    <row r="39" spans="1:32" ht="16.5" thickBot="1">
      <c r="A39" s="1">
        <v>2008</v>
      </c>
      <c r="B39" s="223" t="str">
        <f t="shared" si="3"/>
        <v>08</v>
      </c>
      <c r="C39" s="225">
        <f>Escapements!N37</f>
        <v>32485</v>
      </c>
      <c r="E39" s="226">
        <f>Brood_Tab!W39</f>
        <v>40148.550618680703</v>
      </c>
      <c r="F39" s="227">
        <f t="shared" si="8"/>
        <v>1.235910439239055</v>
      </c>
      <c r="G39" s="227">
        <f>LN(F39)</f>
        <v>0.21180789624755775</v>
      </c>
      <c r="H39" s="237">
        <f t="shared" si="5"/>
        <v>3.5790718134645614</v>
      </c>
      <c r="I39" s="156">
        <f t="shared" si="0"/>
        <v>54753.077101377938</v>
      </c>
      <c r="J39" s="238">
        <f t="shared" si="9"/>
        <v>22268.077101377938</v>
      </c>
      <c r="P39" s="1214" t="s">
        <v>53</v>
      </c>
      <c r="Q39" s="1214">
        <v>-4.7052742618360282E-5</v>
      </c>
      <c r="R39" s="1214">
        <v>8.8326512313918103E-6</v>
      </c>
      <c r="S39" s="1214">
        <v>-5.3271369360913754</v>
      </c>
      <c r="T39" s="1214">
        <v>1.0219861731376196E-5</v>
      </c>
      <c r="U39" s="1214">
        <v>-6.5117542735422746E-5</v>
      </c>
      <c r="V39" s="1214">
        <v>-2.8987942501297814E-5</v>
      </c>
      <c r="W39" s="1214">
        <v>-6.5117542735422746E-5</v>
      </c>
      <c r="X39" s="1214">
        <v>-2.8987942501297814E-5</v>
      </c>
      <c r="Z39" s="275">
        <v>15000</v>
      </c>
      <c r="AA39" s="276">
        <f t="shared" ref="AA39:AA70" si="10">$Z39*EXP(a_parameter_even*(1-$Z39/b_parameter_even))</f>
        <v>57559.692015381894</v>
      </c>
      <c r="AB39" s="277">
        <f t="shared" si="6"/>
        <v>42559.692015381894</v>
      </c>
      <c r="AD39" s="35"/>
    </row>
    <row r="40" spans="1:32">
      <c r="A40" s="119">
        <v>2009</v>
      </c>
      <c r="B40" s="223" t="str">
        <f t="shared" si="3"/>
        <v>09</v>
      </c>
      <c r="C40" s="225">
        <f>Escapements!N38</f>
        <v>27787</v>
      </c>
      <c r="E40" s="1211">
        <f>Brood_Tab!W40</f>
        <v>34295.951914890451</v>
      </c>
      <c r="F40" s="227">
        <f t="shared" si="8"/>
        <v>1.2342444997621351</v>
      </c>
      <c r="G40" s="227">
        <f>LN(F40)</f>
        <v>0.21045904180672756</v>
      </c>
      <c r="H40" s="237">
        <f t="shared" si="5"/>
        <v>3.3580180286435044</v>
      </c>
      <c r="I40" s="156">
        <f t="shared" si="0"/>
        <v>58421.104080512472</v>
      </c>
      <c r="J40" s="238">
        <f t="shared" si="9"/>
        <v>30634.104080512472</v>
      </c>
      <c r="P40" s="1212"/>
      <c r="Q40" s="1212"/>
      <c r="R40" s="1212"/>
      <c r="S40" s="1212"/>
      <c r="T40" s="1212"/>
      <c r="U40" s="1212"/>
      <c r="V40" s="1212"/>
      <c r="W40" s="1212"/>
      <c r="X40" s="1212"/>
      <c r="Z40" s="275">
        <v>15500</v>
      </c>
      <c r="AA40" s="276">
        <f t="shared" si="10"/>
        <v>58095.370717747333</v>
      </c>
      <c r="AB40" s="277">
        <f t="shared" si="6"/>
        <v>42595.370717747333</v>
      </c>
      <c r="AD40" s="331" t="s">
        <v>378</v>
      </c>
      <c r="AE40" s="331" t="s">
        <v>379</v>
      </c>
    </row>
    <row r="41" spans="1:32">
      <c r="A41" s="1">
        <v>2010</v>
      </c>
      <c r="B41" s="334" t="str">
        <f t="shared" si="3"/>
        <v>10</v>
      </c>
      <c r="C41" s="225">
        <f>Escapements!N39</f>
        <v>16771</v>
      </c>
      <c r="E41" s="1211">
        <f>Brood_Tab!W41</f>
        <v>56489.116198613876</v>
      </c>
      <c r="F41" s="227">
        <f>E41/C41</f>
        <v>3.3682616539630241</v>
      </c>
      <c r="G41" s="227">
        <f>LN(F41)</f>
        <v>1.2143967815938077</v>
      </c>
      <c r="H41" s="237">
        <f t="shared" si="5"/>
        <v>2.8396850159596476</v>
      </c>
      <c r="I41" s="156">
        <f t="shared" si="0"/>
        <v>59210.158733957825</v>
      </c>
      <c r="J41" s="238">
        <f>I41-C41</f>
        <v>42439.158733957825</v>
      </c>
      <c r="P41" s="1212"/>
      <c r="Q41" s="1212"/>
      <c r="R41" s="1212"/>
      <c r="S41" s="1212"/>
      <c r="T41" s="1212"/>
      <c r="U41" s="1212"/>
      <c r="V41" s="1212"/>
      <c r="W41" s="1212"/>
      <c r="X41" s="1212"/>
      <c r="Z41" s="821">
        <v>16000</v>
      </c>
      <c r="AA41" s="276">
        <f t="shared" si="10"/>
        <v>58575.019063780695</v>
      </c>
      <c r="AB41" s="277">
        <f t="shared" si="6"/>
        <v>42575.019063780695</v>
      </c>
      <c r="AD41" s="822">
        <f>0.1*AB41</f>
        <v>4257.5019063780701</v>
      </c>
      <c r="AE41" s="823">
        <f>AB41-AD41</f>
        <v>38317.517157402624</v>
      </c>
      <c r="AF41" s="35"/>
    </row>
    <row r="42" spans="1:32">
      <c r="A42" s="119">
        <v>2011</v>
      </c>
      <c r="B42" s="223" t="str">
        <f t="shared" ref="B42:B47" si="11">RIGHT(A42,2)</f>
        <v>11</v>
      </c>
      <c r="C42" s="225">
        <f>Escapements!N40</f>
        <v>27994</v>
      </c>
      <c r="E42" s="226"/>
      <c r="F42" s="227"/>
      <c r="G42" s="227"/>
      <c r="H42" s="237">
        <f t="shared" si="5"/>
        <v>3.3677579463655052</v>
      </c>
      <c r="I42" s="156">
        <f t="shared" si="0"/>
        <v>58285.840695812643</v>
      </c>
      <c r="J42" s="238">
        <f>I42-C42</f>
        <v>30291.840695812643</v>
      </c>
      <c r="P42" s="1212"/>
      <c r="Q42" s="1212"/>
      <c r="R42" s="1212"/>
      <c r="S42" s="1212"/>
      <c r="T42" s="1212"/>
      <c r="U42" s="1212"/>
      <c r="V42" s="1212"/>
      <c r="W42" s="1212"/>
      <c r="X42" s="1212"/>
      <c r="Z42" s="275">
        <v>16500</v>
      </c>
      <c r="AA42" s="276">
        <f t="shared" si="10"/>
        <v>59000.953052692348</v>
      </c>
      <c r="AB42" s="277">
        <f t="shared" si="6"/>
        <v>42500.953052692348</v>
      </c>
    </row>
    <row r="43" spans="1:32">
      <c r="A43" s="1">
        <v>2012</v>
      </c>
      <c r="B43" s="334" t="str">
        <f t="shared" si="11"/>
        <v>12</v>
      </c>
      <c r="C43" s="225">
        <f>Escapements!N41</f>
        <v>29965</v>
      </c>
      <c r="E43" s="226"/>
      <c r="F43" s="227"/>
      <c r="G43" s="227"/>
      <c r="H43" s="237">
        <f t="shared" si="5"/>
        <v>3.4604989020662931</v>
      </c>
      <c r="I43" s="156">
        <f t="shared" si="0"/>
        <v>56863.750872871795</v>
      </c>
      <c r="J43" s="238">
        <f>I43-C43</f>
        <v>26898.750872871795</v>
      </c>
      <c r="P43" s="1212" t="s">
        <v>202</v>
      </c>
      <c r="Q43" s="1212"/>
      <c r="R43" s="1212"/>
      <c r="S43" s="1212"/>
      <c r="T43" s="1212"/>
      <c r="U43" s="1212"/>
      <c r="V43" s="1212"/>
      <c r="W43" s="1212"/>
      <c r="X43" s="1212"/>
      <c r="Z43" s="275">
        <v>17000</v>
      </c>
      <c r="AA43" s="276">
        <f t="shared" si="10"/>
        <v>59375.411274023922</v>
      </c>
      <c r="AB43" s="277">
        <f t="shared" si="6"/>
        <v>42375.411274023922</v>
      </c>
    </row>
    <row r="44" spans="1:32" ht="16.5" thickBot="1">
      <c r="A44" s="119">
        <v>2013</v>
      </c>
      <c r="B44" s="334" t="str">
        <f t="shared" si="11"/>
        <v>13</v>
      </c>
      <c r="C44" s="225">
        <f>Escapements!N42</f>
        <v>29012</v>
      </c>
      <c r="E44" s="226"/>
      <c r="F44" s="227"/>
      <c r="G44" s="227"/>
      <c r="H44" s="237">
        <f t="shared" si="5"/>
        <v>3.4156576383509956</v>
      </c>
      <c r="I44" s="156">
        <f t="shared" si="0"/>
        <v>57580.204580974569</v>
      </c>
      <c r="J44" s="238">
        <f>I44-C44</f>
        <v>28568.204580974569</v>
      </c>
      <c r="P44" s="1212"/>
      <c r="Q44" s="1212"/>
      <c r="R44" s="1212"/>
      <c r="S44" s="1212"/>
      <c r="T44" s="1212"/>
      <c r="U44" s="1212"/>
      <c r="V44" s="1212"/>
      <c r="W44" s="1212"/>
      <c r="X44" s="1212"/>
      <c r="Z44" s="275">
        <v>17500</v>
      </c>
      <c r="AA44" s="276">
        <f t="shared" si="10"/>
        <v>59700.557255339816</v>
      </c>
      <c r="AB44" s="277">
        <f t="shared" si="6"/>
        <v>42200.557255339816</v>
      </c>
    </row>
    <row r="45" spans="1:32" ht="26.25">
      <c r="A45" s="1">
        <v>2014</v>
      </c>
      <c r="B45" s="223" t="str">
        <f t="shared" si="11"/>
        <v>14</v>
      </c>
      <c r="C45" s="225">
        <f>Escapements!N43</f>
        <v>20709</v>
      </c>
      <c r="E45" s="226"/>
      <c r="F45" s="227"/>
      <c r="G45" s="227"/>
      <c r="H45" s="237">
        <f t="shared" si="5"/>
        <v>3.0249787163907502</v>
      </c>
      <c r="I45" s="156">
        <f t="shared" si="0"/>
        <v>60746.933951506129</v>
      </c>
      <c r="J45" s="238">
        <f>I45-C45</f>
        <v>40037.933951506129</v>
      </c>
      <c r="P45" s="1215" t="s">
        <v>203</v>
      </c>
      <c r="Q45" s="1215" t="s">
        <v>186</v>
      </c>
      <c r="R45" s="1215" t="s">
        <v>205</v>
      </c>
      <c r="S45" s="1216" t="s">
        <v>206</v>
      </c>
      <c r="T45" s="1212"/>
      <c r="U45" s="1212"/>
      <c r="V45" s="1212"/>
      <c r="W45" s="1212"/>
      <c r="X45" s="1212"/>
      <c r="Z45" s="275">
        <v>18000</v>
      </c>
      <c r="AA45" s="276">
        <f t="shared" si="10"/>
        <v>59978.48174259354</v>
      </c>
      <c r="AB45" s="277">
        <f t="shared" si="6"/>
        <v>41978.48174259354</v>
      </c>
    </row>
    <row r="46" spans="1:32">
      <c r="A46" s="119">
        <v>2015</v>
      </c>
      <c r="B46" s="223" t="str">
        <f t="shared" si="11"/>
        <v>15</v>
      </c>
      <c r="C46" s="225">
        <f>Escapements!N44</f>
        <v>26764</v>
      </c>
      <c r="P46" s="1058">
        <v>1</v>
      </c>
      <c r="Q46" s="1058">
        <v>0.66021382034784692</v>
      </c>
      <c r="R46" s="1058">
        <v>-0.5940767048810931</v>
      </c>
      <c r="S46" s="1058">
        <v>-1.2431808011385319</v>
      </c>
      <c r="T46" s="1212"/>
      <c r="U46" s="1212"/>
      <c r="V46" s="1212"/>
      <c r="W46" s="1212"/>
      <c r="X46" s="1212"/>
      <c r="Z46" s="275">
        <v>18500</v>
      </c>
      <c r="AA46" s="276">
        <f t="shared" si="10"/>
        <v>60211.204915031056</v>
      </c>
      <c r="AB46" s="277">
        <f t="shared" si="6"/>
        <v>41711.204915031056</v>
      </c>
    </row>
    <row r="47" spans="1:32">
      <c r="A47" s="1">
        <v>2016</v>
      </c>
      <c r="B47" s="223" t="str">
        <f t="shared" si="11"/>
        <v>16</v>
      </c>
      <c r="P47" s="1058">
        <v>2</v>
      </c>
      <c r="Q47" s="1058">
        <v>1.3139490859115348</v>
      </c>
      <c r="R47" s="1058">
        <v>-6.2815776691114156E-2</v>
      </c>
      <c r="S47" s="1058">
        <v>-0.13144997430361913</v>
      </c>
      <c r="T47" s="1212"/>
      <c r="U47" s="1212"/>
      <c r="V47" s="1212"/>
      <c r="W47" s="1212"/>
      <c r="X47" s="1212"/>
      <c r="Z47" s="275">
        <v>19000</v>
      </c>
      <c r="AA47" s="276">
        <f t="shared" si="10"/>
        <v>60400.678536442101</v>
      </c>
      <c r="AB47" s="277">
        <f t="shared" si="6"/>
        <v>41400.678536442101</v>
      </c>
    </row>
    <row r="48" spans="1:32">
      <c r="A48" s="119"/>
      <c r="P48" s="1058">
        <v>3</v>
      </c>
      <c r="Q48" s="1058">
        <v>1.6519504611003681</v>
      </c>
      <c r="R48" s="1058">
        <v>-0.23907956065994984</v>
      </c>
      <c r="S48" s="1058">
        <v>-0.50030428278882666</v>
      </c>
      <c r="T48" s="1212"/>
      <c r="U48" s="1212"/>
      <c r="V48" s="1212"/>
      <c r="W48" s="1212"/>
      <c r="X48" s="1212"/>
      <c r="Z48" s="275">
        <v>19500</v>
      </c>
      <c r="AA48" s="276">
        <f t="shared" si="10"/>
        <v>60548.788044522218</v>
      </c>
      <c r="AB48" s="277">
        <f t="shared" si="6"/>
        <v>41048.788044522218</v>
      </c>
    </row>
    <row r="49" spans="16:29">
      <c r="P49" s="1058">
        <v>4</v>
      </c>
      <c r="Q49" s="1058">
        <v>1.0537413941688063</v>
      </c>
      <c r="R49" s="1058">
        <v>-0.67752715056129964</v>
      </c>
      <c r="S49" s="1058">
        <v>-1.4178114356402693</v>
      </c>
      <c r="T49" s="1212"/>
      <c r="U49" s="1212"/>
      <c r="V49" s="1212"/>
      <c r="W49" s="1212"/>
      <c r="X49" s="1212"/>
      <c r="Z49" s="275">
        <v>20000</v>
      </c>
      <c r="AA49" s="276">
        <f t="shared" si="10"/>
        <v>60657.354580060615</v>
      </c>
      <c r="AB49" s="277">
        <f t="shared" si="6"/>
        <v>40657.354580060615</v>
      </c>
    </row>
    <row r="50" spans="16:29">
      <c r="P50" s="1058">
        <v>5</v>
      </c>
      <c r="Q50" s="1058">
        <v>1.4276042767061274</v>
      </c>
      <c r="R50" s="1058">
        <v>-0.92659343918275705</v>
      </c>
      <c r="S50" s="1058">
        <v>-1.9390142124550898</v>
      </c>
      <c r="T50" s="1212"/>
      <c r="U50" s="1212"/>
      <c r="V50" s="1212"/>
      <c r="W50" s="1212"/>
      <c r="X50" s="1212"/>
      <c r="Z50" s="275">
        <v>20500</v>
      </c>
      <c r="AA50" s="276">
        <f t="shared" si="10"/>
        <v>60728.136957622395</v>
      </c>
      <c r="AB50" s="277">
        <f t="shared" si="6"/>
        <v>40228.136957622395</v>
      </c>
    </row>
    <row r="51" spans="16:29">
      <c r="P51" s="1058">
        <v>6</v>
      </c>
      <c r="Q51" s="1058">
        <v>1.5376350229555031</v>
      </c>
      <c r="R51" s="1058">
        <v>-0.84975956333025082</v>
      </c>
      <c r="S51" s="1058">
        <v>-1.7782295889340991</v>
      </c>
      <c r="T51" s="1212"/>
      <c r="U51" s="1212"/>
      <c r="V51" s="1212"/>
      <c r="W51" s="1212"/>
      <c r="X51" s="1212"/>
      <c r="Z51" s="275">
        <v>21000</v>
      </c>
      <c r="AA51" s="276">
        <f t="shared" si="10"/>
        <v>60762.833579348771</v>
      </c>
      <c r="AB51" s="277">
        <f t="shared" si="6"/>
        <v>39762.833579348771</v>
      </c>
    </row>
    <row r="52" spans="16:29">
      <c r="P52" s="1058">
        <v>7</v>
      </c>
      <c r="Q52" s="1058">
        <v>1.400244415460425</v>
      </c>
      <c r="R52" s="1058">
        <v>0.1874238274494906</v>
      </c>
      <c r="S52" s="1058">
        <v>0.39220811394674016</v>
      </c>
      <c r="T52" s="1212"/>
      <c r="U52" s="1212"/>
      <c r="V52" s="1212"/>
      <c r="W52" s="1212"/>
      <c r="X52" s="1212"/>
      <c r="Z52" s="275">
        <v>21425</v>
      </c>
      <c r="AA52" s="276">
        <f t="shared" si="10"/>
        <v>60765.17974737956</v>
      </c>
      <c r="AB52" s="277">
        <f t="shared" si="6"/>
        <v>39340.17974737956</v>
      </c>
    </row>
    <row r="53" spans="16:29">
      <c r="P53" s="1058">
        <v>8</v>
      </c>
      <c r="Q53" s="1058">
        <v>1.1077186069567935</v>
      </c>
      <c r="R53" s="1058">
        <v>-0.78925407260925384</v>
      </c>
      <c r="S53" s="1058">
        <v>-1.6516141808398457</v>
      </c>
      <c r="T53" s="1212"/>
      <c r="U53" s="1212"/>
      <c r="V53" s="1212"/>
      <c r="W53" s="1212"/>
      <c r="X53" s="1212"/>
      <c r="Z53" s="275">
        <v>22000</v>
      </c>
      <c r="AA53" s="276">
        <f t="shared" si="10"/>
        <v>60730.472198964715</v>
      </c>
      <c r="AB53" s="277">
        <f t="shared" si="6"/>
        <v>38730.472198964715</v>
      </c>
    </row>
    <row r="54" spans="16:29">
      <c r="P54" s="1058">
        <v>9</v>
      </c>
      <c r="Q54" s="1058">
        <v>0.96260808126359665</v>
      </c>
      <c r="R54" s="1058">
        <v>0.18392023628669052</v>
      </c>
      <c r="S54" s="1058">
        <v>0.38487640537637385</v>
      </c>
      <c r="T54" s="1212"/>
      <c r="U54" s="1212"/>
      <c r="V54" s="1212"/>
      <c r="W54" s="1212"/>
      <c r="X54" s="1212"/>
      <c r="Z54" s="240">
        <v>22500</v>
      </c>
      <c r="AA54" s="156">
        <f t="shared" si="10"/>
        <v>60666.525398170874</v>
      </c>
      <c r="AB54" s="33">
        <f t="shared" si="6"/>
        <v>38166.525398170874</v>
      </c>
    </row>
    <row r="55" spans="16:29">
      <c r="P55" s="1058">
        <v>10</v>
      </c>
      <c r="Q55" s="1058">
        <v>1.259049868375401</v>
      </c>
      <c r="R55" s="1058">
        <v>0.16162878611012976</v>
      </c>
      <c r="S55" s="1058">
        <v>0.33822872055496145</v>
      </c>
      <c r="T55" s="1212"/>
      <c r="U55" s="1212"/>
      <c r="V55" s="1212"/>
      <c r="W55" s="1212"/>
      <c r="X55" s="1212"/>
      <c r="Z55" s="821">
        <v>23000</v>
      </c>
      <c r="AA55" s="156">
        <f t="shared" si="10"/>
        <v>60572.718698287004</v>
      </c>
      <c r="AB55" s="617">
        <f t="shared" si="6"/>
        <v>37572.718698287004</v>
      </c>
      <c r="AC55" s="331" t="s">
        <v>380</v>
      </c>
    </row>
    <row r="56" spans="16:29">
      <c r="P56" s="1058">
        <v>11</v>
      </c>
      <c r="Q56" s="1058">
        <v>1.3577951340897734</v>
      </c>
      <c r="R56" s="1058">
        <v>0.53450688077141661</v>
      </c>
      <c r="S56" s="1058">
        <v>1.1185233940194097</v>
      </c>
      <c r="T56" s="1212"/>
      <c r="U56" s="1212"/>
      <c r="V56" s="1212"/>
      <c r="W56" s="1212"/>
      <c r="X56" s="1212"/>
      <c r="Z56" s="240">
        <v>23500</v>
      </c>
      <c r="AA56" s="156">
        <f t="shared" si="10"/>
        <v>60450.475263695858</v>
      </c>
      <c r="AB56" s="33">
        <f t="shared" si="6"/>
        <v>36950.475263695858</v>
      </c>
    </row>
    <row r="57" spans="16:29">
      <c r="P57" s="1058">
        <v>12</v>
      </c>
      <c r="Q57" s="1058">
        <v>1.3368771215569146</v>
      </c>
      <c r="R57" s="1058">
        <v>0.31043205414176422</v>
      </c>
      <c r="S57" s="1058">
        <v>0.64961841896204753</v>
      </c>
      <c r="T57" s="1212"/>
      <c r="U57" s="1212"/>
      <c r="V57" s="1212"/>
      <c r="W57" s="1212"/>
      <c r="X57" s="1212"/>
      <c r="Z57" s="240">
        <v>24000</v>
      </c>
      <c r="AA57" s="156">
        <f t="shared" si="10"/>
        <v>60301.168220177664</v>
      </c>
      <c r="AB57" s="33">
        <f t="shared" si="6"/>
        <v>36301.168220177664</v>
      </c>
    </row>
    <row r="58" spans="16:29">
      <c r="P58" s="1058">
        <v>13</v>
      </c>
      <c r="Q58" s="1058">
        <v>1.4886241487765983</v>
      </c>
      <c r="R58" s="1058">
        <v>0.56212895857106338</v>
      </c>
      <c r="S58" s="1058">
        <v>1.1763260927718358</v>
      </c>
      <c r="T58" s="1212"/>
      <c r="U58" s="1212"/>
      <c r="V58" s="1212"/>
      <c r="W58" s="1212"/>
      <c r="X58" s="1212"/>
      <c r="Z58" s="240">
        <v>24500</v>
      </c>
      <c r="AA58" s="156">
        <f t="shared" si="10"/>
        <v>60126.122212456365</v>
      </c>
      <c r="AB58" s="33">
        <f t="shared" si="6"/>
        <v>35626.122212456365</v>
      </c>
    </row>
    <row r="59" spans="16:29">
      <c r="P59" s="1058">
        <v>14</v>
      </c>
      <c r="Q59" s="1058">
        <v>1.5548683056190815</v>
      </c>
      <c r="R59" s="1058">
        <v>0.75905766278330722</v>
      </c>
      <c r="S59" s="1058">
        <v>1.5884243660390085</v>
      </c>
      <c r="T59" s="1212"/>
      <c r="U59" s="1212"/>
      <c r="V59" s="1212"/>
      <c r="W59" s="1212"/>
      <c r="X59" s="1212"/>
      <c r="Z59" s="240">
        <v>25000</v>
      </c>
      <c r="AA59" s="156">
        <f t="shared" si="10"/>
        <v>59926.614916367449</v>
      </c>
      <c r="AB59" s="33">
        <f t="shared" si="6"/>
        <v>34926.614916367449</v>
      </c>
    </row>
    <row r="60" spans="16:29">
      <c r="P60" s="1058">
        <v>15</v>
      </c>
      <c r="Q60" s="1058">
        <v>1.4490451840257994</v>
      </c>
      <c r="R60" s="1058">
        <v>0.37304821275778166</v>
      </c>
      <c r="S60" s="1058">
        <v>0.78065066714295972</v>
      </c>
      <c r="T60" s="1212"/>
      <c r="U60" s="1212"/>
      <c r="V60" s="1212"/>
      <c r="W60" s="1212"/>
      <c r="X60" s="1212"/>
      <c r="Z60" s="240">
        <v>25500</v>
      </c>
      <c r="AA60" s="156">
        <f t="shared" si="10"/>
        <v>59703.878506915695</v>
      </c>
      <c r="AB60" s="33">
        <f t="shared" si="6"/>
        <v>34203.878506915695</v>
      </c>
    </row>
    <row r="61" spans="16:29">
      <c r="P61" s="1058">
        <v>16</v>
      </c>
      <c r="Q61" s="1058">
        <v>1.2945058047552884</v>
      </c>
      <c r="R61" s="1058">
        <v>0.26326313102619436</v>
      </c>
      <c r="S61" s="1058">
        <v>0.55091146892368015</v>
      </c>
      <c r="T61" s="1212"/>
      <c r="U61" s="1212"/>
      <c r="V61" s="1212"/>
      <c r="W61" s="1212"/>
      <c r="X61" s="1212"/>
      <c r="Z61" s="240">
        <v>26000</v>
      </c>
      <c r="AA61" s="156">
        <f t="shared" si="10"/>
        <v>59459.101083456502</v>
      </c>
      <c r="AB61" s="33">
        <f t="shared" si="6"/>
        <v>33459.101083456502</v>
      </c>
    </row>
    <row r="62" spans="16:29">
      <c r="P62" s="1058">
        <v>17</v>
      </c>
      <c r="Q62" s="1058">
        <v>1.3290764193658309</v>
      </c>
      <c r="R62" s="1058">
        <v>0.28444261242548396</v>
      </c>
      <c r="S62" s="1058">
        <v>0.59523221814231431</v>
      </c>
      <c r="T62" s="1212"/>
      <c r="U62" s="1212"/>
      <c r="V62" s="1212"/>
      <c r="W62" s="1212"/>
      <c r="X62" s="1212"/>
      <c r="Z62" s="240">
        <v>26500</v>
      </c>
      <c r="AA62" s="156">
        <f t="shared" si="10"/>
        <v>59193.428053201038</v>
      </c>
      <c r="AB62" s="33">
        <f t="shared" si="6"/>
        <v>32693.428053201038</v>
      </c>
    </row>
    <row r="63" spans="16:29">
      <c r="P63" s="1058">
        <v>18</v>
      </c>
      <c r="Q63" s="1058">
        <v>0.98481644342477903</v>
      </c>
      <c r="R63" s="1058">
        <v>0.33148497799646903</v>
      </c>
      <c r="S63" s="1058">
        <v>0.69367433047811844</v>
      </c>
      <c r="T63" s="1212"/>
      <c r="U63" s="1212"/>
      <c r="V63" s="1212"/>
      <c r="W63" s="1212"/>
      <c r="X63" s="1212"/>
      <c r="Z63" s="240">
        <v>27000</v>
      </c>
      <c r="AA63" s="156">
        <f t="shared" si="10"/>
        <v>58907.963474212716</v>
      </c>
      <c r="AB63" s="33">
        <f t="shared" si="6"/>
        <v>31907.963474212716</v>
      </c>
    </row>
    <row r="64" spans="16:29">
      <c r="P64" s="1058">
        <v>19</v>
      </c>
      <c r="Q64" s="1058">
        <v>1.1972721888689475</v>
      </c>
      <c r="R64" s="1058">
        <v>0.47461409189380666</v>
      </c>
      <c r="S64" s="1058">
        <v>0.99319014218925916</v>
      </c>
      <c r="T64" s="1212"/>
      <c r="U64" s="1212"/>
      <c r="V64" s="1212"/>
      <c r="W64" s="1212"/>
      <c r="X64" s="1212"/>
      <c r="Z64" s="240">
        <v>27500</v>
      </c>
      <c r="AA64" s="156">
        <f t="shared" si="10"/>
        <v>58603.771359030914</v>
      </c>
      <c r="AB64" s="33">
        <f t="shared" si="6"/>
        <v>31103.771359030914</v>
      </c>
    </row>
    <row r="65" spans="16:28">
      <c r="P65" s="1058">
        <v>20</v>
      </c>
      <c r="Q65" s="1058">
        <v>1.2903323070222803</v>
      </c>
      <c r="R65" s="1058">
        <v>0.2660676645905744</v>
      </c>
      <c r="S65" s="1058">
        <v>0.556780310867388</v>
      </c>
      <c r="T65" s="1212"/>
      <c r="U65" s="1212"/>
      <c r="V65" s="1212"/>
      <c r="W65" s="1212"/>
      <c r="X65" s="1212"/>
      <c r="Z65" s="240">
        <v>28000</v>
      </c>
      <c r="AA65" s="156">
        <f t="shared" si="10"/>
        <v>58281.876940026727</v>
      </c>
      <c r="AB65" s="33">
        <f t="shared" si="6"/>
        <v>30281.876940026727</v>
      </c>
    </row>
    <row r="66" spans="16:28">
      <c r="P66" s="1058">
        <v>21</v>
      </c>
      <c r="Q66" s="1058">
        <v>0.89814769729824739</v>
      </c>
      <c r="R66" s="1058">
        <v>5.9688957691838684E-2</v>
      </c>
      <c r="S66" s="1058">
        <v>0.12490670923936703</v>
      </c>
      <c r="T66" s="1212"/>
      <c r="U66" s="1212"/>
      <c r="V66" s="1212"/>
      <c r="W66" s="1212"/>
      <c r="X66" s="1212"/>
      <c r="Z66" s="240">
        <v>28500</v>
      </c>
      <c r="AA66" s="156">
        <f t="shared" si="10"/>
        <v>57943.26789756558</v>
      </c>
      <c r="AB66" s="33">
        <f t="shared" si="6"/>
        <v>29443.26789756558</v>
      </c>
    </row>
    <row r="67" spans="16:28">
      <c r="P67" s="1058">
        <v>22</v>
      </c>
      <c r="Q67" s="1058">
        <v>0.72329970572842051</v>
      </c>
      <c r="R67" s="1058">
        <v>0.52998565009589216</v>
      </c>
      <c r="S67" s="1058">
        <v>1.1090621457880798</v>
      </c>
      <c r="T67" s="1212"/>
      <c r="U67" s="1212"/>
      <c r="V67" s="1212"/>
      <c r="W67" s="1212"/>
      <c r="X67" s="1212"/>
      <c r="Z67" s="240">
        <v>29000</v>
      </c>
      <c r="AA67" s="156">
        <f t="shared" si="10"/>
        <v>57588.895552022295</v>
      </c>
      <c r="AB67" s="33">
        <f t="shared" si="6"/>
        <v>28588.895552022295</v>
      </c>
    </row>
    <row r="68" spans="16:28">
      <c r="P68" s="1058">
        <v>23</v>
      </c>
      <c r="Q68" s="1058">
        <v>1.0388353977271445</v>
      </c>
      <c r="R68" s="1058">
        <v>0.35496550919336123</v>
      </c>
      <c r="S68" s="1058">
        <v>0.74281031804449393</v>
      </c>
      <c r="T68" s="1212"/>
      <c r="U68" s="1212"/>
      <c r="V68" s="1212"/>
      <c r="W68" s="1212"/>
      <c r="X68" s="1212"/>
      <c r="Z68" s="240">
        <v>29500</v>
      </c>
      <c r="AA68" s="156">
        <f t="shared" si="10"/>
        <v>57219.676020665451</v>
      </c>
      <c r="AB68" s="33">
        <f t="shared" si="6"/>
        <v>27719.676020665451</v>
      </c>
    </row>
    <row r="69" spans="16:28">
      <c r="P69" s="1058">
        <v>24</v>
      </c>
      <c r="Q69" s="1058">
        <v>0.44917042723385348</v>
      </c>
      <c r="R69" s="1058">
        <v>-0.10221742120823946</v>
      </c>
      <c r="S69" s="1058">
        <v>-0.21390290941202353</v>
      </c>
      <c r="T69" s="1212"/>
      <c r="U69" s="1212"/>
      <c r="V69" s="1212"/>
      <c r="W69" s="1212"/>
      <c r="X69" s="1212"/>
      <c r="Z69" s="240">
        <v>30000</v>
      </c>
      <c r="AA69" s="156">
        <f t="shared" si="10"/>
        <v>56836.491340400367</v>
      </c>
      <c r="AB69" s="33">
        <f t="shared" si="6"/>
        <v>26836.491340400367</v>
      </c>
    </row>
    <row r="70" spans="16:28">
      <c r="P70" s="1058">
        <v>25</v>
      </c>
      <c r="Q70" s="1058">
        <v>0.60863217196747654</v>
      </c>
      <c r="R70" s="1058">
        <v>-0.37471099637587313</v>
      </c>
      <c r="S70" s="1058">
        <v>-0.78413025261310998</v>
      </c>
      <c r="T70" s="1212"/>
      <c r="U70" s="1212"/>
      <c r="V70" s="1212"/>
      <c r="W70" s="1212"/>
      <c r="X70" s="1212"/>
      <c r="Z70" s="240">
        <v>30500</v>
      </c>
      <c r="AA70" s="156">
        <f t="shared" si="10"/>
        <v>56440.190557333</v>
      </c>
      <c r="AB70" s="33">
        <f t="shared" si="6"/>
        <v>25940.190557333</v>
      </c>
    </row>
    <row r="71" spans="16:28">
      <c r="P71" s="1058">
        <v>26</v>
      </c>
      <c r="Q71" s="1058">
        <v>1.0376120264190671</v>
      </c>
      <c r="R71" s="1058">
        <v>-0.62120024299152055</v>
      </c>
      <c r="S71" s="1058">
        <v>-1.2999402424039184</v>
      </c>
      <c r="T71" s="1212"/>
      <c r="U71" s="1212"/>
      <c r="V71" s="1212"/>
      <c r="W71" s="1212"/>
      <c r="X71" s="1212"/>
      <c r="Z71" s="240">
        <v>31000</v>
      </c>
      <c r="AA71" s="156">
        <f t="shared" ref="AA71:AA97" si="12">$Z71*EXP(a_parameter_even*(1-$Z71/b_parameter_even))</f>
        <v>56031.590784090491</v>
      </c>
      <c r="AB71" s="33">
        <f t="shared" si="6"/>
        <v>25031.590784090491</v>
      </c>
    </row>
    <row r="72" spans="16:28">
      <c r="P72" s="1058">
        <v>27</v>
      </c>
      <c r="Q72" s="1058">
        <v>-0.69985754750650475</v>
      </c>
      <c r="R72" s="1058">
        <v>0.60651258502808503</v>
      </c>
      <c r="S72" s="1058">
        <v>1.2692044565301275</v>
      </c>
      <c r="T72" s="1212"/>
      <c r="U72" s="1212"/>
      <c r="V72" s="1212"/>
      <c r="W72" s="1212"/>
      <c r="X72" s="1212"/>
      <c r="Z72" s="240">
        <v>31500</v>
      </c>
      <c r="AA72" s="156">
        <f t="shared" si="12"/>
        <v>55611.478225809027</v>
      </c>
      <c r="AB72" s="33">
        <f t="shared" si="6"/>
        <v>24111.478225809027</v>
      </c>
    </row>
    <row r="73" spans="16:28">
      <c r="P73" s="1058">
        <v>28</v>
      </c>
      <c r="Q73" s="1058">
        <v>0.4237148934773205</v>
      </c>
      <c r="R73" s="1058">
        <v>-0.10745918493397122</v>
      </c>
      <c r="S73" s="1058">
        <v>-0.22487196437478024</v>
      </c>
      <c r="T73" s="1212"/>
      <c r="U73" s="1212"/>
      <c r="V73" s="1212"/>
      <c r="W73" s="1212"/>
      <c r="X73" s="1212"/>
      <c r="Z73" s="240">
        <v>32000</v>
      </c>
      <c r="AA73" s="156">
        <f t="shared" si="12"/>
        <v>55180.609175674166</v>
      </c>
      <c r="AB73" s="33">
        <f t="shared" si="6"/>
        <v>23180.609175674166</v>
      </c>
    </row>
    <row r="74" spans="16:28">
      <c r="P74" s="1058">
        <v>29</v>
      </c>
      <c r="Q74" s="1058">
        <v>0.52205512554969347</v>
      </c>
      <c r="R74" s="1058">
        <v>-0.31023594838259794</v>
      </c>
      <c r="S74" s="1058">
        <v>-0.64920804280559308</v>
      </c>
      <c r="T74" s="1212"/>
      <c r="U74" s="1212"/>
      <c r="V74" s="1212"/>
      <c r="W74" s="1212"/>
      <c r="X74" s="1212"/>
      <c r="Z74" s="240">
        <v>32500</v>
      </c>
      <c r="AA74" s="156">
        <f t="shared" si="12"/>
        <v>54739.710980874988</v>
      </c>
      <c r="AB74" s="33">
        <f t="shared" si="6"/>
        <v>22239.710980874988</v>
      </c>
    </row>
    <row r="75" spans="16:28">
      <c r="P75" s="1058">
        <v>30</v>
      </c>
      <c r="Q75" s="1058">
        <v>0.74310891037075022</v>
      </c>
      <c r="R75" s="1058">
        <v>-0.53245417174005527</v>
      </c>
      <c r="S75" s="1058">
        <v>-1.1142278402009465</v>
      </c>
      <c r="T75" s="1212"/>
      <c r="U75" s="1212"/>
      <c r="V75" s="1212"/>
      <c r="W75" s="1212"/>
      <c r="X75" s="1212"/>
      <c r="Z75" s="240">
        <v>33000</v>
      </c>
      <c r="AA75" s="156">
        <f t="shared" si="12"/>
        <v>54289.482979809851</v>
      </c>
      <c r="AB75" s="33">
        <f t="shared" ref="AB75:AB97" si="13">AA75-Z75</f>
        <v>21289.482979809851</v>
      </c>
    </row>
    <row r="76" spans="16:28" ht="16.5" thickBot="1">
      <c r="P76" s="1214">
        <v>31</v>
      </c>
      <c r="Q76" s="1214">
        <v>1.261441923054607</v>
      </c>
      <c r="R76" s="1214">
        <v>-5.5787565265369432E-2</v>
      </c>
      <c r="S76" s="1214">
        <v>-0.11674255110550347</v>
      </c>
      <c r="T76" s="1212"/>
      <c r="U76" s="1212"/>
      <c r="V76" s="1212"/>
      <c r="W76" s="1212"/>
      <c r="X76" s="1212"/>
      <c r="Z76" s="240">
        <v>33500</v>
      </c>
      <c r="AA76" s="156">
        <f t="shared" si="12"/>
        <v>53830.597411357994</v>
      </c>
      <c r="AB76" s="33">
        <f t="shared" si="13"/>
        <v>20330.597411357994</v>
      </c>
    </row>
    <row r="77" spans="16:28">
      <c r="Z77" s="240">
        <v>34000</v>
      </c>
      <c r="AA77" s="156">
        <f t="shared" si="12"/>
        <v>53363.700297009826</v>
      </c>
      <c r="AB77" s="33">
        <f t="shared" si="13"/>
        <v>19363.700297009826</v>
      </c>
    </row>
    <row r="78" spans="16:28">
      <c r="Z78" s="240">
        <v>34500</v>
      </c>
      <c r="AA78" s="156">
        <f t="shared" si="12"/>
        <v>52889.41229662612</v>
      </c>
      <c r="AB78" s="33">
        <f t="shared" si="13"/>
        <v>18389.41229662612</v>
      </c>
    </row>
    <row r="79" spans="16:28">
      <c r="Z79" s="240">
        <v>35000</v>
      </c>
      <c r="AA79" s="156">
        <f t="shared" si="12"/>
        <v>52408.329538575708</v>
      </c>
      <c r="AB79" s="33">
        <f t="shared" si="13"/>
        <v>17408.329538575708</v>
      </c>
    </row>
    <row r="80" spans="16:28">
      <c r="Z80" s="240">
        <v>35500</v>
      </c>
      <c r="AA80" s="156">
        <f t="shared" si="12"/>
        <v>51921.024424980373</v>
      </c>
      <c r="AB80" s="33">
        <f t="shared" si="13"/>
        <v>16421.024424980373</v>
      </c>
    </row>
    <row r="81" spans="26:28">
      <c r="Z81" s="240">
        <v>36000</v>
      </c>
      <c r="AA81" s="156">
        <f t="shared" si="12"/>
        <v>51428.046412775999</v>
      </c>
      <c r="AB81" s="33">
        <f t="shared" si="13"/>
        <v>15428.046412775999</v>
      </c>
    </row>
    <row r="82" spans="26:28">
      <c r="Z82" s="240">
        <v>36500</v>
      </c>
      <c r="AA82" s="156">
        <f t="shared" si="12"/>
        <v>50929.922771278929</v>
      </c>
      <c r="AB82" s="33">
        <f t="shared" si="13"/>
        <v>14429.922771278929</v>
      </c>
    </row>
    <row r="83" spans="26:28">
      <c r="Z83" s="240">
        <v>37000</v>
      </c>
      <c r="AA83" s="156">
        <f t="shared" si="12"/>
        <v>50427.15931692798</v>
      </c>
      <c r="AB83" s="33">
        <f t="shared" si="13"/>
        <v>13427.15931692798</v>
      </c>
    </row>
    <row r="84" spans="26:28">
      <c r="Z84" s="240">
        <v>37500</v>
      </c>
      <c r="AA84" s="156">
        <f t="shared" si="12"/>
        <v>49920.241125854125</v>
      </c>
      <c r="AB84" s="33">
        <f t="shared" si="13"/>
        <v>12420.241125854125</v>
      </c>
    </row>
    <row r="85" spans="26:28">
      <c r="Z85" s="240">
        <v>38000</v>
      </c>
      <c r="AA85" s="156">
        <f t="shared" si="12"/>
        <v>49409.633224911384</v>
      </c>
      <c r="AB85" s="33">
        <f t="shared" si="13"/>
        <v>11409.633224911384</v>
      </c>
    </row>
    <row r="86" spans="26:28">
      <c r="Z86" s="240">
        <v>38500</v>
      </c>
      <c r="AA86" s="156">
        <f t="shared" si="12"/>
        <v>48895.781261785523</v>
      </c>
      <c r="AB86" s="33">
        <f t="shared" si="13"/>
        <v>10395.781261785523</v>
      </c>
    </row>
    <row r="87" spans="26:28">
      <c r="Z87" s="240">
        <v>39000</v>
      </c>
      <c r="AA87" s="156">
        <f t="shared" si="12"/>
        <v>48379.11215477989</v>
      </c>
      <c r="AB87" s="33">
        <f t="shared" si="13"/>
        <v>9379.1121547798903</v>
      </c>
    </row>
    <row r="88" spans="26:28">
      <c r="Z88" s="240">
        <v>39500</v>
      </c>
      <c r="AA88" s="156">
        <f t="shared" si="12"/>
        <v>47860.034722861135</v>
      </c>
      <c r="AB88" s="33">
        <f t="shared" si="13"/>
        <v>8360.0347228611354</v>
      </c>
    </row>
    <row r="89" spans="26:28">
      <c r="Z89" s="240">
        <v>40000</v>
      </c>
      <c r="AA89" s="156">
        <f t="shared" si="12"/>
        <v>47338.940296531437</v>
      </c>
      <c r="AB89" s="33">
        <f t="shared" si="13"/>
        <v>7338.9402965314366</v>
      </c>
    </row>
    <row r="90" spans="26:28">
      <c r="Z90" s="240">
        <v>40500</v>
      </c>
      <c r="AA90" s="156">
        <f t="shared" si="12"/>
        <v>46816.203310078432</v>
      </c>
      <c r="AB90" s="33">
        <f t="shared" si="13"/>
        <v>6316.203310078432</v>
      </c>
    </row>
    <row r="91" spans="26:28">
      <c r="Z91" s="240">
        <v>41000</v>
      </c>
      <c r="AA91" s="156">
        <f t="shared" si="12"/>
        <v>46292.181875738439</v>
      </c>
      <c r="AB91" s="33">
        <f t="shared" si="13"/>
        <v>5292.181875738439</v>
      </c>
    </row>
    <row r="92" spans="26:28">
      <c r="Z92" s="240">
        <v>41500</v>
      </c>
      <c r="AA92" s="156">
        <f t="shared" si="12"/>
        <v>45767.218340293774</v>
      </c>
      <c r="AB92" s="33">
        <f t="shared" si="13"/>
        <v>4267.2183402937735</v>
      </c>
    </row>
    <row r="93" spans="26:28">
      <c r="Z93" s="240">
        <v>42000</v>
      </c>
      <c r="AA93" s="156">
        <f t="shared" si="12"/>
        <v>45241.63982461096</v>
      </c>
      <c r="AB93" s="33">
        <f t="shared" si="13"/>
        <v>3241.6398246109602</v>
      </c>
    </row>
    <row r="94" spans="26:28">
      <c r="Z94" s="240">
        <v>42500</v>
      </c>
      <c r="AA94" s="156">
        <f t="shared" si="12"/>
        <v>44715.758746611893</v>
      </c>
      <c r="AB94" s="33">
        <f t="shared" si="13"/>
        <v>2215.758746611893</v>
      </c>
    </row>
    <row r="95" spans="26:28">
      <c r="Z95" s="240">
        <v>43000</v>
      </c>
      <c r="AA95" s="156">
        <f t="shared" si="12"/>
        <v>44189.87332815674</v>
      </c>
      <c r="AB95" s="33">
        <f t="shared" si="13"/>
        <v>1189.8733281567402</v>
      </c>
    </row>
    <row r="96" spans="26:28">
      <c r="Z96" s="240">
        <v>43500</v>
      </c>
      <c r="AA96" s="156">
        <f t="shared" si="12"/>
        <v>43664.268086304197</v>
      </c>
      <c r="AB96" s="33">
        <f t="shared" si="13"/>
        <v>164.26808630419691</v>
      </c>
    </row>
    <row r="97" spans="26:28">
      <c r="Z97" s="240">
        <v>44000</v>
      </c>
      <c r="AA97" s="156">
        <f t="shared" si="12"/>
        <v>43139.214309401323</v>
      </c>
      <c r="AB97" s="33">
        <f t="shared" si="13"/>
        <v>-860.78569059867732</v>
      </c>
    </row>
    <row r="100" spans="26:28">
      <c r="Z100" s="240"/>
      <c r="AA100" s="156"/>
      <c r="AB100" s="33"/>
    </row>
    <row r="101" spans="26:28">
      <c r="Z101" s="240"/>
      <c r="AA101" s="156"/>
      <c r="AB101" s="33"/>
    </row>
    <row r="102" spans="26:28">
      <c r="Z102" s="240"/>
      <c r="AA102" s="156"/>
      <c r="AB102" s="33"/>
    </row>
    <row r="103" spans="26:28">
      <c r="Z103" s="240"/>
      <c r="AA103" s="156"/>
      <c r="AB103" s="33"/>
    </row>
    <row r="104" spans="26:28">
      <c r="Z104" s="240"/>
      <c r="AA104" s="156"/>
      <c r="AB104" s="33"/>
    </row>
    <row r="105" spans="26:28">
      <c r="Z105" s="240"/>
      <c r="AA105" s="156"/>
      <c r="AB105" s="33"/>
    </row>
    <row r="106" spans="26:28">
      <c r="Z106" s="240"/>
      <c r="AA106" s="156"/>
      <c r="AB106" s="33"/>
    </row>
    <row r="107" spans="26:28">
      <c r="Z107" s="240"/>
      <c r="AA107" s="156"/>
      <c r="AB107" s="33"/>
    </row>
    <row r="108" spans="26:28">
      <c r="Z108" s="240"/>
      <c r="AA108" s="156"/>
      <c r="AB108" s="33"/>
    </row>
    <row r="109" spans="26:28">
      <c r="Z109" s="240"/>
      <c r="AA109" s="156"/>
      <c r="AB109" s="33"/>
    </row>
    <row r="110" spans="26:28">
      <c r="Z110" s="240"/>
      <c r="AA110" s="156"/>
      <c r="AB110" s="33"/>
    </row>
    <row r="111" spans="26:28">
      <c r="Z111" s="240"/>
      <c r="AA111" s="156"/>
      <c r="AB111" s="33"/>
    </row>
  </sheetData>
  <phoneticPr fontId="47" type="noConversion"/>
  <pageMargins left="0.75" right="0.75" top="1" bottom="1" header="0.5" footer="0.5"/>
  <headerFooter alignWithMargins="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9"/>
  </sheetPr>
  <dimension ref="A1:AB57"/>
  <sheetViews>
    <sheetView zoomScale="75" zoomScaleNormal="75" workbookViewId="0">
      <pane ySplit="6" topLeftCell="A19" activePane="bottomLeft" state="frozen"/>
      <selection activeCell="D8" sqref="A1:XFD1048576"/>
      <selection pane="bottomLeft" activeCell="G44" sqref="G44:Z44"/>
    </sheetView>
  </sheetViews>
  <sheetFormatPr defaultRowHeight="15.75"/>
  <cols>
    <col min="1" max="1" width="15.5" customWidth="1"/>
    <col min="3" max="3" width="1.75" customWidth="1"/>
    <col min="7" max="8" width="10.125" customWidth="1"/>
    <col min="9" max="9" width="9.25" customWidth="1"/>
    <col min="10" max="10" width="10.125" customWidth="1"/>
    <col min="11" max="11" width="9.25" customWidth="1"/>
    <col min="12" max="13" width="10.125" customWidth="1"/>
    <col min="14" max="15" width="9.25" customWidth="1"/>
    <col min="16" max="17" width="10.125" customWidth="1"/>
    <col min="18" max="19" width="9.25" customWidth="1"/>
    <col min="20" max="20" width="10.125" customWidth="1"/>
    <col min="21" max="22" width="9.25" customWidth="1"/>
    <col min="23" max="23" width="10.125" customWidth="1"/>
    <col min="24" max="24" width="9.25" customWidth="1"/>
    <col min="26" max="26" width="8.625" customWidth="1"/>
    <col min="27" max="27" width="14.25" bestFit="1" customWidth="1"/>
  </cols>
  <sheetData>
    <row r="1" spans="1:27" ht="33">
      <c r="A1" s="5" t="s">
        <v>308</v>
      </c>
      <c r="B1" s="6"/>
      <c r="C1" s="6"/>
      <c r="D1" s="6"/>
      <c r="E1" s="6"/>
      <c r="F1" s="6"/>
      <c r="G1" s="6"/>
      <c r="H1" s="6"/>
      <c r="I1" s="6"/>
      <c r="J1" s="6"/>
      <c r="K1" s="6"/>
      <c r="L1" s="6"/>
      <c r="M1" s="25" t="str">
        <f ca="1">CELL("filename",M1)</f>
        <v>C:\Projects\Shiny App\Aging Error\[Copprt Chinook brood.xlsx]UCRPercentage</v>
      </c>
      <c r="N1" s="6"/>
      <c r="O1" s="6"/>
      <c r="P1" s="6"/>
      <c r="Q1" s="6"/>
      <c r="R1" s="6"/>
      <c r="S1" s="6"/>
      <c r="T1" s="6"/>
      <c r="U1" s="6"/>
      <c r="V1" s="6"/>
      <c r="W1" s="6"/>
      <c r="X1" s="6"/>
      <c r="Y1" s="6"/>
      <c r="Z1" s="6"/>
      <c r="AA1" s="243">
        <f ca="1">NOW()</f>
        <v>43509.705858449073</v>
      </c>
    </row>
    <row r="2" spans="1:27" ht="30.75">
      <c r="A2" s="218" t="s">
        <v>25</v>
      </c>
      <c r="B2" s="6"/>
      <c r="C2" s="6"/>
      <c r="D2" s="6"/>
      <c r="E2" s="6"/>
      <c r="F2" s="6"/>
      <c r="G2" s="6"/>
      <c r="H2" s="6"/>
      <c r="I2" s="6"/>
      <c r="J2" s="6"/>
      <c r="K2" s="6"/>
      <c r="L2" s="6"/>
      <c r="M2" s="6"/>
      <c r="N2" s="6"/>
      <c r="O2" s="6"/>
      <c r="P2" s="6"/>
      <c r="Q2" s="6"/>
      <c r="R2" s="6"/>
      <c r="S2" s="6"/>
      <c r="T2" s="6"/>
      <c r="U2" s="6"/>
      <c r="V2" s="6"/>
      <c r="W2" s="6"/>
      <c r="X2" s="6"/>
      <c r="Y2" s="6"/>
      <c r="Z2" s="6"/>
      <c r="AA2" s="6"/>
    </row>
    <row r="3" spans="1:27">
      <c r="A3" s="6"/>
      <c r="B3" s="6"/>
      <c r="C3" s="6"/>
      <c r="D3" s="6"/>
      <c r="E3" s="6"/>
      <c r="F3" s="6"/>
      <c r="G3" s="6"/>
      <c r="H3" s="7"/>
      <c r="I3" s="6"/>
      <c r="J3" s="7"/>
      <c r="K3" s="7"/>
      <c r="L3" s="6"/>
      <c r="M3" s="6"/>
      <c r="N3" s="7"/>
      <c r="O3" s="7"/>
      <c r="P3" s="7"/>
      <c r="Q3" s="7"/>
      <c r="R3" s="7"/>
      <c r="S3" s="7"/>
      <c r="T3" s="7"/>
      <c r="U3" s="6"/>
      <c r="V3" s="6"/>
      <c r="W3" s="6"/>
      <c r="X3" s="6"/>
      <c r="Y3" s="6"/>
      <c r="Z3" s="7"/>
      <c r="AA3" s="7"/>
    </row>
    <row r="4" spans="1:27">
      <c r="A4" s="6"/>
      <c r="B4" s="6"/>
      <c r="C4" s="6"/>
      <c r="D4" s="6"/>
      <c r="E4" s="6"/>
      <c r="F4" s="6"/>
      <c r="G4" s="6"/>
      <c r="H4" s="6"/>
      <c r="I4" s="6"/>
      <c r="J4" s="6"/>
      <c r="K4" s="6"/>
      <c r="L4" s="6"/>
      <c r="M4" s="6"/>
      <c r="N4" s="6"/>
      <c r="O4" s="6"/>
      <c r="P4" s="6"/>
      <c r="Q4" s="6"/>
      <c r="R4" s="6"/>
      <c r="S4" s="6"/>
      <c r="T4" s="6"/>
      <c r="U4" s="6"/>
      <c r="V4" s="6"/>
      <c r="W4" s="6"/>
      <c r="X4" s="6"/>
      <c r="Y4" s="6"/>
      <c r="Z4" s="6"/>
      <c r="AA4" s="6"/>
    </row>
    <row r="5" spans="1:27">
      <c r="A5" s="206"/>
      <c r="B5" s="245" t="s">
        <v>2</v>
      </c>
      <c r="C5" s="245"/>
      <c r="D5" s="245"/>
      <c r="E5" s="246" t="s">
        <v>3</v>
      </c>
      <c r="F5" s="246" t="s">
        <v>4</v>
      </c>
      <c r="G5" s="251" t="s">
        <v>5</v>
      </c>
      <c r="H5" s="252" t="s">
        <v>6</v>
      </c>
      <c r="I5" s="253"/>
      <c r="J5" s="252" t="s">
        <v>7</v>
      </c>
      <c r="K5" s="247"/>
      <c r="L5" s="253"/>
      <c r="M5" s="252" t="s">
        <v>8</v>
      </c>
      <c r="N5" s="247"/>
      <c r="O5" s="247"/>
      <c r="P5" s="253"/>
      <c r="Q5" s="252" t="s">
        <v>9</v>
      </c>
      <c r="R5" s="248"/>
      <c r="S5" s="247"/>
      <c r="T5" s="253"/>
      <c r="U5" s="252" t="s">
        <v>10</v>
      </c>
      <c r="V5" s="247"/>
      <c r="W5" s="253"/>
      <c r="X5" s="1147" t="s">
        <v>11</v>
      </c>
      <c r="Y5" s="245"/>
      <c r="Z5" s="1148"/>
      <c r="AA5" s="206"/>
    </row>
    <row r="6" spans="1:27" ht="18.75">
      <c r="A6" s="570" t="s">
        <v>321</v>
      </c>
      <c r="B6" s="249" t="s">
        <v>13</v>
      </c>
      <c r="C6" s="249"/>
      <c r="D6" s="249"/>
      <c r="E6" s="250" t="s">
        <v>24</v>
      </c>
      <c r="F6" s="250" t="s">
        <v>14</v>
      </c>
      <c r="G6" s="257">
        <v>0.1</v>
      </c>
      <c r="H6" s="258">
        <v>0.2</v>
      </c>
      <c r="I6" s="259">
        <v>1.1000000000000001</v>
      </c>
      <c r="J6" s="258">
        <v>0.3</v>
      </c>
      <c r="K6" s="254">
        <v>1.2</v>
      </c>
      <c r="L6" s="259">
        <v>2.1</v>
      </c>
      <c r="M6" s="258">
        <v>0.4</v>
      </c>
      <c r="N6" s="254">
        <v>1.3</v>
      </c>
      <c r="O6" s="254">
        <v>2.2000000000000002</v>
      </c>
      <c r="P6" s="260" t="s">
        <v>15</v>
      </c>
      <c r="Q6" s="258">
        <v>0.5</v>
      </c>
      <c r="R6" s="254">
        <v>1.4</v>
      </c>
      <c r="S6" s="254">
        <v>2.2999999999999998</v>
      </c>
      <c r="T6" s="259">
        <v>3.2</v>
      </c>
      <c r="U6" s="258">
        <v>1.5</v>
      </c>
      <c r="V6" s="254">
        <v>2.4</v>
      </c>
      <c r="W6" s="254">
        <v>3.3</v>
      </c>
      <c r="X6" s="1149">
        <v>1.6</v>
      </c>
      <c r="Y6" s="749">
        <v>2.5</v>
      </c>
      <c r="Z6" s="748">
        <v>3.4</v>
      </c>
      <c r="AA6" s="254" t="s">
        <v>0</v>
      </c>
    </row>
    <row r="7" spans="1:27">
      <c r="A7" s="201">
        <v>1980</v>
      </c>
      <c r="B7" s="199">
        <v>29361</v>
      </c>
      <c r="C7" s="13" t="s">
        <v>1</v>
      </c>
      <c r="D7" s="200">
        <v>29383</v>
      </c>
      <c r="E7" s="256"/>
      <c r="F7" s="201" t="s">
        <v>16</v>
      </c>
      <c r="G7" s="538"/>
      <c r="H7" s="538"/>
      <c r="I7" s="538"/>
      <c r="J7" s="538"/>
      <c r="K7" s="538"/>
      <c r="L7" s="538"/>
      <c r="M7" s="538"/>
      <c r="N7" s="538"/>
      <c r="O7" s="538"/>
      <c r="P7" s="538"/>
      <c r="Q7" s="538"/>
      <c r="R7" s="538"/>
      <c r="S7" s="538"/>
      <c r="T7" s="538"/>
      <c r="U7" s="538"/>
      <c r="V7" s="538"/>
      <c r="W7" s="538"/>
      <c r="X7" s="538"/>
      <c r="Y7" s="538"/>
      <c r="Z7" s="538"/>
      <c r="AA7" s="261" t="str">
        <f>IF(ROUND(SUM(G7:Z7),2)&lt;&gt;100,"DATA ERROR",SUM(G7:Z7))</f>
        <v>DATA ERROR</v>
      </c>
    </row>
    <row r="8" spans="1:27">
      <c r="A8" s="201">
        <v>1981</v>
      </c>
      <c r="B8" s="199">
        <v>29724</v>
      </c>
      <c r="C8" s="13" t="s">
        <v>1</v>
      </c>
      <c r="D8" s="200">
        <v>29748</v>
      </c>
      <c r="E8" s="256"/>
      <c r="F8" s="201" t="s">
        <v>16</v>
      </c>
      <c r="G8" s="538"/>
      <c r="H8" s="538"/>
      <c r="I8" s="538"/>
      <c r="J8" s="538"/>
      <c r="K8" s="538"/>
      <c r="L8" s="538"/>
      <c r="M8" s="538"/>
      <c r="N8" s="538"/>
      <c r="O8" s="538"/>
      <c r="P8" s="538"/>
      <c r="Q8" s="538"/>
      <c r="R8" s="538"/>
      <c r="S8" s="538"/>
      <c r="T8" s="538"/>
      <c r="U8" s="538"/>
      <c r="V8" s="538"/>
      <c r="W8" s="538"/>
      <c r="X8" s="538"/>
      <c r="Y8" s="538"/>
      <c r="Z8" s="538"/>
      <c r="AA8" s="261" t="str">
        <f t="shared" ref="AA8:AA43" si="0">IF(ROUND(SUM(G8:Z8),2)&lt;&gt;100,"DATA ERROR",SUM(G8:Z8))</f>
        <v>DATA ERROR</v>
      </c>
    </row>
    <row r="9" spans="1:27">
      <c r="A9" s="201">
        <v>1982</v>
      </c>
      <c r="B9" s="199">
        <v>30092</v>
      </c>
      <c r="C9" s="13" t="s">
        <v>1</v>
      </c>
      <c r="D9" s="200">
        <v>30125</v>
      </c>
      <c r="E9" s="256"/>
      <c r="F9" s="201" t="s">
        <v>16</v>
      </c>
      <c r="G9" s="538"/>
      <c r="H9" s="538"/>
      <c r="I9" s="538"/>
      <c r="J9" s="538"/>
      <c r="K9" s="538"/>
      <c r="L9" s="538"/>
      <c r="M9" s="538"/>
      <c r="N9" s="538"/>
      <c r="O9" s="538"/>
      <c r="P9" s="538"/>
      <c r="Q9" s="538"/>
      <c r="R9" s="538"/>
      <c r="S9" s="538"/>
      <c r="T9" s="538"/>
      <c r="U9" s="538"/>
      <c r="V9" s="538"/>
      <c r="W9" s="538"/>
      <c r="X9" s="538"/>
      <c r="Y9" s="538"/>
      <c r="Z9" s="538"/>
      <c r="AA9" s="261" t="str">
        <f t="shared" si="0"/>
        <v>DATA ERROR</v>
      </c>
    </row>
    <row r="10" spans="1:27">
      <c r="A10" s="201">
        <v>1983</v>
      </c>
      <c r="B10" s="199">
        <v>30452</v>
      </c>
      <c r="C10" s="13" t="s">
        <v>1</v>
      </c>
      <c r="D10" s="200">
        <v>30482</v>
      </c>
      <c r="E10" s="256"/>
      <c r="F10" s="201" t="s">
        <v>17</v>
      </c>
      <c r="G10" s="538"/>
      <c r="H10" s="538"/>
      <c r="I10" s="538"/>
      <c r="J10" s="538"/>
      <c r="K10" s="538"/>
      <c r="L10" s="538"/>
      <c r="M10" s="538"/>
      <c r="N10" s="538"/>
      <c r="O10" s="538"/>
      <c r="P10" s="538"/>
      <c r="Q10" s="538"/>
      <c r="R10" s="538"/>
      <c r="S10" s="538"/>
      <c r="T10" s="538"/>
      <c r="U10" s="538"/>
      <c r="V10" s="538"/>
      <c r="W10" s="538"/>
      <c r="X10" s="538"/>
      <c r="Y10" s="538"/>
      <c r="Z10" s="538"/>
      <c r="AA10" s="261" t="str">
        <f t="shared" si="0"/>
        <v>DATA ERROR</v>
      </c>
    </row>
    <row r="11" spans="1:27">
      <c r="A11" s="201">
        <v>1984</v>
      </c>
      <c r="B11" s="199">
        <v>30816</v>
      </c>
      <c r="C11" s="13" t="s">
        <v>1</v>
      </c>
      <c r="D11" s="200">
        <v>30844</v>
      </c>
      <c r="E11" s="256"/>
      <c r="F11" s="201" t="s">
        <v>17</v>
      </c>
      <c r="G11" s="538"/>
      <c r="H11" s="538"/>
      <c r="I11" s="538"/>
      <c r="J11" s="538"/>
      <c r="K11" s="538"/>
      <c r="L11" s="538"/>
      <c r="M11" s="538"/>
      <c r="N11" s="538"/>
      <c r="O11" s="538"/>
      <c r="P11" s="538"/>
      <c r="Q11" s="538"/>
      <c r="R11" s="538"/>
      <c r="S11" s="538"/>
      <c r="T11" s="538"/>
      <c r="U11" s="538"/>
      <c r="V11" s="538"/>
      <c r="W11" s="538"/>
      <c r="X11" s="538"/>
      <c r="Y11" s="538"/>
      <c r="Z11" s="538"/>
      <c r="AA11" s="261" t="str">
        <f t="shared" si="0"/>
        <v>DATA ERROR</v>
      </c>
    </row>
    <row r="12" spans="1:27">
      <c r="A12" s="201">
        <v>1985</v>
      </c>
      <c r="B12" s="199">
        <v>31181</v>
      </c>
      <c r="C12" s="13" t="s">
        <v>1</v>
      </c>
      <c r="D12" s="200">
        <v>31212</v>
      </c>
      <c r="E12" s="256"/>
      <c r="F12" s="201" t="s">
        <v>17</v>
      </c>
      <c r="G12" s="538"/>
      <c r="H12" s="538"/>
      <c r="I12" s="538"/>
      <c r="J12" s="538"/>
      <c r="K12" s="538"/>
      <c r="L12" s="538"/>
      <c r="M12" s="538"/>
      <c r="N12" s="538"/>
      <c r="O12" s="538"/>
      <c r="P12" s="538"/>
      <c r="Q12" s="538"/>
      <c r="R12" s="538"/>
      <c r="S12" s="538"/>
      <c r="T12" s="538"/>
      <c r="U12" s="538"/>
      <c r="V12" s="538"/>
      <c r="W12" s="538"/>
      <c r="X12" s="538"/>
      <c r="Y12" s="538"/>
      <c r="Z12" s="538"/>
      <c r="AA12" s="261" t="str">
        <f t="shared" si="0"/>
        <v>DATA ERROR</v>
      </c>
    </row>
    <row r="13" spans="1:27">
      <c r="A13" s="201">
        <v>1986</v>
      </c>
      <c r="B13" s="199">
        <v>31544</v>
      </c>
      <c r="C13" s="13" t="s">
        <v>1</v>
      </c>
      <c r="D13" s="200">
        <v>31573</v>
      </c>
      <c r="E13" s="256"/>
      <c r="F13" s="201" t="s">
        <v>17</v>
      </c>
      <c r="G13" s="538"/>
      <c r="H13" s="538"/>
      <c r="I13" s="538"/>
      <c r="J13" s="538"/>
      <c r="K13" s="538"/>
      <c r="L13" s="538"/>
      <c r="M13" s="538"/>
      <c r="N13" s="538"/>
      <c r="O13" s="538"/>
      <c r="P13" s="538"/>
      <c r="Q13" s="538"/>
      <c r="R13" s="538"/>
      <c r="S13" s="538"/>
      <c r="T13" s="538"/>
      <c r="U13" s="538"/>
      <c r="V13" s="538"/>
      <c r="W13" s="538"/>
      <c r="X13" s="538"/>
      <c r="Y13" s="538"/>
      <c r="Z13" s="538"/>
      <c r="AA13" s="261" t="str">
        <f t="shared" si="0"/>
        <v>DATA ERROR</v>
      </c>
    </row>
    <row r="14" spans="1:27">
      <c r="A14" s="201">
        <v>1987</v>
      </c>
      <c r="B14" s="199">
        <v>31911</v>
      </c>
      <c r="C14" s="13" t="s">
        <v>1</v>
      </c>
      <c r="D14" s="200">
        <v>31937</v>
      </c>
      <c r="E14" s="256"/>
      <c r="F14" s="201" t="s">
        <v>17</v>
      </c>
      <c r="G14" s="538"/>
      <c r="H14" s="538"/>
      <c r="I14" s="538"/>
      <c r="J14" s="538"/>
      <c r="K14" s="538"/>
      <c r="L14" s="538"/>
      <c r="M14" s="538"/>
      <c r="N14" s="538"/>
      <c r="O14" s="538"/>
      <c r="P14" s="538"/>
      <c r="Q14" s="538"/>
      <c r="R14" s="538"/>
      <c r="S14" s="538"/>
      <c r="T14" s="538"/>
      <c r="U14" s="538"/>
      <c r="V14" s="538"/>
      <c r="W14" s="538"/>
      <c r="X14" s="538"/>
      <c r="Y14" s="538"/>
      <c r="Z14" s="538"/>
      <c r="AA14" s="261" t="str">
        <f t="shared" si="0"/>
        <v>DATA ERROR</v>
      </c>
    </row>
    <row r="15" spans="1:27">
      <c r="A15" s="201">
        <v>1988</v>
      </c>
      <c r="B15" s="199">
        <v>32280</v>
      </c>
      <c r="C15" s="13" t="s">
        <v>1</v>
      </c>
      <c r="D15" s="200">
        <v>32305</v>
      </c>
      <c r="E15" s="256"/>
      <c r="F15" s="201" t="s">
        <v>17</v>
      </c>
      <c r="G15" s="538"/>
      <c r="H15" s="538"/>
      <c r="I15" s="538"/>
      <c r="J15" s="538"/>
      <c r="K15" s="538"/>
      <c r="L15" s="538"/>
      <c r="M15" s="538"/>
      <c r="N15" s="538"/>
      <c r="O15" s="538"/>
      <c r="P15" s="538"/>
      <c r="Q15" s="538"/>
      <c r="R15" s="538"/>
      <c r="S15" s="538"/>
      <c r="T15" s="538"/>
      <c r="U15" s="538"/>
      <c r="V15" s="538"/>
      <c r="W15" s="538"/>
      <c r="X15" s="538"/>
      <c r="Y15" s="538"/>
      <c r="Z15" s="538"/>
      <c r="AA15" s="261" t="str">
        <f t="shared" si="0"/>
        <v>DATA ERROR</v>
      </c>
    </row>
    <row r="16" spans="1:27">
      <c r="A16" s="201">
        <v>1989</v>
      </c>
      <c r="B16" s="199">
        <v>32644</v>
      </c>
      <c r="C16" s="13" t="s">
        <v>1</v>
      </c>
      <c r="D16" s="200">
        <v>32669</v>
      </c>
      <c r="E16" s="256"/>
      <c r="F16" s="201" t="s">
        <v>17</v>
      </c>
      <c r="G16" s="538"/>
      <c r="H16" s="538"/>
      <c r="I16" s="538"/>
      <c r="J16" s="538"/>
      <c r="K16" s="538"/>
      <c r="L16" s="538"/>
      <c r="M16" s="538"/>
      <c r="N16" s="538"/>
      <c r="O16" s="538"/>
      <c r="P16" s="538"/>
      <c r="Q16" s="538"/>
      <c r="R16" s="538"/>
      <c r="S16" s="538"/>
      <c r="T16" s="538"/>
      <c r="U16" s="538"/>
      <c r="V16" s="538"/>
      <c r="W16" s="538"/>
      <c r="X16" s="538"/>
      <c r="Y16" s="538"/>
      <c r="Z16" s="538"/>
      <c r="AA16" s="261" t="str">
        <f t="shared" si="0"/>
        <v>DATA ERROR</v>
      </c>
    </row>
    <row r="17" spans="1:27">
      <c r="A17" s="201">
        <v>1990</v>
      </c>
      <c r="B17" s="199">
        <v>33008</v>
      </c>
      <c r="C17" s="13" t="s">
        <v>1</v>
      </c>
      <c r="D17" s="200">
        <v>33043</v>
      </c>
      <c r="E17" s="256"/>
      <c r="F17" s="201" t="s">
        <v>17</v>
      </c>
      <c r="G17" s="538"/>
      <c r="H17" s="538"/>
      <c r="I17" s="538"/>
      <c r="J17" s="538"/>
      <c r="K17" s="1033"/>
      <c r="L17" s="538"/>
      <c r="M17" s="538"/>
      <c r="N17" s="1034">
        <f>92/140</f>
        <v>0.65714285714285714</v>
      </c>
      <c r="O17" s="538"/>
      <c r="P17" s="538"/>
      <c r="Q17" s="538"/>
      <c r="R17" s="538"/>
      <c r="S17" s="538"/>
      <c r="T17" s="538"/>
      <c r="U17" s="538"/>
      <c r="V17" s="538"/>
      <c r="W17" s="538"/>
      <c r="X17" s="538"/>
      <c r="Y17" s="538"/>
      <c r="Z17" s="538"/>
      <c r="AA17" s="261" t="str">
        <f t="shared" si="0"/>
        <v>DATA ERROR</v>
      </c>
    </row>
    <row r="18" spans="1:27">
      <c r="A18" s="201">
        <v>1991</v>
      </c>
      <c r="B18" s="199">
        <v>33375</v>
      </c>
      <c r="C18" s="13" t="s">
        <v>1</v>
      </c>
      <c r="D18" s="200">
        <v>33411</v>
      </c>
      <c r="E18" s="256"/>
      <c r="F18" s="201" t="s">
        <v>17</v>
      </c>
      <c r="G18" s="538"/>
      <c r="H18" s="538"/>
      <c r="I18" s="538"/>
      <c r="J18" s="538"/>
      <c r="K18" s="538"/>
      <c r="L18" s="538"/>
      <c r="M18" s="538"/>
      <c r="N18" s="538"/>
      <c r="O18" s="538"/>
      <c r="P18" s="538"/>
      <c r="Q18" s="538"/>
      <c r="R18" s="538"/>
      <c r="S18" s="538"/>
      <c r="T18" s="538"/>
      <c r="U18" s="538"/>
      <c r="V18" s="538"/>
      <c r="W18" s="538"/>
      <c r="X18" s="538"/>
      <c r="Y18" s="538"/>
      <c r="Z18" s="538"/>
      <c r="AA18" s="261" t="str">
        <f t="shared" si="0"/>
        <v>DATA ERROR</v>
      </c>
    </row>
    <row r="19" spans="1:27">
      <c r="A19" s="201">
        <v>1992</v>
      </c>
      <c r="B19" s="199">
        <v>33739</v>
      </c>
      <c r="C19" s="13" t="s">
        <v>1</v>
      </c>
      <c r="D19" s="200">
        <v>33768</v>
      </c>
      <c r="E19" s="256"/>
      <c r="F19" s="201" t="s">
        <v>17</v>
      </c>
      <c r="G19" s="539">
        <v>0</v>
      </c>
      <c r="H19" s="539">
        <v>0</v>
      </c>
      <c r="I19" s="539">
        <v>3.3333300000000001</v>
      </c>
      <c r="J19" s="539">
        <v>0</v>
      </c>
      <c r="K19" s="539">
        <v>10</v>
      </c>
      <c r="L19" s="539">
        <v>0</v>
      </c>
      <c r="M19" s="539">
        <v>0</v>
      </c>
      <c r="N19" s="539">
        <v>20</v>
      </c>
      <c r="O19" s="539">
        <v>1.11111</v>
      </c>
      <c r="P19" s="539">
        <v>0</v>
      </c>
      <c r="Q19" s="539">
        <v>0</v>
      </c>
      <c r="R19" s="539">
        <v>64.44444</v>
      </c>
      <c r="S19" s="539">
        <v>1.11111</v>
      </c>
      <c r="T19" s="539">
        <v>0</v>
      </c>
      <c r="U19" s="539">
        <v>0</v>
      </c>
      <c r="V19" s="539">
        <v>0</v>
      </c>
      <c r="W19" s="539">
        <v>0</v>
      </c>
      <c r="X19" s="539">
        <v>0</v>
      </c>
      <c r="Y19" s="539">
        <v>0</v>
      </c>
      <c r="Z19" s="539">
        <v>0</v>
      </c>
      <c r="AA19" s="261">
        <f t="shared" si="0"/>
        <v>99.999989999999997</v>
      </c>
    </row>
    <row r="20" spans="1:27">
      <c r="A20" s="201">
        <v>1993</v>
      </c>
      <c r="B20" s="199">
        <v>34107</v>
      </c>
      <c r="C20" s="13" t="s">
        <v>1</v>
      </c>
      <c r="D20" s="200">
        <v>34136</v>
      </c>
      <c r="E20" s="256"/>
      <c r="F20" s="201" t="s">
        <v>17</v>
      </c>
      <c r="G20" s="539">
        <v>0</v>
      </c>
      <c r="H20" s="539">
        <v>0</v>
      </c>
      <c r="I20" s="539">
        <v>0</v>
      </c>
      <c r="J20" s="539">
        <v>0</v>
      </c>
      <c r="K20" s="539">
        <v>9.2592599999999994</v>
      </c>
      <c r="L20" s="539">
        <v>0</v>
      </c>
      <c r="M20" s="539">
        <v>0</v>
      </c>
      <c r="N20" s="539">
        <v>53.703699999999998</v>
      </c>
      <c r="O20" s="539">
        <v>0</v>
      </c>
      <c r="P20" s="539">
        <v>0</v>
      </c>
      <c r="Q20" s="539">
        <v>0</v>
      </c>
      <c r="R20" s="539">
        <v>27.77778</v>
      </c>
      <c r="S20" s="539">
        <v>3.7037</v>
      </c>
      <c r="T20" s="539">
        <v>0</v>
      </c>
      <c r="U20" s="539">
        <v>0</v>
      </c>
      <c r="V20" s="539">
        <v>5.5555599999999998</v>
      </c>
      <c r="W20" s="539">
        <v>0</v>
      </c>
      <c r="X20" s="539">
        <v>0</v>
      </c>
      <c r="Y20" s="539">
        <v>0</v>
      </c>
      <c r="Z20" s="539">
        <v>0</v>
      </c>
      <c r="AA20" s="261">
        <f t="shared" si="0"/>
        <v>99.999999999999986</v>
      </c>
    </row>
    <row r="21" spans="1:27">
      <c r="A21" s="201">
        <v>1994</v>
      </c>
      <c r="B21" s="199">
        <v>34470</v>
      </c>
      <c r="C21" s="13" t="s">
        <v>1</v>
      </c>
      <c r="D21" s="200">
        <v>34489</v>
      </c>
      <c r="E21" s="256"/>
      <c r="F21" s="201" t="s">
        <v>17</v>
      </c>
      <c r="G21" s="539">
        <v>0</v>
      </c>
      <c r="H21" s="539">
        <v>0</v>
      </c>
      <c r="I21" s="539">
        <v>0</v>
      </c>
      <c r="J21" s="539">
        <v>0</v>
      </c>
      <c r="K21" s="539">
        <v>6.4516099999999996</v>
      </c>
      <c r="L21" s="539">
        <v>0</v>
      </c>
      <c r="M21" s="539">
        <v>0</v>
      </c>
      <c r="N21" s="539">
        <v>51.612900000000003</v>
      </c>
      <c r="O21" s="539">
        <v>0</v>
      </c>
      <c r="P21" s="539">
        <v>0</v>
      </c>
      <c r="Q21" s="539">
        <v>0</v>
      </c>
      <c r="R21" s="539">
        <v>40.322580000000002</v>
      </c>
      <c r="S21" s="539">
        <v>0</v>
      </c>
      <c r="T21" s="539">
        <v>0</v>
      </c>
      <c r="U21" s="539">
        <v>0</v>
      </c>
      <c r="V21" s="539">
        <v>1.6129899999999999</v>
      </c>
      <c r="W21" s="539">
        <v>0</v>
      </c>
      <c r="X21" s="539">
        <v>0</v>
      </c>
      <c r="Y21" s="539">
        <v>0</v>
      </c>
      <c r="Z21" s="539">
        <v>0</v>
      </c>
      <c r="AA21" s="261">
        <f t="shared" si="0"/>
        <v>100.00008</v>
      </c>
    </row>
    <row r="22" spans="1:27">
      <c r="A22" s="201">
        <v>1995</v>
      </c>
      <c r="B22" s="199">
        <v>34834</v>
      </c>
      <c r="C22" s="13" t="s">
        <v>1</v>
      </c>
      <c r="D22" s="200">
        <v>34853</v>
      </c>
      <c r="E22" s="256"/>
      <c r="F22" s="201" t="s">
        <v>17</v>
      </c>
      <c r="G22" s="539">
        <v>0</v>
      </c>
      <c r="H22" s="539">
        <v>0</v>
      </c>
      <c r="I22" s="539">
        <v>0</v>
      </c>
      <c r="J22" s="539">
        <v>0</v>
      </c>
      <c r="K22" s="539">
        <v>10.76923</v>
      </c>
      <c r="L22" s="539">
        <v>0</v>
      </c>
      <c r="M22" s="539">
        <v>0</v>
      </c>
      <c r="N22" s="539">
        <v>66.923079999999999</v>
      </c>
      <c r="O22" s="539">
        <v>0</v>
      </c>
      <c r="P22" s="539">
        <v>0</v>
      </c>
      <c r="Q22" s="539">
        <v>0</v>
      </c>
      <c r="R22" s="539">
        <v>20.76923</v>
      </c>
      <c r="S22" s="539">
        <v>0.76922999999999997</v>
      </c>
      <c r="T22" s="539">
        <v>0</v>
      </c>
      <c r="U22" s="539">
        <v>0</v>
      </c>
      <c r="V22" s="539">
        <v>0.76922999999999997</v>
      </c>
      <c r="W22" s="539">
        <v>0</v>
      </c>
      <c r="X22" s="539">
        <v>0</v>
      </c>
      <c r="Y22" s="539">
        <v>0</v>
      </c>
      <c r="Z22" s="539">
        <v>0</v>
      </c>
      <c r="AA22" s="261">
        <f t="shared" si="0"/>
        <v>99.999999999999972</v>
      </c>
    </row>
    <row r="23" spans="1:27">
      <c r="A23" s="201">
        <v>1996</v>
      </c>
      <c r="B23" s="199">
        <v>35202</v>
      </c>
      <c r="C23" s="13" t="s">
        <v>1</v>
      </c>
      <c r="D23" s="200">
        <v>35224</v>
      </c>
      <c r="E23" s="256"/>
      <c r="F23" s="201" t="s">
        <v>17</v>
      </c>
      <c r="G23" s="539">
        <v>0</v>
      </c>
      <c r="H23" s="539">
        <v>0</v>
      </c>
      <c r="I23" s="539">
        <v>3.44828</v>
      </c>
      <c r="J23" s="539">
        <v>0</v>
      </c>
      <c r="K23" s="539">
        <v>6.8965500000000004</v>
      </c>
      <c r="L23" s="539">
        <v>0</v>
      </c>
      <c r="M23" s="539">
        <v>0</v>
      </c>
      <c r="N23" s="539">
        <v>51.724139999999998</v>
      </c>
      <c r="O23" s="539">
        <v>1.72414</v>
      </c>
      <c r="P23" s="539">
        <v>0</v>
      </c>
      <c r="Q23" s="539">
        <v>0</v>
      </c>
      <c r="R23" s="539">
        <v>32.758620000000001</v>
      </c>
      <c r="S23" s="539">
        <v>3.44828</v>
      </c>
      <c r="T23" s="539">
        <v>0</v>
      </c>
      <c r="U23" s="539">
        <v>0</v>
      </c>
      <c r="V23" s="539">
        <v>0</v>
      </c>
      <c r="W23" s="539">
        <v>0</v>
      </c>
      <c r="X23" s="539">
        <v>0</v>
      </c>
      <c r="Y23" s="539">
        <v>0</v>
      </c>
      <c r="Z23" s="539">
        <v>0</v>
      </c>
      <c r="AA23" s="261">
        <f t="shared" si="0"/>
        <v>100.00000999999999</v>
      </c>
    </row>
    <row r="24" spans="1:27">
      <c r="A24" s="201">
        <v>1997</v>
      </c>
      <c r="B24" s="199">
        <v>35566</v>
      </c>
      <c r="C24" s="13" t="s">
        <v>1</v>
      </c>
      <c r="D24" s="200">
        <v>35585</v>
      </c>
      <c r="E24" s="256"/>
      <c r="F24" s="201" t="s">
        <v>17</v>
      </c>
      <c r="G24" s="539">
        <v>0</v>
      </c>
      <c r="H24" s="539">
        <v>0</v>
      </c>
      <c r="I24" s="539">
        <v>0</v>
      </c>
      <c r="J24" s="541">
        <v>0.69930000000000003</v>
      </c>
      <c r="K24" s="539">
        <v>5.5944099999999999</v>
      </c>
      <c r="L24" s="539">
        <v>0</v>
      </c>
      <c r="M24" s="539">
        <v>0</v>
      </c>
      <c r="N24" s="539">
        <v>65.734269999999995</v>
      </c>
      <c r="O24" s="539">
        <v>0</v>
      </c>
      <c r="P24" s="539">
        <v>0</v>
      </c>
      <c r="Q24" s="539">
        <v>0</v>
      </c>
      <c r="R24" s="539">
        <v>25.17483</v>
      </c>
      <c r="S24" s="539">
        <v>2.0979000000000001</v>
      </c>
      <c r="T24" s="539">
        <v>0</v>
      </c>
      <c r="U24" s="539">
        <v>0</v>
      </c>
      <c r="V24" s="539">
        <v>0.69930000000000003</v>
      </c>
      <c r="W24" s="541">
        <v>0</v>
      </c>
      <c r="X24" s="539">
        <v>0</v>
      </c>
      <c r="Y24" s="539">
        <v>0</v>
      </c>
      <c r="Z24" s="539">
        <v>0</v>
      </c>
      <c r="AA24" s="261">
        <f t="shared" si="0"/>
        <v>100.00000999999999</v>
      </c>
    </row>
    <row r="25" spans="1:27">
      <c r="A25" s="201">
        <v>1998</v>
      </c>
      <c r="B25" s="199">
        <v>35930</v>
      </c>
      <c r="C25" s="13" t="s">
        <v>1</v>
      </c>
      <c r="D25" s="200">
        <v>35948</v>
      </c>
      <c r="E25" s="256">
        <v>114</v>
      </c>
      <c r="F25" s="201" t="s">
        <v>17</v>
      </c>
      <c r="G25" s="540">
        <v>0</v>
      </c>
      <c r="H25" s="540">
        <v>0</v>
      </c>
      <c r="I25" s="540">
        <v>0</v>
      </c>
      <c r="J25" s="540">
        <v>0</v>
      </c>
      <c r="K25" s="540">
        <v>4.3859649122807012</v>
      </c>
      <c r="L25" s="540">
        <v>0</v>
      </c>
      <c r="M25" s="540">
        <v>0</v>
      </c>
      <c r="N25" s="540">
        <v>66.666666666666657</v>
      </c>
      <c r="O25" s="540">
        <v>0</v>
      </c>
      <c r="P25" s="540">
        <v>0</v>
      </c>
      <c r="Q25" s="540">
        <v>0</v>
      </c>
      <c r="R25" s="540">
        <v>28.947368421052634</v>
      </c>
      <c r="S25" s="540">
        <v>0</v>
      </c>
      <c r="T25" s="540">
        <v>0</v>
      </c>
      <c r="U25" s="540">
        <v>0</v>
      </c>
      <c r="V25" s="540">
        <v>0</v>
      </c>
      <c r="W25" s="540">
        <v>0</v>
      </c>
      <c r="X25" s="540">
        <v>0</v>
      </c>
      <c r="Y25" s="540">
        <v>0</v>
      </c>
      <c r="Z25" s="540">
        <v>0</v>
      </c>
      <c r="AA25" s="261">
        <f t="shared" si="0"/>
        <v>99.999999999999986</v>
      </c>
    </row>
    <row r="26" spans="1:27">
      <c r="A26" s="201">
        <v>1999</v>
      </c>
      <c r="B26" s="199">
        <v>36294</v>
      </c>
      <c r="C26" s="13" t="s">
        <v>1</v>
      </c>
      <c r="D26" s="200">
        <v>36312</v>
      </c>
      <c r="E26" s="256">
        <v>375</v>
      </c>
      <c r="F26" s="201" t="s">
        <v>17</v>
      </c>
      <c r="G26" s="540">
        <v>0</v>
      </c>
      <c r="H26" s="540">
        <v>0</v>
      </c>
      <c r="I26" s="540">
        <v>0.26666666666666666</v>
      </c>
      <c r="J26" s="540">
        <v>0</v>
      </c>
      <c r="K26" s="682">
        <v>13.600000000000001</v>
      </c>
      <c r="L26" s="540">
        <v>0</v>
      </c>
      <c r="M26" s="540">
        <v>0</v>
      </c>
      <c r="N26" s="540">
        <v>70.13333333333334</v>
      </c>
      <c r="O26" s="540">
        <v>0</v>
      </c>
      <c r="P26" s="540">
        <v>0</v>
      </c>
      <c r="Q26" s="540">
        <v>0</v>
      </c>
      <c r="R26" s="540">
        <v>15.2</v>
      </c>
      <c r="S26" s="540">
        <v>0.53333333333333333</v>
      </c>
      <c r="T26" s="540">
        <v>0</v>
      </c>
      <c r="U26" s="540">
        <v>0.26666666666666666</v>
      </c>
      <c r="V26" s="540">
        <v>0</v>
      </c>
      <c r="W26" s="540">
        <v>0</v>
      </c>
      <c r="X26" s="540">
        <v>0</v>
      </c>
      <c r="Y26" s="540">
        <v>0</v>
      </c>
      <c r="Z26" s="540">
        <v>0</v>
      </c>
      <c r="AA26" s="261">
        <f t="shared" si="0"/>
        <v>100.00000000000001</v>
      </c>
    </row>
    <row r="27" spans="1:27">
      <c r="A27" s="201">
        <v>2000</v>
      </c>
      <c r="B27" s="199">
        <v>36661</v>
      </c>
      <c r="C27" s="13" t="s">
        <v>1</v>
      </c>
      <c r="D27" s="200">
        <v>36683</v>
      </c>
      <c r="E27" s="256">
        <v>324</v>
      </c>
      <c r="F27" s="201" t="s">
        <v>17</v>
      </c>
      <c r="G27" s="540">
        <v>0</v>
      </c>
      <c r="H27" s="540">
        <v>0</v>
      </c>
      <c r="I27" s="540">
        <v>0.61728395061728392</v>
      </c>
      <c r="J27" s="540">
        <v>0</v>
      </c>
      <c r="K27" s="540">
        <v>7.4074074074074066</v>
      </c>
      <c r="L27" s="540">
        <v>0</v>
      </c>
      <c r="M27" s="540">
        <v>0</v>
      </c>
      <c r="N27" s="540">
        <v>67.901234567901241</v>
      </c>
      <c r="O27" s="540">
        <v>0.30864197530864196</v>
      </c>
      <c r="P27" s="540">
        <v>0</v>
      </c>
      <c r="Q27" s="540">
        <v>0</v>
      </c>
      <c r="R27" s="540">
        <v>22.530864197530864</v>
      </c>
      <c r="S27" s="540">
        <v>0.61728395061728392</v>
      </c>
      <c r="T27" s="540">
        <v>0</v>
      </c>
      <c r="U27" s="540">
        <v>0</v>
      </c>
      <c r="V27" s="540">
        <v>0.61728395061728392</v>
      </c>
      <c r="W27" s="540">
        <v>0</v>
      </c>
      <c r="X27" s="540">
        <v>0</v>
      </c>
      <c r="Y27" s="540">
        <v>0</v>
      </c>
      <c r="Z27" s="540">
        <v>0</v>
      </c>
      <c r="AA27" s="261">
        <f t="shared" si="0"/>
        <v>99.999999999999986</v>
      </c>
    </row>
    <row r="28" spans="1:27">
      <c r="A28" s="201">
        <v>2001</v>
      </c>
      <c r="B28" s="199">
        <v>37028</v>
      </c>
      <c r="C28" s="13" t="s">
        <v>1</v>
      </c>
      <c r="D28" s="200">
        <v>37048</v>
      </c>
      <c r="E28" s="256">
        <v>867</v>
      </c>
      <c r="F28" s="201" t="s">
        <v>17</v>
      </c>
      <c r="G28" s="540">
        <v>0</v>
      </c>
      <c r="H28" s="540">
        <v>0</v>
      </c>
      <c r="I28" s="540">
        <v>0.46136101499423299</v>
      </c>
      <c r="J28" s="540">
        <v>0</v>
      </c>
      <c r="K28" s="540">
        <v>9.2272202998846602</v>
      </c>
      <c r="L28" s="540">
        <v>0</v>
      </c>
      <c r="M28" s="540">
        <v>0</v>
      </c>
      <c r="N28" s="540">
        <v>73.702422145328711</v>
      </c>
      <c r="O28" s="540">
        <v>0</v>
      </c>
      <c r="P28" s="540">
        <v>0</v>
      </c>
      <c r="Q28" s="540">
        <v>0</v>
      </c>
      <c r="R28" s="540">
        <v>15.340253748558247</v>
      </c>
      <c r="S28" s="540">
        <v>0.92272202998846597</v>
      </c>
      <c r="T28" s="540">
        <v>0</v>
      </c>
      <c r="U28" s="540">
        <v>0.11534025374855825</v>
      </c>
      <c r="V28" s="540">
        <v>0.23068050749711649</v>
      </c>
      <c r="W28" s="540">
        <v>0</v>
      </c>
      <c r="X28" s="540">
        <v>0</v>
      </c>
      <c r="Y28" s="540">
        <v>0</v>
      </c>
      <c r="Z28" s="540">
        <v>0</v>
      </c>
      <c r="AA28" s="261">
        <f t="shared" si="0"/>
        <v>99.999999999999972</v>
      </c>
    </row>
    <row r="29" spans="1:27">
      <c r="A29" s="201">
        <v>2002</v>
      </c>
      <c r="B29" s="199">
        <v>37392</v>
      </c>
      <c r="C29" s="13" t="s">
        <v>1</v>
      </c>
      <c r="D29" s="200">
        <v>37422</v>
      </c>
      <c r="E29" s="256">
        <v>564</v>
      </c>
      <c r="F29" s="201" t="s">
        <v>17</v>
      </c>
      <c r="G29" s="540">
        <v>0</v>
      </c>
      <c r="H29" s="540">
        <v>0</v>
      </c>
      <c r="I29" s="540">
        <v>0.1773049645390071</v>
      </c>
      <c r="J29" s="540">
        <v>0</v>
      </c>
      <c r="K29" s="540">
        <v>4.6099290780141837</v>
      </c>
      <c r="L29" s="540">
        <v>0</v>
      </c>
      <c r="M29" s="540">
        <v>0</v>
      </c>
      <c r="N29" s="540">
        <v>74.822695035460995</v>
      </c>
      <c r="O29" s="540">
        <v>0.70921985815602839</v>
      </c>
      <c r="P29" s="540">
        <v>0</v>
      </c>
      <c r="Q29" s="540">
        <v>0</v>
      </c>
      <c r="R29" s="540">
        <v>13.652482269503546</v>
      </c>
      <c r="S29" s="540">
        <v>3.7234042553191489</v>
      </c>
      <c r="T29" s="540">
        <v>0</v>
      </c>
      <c r="U29" s="540">
        <v>0</v>
      </c>
      <c r="V29" s="540">
        <v>2.3049645390070919</v>
      </c>
      <c r="W29" s="540">
        <v>0</v>
      </c>
      <c r="X29" s="540">
        <v>0</v>
      </c>
      <c r="Y29" s="540">
        <v>0</v>
      </c>
      <c r="Z29" s="540">
        <v>0</v>
      </c>
      <c r="AA29" s="261">
        <f t="shared" si="0"/>
        <v>100.00000000000001</v>
      </c>
    </row>
    <row r="30" spans="1:27">
      <c r="A30" s="201">
        <v>2003</v>
      </c>
      <c r="B30" s="199">
        <v>37755</v>
      </c>
      <c r="C30" s="13" t="s">
        <v>1</v>
      </c>
      <c r="D30" s="200">
        <v>37775</v>
      </c>
      <c r="E30" s="256">
        <v>453</v>
      </c>
      <c r="F30" s="201" t="s">
        <v>17</v>
      </c>
      <c r="G30" s="540">
        <v>0</v>
      </c>
      <c r="H30" s="540">
        <v>0</v>
      </c>
      <c r="I30" s="540">
        <v>0.44150110375275936</v>
      </c>
      <c r="J30" s="540">
        <v>0</v>
      </c>
      <c r="K30" s="540">
        <v>6.8432671081677707</v>
      </c>
      <c r="L30" s="540">
        <v>0</v>
      </c>
      <c r="M30" s="540">
        <v>0</v>
      </c>
      <c r="N30" s="540">
        <v>67.991169977924955</v>
      </c>
      <c r="O30" s="540">
        <v>0.44150110375275936</v>
      </c>
      <c r="P30" s="540">
        <v>0</v>
      </c>
      <c r="Q30" s="540">
        <v>0</v>
      </c>
      <c r="R30" s="540">
        <v>21.85430463576159</v>
      </c>
      <c r="S30" s="540">
        <v>1.545253863134658</v>
      </c>
      <c r="T30" s="540">
        <v>0</v>
      </c>
      <c r="U30" s="540">
        <v>0.22075055187637968</v>
      </c>
      <c r="V30" s="540">
        <v>0.66225165562913912</v>
      </c>
      <c r="W30" s="540">
        <v>0</v>
      </c>
      <c r="X30" s="540">
        <v>0</v>
      </c>
      <c r="Y30" s="540">
        <v>0</v>
      </c>
      <c r="Z30" s="540">
        <v>0</v>
      </c>
      <c r="AA30" s="261">
        <f t="shared" si="0"/>
        <v>100.00000000000001</v>
      </c>
    </row>
    <row r="31" spans="1:27">
      <c r="A31" s="201">
        <v>2004</v>
      </c>
      <c r="B31" s="199">
        <v>38124</v>
      </c>
      <c r="C31" s="13" t="s">
        <v>1</v>
      </c>
      <c r="D31" s="200">
        <v>38143</v>
      </c>
      <c r="E31" s="256">
        <v>352</v>
      </c>
      <c r="F31" s="201" t="s">
        <v>17</v>
      </c>
      <c r="G31" s="540">
        <v>0</v>
      </c>
      <c r="H31" s="540">
        <v>0</v>
      </c>
      <c r="I31" s="540">
        <v>0.28409090909090912</v>
      </c>
      <c r="J31" s="540">
        <v>0.28409090909090912</v>
      </c>
      <c r="K31" s="540">
        <v>6.25</v>
      </c>
      <c r="L31" s="540">
        <v>0</v>
      </c>
      <c r="M31" s="540">
        <v>0</v>
      </c>
      <c r="N31" s="540">
        <v>67.61363636363636</v>
      </c>
      <c r="O31" s="540">
        <v>0.28409090909090912</v>
      </c>
      <c r="P31" s="540">
        <v>0</v>
      </c>
      <c r="Q31" s="540">
        <v>0</v>
      </c>
      <c r="R31" s="540">
        <v>23.295454545454543</v>
      </c>
      <c r="S31" s="540">
        <v>1.9886363636363635</v>
      </c>
      <c r="T31" s="540">
        <v>0</v>
      </c>
      <c r="U31" s="540">
        <v>0</v>
      </c>
      <c r="V31" s="540">
        <v>0</v>
      </c>
      <c r="W31" s="540">
        <v>0</v>
      </c>
      <c r="X31" s="540">
        <v>0</v>
      </c>
      <c r="Y31" s="540">
        <v>0</v>
      </c>
      <c r="Z31" s="540">
        <v>0</v>
      </c>
      <c r="AA31" s="261">
        <f t="shared" si="0"/>
        <v>99.999999999999986</v>
      </c>
    </row>
    <row r="32" spans="1:27">
      <c r="A32" s="201">
        <v>2005</v>
      </c>
      <c r="B32" s="199">
        <v>38488</v>
      </c>
      <c r="C32" s="13" t="s">
        <v>1</v>
      </c>
      <c r="D32" s="200">
        <v>38514</v>
      </c>
      <c r="E32" s="256">
        <v>256</v>
      </c>
      <c r="F32" s="201" t="s">
        <v>17</v>
      </c>
      <c r="G32" s="540">
        <v>0</v>
      </c>
      <c r="H32" s="540">
        <v>0</v>
      </c>
      <c r="I32" s="540">
        <v>0.78125</v>
      </c>
      <c r="J32" s="540">
        <v>0</v>
      </c>
      <c r="K32" s="540">
        <v>11.328125</v>
      </c>
      <c r="L32" s="540">
        <v>0</v>
      </c>
      <c r="M32" s="540">
        <v>0</v>
      </c>
      <c r="N32" s="540">
        <v>56.25</v>
      </c>
      <c r="O32" s="540">
        <v>0</v>
      </c>
      <c r="P32" s="540">
        <v>0</v>
      </c>
      <c r="Q32" s="540">
        <v>0</v>
      </c>
      <c r="R32" s="540">
        <v>27.34375</v>
      </c>
      <c r="S32" s="540">
        <v>3.125</v>
      </c>
      <c r="T32" s="540">
        <v>0</v>
      </c>
      <c r="U32" s="540">
        <v>0</v>
      </c>
      <c r="V32" s="540">
        <v>0.78125</v>
      </c>
      <c r="W32" s="540">
        <v>0</v>
      </c>
      <c r="X32" s="540">
        <v>0.390625</v>
      </c>
      <c r="Y32" s="540">
        <v>0</v>
      </c>
      <c r="Z32" s="540">
        <v>0</v>
      </c>
      <c r="AA32" s="261">
        <f t="shared" si="0"/>
        <v>100</v>
      </c>
    </row>
    <row r="33" spans="1:28">
      <c r="A33" s="201">
        <v>2006</v>
      </c>
      <c r="B33" s="199"/>
      <c r="C33" s="13"/>
      <c r="D33" s="200"/>
      <c r="E33" s="256">
        <v>244</v>
      </c>
      <c r="F33" s="201" t="s">
        <v>17</v>
      </c>
      <c r="G33" s="540">
        <v>0</v>
      </c>
      <c r="H33" s="540">
        <v>0</v>
      </c>
      <c r="I33" s="540">
        <v>0.4098360655737705</v>
      </c>
      <c r="J33" s="540">
        <v>0</v>
      </c>
      <c r="K33" s="540">
        <v>6.557377049180328</v>
      </c>
      <c r="L33" s="540">
        <v>0</v>
      </c>
      <c r="M33" s="542">
        <v>0</v>
      </c>
      <c r="N33" s="540">
        <v>71.721311475409834</v>
      </c>
      <c r="O33" s="540">
        <v>0.81967213114754101</v>
      </c>
      <c r="P33" s="540">
        <v>0</v>
      </c>
      <c r="Q33" s="542">
        <v>0</v>
      </c>
      <c r="R33" s="540">
        <v>14.344262295081966</v>
      </c>
      <c r="S33" s="540">
        <v>4.918032786885246</v>
      </c>
      <c r="T33" s="540">
        <v>0</v>
      </c>
      <c r="U33" s="540">
        <v>0.4098360655737705</v>
      </c>
      <c r="V33" s="540">
        <v>0.81967213114754101</v>
      </c>
      <c r="W33" s="540">
        <v>0</v>
      </c>
      <c r="X33" s="540">
        <v>0</v>
      </c>
      <c r="Y33" s="540">
        <v>0</v>
      </c>
      <c r="Z33" s="540">
        <v>0</v>
      </c>
      <c r="AA33" s="261">
        <f t="shared" si="0"/>
        <v>100</v>
      </c>
    </row>
    <row r="34" spans="1:28">
      <c r="A34" s="201">
        <v>2007</v>
      </c>
      <c r="B34" s="199"/>
      <c r="C34" s="13"/>
      <c r="D34" s="200"/>
      <c r="E34" s="256">
        <v>431</v>
      </c>
      <c r="F34" s="201" t="s">
        <v>17</v>
      </c>
      <c r="G34" s="540">
        <v>0</v>
      </c>
      <c r="H34" s="540">
        <v>0</v>
      </c>
      <c r="I34" s="540">
        <v>0.23201856148491878</v>
      </c>
      <c r="J34" s="540">
        <v>0</v>
      </c>
      <c r="K34" s="540">
        <v>3.0162412993039442</v>
      </c>
      <c r="L34" s="540">
        <v>0</v>
      </c>
      <c r="M34" s="540">
        <v>0</v>
      </c>
      <c r="N34" s="540">
        <v>68.213457076566129</v>
      </c>
      <c r="O34" s="540">
        <v>0.46403712296983757</v>
      </c>
      <c r="P34" s="540">
        <v>0</v>
      </c>
      <c r="Q34" s="540">
        <v>0</v>
      </c>
      <c r="R34" s="540">
        <v>25.986078886310903</v>
      </c>
      <c r="S34" s="540">
        <v>1.160092807424594</v>
      </c>
      <c r="T34" s="540">
        <v>0</v>
      </c>
      <c r="U34" s="542">
        <v>0.46403712296983757</v>
      </c>
      <c r="V34" s="540">
        <v>0.46403712296983757</v>
      </c>
      <c r="W34" s="540">
        <v>0</v>
      </c>
      <c r="X34" s="540">
        <v>0</v>
      </c>
      <c r="Y34" s="540">
        <v>0</v>
      </c>
      <c r="Z34" s="540">
        <v>0</v>
      </c>
      <c r="AA34" s="261">
        <f t="shared" si="0"/>
        <v>100.00000000000001</v>
      </c>
    </row>
    <row r="35" spans="1:28">
      <c r="A35" s="201">
        <v>2008</v>
      </c>
      <c r="B35" s="199">
        <v>39583</v>
      </c>
      <c r="C35" s="13" t="s">
        <v>1</v>
      </c>
      <c r="D35" s="200">
        <v>39609</v>
      </c>
      <c r="E35" s="256">
        <v>297</v>
      </c>
      <c r="F35" s="201" t="s">
        <v>17</v>
      </c>
      <c r="G35" s="540">
        <v>0</v>
      </c>
      <c r="H35" s="540">
        <v>0</v>
      </c>
      <c r="I35" s="540">
        <v>0</v>
      </c>
      <c r="J35" s="540">
        <v>0</v>
      </c>
      <c r="K35" s="540">
        <v>6.0606060606060606</v>
      </c>
      <c r="L35" s="540">
        <v>0</v>
      </c>
      <c r="M35" s="540">
        <v>0</v>
      </c>
      <c r="N35" s="540">
        <v>60.606060606060609</v>
      </c>
      <c r="O35" s="540">
        <v>0.33670033670033667</v>
      </c>
      <c r="P35" s="540">
        <v>0</v>
      </c>
      <c r="Q35" s="540">
        <v>0</v>
      </c>
      <c r="R35" s="540">
        <v>32.323232323232325</v>
      </c>
      <c r="S35" s="540">
        <v>0.67340067340067333</v>
      </c>
      <c r="T35" s="540">
        <v>0</v>
      </c>
      <c r="U35" s="538">
        <v>0</v>
      </c>
      <c r="V35" s="540">
        <v>0</v>
      </c>
      <c r="W35" s="540">
        <v>0</v>
      </c>
      <c r="X35" s="540">
        <v>0</v>
      </c>
      <c r="Y35" s="540">
        <v>0</v>
      </c>
      <c r="Z35" s="540">
        <v>0</v>
      </c>
      <c r="AA35" s="261">
        <f t="shared" si="0"/>
        <v>100.00000000000001</v>
      </c>
    </row>
    <row r="36" spans="1:28">
      <c r="A36" s="201">
        <v>2009</v>
      </c>
      <c r="B36" s="199">
        <v>39947</v>
      </c>
      <c r="C36" s="13" t="s">
        <v>1</v>
      </c>
      <c r="D36" s="200">
        <v>39973</v>
      </c>
      <c r="E36" s="256">
        <v>193</v>
      </c>
      <c r="F36" s="201" t="s">
        <v>17</v>
      </c>
      <c r="G36" s="540">
        <v>0</v>
      </c>
      <c r="H36" s="540">
        <v>0</v>
      </c>
      <c r="I36" s="540">
        <v>0.5181347150259068</v>
      </c>
      <c r="J36" s="540">
        <v>0</v>
      </c>
      <c r="K36" s="542">
        <v>7.7720207253886011</v>
      </c>
      <c r="L36" s="542">
        <v>0</v>
      </c>
      <c r="M36" s="542">
        <v>0</v>
      </c>
      <c r="N36" s="542">
        <v>67.875647668393782</v>
      </c>
      <c r="O36" s="542">
        <v>0.5181347150259068</v>
      </c>
      <c r="P36" s="542">
        <v>0</v>
      </c>
      <c r="Q36" s="542">
        <v>0</v>
      </c>
      <c r="R36" s="542">
        <v>21.243523316062177</v>
      </c>
      <c r="S36" s="542">
        <v>0.5181347150259068</v>
      </c>
      <c r="T36" s="540">
        <v>0</v>
      </c>
      <c r="U36" s="538">
        <v>0</v>
      </c>
      <c r="V36" s="540">
        <v>1.5544041450777202</v>
      </c>
      <c r="W36" s="540">
        <v>0</v>
      </c>
      <c r="X36" s="540">
        <v>0</v>
      </c>
      <c r="Y36" s="540">
        <v>0</v>
      </c>
      <c r="Z36" s="540">
        <v>0</v>
      </c>
      <c r="AA36" s="261">
        <f t="shared" si="0"/>
        <v>100.00000000000001</v>
      </c>
    </row>
    <row r="37" spans="1:28">
      <c r="A37" s="201">
        <v>2010</v>
      </c>
      <c r="B37" s="199">
        <v>40311</v>
      </c>
      <c r="C37" s="13" t="s">
        <v>1</v>
      </c>
      <c r="D37" s="200">
        <v>40339</v>
      </c>
      <c r="E37" s="256">
        <v>173</v>
      </c>
      <c r="F37" s="201" t="s">
        <v>17</v>
      </c>
      <c r="G37" s="540">
        <v>0</v>
      </c>
      <c r="H37" s="540">
        <v>0</v>
      </c>
      <c r="I37" s="540">
        <v>0.57803468208092479</v>
      </c>
      <c r="J37" s="540">
        <v>0</v>
      </c>
      <c r="K37" s="542">
        <v>12.138728323699421</v>
      </c>
      <c r="L37" s="542">
        <v>0</v>
      </c>
      <c r="M37" s="542">
        <v>0</v>
      </c>
      <c r="N37" s="542">
        <v>64.739884393063591</v>
      </c>
      <c r="O37" s="542">
        <v>0.57803468208092479</v>
      </c>
      <c r="P37" s="542">
        <v>0</v>
      </c>
      <c r="Q37" s="542">
        <v>0</v>
      </c>
      <c r="R37" s="542">
        <v>21.387283236994222</v>
      </c>
      <c r="S37" s="542">
        <v>0.57803468208092479</v>
      </c>
      <c r="T37" s="540">
        <v>0</v>
      </c>
      <c r="U37" s="538">
        <v>0</v>
      </c>
      <c r="V37" s="540">
        <v>0</v>
      </c>
      <c r="W37" s="540">
        <v>0</v>
      </c>
      <c r="X37" s="540">
        <v>0</v>
      </c>
      <c r="Y37" s="540">
        <v>0</v>
      </c>
      <c r="Z37" s="540">
        <v>0</v>
      </c>
      <c r="AA37" s="261">
        <f t="shared" si="0"/>
        <v>100.00000000000001</v>
      </c>
    </row>
    <row r="38" spans="1:28">
      <c r="A38" s="201">
        <v>2011</v>
      </c>
      <c r="B38" s="199">
        <v>40679</v>
      </c>
      <c r="C38" s="13" t="s">
        <v>1</v>
      </c>
      <c r="D38" s="200">
        <v>40698</v>
      </c>
      <c r="E38" s="256">
        <v>130</v>
      </c>
      <c r="F38" s="201" t="s">
        <v>17</v>
      </c>
      <c r="G38" s="540">
        <v>0</v>
      </c>
      <c r="H38" s="540">
        <v>0</v>
      </c>
      <c r="I38" s="540">
        <v>0</v>
      </c>
      <c r="J38" s="540">
        <v>0</v>
      </c>
      <c r="K38" s="542">
        <v>6.9230769230769234</v>
      </c>
      <c r="L38" s="542">
        <v>0</v>
      </c>
      <c r="M38" s="542">
        <v>0</v>
      </c>
      <c r="N38" s="542">
        <v>76.923076923076934</v>
      </c>
      <c r="O38" s="542">
        <v>0</v>
      </c>
      <c r="P38" s="542">
        <v>0</v>
      </c>
      <c r="Q38" s="542">
        <v>0</v>
      </c>
      <c r="R38" s="542">
        <v>13.076923076923078</v>
      </c>
      <c r="S38" s="542">
        <v>3.0769230769230771</v>
      </c>
      <c r="T38" s="540">
        <v>0</v>
      </c>
      <c r="U38" s="538">
        <v>0</v>
      </c>
      <c r="V38" s="540">
        <v>0</v>
      </c>
      <c r="W38" s="540">
        <v>0</v>
      </c>
      <c r="X38" s="540">
        <v>0</v>
      </c>
      <c r="Y38" s="540">
        <v>0</v>
      </c>
      <c r="Z38" s="540">
        <v>0</v>
      </c>
      <c r="AA38" s="261">
        <f t="shared" si="0"/>
        <v>100.00000000000001</v>
      </c>
    </row>
    <row r="39" spans="1:28">
      <c r="A39" s="201">
        <v>2012</v>
      </c>
      <c r="B39" s="199">
        <v>41046</v>
      </c>
      <c r="C39" s="13" t="s">
        <v>1</v>
      </c>
      <c r="D39" s="200">
        <v>41062</v>
      </c>
      <c r="E39" s="256">
        <v>41</v>
      </c>
      <c r="F39" s="201" t="s">
        <v>17</v>
      </c>
      <c r="G39" s="540">
        <v>0</v>
      </c>
      <c r="H39" s="540">
        <v>0</v>
      </c>
      <c r="I39" s="540">
        <v>0</v>
      </c>
      <c r="J39" s="540">
        <v>0</v>
      </c>
      <c r="K39" s="542">
        <v>7.3170731707317067</v>
      </c>
      <c r="L39" s="542">
        <v>0</v>
      </c>
      <c r="M39" s="542">
        <v>0</v>
      </c>
      <c r="N39" s="542">
        <v>78.048780487804876</v>
      </c>
      <c r="O39" s="542">
        <v>0</v>
      </c>
      <c r="P39" s="542">
        <v>0</v>
      </c>
      <c r="Q39" s="542">
        <v>0</v>
      </c>
      <c r="R39" s="542">
        <v>9.7560975609756095</v>
      </c>
      <c r="S39" s="542">
        <v>2.4390243902439024</v>
      </c>
      <c r="T39" s="540">
        <v>0</v>
      </c>
      <c r="U39" s="538">
        <v>2.4390243902439024</v>
      </c>
      <c r="V39" s="540">
        <v>0</v>
      </c>
      <c r="W39" s="540">
        <v>0</v>
      </c>
      <c r="X39" s="540">
        <v>0</v>
      </c>
      <c r="Y39" s="540">
        <v>0</v>
      </c>
      <c r="Z39" s="540">
        <v>0</v>
      </c>
      <c r="AA39" s="261">
        <f t="shared" si="0"/>
        <v>99.999999999999986</v>
      </c>
    </row>
    <row r="40" spans="1:28">
      <c r="A40" s="201">
        <v>2013</v>
      </c>
      <c r="B40" s="199">
        <v>41410</v>
      </c>
      <c r="C40" s="13" t="s">
        <v>1</v>
      </c>
      <c r="D40" s="200">
        <v>41440</v>
      </c>
      <c r="E40" s="256">
        <v>160</v>
      </c>
      <c r="F40" s="201" t="s">
        <v>17</v>
      </c>
      <c r="G40" s="540">
        <v>0</v>
      </c>
      <c r="H40" s="540">
        <v>0</v>
      </c>
      <c r="I40" s="540">
        <v>13.125</v>
      </c>
      <c r="J40" s="540">
        <v>0</v>
      </c>
      <c r="K40" s="542">
        <v>11.875</v>
      </c>
      <c r="L40" s="542">
        <v>0</v>
      </c>
      <c r="M40" s="542">
        <v>0</v>
      </c>
      <c r="N40" s="542">
        <v>61.250000000000007</v>
      </c>
      <c r="O40" s="542">
        <v>0</v>
      </c>
      <c r="P40" s="542">
        <v>0</v>
      </c>
      <c r="Q40" s="542">
        <v>0</v>
      </c>
      <c r="R40" s="542">
        <v>10</v>
      </c>
      <c r="S40" s="542">
        <v>3.75</v>
      </c>
      <c r="T40" s="540">
        <v>0</v>
      </c>
      <c r="U40" s="538">
        <v>0</v>
      </c>
      <c r="V40" s="540">
        <v>0</v>
      </c>
      <c r="W40" s="540">
        <v>0</v>
      </c>
      <c r="X40" s="540">
        <v>0</v>
      </c>
      <c r="Y40" s="540">
        <v>0</v>
      </c>
      <c r="Z40" s="540">
        <v>0</v>
      </c>
      <c r="AA40" s="261">
        <f t="shared" si="0"/>
        <v>100</v>
      </c>
    </row>
    <row r="41" spans="1:28">
      <c r="A41" s="201">
        <v>2014</v>
      </c>
      <c r="B41" s="199">
        <v>41789</v>
      </c>
      <c r="C41" s="13" t="s">
        <v>1</v>
      </c>
      <c r="D41" s="200">
        <v>41859</v>
      </c>
      <c r="E41" s="256">
        <v>209</v>
      </c>
      <c r="F41" s="201" t="s">
        <v>17</v>
      </c>
      <c r="G41" s="540">
        <v>0</v>
      </c>
      <c r="H41" s="540">
        <v>0</v>
      </c>
      <c r="I41" s="540">
        <v>1.9138755980861244</v>
      </c>
      <c r="J41" s="540">
        <v>0</v>
      </c>
      <c r="K41" s="542">
        <v>22.488038277511961</v>
      </c>
      <c r="L41" s="542">
        <v>0</v>
      </c>
      <c r="M41" s="542">
        <v>0</v>
      </c>
      <c r="N41" s="542">
        <v>45.933014354066984</v>
      </c>
      <c r="O41" s="542">
        <v>0.9569377990430622</v>
      </c>
      <c r="P41" s="542">
        <v>0</v>
      </c>
      <c r="Q41" s="542">
        <v>0</v>
      </c>
      <c r="R41" s="542">
        <v>26.315789473684209</v>
      </c>
      <c r="S41" s="542">
        <v>1.9138755980861244</v>
      </c>
      <c r="T41" s="540">
        <v>0</v>
      </c>
      <c r="U41" s="538">
        <v>0</v>
      </c>
      <c r="V41" s="540">
        <v>0.4784688995215311</v>
      </c>
      <c r="W41" s="540">
        <v>0</v>
      </c>
      <c r="X41" s="540">
        <v>0</v>
      </c>
      <c r="Y41" s="540">
        <v>0</v>
      </c>
      <c r="Z41" s="540">
        <v>0</v>
      </c>
      <c r="AA41" s="261">
        <f t="shared" si="0"/>
        <v>99.999999999999986</v>
      </c>
    </row>
    <row r="42" spans="1:28">
      <c r="A42" s="201">
        <v>2015</v>
      </c>
      <c r="B42" s="744">
        <v>42157</v>
      </c>
      <c r="C42" s="13" t="s">
        <v>1</v>
      </c>
      <c r="D42" s="746">
        <v>42241</v>
      </c>
      <c r="E42" s="747">
        <v>240</v>
      </c>
      <c r="F42" s="719"/>
      <c r="G42" s="539">
        <v>0</v>
      </c>
      <c r="H42" s="539">
        <v>0</v>
      </c>
      <c r="I42" s="539">
        <v>0</v>
      </c>
      <c r="J42" s="539">
        <v>0</v>
      </c>
      <c r="K42" s="959">
        <v>3.75</v>
      </c>
      <c r="L42" s="959">
        <v>0</v>
      </c>
      <c r="M42" s="959">
        <v>0</v>
      </c>
      <c r="N42" s="959">
        <v>75</v>
      </c>
      <c r="O42" s="959">
        <v>0</v>
      </c>
      <c r="P42" s="959">
        <v>0</v>
      </c>
      <c r="Q42" s="959">
        <v>0</v>
      </c>
      <c r="R42" s="959">
        <v>21.25</v>
      </c>
      <c r="S42" s="541">
        <v>0</v>
      </c>
      <c r="T42" s="539">
        <v>0</v>
      </c>
      <c r="U42" s="539">
        <v>0</v>
      </c>
      <c r="V42" s="539">
        <v>0</v>
      </c>
      <c r="W42" s="539">
        <v>0</v>
      </c>
      <c r="X42" s="539">
        <v>0</v>
      </c>
      <c r="Y42" s="539">
        <v>0</v>
      </c>
      <c r="Z42" s="539">
        <v>0</v>
      </c>
      <c r="AA42" s="261">
        <f t="shared" si="0"/>
        <v>100</v>
      </c>
      <c r="AB42" s="753" t="s">
        <v>372</v>
      </c>
    </row>
    <row r="43" spans="1:28">
      <c r="A43" s="201">
        <v>2016</v>
      </c>
      <c r="B43" s="744"/>
      <c r="C43" s="13"/>
      <c r="D43" s="746"/>
      <c r="E43" s="747"/>
      <c r="F43" s="719"/>
      <c r="G43" s="539">
        <v>0</v>
      </c>
      <c r="H43" s="539">
        <v>0.34557235421166305</v>
      </c>
      <c r="I43" s="539">
        <v>0</v>
      </c>
      <c r="J43" s="539">
        <v>0.73434125269978401</v>
      </c>
      <c r="K43" s="959">
        <v>9.2440604751619873</v>
      </c>
      <c r="L43" s="959">
        <v>0</v>
      </c>
      <c r="M43" s="959">
        <v>0</v>
      </c>
      <c r="N43" s="959">
        <v>65.399568034557234</v>
      </c>
      <c r="O43" s="541">
        <v>7.7321814254859609</v>
      </c>
      <c r="P43" s="959">
        <v>0</v>
      </c>
      <c r="Q43" s="959">
        <v>0</v>
      </c>
      <c r="R43" s="959">
        <v>0.30237580993520519</v>
      </c>
      <c r="S43" s="539">
        <v>16.112311015118792</v>
      </c>
      <c r="T43" s="539">
        <v>8.6393088552915762E-2</v>
      </c>
      <c r="U43" s="539">
        <v>0</v>
      </c>
      <c r="V43" s="539">
        <v>0</v>
      </c>
      <c r="W43" s="539">
        <v>4.3196544276457881E-2</v>
      </c>
      <c r="X43" s="539">
        <v>0</v>
      </c>
      <c r="Y43" s="539">
        <v>0</v>
      </c>
      <c r="Z43" s="539">
        <v>0</v>
      </c>
      <c r="AA43" s="261">
        <f t="shared" si="0"/>
        <v>99.999999999999986</v>
      </c>
      <c r="AB43" s="753" t="s">
        <v>372</v>
      </c>
    </row>
    <row r="44" spans="1:28">
      <c r="A44" s="201">
        <v>2017</v>
      </c>
      <c r="B44" s="199"/>
      <c r="C44" s="13"/>
      <c r="D44" s="200"/>
      <c r="E44" s="256"/>
      <c r="F44" s="201"/>
      <c r="G44" s="540"/>
      <c r="H44" s="540"/>
      <c r="I44" s="540">
        <v>0.1</v>
      </c>
      <c r="J44" s="540">
        <v>0.1</v>
      </c>
      <c r="K44" s="542">
        <v>16.7</v>
      </c>
      <c r="L44" s="542">
        <v>0.1</v>
      </c>
      <c r="M44" s="542"/>
      <c r="N44" s="542">
        <v>44.2</v>
      </c>
      <c r="O44" s="542">
        <v>0.1</v>
      </c>
      <c r="P44" s="542"/>
      <c r="Q44" s="542"/>
      <c r="R44" s="542">
        <v>37.6</v>
      </c>
      <c r="S44" s="542">
        <v>0.2</v>
      </c>
      <c r="T44" s="540"/>
      <c r="U44" s="538">
        <v>0.7</v>
      </c>
      <c r="V44" s="540">
        <v>0.2</v>
      </c>
      <c r="W44" s="540"/>
      <c r="X44" s="540"/>
      <c r="Y44" s="540"/>
      <c r="Z44" s="540"/>
      <c r="AA44" s="261"/>
    </row>
    <row r="45" spans="1:28">
      <c r="A45" s="244"/>
      <c r="B45" s="199"/>
      <c r="C45" s="13"/>
      <c r="D45" s="200"/>
      <c r="E45" s="201"/>
      <c r="F45" s="201"/>
      <c r="G45" s="198"/>
      <c r="H45" s="178"/>
      <c r="I45" s="178"/>
      <c r="J45" s="178"/>
      <c r="K45" s="178"/>
      <c r="L45" s="178"/>
      <c r="M45" s="178"/>
      <c r="N45" s="178"/>
      <c r="O45" s="178"/>
      <c r="P45" s="178"/>
      <c r="Q45" s="178"/>
      <c r="R45" s="178"/>
      <c r="S45" s="178"/>
      <c r="T45" s="178"/>
      <c r="U45" s="178"/>
      <c r="V45" s="178"/>
      <c r="W45" s="178"/>
      <c r="X45" s="178"/>
      <c r="Y45" s="178"/>
      <c r="Z45" s="178"/>
      <c r="AA45" s="178"/>
    </row>
    <row r="46" spans="1:28" ht="18.75">
      <c r="A46" s="533" t="str">
        <f>"Last 10 years "&amp;FcastYR-10&amp;"-"&amp;FcastYR-1</f>
        <v>Last 10 years 2008-2017</v>
      </c>
      <c r="B46" s="181"/>
      <c r="C46" s="179"/>
      <c r="D46" s="181"/>
      <c r="E46" s="180"/>
      <c r="F46" s="180"/>
      <c r="G46" s="564">
        <f t="shared" ref="G46:H46" si="1">AVERAGE(G34:G43)</f>
        <v>0</v>
      </c>
      <c r="H46" s="564">
        <f t="shared" si="1"/>
        <v>3.4557235421166302E-2</v>
      </c>
      <c r="I46" s="564">
        <f>AVERAGE(I34:I43)</f>
        <v>1.6367063556677874</v>
      </c>
      <c r="J46" s="564">
        <f t="shared" ref="J46:Z46" si="2">AVERAGE(J34:J43)</f>
        <v>7.3434125269978404E-2</v>
      </c>
      <c r="K46" s="564">
        <f t="shared" si="2"/>
        <v>9.0584845255480602</v>
      </c>
      <c r="L46" s="564">
        <f t="shared" si="2"/>
        <v>0</v>
      </c>
      <c r="M46" s="564">
        <f t="shared" si="2"/>
        <v>0</v>
      </c>
      <c r="N46" s="564">
        <f t="shared" si="2"/>
        <v>66.398948954359014</v>
      </c>
      <c r="O46" s="564">
        <f t="shared" si="2"/>
        <v>1.0586026081306028</v>
      </c>
      <c r="P46" s="564">
        <f t="shared" si="2"/>
        <v>0</v>
      </c>
      <c r="Q46" s="564">
        <f t="shared" si="2"/>
        <v>0</v>
      </c>
      <c r="R46" s="564">
        <f t="shared" si="2"/>
        <v>18.164130368411772</v>
      </c>
      <c r="S46" s="564">
        <f t="shared" si="2"/>
        <v>3.0221796958303995</v>
      </c>
      <c r="T46" s="564">
        <f t="shared" si="2"/>
        <v>8.6393088552915755E-3</v>
      </c>
      <c r="U46" s="564">
        <f t="shared" si="2"/>
        <v>0.290306151321374</v>
      </c>
      <c r="V46" s="564">
        <f t="shared" si="2"/>
        <v>0.24969101675690886</v>
      </c>
      <c r="W46" s="564">
        <f t="shared" si="2"/>
        <v>4.3196544276457877E-3</v>
      </c>
      <c r="X46" s="564">
        <f t="shared" si="2"/>
        <v>0</v>
      </c>
      <c r="Y46" s="564">
        <f t="shared" si="2"/>
        <v>0</v>
      </c>
      <c r="Z46" s="564">
        <f t="shared" si="2"/>
        <v>0</v>
      </c>
      <c r="AA46" s="564">
        <f>AVERAGE(AA34:AA43)</f>
        <v>100</v>
      </c>
    </row>
    <row r="47" spans="1:28" ht="18.75">
      <c r="A47" s="262" t="s">
        <v>18</v>
      </c>
      <c r="B47" s="534" t="str">
        <f>"1980-"&amp; FcastYR-1</f>
        <v>1980-2017</v>
      </c>
      <c r="C47" s="182"/>
      <c r="D47" s="182"/>
      <c r="E47" s="183"/>
      <c r="F47" s="183"/>
      <c r="G47" s="564">
        <f t="shared" ref="G47:H47" si="3">AVERAGE(G7:G45)</f>
        <v>0</v>
      </c>
      <c r="H47" s="564">
        <f t="shared" si="3"/>
        <v>1.3822894168466522E-2</v>
      </c>
      <c r="I47" s="564">
        <f>AVERAGE(I7:I45)</f>
        <v>1.0264603166120194</v>
      </c>
      <c r="J47" s="564">
        <f t="shared" ref="J47:Z47" si="4">AVERAGE(J7:J45)</f>
        <v>6.9912775453488202E-2</v>
      </c>
      <c r="K47" s="564">
        <f t="shared" si="4"/>
        <v>8.7101998504006026</v>
      </c>
      <c r="L47" s="564">
        <f t="shared" si="4"/>
        <v>3.8461538461538464E-3</v>
      </c>
      <c r="M47" s="564">
        <f t="shared" si="4"/>
        <v>0</v>
      </c>
      <c r="N47" s="564">
        <f t="shared" si="4"/>
        <v>60.568414517273901</v>
      </c>
      <c r="O47" s="564">
        <f t="shared" si="4"/>
        <v>0.61863084841391958</v>
      </c>
      <c r="P47" s="564">
        <f t="shared" si="4"/>
        <v>0</v>
      </c>
      <c r="Q47" s="564">
        <f t="shared" si="4"/>
        <v>0</v>
      </c>
      <c r="R47" s="564">
        <f t="shared" si="4"/>
        <v>23.57682783834851</v>
      </c>
      <c r="S47" s="564">
        <f t="shared" si="4"/>
        <v>2.2663724438930193</v>
      </c>
      <c r="T47" s="564">
        <f t="shared" si="4"/>
        <v>3.4557235421166306E-3</v>
      </c>
      <c r="U47" s="564">
        <f t="shared" si="4"/>
        <v>0.17752519427227367</v>
      </c>
      <c r="V47" s="564">
        <f t="shared" si="4"/>
        <v>0.64423434428720228</v>
      </c>
      <c r="W47" s="564">
        <f t="shared" si="4"/>
        <v>1.7278617710583153E-3</v>
      </c>
      <c r="X47" s="564">
        <f t="shared" si="4"/>
        <v>1.5625E-2</v>
      </c>
      <c r="Y47" s="564">
        <f t="shared" si="4"/>
        <v>0</v>
      </c>
      <c r="Z47" s="564">
        <f t="shared" si="4"/>
        <v>0</v>
      </c>
      <c r="AA47" s="564">
        <f>AVERAGE(AA7:AA45)</f>
        <v>100.0000036</v>
      </c>
    </row>
    <row r="48" spans="1:28">
      <c r="A48" s="4"/>
      <c r="B48" s="14"/>
      <c r="C48" s="15"/>
      <c r="D48" s="14"/>
      <c r="E48" s="4"/>
      <c r="F48" s="4"/>
      <c r="G48" s="16"/>
      <c r="H48" s="16"/>
      <c r="I48" s="16"/>
      <c r="J48" s="16"/>
      <c r="K48" s="16"/>
      <c r="L48" s="16"/>
      <c r="M48" s="4"/>
      <c r="N48" s="16"/>
      <c r="O48" s="16"/>
      <c r="P48" s="16"/>
      <c r="Q48" s="16"/>
      <c r="R48" s="4"/>
      <c r="S48" s="16"/>
      <c r="T48" s="16"/>
      <c r="U48" s="16"/>
      <c r="V48" s="16"/>
      <c r="W48" s="16"/>
      <c r="X48" s="16"/>
      <c r="Y48" s="16"/>
      <c r="Z48" s="16"/>
      <c r="AA48" s="16"/>
    </row>
    <row r="49" spans="1:27" ht="18.75">
      <c r="A49" s="1141" t="s">
        <v>19</v>
      </c>
      <c r="B49" s="1142" t="s">
        <v>20</v>
      </c>
      <c r="C49" s="1143"/>
      <c r="D49" s="1144"/>
      <c r="E49" s="1145"/>
      <c r="F49" s="1145"/>
      <c r="G49" s="1146"/>
      <c r="H49" s="1146"/>
      <c r="I49" s="753" t="s">
        <v>501</v>
      </c>
      <c r="J49" s="16"/>
      <c r="K49" s="4"/>
      <c r="L49" s="4"/>
      <c r="M49" s="4"/>
      <c r="N49" s="4"/>
      <c r="O49" s="4"/>
      <c r="P49" s="4"/>
      <c r="Q49" s="4"/>
      <c r="R49" s="4"/>
      <c r="S49" s="4"/>
      <c r="T49" s="4"/>
      <c r="U49" s="16"/>
      <c r="V49" s="16"/>
      <c r="W49" s="16"/>
      <c r="X49" s="16"/>
      <c r="Y49" s="16"/>
      <c r="Z49" s="16"/>
      <c r="AA49" s="16"/>
    </row>
    <row r="50" spans="1:27" ht="18.75">
      <c r="A50" s="263" t="s">
        <v>21</v>
      </c>
      <c r="B50" s="266" t="s">
        <v>22</v>
      </c>
      <c r="C50" s="753"/>
      <c r="D50" s="753"/>
      <c r="E50" s="753"/>
      <c r="F50" s="753"/>
      <c r="G50" s="753"/>
      <c r="H50" s="753"/>
    </row>
    <row r="51" spans="1:27">
      <c r="J51" s="523"/>
      <c r="K51" s="523"/>
      <c r="L51" s="523"/>
      <c r="M51" s="523"/>
      <c r="N51" s="523"/>
      <c r="O51" s="523"/>
      <c r="P51" s="523"/>
      <c r="Q51" s="523"/>
      <c r="R51" s="523"/>
    </row>
    <row r="52" spans="1:27">
      <c r="G52" t="s">
        <v>23</v>
      </c>
      <c r="J52" s="523"/>
      <c r="K52" s="750"/>
      <c r="L52" s="751"/>
      <c r="M52" s="751"/>
      <c r="N52" s="750"/>
      <c r="O52" s="750"/>
      <c r="P52" s="750"/>
      <c r="Q52" s="750"/>
      <c r="R52" s="750"/>
    </row>
    <row r="53" spans="1:27">
      <c r="I53" s="523"/>
      <c r="J53" s="523"/>
      <c r="K53" s="523"/>
      <c r="L53" s="523"/>
      <c r="M53" s="523"/>
      <c r="N53" s="523"/>
      <c r="O53" s="523"/>
      <c r="P53" s="523"/>
      <c r="R53" s="523"/>
    </row>
    <row r="54" spans="1:27">
      <c r="I54" s="523"/>
      <c r="J54" s="523"/>
      <c r="K54" s="523"/>
      <c r="L54" s="523"/>
      <c r="M54" s="523"/>
      <c r="N54" s="523"/>
      <c r="O54" s="523"/>
      <c r="P54" s="523"/>
      <c r="R54" s="523"/>
    </row>
    <row r="55" spans="1:27">
      <c r="R55" s="523"/>
    </row>
    <row r="56" spans="1:27">
      <c r="J56" s="523"/>
      <c r="K56" s="523"/>
      <c r="L56" s="523"/>
      <c r="M56" s="523"/>
      <c r="N56" s="523"/>
      <c r="O56" s="523"/>
      <c r="P56" s="523"/>
      <c r="Q56" s="523"/>
      <c r="R56" s="523"/>
    </row>
    <row r="57" spans="1:27">
      <c r="J57" s="523"/>
      <c r="K57" s="523"/>
      <c r="L57" s="523"/>
      <c r="M57" s="523"/>
      <c r="N57" s="523"/>
      <c r="O57" s="523"/>
      <c r="P57" s="523"/>
      <c r="Q57" s="523"/>
      <c r="R57" s="523"/>
    </row>
  </sheetData>
  <conditionalFormatting sqref="G19:Z47">
    <cfRule type="cellIs" dxfId="2" priority="1" operator="equal">
      <formula>0</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tabColor theme="9"/>
  </sheetPr>
  <dimension ref="A1:Y44"/>
  <sheetViews>
    <sheetView topLeftCell="A4" zoomScale="80" zoomScaleNormal="80" workbookViewId="0">
      <selection activeCell="C44" sqref="C44"/>
    </sheetView>
  </sheetViews>
  <sheetFormatPr defaultRowHeight="15.75"/>
  <cols>
    <col min="2" max="2" width="14" customWidth="1"/>
    <col min="10" max="10" width="12.25" customWidth="1"/>
    <col min="23" max="23" width="11" customWidth="1"/>
  </cols>
  <sheetData>
    <row r="1" spans="1:25">
      <c r="A1" s="25" t="str">
        <f ca="1">CELL("filename",A1)</f>
        <v>C:\Projects\Shiny App\Aging Error\[Copprt Chinook brood.xlsx]UCRNumber</v>
      </c>
    </row>
    <row r="2" spans="1:25">
      <c r="A2" s="331"/>
    </row>
    <row r="5" spans="1:25">
      <c r="A5" s="283"/>
      <c r="B5" s="283"/>
      <c r="C5" s="251" t="s">
        <v>5</v>
      </c>
      <c r="D5" s="252" t="s">
        <v>6</v>
      </c>
      <c r="E5" s="253"/>
      <c r="F5" s="252" t="s">
        <v>7</v>
      </c>
      <c r="G5" s="247"/>
      <c r="H5" s="253"/>
      <c r="I5" s="252" t="s">
        <v>8</v>
      </c>
      <c r="J5" s="247"/>
      <c r="K5" s="247"/>
      <c r="L5" s="253"/>
      <c r="M5" s="252" t="s">
        <v>9</v>
      </c>
      <c r="N5" s="248"/>
      <c r="O5" s="247"/>
      <c r="P5" s="253"/>
      <c r="Q5" s="252" t="s">
        <v>10</v>
      </c>
      <c r="R5" s="247"/>
      <c r="S5" s="253"/>
      <c r="T5" s="1147" t="s">
        <v>11</v>
      </c>
      <c r="U5" s="245"/>
      <c r="V5" s="1148"/>
      <c r="W5" s="206"/>
    </row>
    <row r="6" spans="1:25" ht="31.5">
      <c r="A6" s="570" t="s">
        <v>321</v>
      </c>
      <c r="B6" s="588" t="s">
        <v>322</v>
      </c>
      <c r="C6" s="257">
        <v>0.1</v>
      </c>
      <c r="D6" s="258">
        <v>0.2</v>
      </c>
      <c r="E6" s="259">
        <v>1.1000000000000001</v>
      </c>
      <c r="F6" s="258">
        <v>0.3</v>
      </c>
      <c r="G6" s="254">
        <v>1.2</v>
      </c>
      <c r="H6" s="259">
        <v>2.1</v>
      </c>
      <c r="I6" s="258">
        <v>0.4</v>
      </c>
      <c r="J6" s="254">
        <v>1.3</v>
      </c>
      <c r="K6" s="254">
        <v>2.2000000000000002</v>
      </c>
      <c r="L6" s="260" t="s">
        <v>15</v>
      </c>
      <c r="M6" s="258">
        <v>0.5</v>
      </c>
      <c r="N6" s="254">
        <v>1.4</v>
      </c>
      <c r="O6" s="254">
        <v>2.2999999999999998</v>
      </c>
      <c r="P6" s="259">
        <v>3.2</v>
      </c>
      <c r="Q6" s="258">
        <v>1.5</v>
      </c>
      <c r="R6" s="254">
        <v>2.4</v>
      </c>
      <c r="S6" s="254">
        <v>3.3</v>
      </c>
      <c r="T6" s="1149">
        <v>1.6</v>
      </c>
      <c r="U6" s="749">
        <v>2.5</v>
      </c>
      <c r="V6" s="748">
        <v>3.4</v>
      </c>
      <c r="W6" s="254" t="s">
        <v>0</v>
      </c>
    </row>
    <row r="7" spans="1:25">
      <c r="A7" s="201">
        <v>1980</v>
      </c>
      <c r="B7" s="589">
        <f>Escapements!R9</f>
        <v>34684.748314976161</v>
      </c>
      <c r="C7" s="571">
        <f>IF(ISERR((UCRPercentage!G7/100)*$B7), 0, (UCRPercentage!G7/100)*$B7)</f>
        <v>0</v>
      </c>
      <c r="D7" s="571">
        <f>IF(ISERR((UCRPercentage!H7/100)*$B7), 0, (UCRPercentage!H7/100)*$B7)</f>
        <v>0</v>
      </c>
      <c r="E7" s="571">
        <f>IF(ISERR((UCRPercentage!I7/100)*$B7), 0, (UCRPercentage!I7/100)*$B7)</f>
        <v>0</v>
      </c>
      <c r="F7" s="571">
        <f>IF(ISERR((UCRPercentage!J7/100)*$B7), 0, (UCRPercentage!J7/100)*$B7)</f>
        <v>0</v>
      </c>
      <c r="G7" s="571">
        <f>IF(ISERR((UCRPercentage!K7/100)*$B7), 0, (UCRPercentage!K7/100)*$B7)</f>
        <v>0</v>
      </c>
      <c r="H7" s="571">
        <f>IF(ISERR((UCRPercentage!L7/100)*$B7), 0, (UCRPercentage!L7/100)*$B7)</f>
        <v>0</v>
      </c>
      <c r="I7" s="571">
        <f>IF(ISERR((UCRPercentage!M7/100)*$B7), 0, (UCRPercentage!M7/100)*$B7)</f>
        <v>0</v>
      </c>
      <c r="J7" s="571">
        <f>IF(ISERR((UCRPercentage!N7/100)*$B7), 0, (UCRPercentage!N7/100)*$B7)</f>
        <v>0</v>
      </c>
      <c r="K7" s="571">
        <f>IF(ISERR((UCRPercentage!O7/100)*$B7), 0, (UCRPercentage!O7/100)*$B7)</f>
        <v>0</v>
      </c>
      <c r="L7" s="571">
        <f>IF(ISERR((UCRPercentage!P7/100)*$B7), 0, (UCRPercentage!P7/100)*$B7)</f>
        <v>0</v>
      </c>
      <c r="M7" s="571">
        <f>IF(ISERR((UCRPercentage!Q7/100)*$B7), 0, (UCRPercentage!Q7/100)*$B7)</f>
        <v>0</v>
      </c>
      <c r="N7" s="571">
        <f>IF(ISERR((UCRPercentage!R7/100)*$B7), 0, (UCRPercentage!R7/100)*$B7)</f>
        <v>0</v>
      </c>
      <c r="O7" s="571">
        <f>IF(ISERR((UCRPercentage!S7/100)*$B7), 0, (UCRPercentage!S7/100)*$B7)</f>
        <v>0</v>
      </c>
      <c r="P7" s="571">
        <f>IF(ISERR((UCRPercentage!T7/100)*$B7), 0, (UCRPercentage!T7/100)*$B7)</f>
        <v>0</v>
      </c>
      <c r="Q7" s="571">
        <f>IF(ISERR((UCRPercentage!U7/100)*$B7), 0, (UCRPercentage!U7/100)*$B7)</f>
        <v>0</v>
      </c>
      <c r="R7" s="571">
        <f>IF(ISERR((UCRPercentage!V7/100)*$B7), 0, (UCRPercentage!V7/100)*$B7)</f>
        <v>0</v>
      </c>
      <c r="S7" s="571">
        <f>IF(ISERR((UCRPercentage!W7/100)*$B7), 0, (UCRPercentage!W7/100)*$B7)</f>
        <v>0</v>
      </c>
      <c r="T7" s="571">
        <f>IF(ISERR((UCRPercentage!X7/100)*$B7), 0, (UCRPercentage!X7/100)*$B7)</f>
        <v>0</v>
      </c>
      <c r="U7" s="571">
        <f>IF(ISERR((UCRPercentage!Y7/100)*$B7), 0, (UCRPercentage!Y7/100)*$B7)</f>
        <v>0</v>
      </c>
      <c r="V7" s="571">
        <f>IF(ISERR((UCRPercentage!Z7/100)*$B7), 0, (UCRPercentage!Z7/100)*$B7)</f>
        <v>0</v>
      </c>
      <c r="W7" s="572">
        <f>SUM(C7:V7)</f>
        <v>0</v>
      </c>
      <c r="Y7" s="1140"/>
    </row>
    <row r="8" spans="1:25">
      <c r="A8" s="201">
        <v>1981</v>
      </c>
      <c r="B8" s="590">
        <f>Escapements!R10</f>
        <v>19781.078590640129</v>
      </c>
      <c r="C8" s="571">
        <f>IF(ISERR((UCRPercentage!G8/100)*$B8), 0, (UCRPercentage!G8/100)*$B8)</f>
        <v>0</v>
      </c>
      <c r="D8" s="571">
        <f>IF(ISERR((UCRPercentage!H8/100)*$B8), 0, (UCRPercentage!H8/100)*$B8)</f>
        <v>0</v>
      </c>
      <c r="E8" s="571">
        <f>IF(ISERR((UCRPercentage!I8/100)*$B8), 0, (UCRPercentage!I8/100)*$B8)</f>
        <v>0</v>
      </c>
      <c r="F8" s="571">
        <f>IF(ISERR((UCRPercentage!J8/100)*$B8), 0, (UCRPercentage!J8/100)*$B8)</f>
        <v>0</v>
      </c>
      <c r="G8" s="571">
        <f>IF(ISERR((UCRPercentage!K8/100)*$B8), 0, (UCRPercentage!K8/100)*$B8)</f>
        <v>0</v>
      </c>
      <c r="H8" s="571">
        <f>IF(ISERR((UCRPercentage!L8/100)*$B8), 0, (UCRPercentage!L8/100)*$B8)</f>
        <v>0</v>
      </c>
      <c r="I8" s="571">
        <f>IF(ISERR((UCRPercentage!M8/100)*$B8), 0, (UCRPercentage!M8/100)*$B8)</f>
        <v>0</v>
      </c>
      <c r="J8" s="571">
        <f>IF(ISERR((UCRPercentage!N8/100)*$B8), 0, (UCRPercentage!N8/100)*$B8)</f>
        <v>0</v>
      </c>
      <c r="K8" s="571">
        <f>IF(ISERR((UCRPercentage!O8/100)*$B8), 0, (UCRPercentage!O8/100)*$B8)</f>
        <v>0</v>
      </c>
      <c r="L8" s="571">
        <f>IF(ISERR((UCRPercentage!P8/100)*$B8), 0, (UCRPercentage!P8/100)*$B8)</f>
        <v>0</v>
      </c>
      <c r="M8" s="571">
        <f>IF(ISERR((UCRPercentage!Q8/100)*$B8), 0, (UCRPercentage!Q8/100)*$B8)</f>
        <v>0</v>
      </c>
      <c r="N8" s="571">
        <f>IF(ISERR((UCRPercentage!R8/100)*$B8), 0, (UCRPercentage!R8/100)*$B8)</f>
        <v>0</v>
      </c>
      <c r="O8" s="571">
        <f>IF(ISERR((UCRPercentage!S8/100)*$B8), 0, (UCRPercentage!S8/100)*$B8)</f>
        <v>0</v>
      </c>
      <c r="P8" s="571">
        <f>IF(ISERR((UCRPercentage!T8/100)*$B8), 0, (UCRPercentage!T8/100)*$B8)</f>
        <v>0</v>
      </c>
      <c r="Q8" s="571">
        <f>IF(ISERR((UCRPercentage!U8/100)*$B8), 0, (UCRPercentage!U8/100)*$B8)</f>
        <v>0</v>
      </c>
      <c r="R8" s="571">
        <f>IF(ISERR((UCRPercentage!V8/100)*$B8), 0, (UCRPercentage!V8/100)*$B8)</f>
        <v>0</v>
      </c>
      <c r="S8" s="571">
        <f>IF(ISERR((UCRPercentage!W8/100)*$B8), 0, (UCRPercentage!W8/100)*$B8)</f>
        <v>0</v>
      </c>
      <c r="T8" s="571">
        <f>IF(ISERR((UCRPercentage!X8/100)*$B8), 0, (UCRPercentage!X8/100)*$B8)</f>
        <v>0</v>
      </c>
      <c r="U8" s="571">
        <f>IF(ISERR((UCRPercentage!Y8/100)*$B8), 0, (UCRPercentage!Y8/100)*$B8)</f>
        <v>0</v>
      </c>
      <c r="V8" s="571">
        <f>IF(ISERR((UCRPercentage!Z8/100)*$B8), 0, (UCRPercentage!Z8/100)*$B8)</f>
        <v>0</v>
      </c>
      <c r="W8" s="572">
        <f t="shared" ref="W8:W40" si="0">SUM(C8:V8)</f>
        <v>0</v>
      </c>
      <c r="Y8" s="1140"/>
    </row>
    <row r="9" spans="1:25">
      <c r="A9" s="201">
        <v>1982</v>
      </c>
      <c r="B9" s="590">
        <f>Escapements!R11</f>
        <v>13037.621126102389</v>
      </c>
      <c r="C9" s="571">
        <f>IF(ISERR((UCRPercentage!G9/100)*$B9), 0, (UCRPercentage!G9/100)*$B9)</f>
        <v>0</v>
      </c>
      <c r="D9" s="571">
        <f>IF(ISERR((UCRPercentage!H9/100)*$B9), 0, (UCRPercentage!H9/100)*$B9)</f>
        <v>0</v>
      </c>
      <c r="E9" s="571">
        <f>IF(ISERR((UCRPercentage!I9/100)*$B9), 0, (UCRPercentage!I9/100)*$B9)</f>
        <v>0</v>
      </c>
      <c r="F9" s="571">
        <f>IF(ISERR((UCRPercentage!J9/100)*$B9), 0, (UCRPercentage!J9/100)*$B9)</f>
        <v>0</v>
      </c>
      <c r="G9" s="571">
        <f>IF(ISERR((UCRPercentage!K9/100)*$B9), 0, (UCRPercentage!K9/100)*$B9)</f>
        <v>0</v>
      </c>
      <c r="H9" s="571">
        <f>IF(ISERR((UCRPercentage!L9/100)*$B9), 0, (UCRPercentage!L9/100)*$B9)</f>
        <v>0</v>
      </c>
      <c r="I9" s="571">
        <f>IF(ISERR((UCRPercentage!M9/100)*$B9), 0, (UCRPercentage!M9/100)*$B9)</f>
        <v>0</v>
      </c>
      <c r="J9" s="571">
        <f>IF(ISERR((UCRPercentage!N9/100)*$B9), 0, (UCRPercentage!N9/100)*$B9)</f>
        <v>0</v>
      </c>
      <c r="K9" s="571">
        <f>IF(ISERR((UCRPercentage!O9/100)*$B9), 0, (UCRPercentage!O9/100)*$B9)</f>
        <v>0</v>
      </c>
      <c r="L9" s="571">
        <f>IF(ISERR((UCRPercentage!P9/100)*$B9), 0, (UCRPercentage!P9/100)*$B9)</f>
        <v>0</v>
      </c>
      <c r="M9" s="571">
        <f>IF(ISERR((UCRPercentage!Q9/100)*$B9), 0, (UCRPercentage!Q9/100)*$B9)</f>
        <v>0</v>
      </c>
      <c r="N9" s="571">
        <f>IF(ISERR((UCRPercentage!R9/100)*$B9), 0, (UCRPercentage!R9/100)*$B9)</f>
        <v>0</v>
      </c>
      <c r="O9" s="571">
        <f>IF(ISERR((UCRPercentage!S9/100)*$B9), 0, (UCRPercentage!S9/100)*$B9)</f>
        <v>0</v>
      </c>
      <c r="P9" s="571">
        <f>IF(ISERR((UCRPercentage!T9/100)*$B9), 0, (UCRPercentage!T9/100)*$B9)</f>
        <v>0</v>
      </c>
      <c r="Q9" s="571">
        <f>IF(ISERR((UCRPercentage!U9/100)*$B9), 0, (UCRPercentage!U9/100)*$B9)</f>
        <v>0</v>
      </c>
      <c r="R9" s="571">
        <f>IF(ISERR((UCRPercentage!V9/100)*$B9), 0, (UCRPercentage!V9/100)*$B9)</f>
        <v>0</v>
      </c>
      <c r="S9" s="571">
        <f>IF(ISERR((UCRPercentage!W9/100)*$B9), 0, (UCRPercentage!W9/100)*$B9)</f>
        <v>0</v>
      </c>
      <c r="T9" s="571">
        <f>IF(ISERR((UCRPercentage!X9/100)*$B9), 0, (UCRPercentage!X9/100)*$B9)</f>
        <v>0</v>
      </c>
      <c r="U9" s="571">
        <f>IF(ISERR((UCRPercentage!Y9/100)*$B9), 0, (UCRPercentage!Y9/100)*$B9)</f>
        <v>0</v>
      </c>
      <c r="V9" s="571">
        <f>IF(ISERR((UCRPercentage!Z9/100)*$B9), 0, (UCRPercentage!Z9/100)*$B9)</f>
        <v>0</v>
      </c>
      <c r="W9" s="572">
        <f t="shared" si="0"/>
        <v>0</v>
      </c>
      <c r="Y9" s="1140"/>
    </row>
    <row r="10" spans="1:25">
      <c r="A10" s="201">
        <v>1983</v>
      </c>
      <c r="B10" s="590">
        <f>Escapements!R12</f>
        <v>29714.206639779477</v>
      </c>
      <c r="C10" s="571">
        <f>IF(ISERR((UCRPercentage!G10/100)*$B10), 0, (UCRPercentage!G10/100)*$B10)</f>
        <v>0</v>
      </c>
      <c r="D10" s="571">
        <f>IF(ISERR((UCRPercentage!H10/100)*$B10), 0, (UCRPercentage!H10/100)*$B10)</f>
        <v>0</v>
      </c>
      <c r="E10" s="571">
        <f>IF(ISERR((UCRPercentage!I10/100)*$B10), 0, (UCRPercentage!I10/100)*$B10)</f>
        <v>0</v>
      </c>
      <c r="F10" s="571">
        <f>IF(ISERR((UCRPercentage!J10/100)*$B10), 0, (UCRPercentage!J10/100)*$B10)</f>
        <v>0</v>
      </c>
      <c r="G10" s="571">
        <f>IF(ISERR((UCRPercentage!K10/100)*$B10), 0, (UCRPercentage!K10/100)*$B10)</f>
        <v>0</v>
      </c>
      <c r="H10" s="571">
        <f>IF(ISERR((UCRPercentage!L10/100)*$B10), 0, (UCRPercentage!L10/100)*$B10)</f>
        <v>0</v>
      </c>
      <c r="I10" s="571">
        <f>IF(ISERR((UCRPercentage!M10/100)*$B10), 0, (UCRPercentage!M10/100)*$B10)</f>
        <v>0</v>
      </c>
      <c r="J10" s="571">
        <f>IF(ISERR((UCRPercentage!N10/100)*$B10), 0, (UCRPercentage!N10/100)*$B10)</f>
        <v>0</v>
      </c>
      <c r="K10" s="571">
        <f>IF(ISERR((UCRPercentage!O10/100)*$B10), 0, (UCRPercentage!O10/100)*$B10)</f>
        <v>0</v>
      </c>
      <c r="L10" s="571">
        <f>IF(ISERR((UCRPercentage!P10/100)*$B10), 0, (UCRPercentage!P10/100)*$B10)</f>
        <v>0</v>
      </c>
      <c r="M10" s="571">
        <f>IF(ISERR((UCRPercentage!Q10/100)*$B10), 0, (UCRPercentage!Q10/100)*$B10)</f>
        <v>0</v>
      </c>
      <c r="N10" s="571">
        <f>IF(ISERR((UCRPercentage!R10/100)*$B10), 0, (UCRPercentage!R10/100)*$B10)</f>
        <v>0</v>
      </c>
      <c r="O10" s="571">
        <f>IF(ISERR((UCRPercentage!S10/100)*$B10), 0, (UCRPercentage!S10/100)*$B10)</f>
        <v>0</v>
      </c>
      <c r="P10" s="571">
        <f>IF(ISERR((UCRPercentage!T10/100)*$B10), 0, (UCRPercentage!T10/100)*$B10)</f>
        <v>0</v>
      </c>
      <c r="Q10" s="571">
        <f>IF(ISERR((UCRPercentage!U10/100)*$B10), 0, (UCRPercentage!U10/100)*$B10)</f>
        <v>0</v>
      </c>
      <c r="R10" s="571">
        <f>IF(ISERR((UCRPercentage!V10/100)*$B10), 0, (UCRPercentage!V10/100)*$B10)</f>
        <v>0</v>
      </c>
      <c r="S10" s="571">
        <f>IF(ISERR((UCRPercentage!W10/100)*$B10), 0, (UCRPercentage!W10/100)*$B10)</f>
        <v>0</v>
      </c>
      <c r="T10" s="571">
        <f>IF(ISERR((UCRPercentage!X10/100)*$B10), 0, (UCRPercentage!X10/100)*$B10)</f>
        <v>0</v>
      </c>
      <c r="U10" s="571">
        <f>IF(ISERR((UCRPercentage!Y10/100)*$B10), 0, (UCRPercentage!Y10/100)*$B10)</f>
        <v>0</v>
      </c>
      <c r="V10" s="571">
        <f>IF(ISERR((UCRPercentage!Z10/100)*$B10), 0, (UCRPercentage!Z10/100)*$B10)</f>
        <v>0</v>
      </c>
      <c r="W10" s="572">
        <f t="shared" si="0"/>
        <v>0</v>
      </c>
      <c r="Y10" s="1140"/>
    </row>
    <row r="11" spans="1:25">
      <c r="A11" s="201">
        <v>1984</v>
      </c>
      <c r="B11" s="590">
        <f>Escapements!R13</f>
        <v>18295.593658838436</v>
      </c>
      <c r="C11" s="571">
        <f>IF(ISERR((UCRPercentage!G11/100)*$B11), 0, (UCRPercentage!G11/100)*$B11)</f>
        <v>0</v>
      </c>
      <c r="D11" s="571">
        <f>IF(ISERR((UCRPercentage!H11/100)*$B11), 0, (UCRPercentage!H11/100)*$B11)</f>
        <v>0</v>
      </c>
      <c r="E11" s="571">
        <f>IF(ISERR((UCRPercentage!I11/100)*$B11), 0, (UCRPercentage!I11/100)*$B11)</f>
        <v>0</v>
      </c>
      <c r="F11" s="571">
        <f>IF(ISERR((UCRPercentage!J11/100)*$B11), 0, (UCRPercentage!J11/100)*$B11)</f>
        <v>0</v>
      </c>
      <c r="G11" s="571">
        <f>IF(ISERR((UCRPercentage!K11/100)*$B11), 0, (UCRPercentage!K11/100)*$B11)</f>
        <v>0</v>
      </c>
      <c r="H11" s="571">
        <f>IF(ISERR((UCRPercentage!L11/100)*$B11), 0, (UCRPercentage!L11/100)*$B11)</f>
        <v>0</v>
      </c>
      <c r="I11" s="571">
        <f>IF(ISERR((UCRPercentage!M11/100)*$B11), 0, (UCRPercentage!M11/100)*$B11)</f>
        <v>0</v>
      </c>
      <c r="J11" s="571">
        <f>IF(ISERR((UCRPercentage!N11/100)*$B11), 0, (UCRPercentage!N11/100)*$B11)</f>
        <v>0</v>
      </c>
      <c r="K11" s="571">
        <f>IF(ISERR((UCRPercentage!O11/100)*$B11), 0, (UCRPercentage!O11/100)*$B11)</f>
        <v>0</v>
      </c>
      <c r="L11" s="571">
        <f>IF(ISERR((UCRPercentage!P11/100)*$B11), 0, (UCRPercentage!P11/100)*$B11)</f>
        <v>0</v>
      </c>
      <c r="M11" s="571">
        <f>IF(ISERR((UCRPercentage!Q11/100)*$B11), 0, (UCRPercentage!Q11/100)*$B11)</f>
        <v>0</v>
      </c>
      <c r="N11" s="571">
        <f>IF(ISERR((UCRPercentage!R11/100)*$B11), 0, (UCRPercentage!R11/100)*$B11)</f>
        <v>0</v>
      </c>
      <c r="O11" s="571">
        <f>IF(ISERR((UCRPercentage!S11/100)*$B11), 0, (UCRPercentage!S11/100)*$B11)</f>
        <v>0</v>
      </c>
      <c r="P11" s="571">
        <f>IF(ISERR((UCRPercentage!T11/100)*$B11), 0, (UCRPercentage!T11/100)*$B11)</f>
        <v>0</v>
      </c>
      <c r="Q11" s="571">
        <f>IF(ISERR((UCRPercentage!U11/100)*$B11), 0, (UCRPercentage!U11/100)*$B11)</f>
        <v>0</v>
      </c>
      <c r="R11" s="571">
        <f>IF(ISERR((UCRPercentage!V11/100)*$B11), 0, (UCRPercentage!V11/100)*$B11)</f>
        <v>0</v>
      </c>
      <c r="S11" s="571">
        <f>IF(ISERR((UCRPercentage!W11/100)*$B11), 0, (UCRPercentage!W11/100)*$B11)</f>
        <v>0</v>
      </c>
      <c r="T11" s="571">
        <f>IF(ISERR((UCRPercentage!X11/100)*$B11), 0, (UCRPercentage!X11/100)*$B11)</f>
        <v>0</v>
      </c>
      <c r="U11" s="571">
        <f>IF(ISERR((UCRPercentage!Y11/100)*$B11), 0, (UCRPercentage!Y11/100)*$B11)</f>
        <v>0</v>
      </c>
      <c r="V11" s="571">
        <f>IF(ISERR((UCRPercentage!Z11/100)*$B11), 0, (UCRPercentage!Z11/100)*$B11)</f>
        <v>0</v>
      </c>
      <c r="W11" s="572">
        <f t="shared" si="0"/>
        <v>0</v>
      </c>
      <c r="Y11" s="1140"/>
    </row>
    <row r="12" spans="1:25">
      <c r="A12" s="201">
        <v>1985</v>
      </c>
      <c r="B12" s="590">
        <f>Escapements!R14</f>
        <v>14798.138127312399</v>
      </c>
      <c r="C12" s="571">
        <f>IF(ISERR((UCRPercentage!G12/100)*$B12), 0, (UCRPercentage!G12/100)*$B12)</f>
        <v>0</v>
      </c>
      <c r="D12" s="571">
        <f>IF(ISERR((UCRPercentage!H12/100)*$B12), 0, (UCRPercentage!H12/100)*$B12)</f>
        <v>0</v>
      </c>
      <c r="E12" s="571">
        <f>IF(ISERR((UCRPercentage!I12/100)*$B12), 0, (UCRPercentage!I12/100)*$B12)</f>
        <v>0</v>
      </c>
      <c r="F12" s="571">
        <f>IF(ISERR((UCRPercentage!J12/100)*$B12), 0, (UCRPercentage!J12/100)*$B12)</f>
        <v>0</v>
      </c>
      <c r="G12" s="571">
        <f>IF(ISERR((UCRPercentage!K12/100)*$B12), 0, (UCRPercentage!K12/100)*$B12)</f>
        <v>0</v>
      </c>
      <c r="H12" s="571">
        <f>IF(ISERR((UCRPercentage!L12/100)*$B12), 0, (UCRPercentage!L12/100)*$B12)</f>
        <v>0</v>
      </c>
      <c r="I12" s="571">
        <f>IF(ISERR((UCRPercentage!M12/100)*$B12), 0, (UCRPercentage!M12/100)*$B12)</f>
        <v>0</v>
      </c>
      <c r="J12" s="571">
        <f>IF(ISERR((UCRPercentage!N12/100)*$B12), 0, (UCRPercentage!N12/100)*$B12)</f>
        <v>0</v>
      </c>
      <c r="K12" s="571">
        <f>IF(ISERR((UCRPercentage!O12/100)*$B12), 0, (UCRPercentage!O12/100)*$B12)</f>
        <v>0</v>
      </c>
      <c r="L12" s="571">
        <f>IF(ISERR((UCRPercentage!P12/100)*$B12), 0, (UCRPercentage!P12/100)*$B12)</f>
        <v>0</v>
      </c>
      <c r="M12" s="571">
        <f>IF(ISERR((UCRPercentage!Q12/100)*$B12), 0, (UCRPercentage!Q12/100)*$B12)</f>
        <v>0</v>
      </c>
      <c r="N12" s="571">
        <f>IF(ISERR((UCRPercentage!R12/100)*$B12), 0, (UCRPercentage!R12/100)*$B12)</f>
        <v>0</v>
      </c>
      <c r="O12" s="571">
        <f>IF(ISERR((UCRPercentage!S12/100)*$B12), 0, (UCRPercentage!S12/100)*$B12)</f>
        <v>0</v>
      </c>
      <c r="P12" s="571">
        <f>IF(ISERR((UCRPercentage!T12/100)*$B12), 0, (UCRPercentage!T12/100)*$B12)</f>
        <v>0</v>
      </c>
      <c r="Q12" s="571">
        <f>IF(ISERR((UCRPercentage!U12/100)*$B12), 0, (UCRPercentage!U12/100)*$B12)</f>
        <v>0</v>
      </c>
      <c r="R12" s="571">
        <f>IF(ISERR((UCRPercentage!V12/100)*$B12), 0, (UCRPercentage!V12/100)*$B12)</f>
        <v>0</v>
      </c>
      <c r="S12" s="571">
        <f>IF(ISERR((UCRPercentage!W12/100)*$B12), 0, (UCRPercentage!W12/100)*$B12)</f>
        <v>0</v>
      </c>
      <c r="T12" s="571">
        <f>IF(ISERR((UCRPercentage!X12/100)*$B12), 0, (UCRPercentage!X12/100)*$B12)</f>
        <v>0</v>
      </c>
      <c r="U12" s="571">
        <f>IF(ISERR((UCRPercentage!Y12/100)*$B12), 0, (UCRPercentage!Y12/100)*$B12)</f>
        <v>0</v>
      </c>
      <c r="V12" s="571">
        <f>IF(ISERR((UCRPercentage!Z12/100)*$B12), 0, (UCRPercentage!Z12/100)*$B12)</f>
        <v>0</v>
      </c>
      <c r="W12" s="572">
        <f t="shared" si="0"/>
        <v>0</v>
      </c>
      <c r="Y12" s="1140"/>
    </row>
    <row r="13" spans="1:25">
      <c r="A13" s="201">
        <v>1986</v>
      </c>
      <c r="B13" s="590">
        <f>Escapements!R15</f>
        <v>20537.065847773632</v>
      </c>
      <c r="C13" s="571">
        <f>IF(ISERR((UCRPercentage!G13/100)*$B13), 0, (UCRPercentage!G13/100)*$B13)</f>
        <v>0</v>
      </c>
      <c r="D13" s="571">
        <f>IF(ISERR((UCRPercentage!H13/100)*$B13), 0, (UCRPercentage!H13/100)*$B13)</f>
        <v>0</v>
      </c>
      <c r="E13" s="571">
        <f>IF(ISERR((UCRPercentage!I13/100)*$B13), 0, (UCRPercentage!I13/100)*$B13)</f>
        <v>0</v>
      </c>
      <c r="F13" s="571">
        <f>IF(ISERR((UCRPercentage!J13/100)*$B13), 0, (UCRPercentage!J13/100)*$B13)</f>
        <v>0</v>
      </c>
      <c r="G13" s="571">
        <f>IF(ISERR((UCRPercentage!K13/100)*$B13), 0, (UCRPercentage!K13/100)*$B13)</f>
        <v>0</v>
      </c>
      <c r="H13" s="571">
        <f>IF(ISERR((UCRPercentage!L13/100)*$B13), 0, (UCRPercentage!L13/100)*$B13)</f>
        <v>0</v>
      </c>
      <c r="I13" s="571">
        <f>IF(ISERR((UCRPercentage!M13/100)*$B13), 0, (UCRPercentage!M13/100)*$B13)</f>
        <v>0</v>
      </c>
      <c r="J13" s="571">
        <f>IF(ISERR((UCRPercentage!N13/100)*$B13), 0, (UCRPercentage!N13/100)*$B13)</f>
        <v>0</v>
      </c>
      <c r="K13" s="571">
        <f>IF(ISERR((UCRPercentage!O13/100)*$B13), 0, (UCRPercentage!O13/100)*$B13)</f>
        <v>0</v>
      </c>
      <c r="L13" s="571">
        <f>IF(ISERR((UCRPercentage!P13/100)*$B13), 0, (UCRPercentage!P13/100)*$B13)</f>
        <v>0</v>
      </c>
      <c r="M13" s="571">
        <f>IF(ISERR((UCRPercentage!Q13/100)*$B13), 0, (UCRPercentage!Q13/100)*$B13)</f>
        <v>0</v>
      </c>
      <c r="N13" s="571">
        <f>IF(ISERR((UCRPercentage!R13/100)*$B13), 0, (UCRPercentage!R13/100)*$B13)</f>
        <v>0</v>
      </c>
      <c r="O13" s="571">
        <f>IF(ISERR((UCRPercentage!S13/100)*$B13), 0, (UCRPercentage!S13/100)*$B13)</f>
        <v>0</v>
      </c>
      <c r="P13" s="571">
        <f>IF(ISERR((UCRPercentage!T13/100)*$B13), 0, (UCRPercentage!T13/100)*$B13)</f>
        <v>0</v>
      </c>
      <c r="Q13" s="571">
        <f>IF(ISERR((UCRPercentage!U13/100)*$B13), 0, (UCRPercentage!U13/100)*$B13)</f>
        <v>0</v>
      </c>
      <c r="R13" s="571">
        <f>IF(ISERR((UCRPercentage!V13/100)*$B13), 0, (UCRPercentage!V13/100)*$B13)</f>
        <v>0</v>
      </c>
      <c r="S13" s="571">
        <f>IF(ISERR((UCRPercentage!W13/100)*$B13), 0, (UCRPercentage!W13/100)*$B13)</f>
        <v>0</v>
      </c>
      <c r="T13" s="571">
        <f>IF(ISERR((UCRPercentage!X13/100)*$B13), 0, (UCRPercentage!X13/100)*$B13)</f>
        <v>0</v>
      </c>
      <c r="U13" s="571">
        <f>IF(ISERR((UCRPercentage!Y13/100)*$B13), 0, (UCRPercentage!Y13/100)*$B13)</f>
        <v>0</v>
      </c>
      <c r="V13" s="571">
        <f>IF(ISERR((UCRPercentage!Z13/100)*$B13), 0, (UCRPercentage!Z13/100)*$B13)</f>
        <v>0</v>
      </c>
      <c r="W13" s="572">
        <f t="shared" si="0"/>
        <v>0</v>
      </c>
      <c r="Y13" s="1140"/>
    </row>
    <row r="14" spans="1:25">
      <c r="A14" s="201">
        <v>1987</v>
      </c>
      <c r="B14" s="590">
        <f>Escapements!R16</f>
        <v>26120.042632236058</v>
      </c>
      <c r="C14" s="571">
        <f>IF(ISERR((UCRPercentage!G14/100)*$B14), 0, (UCRPercentage!G14/100)*$B14)</f>
        <v>0</v>
      </c>
      <c r="D14" s="571">
        <f>IF(ISERR((UCRPercentage!H14/100)*$B14), 0, (UCRPercentage!H14/100)*$B14)</f>
        <v>0</v>
      </c>
      <c r="E14" s="571">
        <f>IF(ISERR((UCRPercentage!I14/100)*$B14), 0, (UCRPercentage!I14/100)*$B14)</f>
        <v>0</v>
      </c>
      <c r="F14" s="571">
        <f>IF(ISERR((UCRPercentage!J14/100)*$B14), 0, (UCRPercentage!J14/100)*$B14)</f>
        <v>0</v>
      </c>
      <c r="G14" s="571">
        <f>IF(ISERR((UCRPercentage!K14/100)*$B14), 0, (UCRPercentage!K14/100)*$B14)</f>
        <v>0</v>
      </c>
      <c r="H14" s="571">
        <f>IF(ISERR((UCRPercentage!L14/100)*$B14), 0, (UCRPercentage!L14/100)*$B14)</f>
        <v>0</v>
      </c>
      <c r="I14" s="571">
        <f>IF(ISERR((UCRPercentage!M14/100)*$B14), 0, (UCRPercentage!M14/100)*$B14)</f>
        <v>0</v>
      </c>
      <c r="J14" s="571">
        <f>IF(ISERR((UCRPercentage!N14/100)*$B14), 0, (UCRPercentage!N14/100)*$B14)</f>
        <v>0</v>
      </c>
      <c r="K14" s="571">
        <f>IF(ISERR((UCRPercentage!O14/100)*$B14), 0, (UCRPercentage!O14/100)*$B14)</f>
        <v>0</v>
      </c>
      <c r="L14" s="571">
        <f>IF(ISERR((UCRPercentage!P14/100)*$B14), 0, (UCRPercentage!P14/100)*$B14)</f>
        <v>0</v>
      </c>
      <c r="M14" s="571">
        <f>IF(ISERR((UCRPercentage!Q14/100)*$B14), 0, (UCRPercentage!Q14/100)*$B14)</f>
        <v>0</v>
      </c>
      <c r="N14" s="571">
        <f>IF(ISERR((UCRPercentage!R14/100)*$B14), 0, (UCRPercentage!R14/100)*$B14)</f>
        <v>0</v>
      </c>
      <c r="O14" s="571">
        <f>IF(ISERR((UCRPercentage!S14/100)*$B14), 0, (UCRPercentage!S14/100)*$B14)</f>
        <v>0</v>
      </c>
      <c r="P14" s="571">
        <f>IF(ISERR((UCRPercentage!T14/100)*$B14), 0, (UCRPercentage!T14/100)*$B14)</f>
        <v>0</v>
      </c>
      <c r="Q14" s="571">
        <f>IF(ISERR((UCRPercentage!U14/100)*$B14), 0, (UCRPercentage!U14/100)*$B14)</f>
        <v>0</v>
      </c>
      <c r="R14" s="571">
        <f>IF(ISERR((UCRPercentage!V14/100)*$B14), 0, (UCRPercentage!V14/100)*$B14)</f>
        <v>0</v>
      </c>
      <c r="S14" s="571">
        <f>IF(ISERR((UCRPercentage!W14/100)*$B14), 0, (UCRPercentage!W14/100)*$B14)</f>
        <v>0</v>
      </c>
      <c r="T14" s="571">
        <f>IF(ISERR((UCRPercentage!X14/100)*$B14), 0, (UCRPercentage!X14/100)*$B14)</f>
        <v>0</v>
      </c>
      <c r="U14" s="571">
        <f>IF(ISERR((UCRPercentage!Y14/100)*$B14), 0, (UCRPercentage!Y14/100)*$B14)</f>
        <v>0</v>
      </c>
      <c r="V14" s="571">
        <f>IF(ISERR((UCRPercentage!Z14/100)*$B14), 0, (UCRPercentage!Z14/100)*$B14)</f>
        <v>0</v>
      </c>
      <c r="W14" s="572">
        <f t="shared" si="0"/>
        <v>0</v>
      </c>
      <c r="Y14" s="1140"/>
    </row>
    <row r="15" spans="1:25">
      <c r="A15" s="201">
        <v>1988</v>
      </c>
      <c r="B15" s="590">
        <f>Escapements!R17</f>
        <v>28670.039815358257</v>
      </c>
      <c r="C15" s="571">
        <f>IF(ISERR((UCRPercentage!G15/100)*$B15), 0, (UCRPercentage!G15/100)*$B15)</f>
        <v>0</v>
      </c>
      <c r="D15" s="571">
        <f>IF(ISERR((UCRPercentage!H15/100)*$B15), 0, (UCRPercentage!H15/100)*$B15)</f>
        <v>0</v>
      </c>
      <c r="E15" s="571">
        <f>IF(ISERR((UCRPercentage!I15/100)*$B15), 0, (UCRPercentage!I15/100)*$B15)</f>
        <v>0</v>
      </c>
      <c r="F15" s="571">
        <f>IF(ISERR((UCRPercentage!J15/100)*$B15), 0, (UCRPercentage!J15/100)*$B15)</f>
        <v>0</v>
      </c>
      <c r="G15" s="571">
        <f>IF(ISERR((UCRPercentage!K15/100)*$B15), 0, (UCRPercentage!K15/100)*$B15)</f>
        <v>0</v>
      </c>
      <c r="H15" s="571">
        <f>IF(ISERR((UCRPercentage!L15/100)*$B15), 0, (UCRPercentage!L15/100)*$B15)</f>
        <v>0</v>
      </c>
      <c r="I15" s="571">
        <f>IF(ISERR((UCRPercentage!M15/100)*$B15), 0, (UCRPercentage!M15/100)*$B15)</f>
        <v>0</v>
      </c>
      <c r="J15" s="571">
        <f>IF(ISERR((UCRPercentage!N15/100)*$B15), 0, (UCRPercentage!N15/100)*$B15)</f>
        <v>0</v>
      </c>
      <c r="K15" s="571">
        <f>IF(ISERR((UCRPercentage!O15/100)*$B15), 0, (UCRPercentage!O15/100)*$B15)</f>
        <v>0</v>
      </c>
      <c r="L15" s="571">
        <f>IF(ISERR((UCRPercentage!P15/100)*$B15), 0, (UCRPercentage!P15/100)*$B15)</f>
        <v>0</v>
      </c>
      <c r="M15" s="571">
        <f>IF(ISERR((UCRPercentage!Q15/100)*$B15), 0, (UCRPercentage!Q15/100)*$B15)</f>
        <v>0</v>
      </c>
      <c r="N15" s="571">
        <f>IF(ISERR((UCRPercentage!R15/100)*$B15), 0, (UCRPercentage!R15/100)*$B15)</f>
        <v>0</v>
      </c>
      <c r="O15" s="571">
        <f>IF(ISERR((UCRPercentage!S15/100)*$B15), 0, (UCRPercentage!S15/100)*$B15)</f>
        <v>0</v>
      </c>
      <c r="P15" s="571">
        <f>IF(ISERR((UCRPercentage!T15/100)*$B15), 0, (UCRPercentage!T15/100)*$B15)</f>
        <v>0</v>
      </c>
      <c r="Q15" s="571">
        <f>IF(ISERR((UCRPercentage!U15/100)*$B15), 0, (UCRPercentage!U15/100)*$B15)</f>
        <v>0</v>
      </c>
      <c r="R15" s="571">
        <f>IF(ISERR((UCRPercentage!V15/100)*$B15), 0, (UCRPercentage!V15/100)*$B15)</f>
        <v>0</v>
      </c>
      <c r="S15" s="571">
        <f>IF(ISERR((UCRPercentage!W15/100)*$B15), 0, (UCRPercentage!W15/100)*$B15)</f>
        <v>0</v>
      </c>
      <c r="T15" s="571">
        <f>IF(ISERR((UCRPercentage!X15/100)*$B15), 0, (UCRPercentage!X15/100)*$B15)</f>
        <v>0</v>
      </c>
      <c r="U15" s="571">
        <f>IF(ISERR((UCRPercentage!Y15/100)*$B15), 0, (UCRPercentage!Y15/100)*$B15)</f>
        <v>0</v>
      </c>
      <c r="V15" s="571">
        <f>IF(ISERR((UCRPercentage!Z15/100)*$B15), 0, (UCRPercentage!Z15/100)*$B15)</f>
        <v>0</v>
      </c>
      <c r="W15" s="572">
        <f t="shared" si="0"/>
        <v>0</v>
      </c>
      <c r="Y15" s="1140"/>
    </row>
    <row r="16" spans="1:25">
      <c r="A16" s="201">
        <v>1989</v>
      </c>
      <c r="B16" s="590">
        <f>Escapements!R18</f>
        <v>22215.837731152205</v>
      </c>
      <c r="C16" s="571">
        <f>IF(ISERR((UCRPercentage!G16/100)*$B16), 0, (UCRPercentage!G16/100)*$B16)</f>
        <v>0</v>
      </c>
      <c r="D16" s="571">
        <f>IF(ISERR((UCRPercentage!H16/100)*$B16), 0, (UCRPercentage!H16/100)*$B16)</f>
        <v>0</v>
      </c>
      <c r="E16" s="571">
        <f>IF(ISERR((UCRPercentage!I16/100)*$B16), 0, (UCRPercentage!I16/100)*$B16)</f>
        <v>0</v>
      </c>
      <c r="F16" s="571">
        <f>IF(ISERR((UCRPercentage!J16/100)*$B16), 0, (UCRPercentage!J16/100)*$B16)</f>
        <v>0</v>
      </c>
      <c r="G16" s="571">
        <f>IF(ISERR((UCRPercentage!K16/100)*$B16), 0, (UCRPercentage!K16/100)*$B16)</f>
        <v>0</v>
      </c>
      <c r="H16" s="571">
        <f>IF(ISERR((UCRPercentage!L16/100)*$B16), 0, (UCRPercentage!L16/100)*$B16)</f>
        <v>0</v>
      </c>
      <c r="I16" s="571">
        <f>IF(ISERR((UCRPercentage!M16/100)*$B16), 0, (UCRPercentage!M16/100)*$B16)</f>
        <v>0</v>
      </c>
      <c r="J16" s="571">
        <f>IF(ISERR((UCRPercentage!N16/100)*$B16), 0, (UCRPercentage!N16/100)*$B16)</f>
        <v>0</v>
      </c>
      <c r="K16" s="571">
        <f>IF(ISERR((UCRPercentage!O16/100)*$B16), 0, (UCRPercentage!O16/100)*$B16)</f>
        <v>0</v>
      </c>
      <c r="L16" s="571">
        <f>IF(ISERR((UCRPercentage!P16/100)*$B16), 0, (UCRPercentage!P16/100)*$B16)</f>
        <v>0</v>
      </c>
      <c r="M16" s="571">
        <f>IF(ISERR((UCRPercentage!Q16/100)*$B16), 0, (UCRPercentage!Q16/100)*$B16)</f>
        <v>0</v>
      </c>
      <c r="N16" s="571">
        <f>IF(ISERR((UCRPercentage!R16/100)*$B16), 0, (UCRPercentage!R16/100)*$B16)</f>
        <v>0</v>
      </c>
      <c r="O16" s="571">
        <f>IF(ISERR((UCRPercentage!S16/100)*$B16), 0, (UCRPercentage!S16/100)*$B16)</f>
        <v>0</v>
      </c>
      <c r="P16" s="571">
        <f>IF(ISERR((UCRPercentage!T16/100)*$B16), 0, (UCRPercentage!T16/100)*$B16)</f>
        <v>0</v>
      </c>
      <c r="Q16" s="571">
        <f>IF(ISERR((UCRPercentage!U16/100)*$B16), 0, (UCRPercentage!U16/100)*$B16)</f>
        <v>0</v>
      </c>
      <c r="R16" s="571">
        <f>IF(ISERR((UCRPercentage!V16/100)*$B16), 0, (UCRPercentage!V16/100)*$B16)</f>
        <v>0</v>
      </c>
      <c r="S16" s="571">
        <f>IF(ISERR((UCRPercentage!W16/100)*$B16), 0, (UCRPercentage!W16/100)*$B16)</f>
        <v>0</v>
      </c>
      <c r="T16" s="571">
        <f>IF(ISERR((UCRPercentage!X16/100)*$B16), 0, (UCRPercentage!X16/100)*$B16)</f>
        <v>0</v>
      </c>
      <c r="U16" s="571">
        <f>IF(ISERR((UCRPercentage!Y16/100)*$B16), 0, (UCRPercentage!Y16/100)*$B16)</f>
        <v>0</v>
      </c>
      <c r="V16" s="571">
        <f>IF(ISERR((UCRPercentage!Z16/100)*$B16), 0, (UCRPercentage!Z16/100)*$B16)</f>
        <v>0</v>
      </c>
      <c r="W16" s="572">
        <f t="shared" si="0"/>
        <v>0</v>
      </c>
      <c r="Y16" s="1140"/>
    </row>
    <row r="17" spans="1:25">
      <c r="A17" s="201">
        <v>1990</v>
      </c>
      <c r="B17" s="590">
        <f>Escapements!R19</f>
        <v>20380.229653929488</v>
      </c>
      <c r="C17" s="571">
        <f>IF(ISERR((UCRPercentage!G17/100)*$B17), 0, (UCRPercentage!G17/100)*$B17)</f>
        <v>0</v>
      </c>
      <c r="D17" s="571">
        <f>IF(ISERR((UCRPercentage!H17/100)*$B17), 0, (UCRPercentage!H17/100)*$B17)</f>
        <v>0</v>
      </c>
      <c r="E17" s="571">
        <f>IF(ISERR((UCRPercentage!I17/100)*$B17), 0, (UCRPercentage!I17/100)*$B17)</f>
        <v>0</v>
      </c>
      <c r="F17" s="571">
        <f>IF(ISERR((UCRPercentage!J17/100)*$B17), 0, (UCRPercentage!J17/100)*$B17)</f>
        <v>0</v>
      </c>
      <c r="G17" s="571">
        <f>IF(ISERR((UCRPercentage!K17/100)*$B17), 0, (UCRPercentage!K17/100)*$B17)</f>
        <v>0</v>
      </c>
      <c r="H17" s="571">
        <f>IF(ISERR((UCRPercentage!L17/100)*$B17), 0, (UCRPercentage!L17/100)*$B17)</f>
        <v>0</v>
      </c>
      <c r="I17" s="571">
        <f>IF(ISERR((UCRPercentage!M17/100)*$B17), 0, (UCRPercentage!M17/100)*$B17)</f>
        <v>0</v>
      </c>
      <c r="J17" s="571">
        <f>IF(ISERR((UCRPercentage!N17/100)*$B17), 0, (UCRPercentage!N17/100)*$B17)</f>
        <v>133.92722344010807</v>
      </c>
      <c r="K17" s="571">
        <f>IF(ISERR((UCRPercentage!O17/100)*$B17), 0, (UCRPercentage!O17/100)*$B17)</f>
        <v>0</v>
      </c>
      <c r="L17" s="571">
        <f>IF(ISERR((UCRPercentage!P17/100)*$B17), 0, (UCRPercentage!P17/100)*$B17)</f>
        <v>0</v>
      </c>
      <c r="M17" s="571">
        <f>IF(ISERR((UCRPercentage!Q17/100)*$B17), 0, (UCRPercentage!Q17/100)*$B17)</f>
        <v>0</v>
      </c>
      <c r="N17" s="571">
        <f>IF(ISERR((UCRPercentage!R17/100)*$B17), 0, (UCRPercentage!R17/100)*$B17)</f>
        <v>0</v>
      </c>
      <c r="O17" s="571">
        <f>IF(ISERR((UCRPercentage!S17/100)*$B17), 0, (UCRPercentage!S17/100)*$B17)</f>
        <v>0</v>
      </c>
      <c r="P17" s="571">
        <f>IF(ISERR((UCRPercentage!T17/100)*$B17), 0, (UCRPercentage!T17/100)*$B17)</f>
        <v>0</v>
      </c>
      <c r="Q17" s="571">
        <f>IF(ISERR((UCRPercentage!U17/100)*$B17), 0, (UCRPercentage!U17/100)*$B17)</f>
        <v>0</v>
      </c>
      <c r="R17" s="571">
        <f>IF(ISERR((UCRPercentage!V17/100)*$B17), 0, (UCRPercentage!V17/100)*$B17)</f>
        <v>0</v>
      </c>
      <c r="S17" s="571">
        <f>IF(ISERR((UCRPercentage!W17/100)*$B17), 0, (UCRPercentage!W17/100)*$B17)</f>
        <v>0</v>
      </c>
      <c r="T17" s="571">
        <f>IF(ISERR((UCRPercentage!X17/100)*$B17), 0, (UCRPercentage!X17/100)*$B17)</f>
        <v>0</v>
      </c>
      <c r="U17" s="571">
        <f>IF(ISERR((UCRPercentage!Y17/100)*$B17), 0, (UCRPercentage!Y17/100)*$B17)</f>
        <v>0</v>
      </c>
      <c r="V17" s="571">
        <f>IF(ISERR((UCRPercentage!Z17/100)*$B17), 0, (UCRPercentage!Z17/100)*$B17)</f>
        <v>0</v>
      </c>
      <c r="W17" s="572">
        <f t="shared" si="0"/>
        <v>133.92722344010807</v>
      </c>
      <c r="Y17" s="1140"/>
    </row>
    <row r="18" spans="1:25">
      <c r="A18" s="201">
        <v>1991</v>
      </c>
      <c r="B18" s="590">
        <f>Escapements!R20</f>
        <v>25435.794866684937</v>
      </c>
      <c r="C18" s="571">
        <f>IF(ISERR((UCRPercentage!G18/100)*$B18), 0, (UCRPercentage!G18/100)*$B18)</f>
        <v>0</v>
      </c>
      <c r="D18" s="571">
        <f>IF(ISERR((UCRPercentage!H18/100)*$B18), 0, (UCRPercentage!H18/100)*$B18)</f>
        <v>0</v>
      </c>
      <c r="E18" s="571">
        <f>IF(ISERR((UCRPercentage!I18/100)*$B18), 0, (UCRPercentage!I18/100)*$B18)</f>
        <v>0</v>
      </c>
      <c r="F18" s="571">
        <f>IF(ISERR((UCRPercentage!J18/100)*$B18), 0, (UCRPercentage!J18/100)*$B18)</f>
        <v>0</v>
      </c>
      <c r="G18" s="571">
        <f>IF(ISERR((UCRPercentage!K18/100)*$B18), 0, (UCRPercentage!K18/100)*$B18)</f>
        <v>0</v>
      </c>
      <c r="H18" s="571">
        <f>IF(ISERR((UCRPercentage!L18/100)*$B18), 0, (UCRPercentage!L18/100)*$B18)</f>
        <v>0</v>
      </c>
      <c r="I18" s="571">
        <f>IF(ISERR((UCRPercentage!M18/100)*$B18), 0, (UCRPercentage!M18/100)*$B18)</f>
        <v>0</v>
      </c>
      <c r="J18" s="571">
        <f>IF(ISERR((UCRPercentage!N18/100)*$B18), 0, (UCRPercentage!N18/100)*$B18)</f>
        <v>0</v>
      </c>
      <c r="K18" s="571">
        <f>IF(ISERR((UCRPercentage!O18/100)*$B18), 0, (UCRPercentage!O18/100)*$B18)</f>
        <v>0</v>
      </c>
      <c r="L18" s="571">
        <f>IF(ISERR((UCRPercentage!P18/100)*$B18), 0, (UCRPercentage!P18/100)*$B18)</f>
        <v>0</v>
      </c>
      <c r="M18" s="571">
        <f>IF(ISERR((UCRPercentage!Q18/100)*$B18), 0, (UCRPercentage!Q18/100)*$B18)</f>
        <v>0</v>
      </c>
      <c r="N18" s="571">
        <f>IF(ISERR((UCRPercentage!R18/100)*$B18), 0, (UCRPercentage!R18/100)*$B18)</f>
        <v>0</v>
      </c>
      <c r="O18" s="571">
        <f>IF(ISERR((UCRPercentage!S18/100)*$B18), 0, (UCRPercentage!S18/100)*$B18)</f>
        <v>0</v>
      </c>
      <c r="P18" s="571">
        <f>IF(ISERR((UCRPercentage!T18/100)*$B18), 0, (UCRPercentage!T18/100)*$B18)</f>
        <v>0</v>
      </c>
      <c r="Q18" s="571">
        <f>IF(ISERR((UCRPercentage!U18/100)*$B18), 0, (UCRPercentage!U18/100)*$B18)</f>
        <v>0</v>
      </c>
      <c r="R18" s="571">
        <f>IF(ISERR((UCRPercentage!V18/100)*$B18), 0, (UCRPercentage!V18/100)*$B18)</f>
        <v>0</v>
      </c>
      <c r="S18" s="571">
        <f>IF(ISERR((UCRPercentage!W18/100)*$B18), 0, (UCRPercentage!W18/100)*$B18)</f>
        <v>0</v>
      </c>
      <c r="T18" s="571">
        <f>IF(ISERR((UCRPercentage!X18/100)*$B18), 0, (UCRPercentage!X18/100)*$B18)</f>
        <v>0</v>
      </c>
      <c r="U18" s="571">
        <f>IF(ISERR((UCRPercentage!Y18/100)*$B18), 0, (UCRPercentage!Y18/100)*$B18)</f>
        <v>0</v>
      </c>
      <c r="V18" s="571">
        <f>IF(ISERR((UCRPercentage!Z18/100)*$B18), 0, (UCRPercentage!Z18/100)*$B18)</f>
        <v>0</v>
      </c>
      <c r="W18" s="572">
        <f t="shared" si="0"/>
        <v>0</v>
      </c>
      <c r="Y18" s="1140"/>
    </row>
    <row r="19" spans="1:25">
      <c r="A19" s="201">
        <v>1992</v>
      </c>
      <c r="B19" s="590">
        <f>Escapements!R21</f>
        <v>21208.753800524621</v>
      </c>
      <c r="C19" s="571">
        <f>IF(ISERR((UCRPercentage!G19/100)*$B19), 0, (UCRPercentage!G19/100)*$B19)</f>
        <v>0</v>
      </c>
      <c r="D19" s="571">
        <f>IF(ISERR((UCRPercentage!H19/100)*$B19), 0, (UCRPercentage!H19/100)*$B19)</f>
        <v>0</v>
      </c>
      <c r="E19" s="571">
        <f>IF(ISERR((UCRPercentage!I19/100)*$B19), 0, (UCRPercentage!I19/100)*$B19)</f>
        <v>706.95775305902737</v>
      </c>
      <c r="F19" s="571">
        <f>IF(ISERR((UCRPercentage!J19/100)*$B19), 0, (UCRPercentage!J19/100)*$B19)</f>
        <v>0</v>
      </c>
      <c r="G19" s="571">
        <f>IF(ISERR((UCRPercentage!K19/100)*$B19), 0, (UCRPercentage!K19/100)*$B19)</f>
        <v>2120.8753800524623</v>
      </c>
      <c r="H19" s="571">
        <f>IF(ISERR((UCRPercentage!L19/100)*$B19), 0, (UCRPercentage!L19/100)*$B19)</f>
        <v>0</v>
      </c>
      <c r="I19" s="571">
        <f>IF(ISERR((UCRPercentage!M19/100)*$B19), 0, (UCRPercentage!M19/100)*$B19)</f>
        <v>0</v>
      </c>
      <c r="J19" s="571">
        <f>IF(ISERR((UCRPercentage!N19/100)*$B19), 0, (UCRPercentage!N19/100)*$B19)</f>
        <v>4241.7507601049247</v>
      </c>
      <c r="K19" s="571">
        <f>IF(ISERR((UCRPercentage!O19/100)*$B19), 0, (UCRPercentage!O19/100)*$B19)</f>
        <v>235.65258435300913</v>
      </c>
      <c r="L19" s="571">
        <f>IF(ISERR((UCRPercentage!P19/100)*$B19), 0, (UCRPercentage!P19/100)*$B19)</f>
        <v>0</v>
      </c>
      <c r="M19" s="571">
        <f>IF(ISERR((UCRPercentage!Q19/100)*$B19), 0, (UCRPercentage!Q19/100)*$B19)</f>
        <v>0</v>
      </c>
      <c r="N19" s="571">
        <f>IF(ISERR((UCRPercentage!R19/100)*$B19), 0, (UCRPercentage!R19/100)*$B19)</f>
        <v>13667.862617726809</v>
      </c>
      <c r="O19" s="571">
        <f>IF(ISERR((UCRPercentage!S19/100)*$B19), 0, (UCRPercentage!S19/100)*$B19)</f>
        <v>235.65258435300913</v>
      </c>
      <c r="P19" s="571">
        <f>IF(ISERR((UCRPercentage!T19/100)*$B19), 0, (UCRPercentage!T19/100)*$B19)</f>
        <v>0</v>
      </c>
      <c r="Q19" s="571">
        <f>IF(ISERR((UCRPercentage!U19/100)*$B19), 0, (UCRPercentage!U19/100)*$B19)</f>
        <v>0</v>
      </c>
      <c r="R19" s="571">
        <f>IF(ISERR((UCRPercentage!V19/100)*$B19), 0, (UCRPercentage!V19/100)*$B19)</f>
        <v>0</v>
      </c>
      <c r="S19" s="571">
        <f>IF(ISERR((UCRPercentage!W19/100)*$B19), 0, (UCRPercentage!W19/100)*$B19)</f>
        <v>0</v>
      </c>
      <c r="T19" s="571">
        <f>IF(ISERR((UCRPercentage!X19/100)*$B19), 0, (UCRPercentage!X19/100)*$B19)</f>
        <v>0</v>
      </c>
      <c r="U19" s="571">
        <f>IF(ISERR((UCRPercentage!Y19/100)*$B19), 0, (UCRPercentage!Y19/100)*$B19)</f>
        <v>0</v>
      </c>
      <c r="V19" s="571">
        <f>IF(ISERR((UCRPercentage!Z19/100)*$B19), 0, (UCRPercentage!Z19/100)*$B19)</f>
        <v>0</v>
      </c>
      <c r="W19" s="572">
        <f t="shared" si="0"/>
        <v>21208.751679649242</v>
      </c>
      <c r="Y19" s="1140"/>
    </row>
    <row r="20" spans="1:25">
      <c r="A20" s="201">
        <v>1993</v>
      </c>
      <c r="B20" s="590">
        <f>Escapements!R22</f>
        <v>23031.883543528496</v>
      </c>
      <c r="C20" s="571">
        <f>IF(ISERR((UCRPercentage!G20/100)*$B20), 0, (UCRPercentage!G20/100)*$B20)</f>
        <v>0</v>
      </c>
      <c r="D20" s="571">
        <f>IF(ISERR((UCRPercentage!H20/100)*$B20), 0, (UCRPercentage!H20/100)*$B20)</f>
        <v>0</v>
      </c>
      <c r="E20" s="571">
        <f>IF(ISERR((UCRPercentage!I20/100)*$B20), 0, (UCRPercentage!I20/100)*$B20)</f>
        <v>0</v>
      </c>
      <c r="F20" s="571">
        <f>IF(ISERR((UCRPercentage!J20/100)*$B20), 0, (UCRPercentage!J20/100)*$B20)</f>
        <v>0</v>
      </c>
      <c r="G20" s="571">
        <f>IF(ISERR((UCRPercentage!K20/100)*$B20), 0, (UCRPercentage!K20/100)*$B20)</f>
        <v>2132.5819801925168</v>
      </c>
      <c r="H20" s="571">
        <f>IF(ISERR((UCRPercentage!L20/100)*$B20), 0, (UCRPercentage!L20/100)*$B20)</f>
        <v>0</v>
      </c>
      <c r="I20" s="571">
        <f>IF(ISERR((UCRPercentage!M20/100)*$B20), 0, (UCRPercentage!M20/100)*$B20)</f>
        <v>0</v>
      </c>
      <c r="J20" s="571">
        <f>IF(ISERR((UCRPercentage!N20/100)*$B20), 0, (UCRPercentage!N20/100)*$B20)</f>
        <v>12368.973642565912</v>
      </c>
      <c r="K20" s="571">
        <f>IF(ISERR((UCRPercentage!O20/100)*$B20), 0, (UCRPercentage!O20/100)*$B20)</f>
        <v>0</v>
      </c>
      <c r="L20" s="571">
        <f>IF(ISERR((UCRPercentage!P20/100)*$B20), 0, (UCRPercentage!P20/100)*$B20)</f>
        <v>0</v>
      </c>
      <c r="M20" s="571">
        <f>IF(ISERR((UCRPercentage!Q20/100)*$B20), 0, (UCRPercentage!Q20/100)*$B20)</f>
        <v>0</v>
      </c>
      <c r="N20" s="571">
        <f>IF(ISERR((UCRPercentage!R20/100)*$B20), 0, (UCRPercentage!R20/100)*$B20)</f>
        <v>6397.7459405775508</v>
      </c>
      <c r="O20" s="571">
        <f>IF(ISERR((UCRPercentage!S20/100)*$B20), 0, (UCRPercentage!S20/100)*$B20)</f>
        <v>853.03187080166492</v>
      </c>
      <c r="P20" s="571">
        <f>IF(ISERR((UCRPercentage!T20/100)*$B20), 0, (UCRPercentage!T20/100)*$B20)</f>
        <v>0</v>
      </c>
      <c r="Q20" s="571">
        <f>IF(ISERR((UCRPercentage!U20/100)*$B20), 0, (UCRPercentage!U20/100)*$B20)</f>
        <v>0</v>
      </c>
      <c r="R20" s="571">
        <f>IF(ISERR((UCRPercentage!V20/100)*$B20), 0, (UCRPercentage!V20/100)*$B20)</f>
        <v>1279.5501093908517</v>
      </c>
      <c r="S20" s="571">
        <f>IF(ISERR((UCRPercentage!W20/100)*$B20), 0, (UCRPercentage!W20/100)*$B20)</f>
        <v>0</v>
      </c>
      <c r="T20" s="571">
        <f>IF(ISERR((UCRPercentage!X20/100)*$B20), 0, (UCRPercentage!X20/100)*$B20)</f>
        <v>0</v>
      </c>
      <c r="U20" s="571">
        <f>IF(ISERR((UCRPercentage!Y20/100)*$B20), 0, (UCRPercentage!Y20/100)*$B20)</f>
        <v>0</v>
      </c>
      <c r="V20" s="571">
        <f>IF(ISERR((UCRPercentage!Z20/100)*$B20), 0, (UCRPercentage!Z20/100)*$B20)</f>
        <v>0</v>
      </c>
      <c r="W20" s="572">
        <f t="shared" si="0"/>
        <v>23031.883543528496</v>
      </c>
      <c r="Y20" s="1140"/>
    </row>
    <row r="21" spans="1:25">
      <c r="A21" s="201">
        <v>1994</v>
      </c>
      <c r="B21" s="590">
        <f>Escapements!R23</f>
        <v>24946.91549585489</v>
      </c>
      <c r="C21" s="571">
        <f>IF(ISERR((UCRPercentage!G21/100)*$B21), 0, (UCRPercentage!G21/100)*$B21)</f>
        <v>0</v>
      </c>
      <c r="D21" s="571">
        <f>IF(ISERR((UCRPercentage!H21/100)*$B21), 0, (UCRPercentage!H21/100)*$B21)</f>
        <v>0</v>
      </c>
      <c r="E21" s="571">
        <f>IF(ISERR((UCRPercentage!I21/100)*$B21), 0, (UCRPercentage!I21/100)*$B21)</f>
        <v>0</v>
      </c>
      <c r="F21" s="571">
        <f>IF(ISERR((UCRPercentage!J21/100)*$B21), 0, (UCRPercentage!J21/100)*$B21)</f>
        <v>0</v>
      </c>
      <c r="G21" s="571">
        <f>IF(ISERR((UCRPercentage!K21/100)*$B21), 0, (UCRPercentage!K21/100)*$B21)</f>
        <v>1609.4776948221236</v>
      </c>
      <c r="H21" s="571">
        <f>IF(ISERR((UCRPercentage!L21/100)*$B21), 0, (UCRPercentage!L21/100)*$B21)</f>
        <v>0</v>
      </c>
      <c r="I21" s="571">
        <f>IF(ISERR((UCRPercentage!M21/100)*$B21), 0, (UCRPercentage!M21/100)*$B21)</f>
        <v>0</v>
      </c>
      <c r="J21" s="571">
        <f>IF(ISERR((UCRPercentage!N21/100)*$B21), 0, (UCRPercentage!N21/100)*$B21)</f>
        <v>12875.82654796009</v>
      </c>
      <c r="K21" s="571">
        <f>IF(ISERR((UCRPercentage!O21/100)*$B21), 0, (UCRPercentage!O21/100)*$B21)</f>
        <v>0</v>
      </c>
      <c r="L21" s="571">
        <f>IF(ISERR((UCRPercentage!P21/100)*$B21), 0, (UCRPercentage!P21/100)*$B21)</f>
        <v>0</v>
      </c>
      <c r="M21" s="571">
        <f>IF(ISERR((UCRPercentage!Q21/100)*$B21), 0, (UCRPercentage!Q21/100)*$B21)</f>
        <v>0</v>
      </c>
      <c r="N21" s="571">
        <f>IF(ISERR((UCRPercentage!R21/100)*$B21), 0, (UCRPercentage!R21/100)*$B21)</f>
        <v>10059.239958348486</v>
      </c>
      <c r="O21" s="571">
        <f>IF(ISERR((UCRPercentage!S21/100)*$B21), 0, (UCRPercentage!S21/100)*$B21)</f>
        <v>0</v>
      </c>
      <c r="P21" s="571">
        <f>IF(ISERR((UCRPercentage!T21/100)*$B21), 0, (UCRPercentage!T21/100)*$B21)</f>
        <v>0</v>
      </c>
      <c r="Q21" s="571">
        <f>IF(ISERR((UCRPercentage!U21/100)*$B21), 0, (UCRPercentage!U21/100)*$B21)</f>
        <v>0</v>
      </c>
      <c r="R21" s="571">
        <f>IF(ISERR((UCRPercentage!V21/100)*$B21), 0, (UCRPercentage!V21/100)*$B21)</f>
        <v>402.39125225658978</v>
      </c>
      <c r="S21" s="571">
        <f>IF(ISERR((UCRPercentage!W21/100)*$B21), 0, (UCRPercentage!W21/100)*$B21)</f>
        <v>0</v>
      </c>
      <c r="T21" s="571">
        <f>IF(ISERR((UCRPercentage!X21/100)*$B21), 0, (UCRPercentage!X21/100)*$B21)</f>
        <v>0</v>
      </c>
      <c r="U21" s="571">
        <f>IF(ISERR((UCRPercentage!Y21/100)*$B21), 0, (UCRPercentage!Y21/100)*$B21)</f>
        <v>0</v>
      </c>
      <c r="V21" s="571">
        <f>IF(ISERR((UCRPercentage!Z21/100)*$B21), 0, (UCRPercentage!Z21/100)*$B21)</f>
        <v>0</v>
      </c>
      <c r="W21" s="572">
        <f t="shared" si="0"/>
        <v>24946.935453387294</v>
      </c>
      <c r="Y21" s="1140"/>
    </row>
    <row r="22" spans="1:25">
      <c r="A22" s="201">
        <v>1995</v>
      </c>
      <c r="B22" s="590">
        <f>Escapements!R24</f>
        <v>29376.301711637534</v>
      </c>
      <c r="C22" s="571">
        <f>IF(ISERR((UCRPercentage!G22/100)*$B22), 0, (UCRPercentage!G22/100)*$B22)</f>
        <v>0</v>
      </c>
      <c r="D22" s="571">
        <f>IF(ISERR((UCRPercentage!H22/100)*$B22), 0, (UCRPercentage!H22/100)*$B22)</f>
        <v>0</v>
      </c>
      <c r="E22" s="571">
        <f>IF(ISERR((UCRPercentage!I22/100)*$B22), 0, (UCRPercentage!I22/100)*$B22)</f>
        <v>0</v>
      </c>
      <c r="F22" s="571">
        <f>IF(ISERR((UCRPercentage!J22/100)*$B22), 0, (UCRPercentage!J22/100)*$B22)</f>
        <v>0</v>
      </c>
      <c r="G22" s="571">
        <f>IF(ISERR((UCRPercentage!K22/100)*$B22), 0, (UCRPercentage!K22/100)*$B22)</f>
        <v>3163.601496820183</v>
      </c>
      <c r="H22" s="571">
        <f>IF(ISERR((UCRPercentage!L22/100)*$B22), 0, (UCRPercentage!L22/100)*$B22)</f>
        <v>0</v>
      </c>
      <c r="I22" s="571">
        <f>IF(ISERR((UCRPercentage!M22/100)*$B22), 0, (UCRPercentage!M22/100)*$B22)</f>
        <v>0</v>
      </c>
      <c r="J22" s="571">
        <f>IF(ISERR((UCRPercentage!N22/100)*$B22), 0, (UCRPercentage!N22/100)*$B22)</f>
        <v>19659.525895520557</v>
      </c>
      <c r="K22" s="571">
        <f>IF(ISERR((UCRPercentage!O22/100)*$B22), 0, (UCRPercentage!O22/100)*$B22)</f>
        <v>0</v>
      </c>
      <c r="L22" s="571">
        <f>IF(ISERR((UCRPercentage!P22/100)*$B22), 0, (UCRPercentage!P22/100)*$B22)</f>
        <v>0</v>
      </c>
      <c r="M22" s="571">
        <f>IF(ISERR((UCRPercentage!Q22/100)*$B22), 0, (UCRPercentage!Q22/100)*$B22)</f>
        <v>0</v>
      </c>
      <c r="N22" s="571">
        <f>IF(ISERR((UCRPercentage!R22/100)*$B22), 0, (UCRPercentage!R22/100)*$B22)</f>
        <v>6101.2316679839359</v>
      </c>
      <c r="O22" s="571">
        <f>IF(ISERR((UCRPercentage!S22/100)*$B22), 0, (UCRPercentage!S22/100)*$B22)</f>
        <v>225.9713256564294</v>
      </c>
      <c r="P22" s="571">
        <f>IF(ISERR((UCRPercentage!T22/100)*$B22), 0, (UCRPercentage!T22/100)*$B22)</f>
        <v>0</v>
      </c>
      <c r="Q22" s="571">
        <f>IF(ISERR((UCRPercentage!U22/100)*$B22), 0, (UCRPercentage!U22/100)*$B22)</f>
        <v>0</v>
      </c>
      <c r="R22" s="571">
        <f>IF(ISERR((UCRPercentage!V22/100)*$B22), 0, (UCRPercentage!V22/100)*$B22)</f>
        <v>225.9713256564294</v>
      </c>
      <c r="S22" s="571">
        <f>IF(ISERR((UCRPercentage!W22/100)*$B22), 0, (UCRPercentage!W22/100)*$B22)</f>
        <v>0</v>
      </c>
      <c r="T22" s="571">
        <f>IF(ISERR((UCRPercentage!X22/100)*$B22), 0, (UCRPercentage!X22/100)*$B22)</f>
        <v>0</v>
      </c>
      <c r="U22" s="571">
        <f>IF(ISERR((UCRPercentage!Y22/100)*$B22), 0, (UCRPercentage!Y22/100)*$B22)</f>
        <v>0</v>
      </c>
      <c r="V22" s="571">
        <f>IF(ISERR((UCRPercentage!Z22/100)*$B22), 0, (UCRPercentage!Z22/100)*$B22)</f>
        <v>0</v>
      </c>
      <c r="W22" s="572">
        <f t="shared" si="0"/>
        <v>29376.30171163753</v>
      </c>
      <c r="Y22" s="1140"/>
    </row>
    <row r="23" spans="1:25">
      <c r="A23" s="201">
        <v>1996</v>
      </c>
      <c r="B23" s="590">
        <f>Escapements!R25</f>
        <v>29515.581211050758</v>
      </c>
      <c r="C23" s="571">
        <f>IF(ISERR((UCRPercentage!G23/100)*$B23), 0, (UCRPercentage!G23/100)*$B23)</f>
        <v>0</v>
      </c>
      <c r="D23" s="571">
        <f>IF(ISERR((UCRPercentage!H23/100)*$B23), 0, (UCRPercentage!H23/100)*$B23)</f>
        <v>0</v>
      </c>
      <c r="E23" s="571">
        <f>IF(ISERR((UCRPercentage!I23/100)*$B23), 0, (UCRPercentage!I23/100)*$B23)</f>
        <v>1017.7798837844211</v>
      </c>
      <c r="F23" s="571">
        <f>IF(ISERR((UCRPercentage!J23/100)*$B23), 0, (UCRPercentage!J23/100)*$B23)</f>
        <v>0</v>
      </c>
      <c r="G23" s="571">
        <f>IF(ISERR((UCRPercentage!K23/100)*$B23), 0, (UCRPercentage!K23/100)*$B23)</f>
        <v>2035.5568160107209</v>
      </c>
      <c r="H23" s="571">
        <f>IF(ISERR((UCRPercentage!L23/100)*$B23), 0, (UCRPercentage!L23/100)*$B23)</f>
        <v>0</v>
      </c>
      <c r="I23" s="571">
        <f>IF(ISERR((UCRPercentage!M23/100)*$B23), 0, (UCRPercentage!M23/100)*$B23)</f>
        <v>0</v>
      </c>
      <c r="J23" s="571">
        <f>IF(ISERR((UCRPercentage!N23/100)*$B23), 0, (UCRPercentage!N23/100)*$B23)</f>
        <v>15266.680547417589</v>
      </c>
      <c r="K23" s="571">
        <f>IF(ISERR((UCRPercentage!O23/100)*$B23), 0, (UCRPercentage!O23/100)*$B23)</f>
        <v>508.88994189221057</v>
      </c>
      <c r="L23" s="571">
        <f>IF(ISERR((UCRPercentage!P23/100)*$B23), 0, (UCRPercentage!P23/100)*$B23)</f>
        <v>0</v>
      </c>
      <c r="M23" s="571">
        <f>IF(ISERR((UCRPercentage!Q23/100)*$B23), 0, (UCRPercentage!Q23/100)*$B23)</f>
        <v>0</v>
      </c>
      <c r="N23" s="571">
        <f>IF(ISERR((UCRPercentage!R23/100)*$B23), 0, (UCRPercentage!R23/100)*$B23)</f>
        <v>9668.8970897195159</v>
      </c>
      <c r="O23" s="571">
        <f>IF(ISERR((UCRPercentage!S23/100)*$B23), 0, (UCRPercentage!S23/100)*$B23)</f>
        <v>1017.7798837844211</v>
      </c>
      <c r="P23" s="571">
        <f>IF(ISERR((UCRPercentage!T23/100)*$B23), 0, (UCRPercentage!T23/100)*$B23)</f>
        <v>0</v>
      </c>
      <c r="Q23" s="571">
        <f>IF(ISERR((UCRPercentage!U23/100)*$B23), 0, (UCRPercentage!U23/100)*$B23)</f>
        <v>0</v>
      </c>
      <c r="R23" s="571">
        <f>IF(ISERR((UCRPercentage!V23/100)*$B23), 0, (UCRPercentage!V23/100)*$B23)</f>
        <v>0</v>
      </c>
      <c r="S23" s="571">
        <f>IF(ISERR((UCRPercentage!W23/100)*$B23), 0, (UCRPercentage!W23/100)*$B23)</f>
        <v>0</v>
      </c>
      <c r="T23" s="571">
        <f>IF(ISERR((UCRPercentage!X23/100)*$B23), 0, (UCRPercentage!X23/100)*$B23)</f>
        <v>0</v>
      </c>
      <c r="U23" s="571">
        <f>IF(ISERR((UCRPercentage!Y23/100)*$B23), 0, (UCRPercentage!Y23/100)*$B23)</f>
        <v>0</v>
      </c>
      <c r="V23" s="571">
        <f>IF(ISERR((UCRPercentage!Z23/100)*$B23), 0, (UCRPercentage!Z23/100)*$B23)</f>
        <v>0</v>
      </c>
      <c r="W23" s="572">
        <f t="shared" si="0"/>
        <v>29515.584162608877</v>
      </c>
      <c r="Y23" s="1140"/>
    </row>
    <row r="24" spans="1:25">
      <c r="A24" s="201">
        <v>1997</v>
      </c>
      <c r="B24" s="590">
        <f>Escapements!R26</f>
        <v>39026.051129357271</v>
      </c>
      <c r="C24" s="571">
        <f>IF(ISERR((UCRPercentage!G24/100)*$B24), 0, (UCRPercentage!G24/100)*$B24)</f>
        <v>0</v>
      </c>
      <c r="D24" s="571">
        <f>IF(ISERR((UCRPercentage!H24/100)*$B24), 0, (UCRPercentage!H24/100)*$B24)</f>
        <v>0</v>
      </c>
      <c r="E24" s="571">
        <f>IF(ISERR((UCRPercentage!I24/100)*$B24), 0, (UCRPercentage!I24/100)*$B24)</f>
        <v>0</v>
      </c>
      <c r="F24" s="571">
        <f>IF(ISERR((UCRPercentage!J24/100)*$B24), 0, (UCRPercentage!J24/100)*$B24)</f>
        <v>272.9091755475954</v>
      </c>
      <c r="G24" s="571">
        <f>IF(ISERR((UCRPercentage!K24/100)*$B24), 0, (UCRPercentage!K24/100)*$B24)</f>
        <v>2183.2773069858758</v>
      </c>
      <c r="H24" s="571">
        <f>IF(ISERR((UCRPercentage!L24/100)*$B24), 0, (UCRPercentage!L24/100)*$B24)</f>
        <v>0</v>
      </c>
      <c r="I24" s="571">
        <f>IF(ISERR((UCRPercentage!M24/100)*$B24), 0, (UCRPercentage!M24/100)*$B24)</f>
        <v>0</v>
      </c>
      <c r="J24" s="571">
        <f>IF(ISERR((UCRPercentage!N24/100)*$B24), 0, (UCRPercentage!N24/100)*$B24)</f>
        <v>25653.489819709757</v>
      </c>
      <c r="K24" s="571">
        <f>IF(ISERR((UCRPercentage!O24/100)*$B24), 0, (UCRPercentage!O24/100)*$B24)</f>
        <v>0</v>
      </c>
      <c r="L24" s="571">
        <f>IF(ISERR((UCRPercentage!P24/100)*$B24), 0, (UCRPercentage!P24/100)*$B24)</f>
        <v>0</v>
      </c>
      <c r="M24" s="571">
        <f>IF(ISERR((UCRPercentage!Q24/100)*$B24), 0, (UCRPercentage!Q24/100)*$B24)</f>
        <v>0</v>
      </c>
      <c r="N24" s="571">
        <f>IF(ISERR((UCRPercentage!R24/100)*$B24), 0, (UCRPercentage!R24/100)*$B24)</f>
        <v>9824.7420275287714</v>
      </c>
      <c r="O24" s="571">
        <f>IF(ISERR((UCRPercentage!S24/100)*$B24), 0, (UCRPercentage!S24/100)*$B24)</f>
        <v>818.72752664278619</v>
      </c>
      <c r="P24" s="571">
        <f>IF(ISERR((UCRPercentage!T24/100)*$B24), 0, (UCRPercentage!T24/100)*$B24)</f>
        <v>0</v>
      </c>
      <c r="Q24" s="571">
        <f>IF(ISERR((UCRPercentage!U24/100)*$B24), 0, (UCRPercentage!U24/100)*$B24)</f>
        <v>0</v>
      </c>
      <c r="R24" s="571">
        <f>IF(ISERR((UCRPercentage!V24/100)*$B24), 0, (UCRPercentage!V24/100)*$B24)</f>
        <v>272.9091755475954</v>
      </c>
      <c r="S24" s="571">
        <f>IF(ISERR((UCRPercentage!W24/100)*$B24), 0, (UCRPercentage!W24/100)*$B24)</f>
        <v>0</v>
      </c>
      <c r="T24" s="571">
        <f>IF(ISERR((UCRPercentage!X24/100)*$B24), 0, (UCRPercentage!X24/100)*$B24)</f>
        <v>0</v>
      </c>
      <c r="U24" s="571">
        <f>IF(ISERR((UCRPercentage!Y24/100)*$B24), 0, (UCRPercentage!Y24/100)*$B24)</f>
        <v>0</v>
      </c>
      <c r="V24" s="571">
        <f>IF(ISERR((UCRPercentage!Z24/100)*$B24), 0, (UCRPercentage!Z24/100)*$B24)</f>
        <v>0</v>
      </c>
      <c r="W24" s="572">
        <f t="shared" si="0"/>
        <v>39026.055031962387</v>
      </c>
      <c r="Y24" s="1140"/>
    </row>
    <row r="25" spans="1:25">
      <c r="A25" s="201">
        <v>1998</v>
      </c>
      <c r="B25" s="591">
        <f>Escapements!R27</f>
        <v>34944.783078621651</v>
      </c>
      <c r="C25" s="571">
        <f>IF(ISERR((UCRPercentage!G25/100)*$B25), 0, (UCRPercentage!G25/100)*$B25)</f>
        <v>0</v>
      </c>
      <c r="D25" s="571">
        <f>IF(ISERR((UCRPercentage!H25/100)*$B25), 0, (UCRPercentage!H25/100)*$B25)</f>
        <v>0</v>
      </c>
      <c r="E25" s="571">
        <f>IF(ISERR((UCRPercentage!I25/100)*$B25), 0, (UCRPercentage!I25/100)*$B25)</f>
        <v>0</v>
      </c>
      <c r="F25" s="571">
        <f>IF(ISERR((UCRPercentage!J25/100)*$B25), 0, (UCRPercentage!J25/100)*$B25)</f>
        <v>0</v>
      </c>
      <c r="G25" s="571">
        <f>IF(ISERR((UCRPercentage!K25/100)*$B25), 0, (UCRPercentage!K25/100)*$B25)</f>
        <v>1532.6659245009496</v>
      </c>
      <c r="H25" s="571">
        <f>IF(ISERR((UCRPercentage!L25/100)*$B25), 0, (UCRPercentage!L25/100)*$B25)</f>
        <v>0</v>
      </c>
      <c r="I25" s="571">
        <f>IF(ISERR((UCRPercentage!M25/100)*$B25), 0, (UCRPercentage!M25/100)*$B25)</f>
        <v>0</v>
      </c>
      <c r="J25" s="571">
        <f>IF(ISERR((UCRPercentage!N25/100)*$B25), 0, (UCRPercentage!N25/100)*$B25)</f>
        <v>23296.522052414428</v>
      </c>
      <c r="K25" s="571">
        <f>IF(ISERR((UCRPercentage!O25/100)*$B25), 0, (UCRPercentage!O25/100)*$B25)</f>
        <v>0</v>
      </c>
      <c r="L25" s="571">
        <f>IF(ISERR((UCRPercentage!P25/100)*$B25), 0, (UCRPercentage!P25/100)*$B25)</f>
        <v>0</v>
      </c>
      <c r="M25" s="571">
        <f>IF(ISERR((UCRPercentage!Q25/100)*$B25), 0, (UCRPercentage!Q25/100)*$B25)</f>
        <v>0</v>
      </c>
      <c r="N25" s="571">
        <f>IF(ISERR((UCRPercentage!R25/100)*$B25), 0, (UCRPercentage!R25/100)*$B25)</f>
        <v>10115.595101706267</v>
      </c>
      <c r="O25" s="571">
        <f>IF(ISERR((UCRPercentage!S25/100)*$B25), 0, (UCRPercentage!S25/100)*$B25)</f>
        <v>0</v>
      </c>
      <c r="P25" s="571">
        <f>IF(ISERR((UCRPercentage!T25/100)*$B25), 0, (UCRPercentage!T25/100)*$B25)</f>
        <v>0</v>
      </c>
      <c r="Q25" s="571">
        <f>IF(ISERR((UCRPercentage!U25/100)*$B25), 0, (UCRPercentage!U25/100)*$B25)</f>
        <v>0</v>
      </c>
      <c r="R25" s="571">
        <f>IF(ISERR((UCRPercentage!V25/100)*$B25), 0, (UCRPercentage!V25/100)*$B25)</f>
        <v>0</v>
      </c>
      <c r="S25" s="571">
        <f>IF(ISERR((UCRPercentage!W25/100)*$B25), 0, (UCRPercentage!W25/100)*$B25)</f>
        <v>0</v>
      </c>
      <c r="T25" s="571">
        <f>IF(ISERR((UCRPercentage!X25/100)*$B25), 0, (UCRPercentage!X25/100)*$B25)</f>
        <v>0</v>
      </c>
      <c r="U25" s="571">
        <f>IF(ISERR((UCRPercentage!Y25/100)*$B25), 0, (UCRPercentage!Y25/100)*$B25)</f>
        <v>0</v>
      </c>
      <c r="V25" s="571">
        <f>IF(ISERR((UCRPercentage!Z25/100)*$B25), 0, (UCRPercentage!Z25/100)*$B25)</f>
        <v>0</v>
      </c>
      <c r="W25" s="572">
        <f t="shared" si="0"/>
        <v>34944.783078621644</v>
      </c>
      <c r="Y25" s="1140"/>
    </row>
    <row r="26" spans="1:25">
      <c r="A26" s="201">
        <v>1999</v>
      </c>
      <c r="B26" s="589">
        <f>Escapements!R28</f>
        <v>32090</v>
      </c>
      <c r="C26" s="571">
        <f>IF(ISERR((UCRPercentage!G26/100)*$B26), 0, (UCRPercentage!G26/100)*$B26)</f>
        <v>0</v>
      </c>
      <c r="D26" s="571">
        <f>IF(ISERR((UCRPercentage!H26/100)*$B26), 0, (UCRPercentage!H26/100)*$B26)</f>
        <v>0</v>
      </c>
      <c r="E26" s="571">
        <f>IF(ISERR((UCRPercentage!I26/100)*$B26), 0, (UCRPercentage!I26/100)*$B26)</f>
        <v>85.573333333333323</v>
      </c>
      <c r="F26" s="571">
        <f>IF(ISERR((UCRPercentage!J26/100)*$B26), 0, (UCRPercentage!J26/100)*$B26)</f>
        <v>0</v>
      </c>
      <c r="G26" s="571">
        <f>IF(ISERR((UCRPercentage!K26/100)*$B26), 0, (UCRPercentage!K26/100)*$B26)</f>
        <v>4364.2400000000007</v>
      </c>
      <c r="H26" s="571">
        <f>IF(ISERR((UCRPercentage!L26/100)*$B26), 0, (UCRPercentage!L26/100)*$B26)</f>
        <v>0</v>
      </c>
      <c r="I26" s="571">
        <f>IF(ISERR((UCRPercentage!M26/100)*$B26), 0, (UCRPercentage!M26/100)*$B26)</f>
        <v>0</v>
      </c>
      <c r="J26" s="571">
        <f>IF(ISERR((UCRPercentage!N26/100)*$B26), 0, (UCRPercentage!N26/100)*$B26)</f>
        <v>22505.786666666667</v>
      </c>
      <c r="K26" s="571">
        <f>IF(ISERR((UCRPercentage!O26/100)*$B26), 0, (UCRPercentage!O26/100)*$B26)</f>
        <v>0</v>
      </c>
      <c r="L26" s="571">
        <f>IF(ISERR((UCRPercentage!P26/100)*$B26), 0, (UCRPercentage!P26/100)*$B26)</f>
        <v>0</v>
      </c>
      <c r="M26" s="571">
        <f>IF(ISERR((UCRPercentage!Q26/100)*$B26), 0, (UCRPercentage!Q26/100)*$B26)</f>
        <v>0</v>
      </c>
      <c r="N26" s="571">
        <f>IF(ISERR((UCRPercentage!R26/100)*$B26), 0, (UCRPercentage!R26/100)*$B26)</f>
        <v>4877.68</v>
      </c>
      <c r="O26" s="571">
        <f>IF(ISERR((UCRPercentage!S26/100)*$B26), 0, (UCRPercentage!S26/100)*$B26)</f>
        <v>171.14666666666665</v>
      </c>
      <c r="P26" s="571">
        <f>IF(ISERR((UCRPercentage!T26/100)*$B26), 0, (UCRPercentage!T26/100)*$B26)</f>
        <v>0</v>
      </c>
      <c r="Q26" s="571">
        <f>IF(ISERR((UCRPercentage!U26/100)*$B26), 0, (UCRPercentage!U26/100)*$B26)</f>
        <v>85.573333333333323</v>
      </c>
      <c r="R26" s="571">
        <f>IF(ISERR((UCRPercentage!V26/100)*$B26), 0, (UCRPercentage!V26/100)*$B26)</f>
        <v>0</v>
      </c>
      <c r="S26" s="571">
        <f>IF(ISERR((UCRPercentage!W26/100)*$B26), 0, (UCRPercentage!W26/100)*$B26)</f>
        <v>0</v>
      </c>
      <c r="T26" s="571">
        <f>IF(ISERR((UCRPercentage!X26/100)*$B26), 0, (UCRPercentage!X26/100)*$B26)</f>
        <v>0</v>
      </c>
      <c r="U26" s="571">
        <f>IF(ISERR((UCRPercentage!Y26/100)*$B26), 0, (UCRPercentage!Y26/100)*$B26)</f>
        <v>0</v>
      </c>
      <c r="V26" s="571">
        <f>IF(ISERR((UCRPercentage!Z26/100)*$B26), 0, (UCRPercentage!Z26/100)*$B26)</f>
        <v>0</v>
      </c>
      <c r="W26" s="572">
        <f t="shared" si="0"/>
        <v>32090.000000000004</v>
      </c>
      <c r="Y26" s="1140"/>
    </row>
    <row r="27" spans="1:25">
      <c r="A27" s="201">
        <v>2000</v>
      </c>
      <c r="B27" s="590">
        <f>Escapements!R29</f>
        <v>38047</v>
      </c>
      <c r="C27" s="571">
        <f>IF(ISERR((UCRPercentage!G27/100)*$B27), 0, (UCRPercentage!G27/100)*$B27)</f>
        <v>0</v>
      </c>
      <c r="D27" s="571">
        <f>IF(ISERR((UCRPercentage!H27/100)*$B27), 0, (UCRPercentage!H27/100)*$B27)</f>
        <v>0</v>
      </c>
      <c r="E27" s="571">
        <f>IF(ISERR((UCRPercentage!I27/100)*$B27), 0, (UCRPercentage!I27/100)*$B27)</f>
        <v>234.85802469135803</v>
      </c>
      <c r="F27" s="571">
        <f>IF(ISERR((UCRPercentage!J27/100)*$B27), 0, (UCRPercentage!J27/100)*$B27)</f>
        <v>0</v>
      </c>
      <c r="G27" s="571">
        <f>IF(ISERR((UCRPercentage!K27/100)*$B27), 0, (UCRPercentage!K27/100)*$B27)</f>
        <v>2818.2962962962961</v>
      </c>
      <c r="H27" s="571">
        <f>IF(ISERR((UCRPercentage!L27/100)*$B27), 0, (UCRPercentage!L27/100)*$B27)</f>
        <v>0</v>
      </c>
      <c r="I27" s="571">
        <f>IF(ISERR((UCRPercentage!M27/100)*$B27), 0, (UCRPercentage!M27/100)*$B27)</f>
        <v>0</v>
      </c>
      <c r="J27" s="571">
        <f>IF(ISERR((UCRPercentage!N27/100)*$B27), 0, (UCRPercentage!N27/100)*$B27)</f>
        <v>25834.382716049382</v>
      </c>
      <c r="K27" s="571">
        <f>IF(ISERR((UCRPercentage!O27/100)*$B27), 0, (UCRPercentage!O27/100)*$B27)</f>
        <v>117.42901234567901</v>
      </c>
      <c r="L27" s="571">
        <f>IF(ISERR((UCRPercentage!P27/100)*$B27), 0, (UCRPercentage!P27/100)*$B27)</f>
        <v>0</v>
      </c>
      <c r="M27" s="571">
        <f>IF(ISERR((UCRPercentage!Q27/100)*$B27), 0, (UCRPercentage!Q27/100)*$B27)</f>
        <v>0</v>
      </c>
      <c r="N27" s="571">
        <f>IF(ISERR((UCRPercentage!R27/100)*$B27), 0, (UCRPercentage!R27/100)*$B27)</f>
        <v>8572.3179012345681</v>
      </c>
      <c r="O27" s="571">
        <f>IF(ISERR((UCRPercentage!S27/100)*$B27), 0, (UCRPercentage!S27/100)*$B27)</f>
        <v>234.85802469135803</v>
      </c>
      <c r="P27" s="571">
        <f>IF(ISERR((UCRPercentage!T27/100)*$B27), 0, (UCRPercentage!T27/100)*$B27)</f>
        <v>0</v>
      </c>
      <c r="Q27" s="571">
        <f>IF(ISERR((UCRPercentage!U27/100)*$B27), 0, (UCRPercentage!U27/100)*$B27)</f>
        <v>0</v>
      </c>
      <c r="R27" s="571">
        <f>IF(ISERR((UCRPercentage!V27/100)*$B27), 0, (UCRPercentage!V27/100)*$B27)</f>
        <v>234.85802469135803</v>
      </c>
      <c r="S27" s="571">
        <f>IF(ISERR((UCRPercentage!W27/100)*$B27), 0, (UCRPercentage!W27/100)*$B27)</f>
        <v>0</v>
      </c>
      <c r="T27" s="571">
        <f>IF(ISERR((UCRPercentage!X27/100)*$B27), 0, (UCRPercentage!X27/100)*$B27)</f>
        <v>0</v>
      </c>
      <c r="U27" s="571">
        <f>IF(ISERR((UCRPercentage!Y27/100)*$B27), 0, (UCRPercentage!Y27/100)*$B27)</f>
        <v>0</v>
      </c>
      <c r="V27" s="571">
        <f>IF(ISERR((UCRPercentage!Z27/100)*$B27), 0, (UCRPercentage!Z27/100)*$B27)</f>
        <v>0</v>
      </c>
      <c r="W27" s="572">
        <f t="shared" si="0"/>
        <v>38046.999999999993</v>
      </c>
      <c r="Y27" s="1140"/>
    </row>
    <row r="28" spans="1:25">
      <c r="A28" s="201">
        <v>2001</v>
      </c>
      <c r="B28" s="590">
        <f>Escapements!R30</f>
        <v>39778</v>
      </c>
      <c r="C28" s="571">
        <f>IF(ISERR((UCRPercentage!G28/100)*$B28), 0, (UCRPercentage!G28/100)*$B28)</f>
        <v>0</v>
      </c>
      <c r="D28" s="571">
        <f>IF(ISERR((UCRPercentage!H28/100)*$B28), 0, (UCRPercentage!H28/100)*$B28)</f>
        <v>0</v>
      </c>
      <c r="E28" s="571">
        <f>IF(ISERR((UCRPercentage!I28/100)*$B28), 0, (UCRPercentage!I28/100)*$B28)</f>
        <v>183.52018454440599</v>
      </c>
      <c r="F28" s="571">
        <f>IF(ISERR((UCRPercentage!J28/100)*$B28), 0, (UCRPercentage!J28/100)*$B28)</f>
        <v>0</v>
      </c>
      <c r="G28" s="571">
        <f>IF(ISERR((UCRPercentage!K28/100)*$B28), 0, (UCRPercentage!K28/100)*$B28)</f>
        <v>3670.4036908881199</v>
      </c>
      <c r="H28" s="571">
        <f>IF(ISERR((UCRPercentage!L28/100)*$B28), 0, (UCRPercentage!L28/100)*$B28)</f>
        <v>0</v>
      </c>
      <c r="I28" s="571">
        <f>IF(ISERR((UCRPercentage!M28/100)*$B28), 0, (UCRPercentage!M28/100)*$B28)</f>
        <v>0</v>
      </c>
      <c r="J28" s="571">
        <f>IF(ISERR((UCRPercentage!N28/100)*$B28), 0, (UCRPercentage!N28/100)*$B28)</f>
        <v>29317.349480968856</v>
      </c>
      <c r="K28" s="571">
        <f>IF(ISERR((UCRPercentage!O28/100)*$B28), 0, (UCRPercentage!O28/100)*$B28)</f>
        <v>0</v>
      </c>
      <c r="L28" s="571">
        <f>IF(ISERR((UCRPercentage!P28/100)*$B28), 0, (UCRPercentage!P28/100)*$B28)</f>
        <v>0</v>
      </c>
      <c r="M28" s="571">
        <f>IF(ISERR((UCRPercentage!Q28/100)*$B28), 0, (UCRPercentage!Q28/100)*$B28)</f>
        <v>0</v>
      </c>
      <c r="N28" s="571">
        <f>IF(ISERR((UCRPercentage!R28/100)*$B28), 0, (UCRPercentage!R28/100)*$B28)</f>
        <v>6102.0461361014995</v>
      </c>
      <c r="O28" s="571">
        <f>IF(ISERR((UCRPercentage!S28/100)*$B28), 0, (UCRPercentage!S28/100)*$B28)</f>
        <v>367.04036908881199</v>
      </c>
      <c r="P28" s="571">
        <f>IF(ISERR((UCRPercentage!T28/100)*$B28), 0, (UCRPercentage!T28/100)*$B28)</f>
        <v>0</v>
      </c>
      <c r="Q28" s="571">
        <f>IF(ISERR((UCRPercentage!U28/100)*$B28), 0, (UCRPercentage!U28/100)*$B28)</f>
        <v>45.880046136101498</v>
      </c>
      <c r="R28" s="571">
        <f>IF(ISERR((UCRPercentage!V28/100)*$B28), 0, (UCRPercentage!V28/100)*$B28)</f>
        <v>91.760092272202996</v>
      </c>
      <c r="S28" s="571">
        <f>IF(ISERR((UCRPercentage!W28/100)*$B28), 0, (UCRPercentage!W28/100)*$B28)</f>
        <v>0</v>
      </c>
      <c r="T28" s="571">
        <f>IF(ISERR((UCRPercentage!X28/100)*$B28), 0, (UCRPercentage!X28/100)*$B28)</f>
        <v>0</v>
      </c>
      <c r="U28" s="571">
        <f>IF(ISERR((UCRPercentage!Y28/100)*$B28), 0, (UCRPercentage!Y28/100)*$B28)</f>
        <v>0</v>
      </c>
      <c r="V28" s="571">
        <f>IF(ISERR((UCRPercentage!Z28/100)*$B28), 0, (UCRPercentage!Z28/100)*$B28)</f>
        <v>0</v>
      </c>
      <c r="W28" s="572">
        <f t="shared" si="0"/>
        <v>39778</v>
      </c>
      <c r="Y28" s="1140"/>
    </row>
    <row r="29" spans="1:25">
      <c r="A29" s="201">
        <v>2002</v>
      </c>
      <c r="B29" s="590">
        <f>Escapements!R31</f>
        <v>32873</v>
      </c>
      <c r="C29" s="571">
        <f>IF(ISERR((UCRPercentage!G29/100)*$B29), 0, (UCRPercentage!G29/100)*$B29)</f>
        <v>0</v>
      </c>
      <c r="D29" s="571">
        <f>IF(ISERR((UCRPercentage!H29/100)*$B29), 0, (UCRPercentage!H29/100)*$B29)</f>
        <v>0</v>
      </c>
      <c r="E29" s="571">
        <f>IF(ISERR((UCRPercentage!I29/100)*$B29), 0, (UCRPercentage!I29/100)*$B29)</f>
        <v>58.285460992907801</v>
      </c>
      <c r="F29" s="571">
        <f>IF(ISERR((UCRPercentage!J29/100)*$B29), 0, (UCRPercentage!J29/100)*$B29)</f>
        <v>0</v>
      </c>
      <c r="G29" s="571">
        <f>IF(ISERR((UCRPercentage!K29/100)*$B29), 0, (UCRPercentage!K29/100)*$B29)</f>
        <v>1515.4219858156025</v>
      </c>
      <c r="H29" s="571">
        <f>IF(ISERR((UCRPercentage!L29/100)*$B29), 0, (UCRPercentage!L29/100)*$B29)</f>
        <v>0</v>
      </c>
      <c r="I29" s="571">
        <f>IF(ISERR((UCRPercentage!M29/100)*$B29), 0, (UCRPercentage!M29/100)*$B29)</f>
        <v>0</v>
      </c>
      <c r="J29" s="571">
        <f>IF(ISERR((UCRPercentage!N29/100)*$B29), 0, (UCRPercentage!N29/100)*$B29)</f>
        <v>24596.464539007095</v>
      </c>
      <c r="K29" s="571">
        <f>IF(ISERR((UCRPercentage!O29/100)*$B29), 0, (UCRPercentage!O29/100)*$B29)</f>
        <v>233.1418439716312</v>
      </c>
      <c r="L29" s="571">
        <f>IF(ISERR((UCRPercentage!P29/100)*$B29), 0, (UCRPercentage!P29/100)*$B29)</f>
        <v>0</v>
      </c>
      <c r="M29" s="571">
        <f>IF(ISERR((UCRPercentage!Q29/100)*$B29), 0, (UCRPercentage!Q29/100)*$B29)</f>
        <v>0</v>
      </c>
      <c r="N29" s="571">
        <f>IF(ISERR((UCRPercentage!R29/100)*$B29), 0, (UCRPercentage!R29/100)*$B29)</f>
        <v>4487.9804964539007</v>
      </c>
      <c r="O29" s="571">
        <f>IF(ISERR((UCRPercentage!S29/100)*$B29), 0, (UCRPercentage!S29/100)*$B29)</f>
        <v>1223.9946808510638</v>
      </c>
      <c r="P29" s="571">
        <f>IF(ISERR((UCRPercentage!T29/100)*$B29), 0, (UCRPercentage!T29/100)*$B29)</f>
        <v>0</v>
      </c>
      <c r="Q29" s="571">
        <f>IF(ISERR((UCRPercentage!U29/100)*$B29), 0, (UCRPercentage!U29/100)*$B29)</f>
        <v>0</v>
      </c>
      <c r="R29" s="571">
        <f>IF(ISERR((UCRPercentage!V29/100)*$B29), 0, (UCRPercentage!V29/100)*$B29)</f>
        <v>757.71099290780126</v>
      </c>
      <c r="S29" s="571">
        <f>IF(ISERR((UCRPercentage!W29/100)*$B29), 0, (UCRPercentage!W29/100)*$B29)</f>
        <v>0</v>
      </c>
      <c r="T29" s="571">
        <f>IF(ISERR((UCRPercentage!X29/100)*$B29), 0, (UCRPercentage!X29/100)*$B29)</f>
        <v>0</v>
      </c>
      <c r="U29" s="571">
        <f>IF(ISERR((UCRPercentage!Y29/100)*$B29), 0, (UCRPercentage!Y29/100)*$B29)</f>
        <v>0</v>
      </c>
      <c r="V29" s="571">
        <f>IF(ISERR((UCRPercentage!Z29/100)*$B29), 0, (UCRPercentage!Z29/100)*$B29)</f>
        <v>0</v>
      </c>
      <c r="W29" s="572">
        <f t="shared" si="0"/>
        <v>32873.000000000007</v>
      </c>
      <c r="Y29" s="1140"/>
    </row>
    <row r="30" spans="1:25">
      <c r="A30" s="201">
        <v>2003</v>
      </c>
      <c r="B30" s="590">
        <f>Escapements!R32</f>
        <v>44764</v>
      </c>
      <c r="C30" s="571">
        <f>IF(ISERR((UCRPercentage!G30/100)*$B30), 0, (UCRPercentage!G30/100)*$B30)</f>
        <v>0</v>
      </c>
      <c r="D30" s="571">
        <f>IF(ISERR((UCRPercentage!H30/100)*$B30), 0, (UCRPercentage!H30/100)*$B30)</f>
        <v>0</v>
      </c>
      <c r="E30" s="571">
        <f>IF(ISERR((UCRPercentage!I30/100)*$B30), 0, (UCRPercentage!I30/100)*$B30)</f>
        <v>197.6335540838852</v>
      </c>
      <c r="F30" s="571">
        <f>IF(ISERR((UCRPercentage!J30/100)*$B30), 0, (UCRPercentage!J30/100)*$B30)</f>
        <v>0</v>
      </c>
      <c r="G30" s="571">
        <f>IF(ISERR((UCRPercentage!K30/100)*$B30), 0, (UCRPercentage!K30/100)*$B30)</f>
        <v>3063.320088300221</v>
      </c>
      <c r="H30" s="571">
        <f>IF(ISERR((UCRPercentage!L30/100)*$B30), 0, (UCRPercentage!L30/100)*$B30)</f>
        <v>0</v>
      </c>
      <c r="I30" s="571">
        <f>IF(ISERR((UCRPercentage!M30/100)*$B30), 0, (UCRPercentage!M30/100)*$B30)</f>
        <v>0</v>
      </c>
      <c r="J30" s="571">
        <f>IF(ISERR((UCRPercentage!N30/100)*$B30), 0, (UCRPercentage!N30/100)*$B30)</f>
        <v>30435.567328918329</v>
      </c>
      <c r="K30" s="571">
        <f>IF(ISERR((UCRPercentage!O30/100)*$B30), 0, (UCRPercentage!O30/100)*$B30)</f>
        <v>197.6335540838852</v>
      </c>
      <c r="L30" s="571">
        <f>IF(ISERR((UCRPercentage!P30/100)*$B30), 0, (UCRPercentage!P30/100)*$B30)</f>
        <v>0</v>
      </c>
      <c r="M30" s="571">
        <f>IF(ISERR((UCRPercentage!Q30/100)*$B30), 0, (UCRPercentage!Q30/100)*$B30)</f>
        <v>0</v>
      </c>
      <c r="N30" s="571">
        <f>IF(ISERR((UCRPercentage!R30/100)*$B30), 0, (UCRPercentage!R30/100)*$B30)</f>
        <v>9782.8609271523183</v>
      </c>
      <c r="O30" s="571">
        <f>IF(ISERR((UCRPercentage!S30/100)*$B30), 0, (UCRPercentage!S30/100)*$B30)</f>
        <v>691.71743929359832</v>
      </c>
      <c r="P30" s="571">
        <f>IF(ISERR((UCRPercentage!T30/100)*$B30), 0, (UCRPercentage!T30/100)*$B30)</f>
        <v>0</v>
      </c>
      <c r="Q30" s="571">
        <f>IF(ISERR((UCRPercentage!U30/100)*$B30), 0, (UCRPercentage!U30/100)*$B30)</f>
        <v>98.816777041942601</v>
      </c>
      <c r="R30" s="571">
        <f>IF(ISERR((UCRPercentage!V30/100)*$B30), 0, (UCRPercentage!V30/100)*$B30)</f>
        <v>296.45033112582786</v>
      </c>
      <c r="S30" s="571">
        <f>IF(ISERR((UCRPercentage!W30/100)*$B30), 0, (UCRPercentage!W30/100)*$B30)</f>
        <v>0</v>
      </c>
      <c r="T30" s="571">
        <f>IF(ISERR((UCRPercentage!X30/100)*$B30), 0, (UCRPercentage!X30/100)*$B30)</f>
        <v>0</v>
      </c>
      <c r="U30" s="571">
        <f>IF(ISERR((UCRPercentage!Y30/100)*$B30), 0, (UCRPercentage!Y30/100)*$B30)</f>
        <v>0</v>
      </c>
      <c r="V30" s="571">
        <f>IF(ISERR((UCRPercentage!Z30/100)*$B30), 0, (UCRPercentage!Z30/100)*$B30)</f>
        <v>0</v>
      </c>
      <c r="W30" s="572">
        <f t="shared" si="0"/>
        <v>44764.000000000015</v>
      </c>
      <c r="Y30" s="1140"/>
    </row>
    <row r="31" spans="1:25">
      <c r="A31" s="201">
        <v>2004</v>
      </c>
      <c r="B31" s="590">
        <f>Escapements!R33</f>
        <v>40564</v>
      </c>
      <c r="C31" s="571">
        <f>IF(ISERR((UCRPercentage!G31/100)*$B31), 0, (UCRPercentage!G31/100)*$B31)</f>
        <v>0</v>
      </c>
      <c r="D31" s="571">
        <f>IF(ISERR((UCRPercentage!H31/100)*$B31), 0, (UCRPercentage!H31/100)*$B31)</f>
        <v>0</v>
      </c>
      <c r="E31" s="571">
        <f>IF(ISERR((UCRPercentage!I31/100)*$B31), 0, (UCRPercentage!I31/100)*$B31)</f>
        <v>115.23863636363636</v>
      </c>
      <c r="F31" s="571">
        <f>IF(ISERR((UCRPercentage!J31/100)*$B31), 0, (UCRPercentage!J31/100)*$B31)</f>
        <v>115.23863636363636</v>
      </c>
      <c r="G31" s="571">
        <f>IF(ISERR((UCRPercentage!K31/100)*$B31), 0, (UCRPercentage!K31/100)*$B31)</f>
        <v>2535.25</v>
      </c>
      <c r="H31" s="571">
        <f>IF(ISERR((UCRPercentage!L31/100)*$B31), 0, (UCRPercentage!L31/100)*$B31)</f>
        <v>0</v>
      </c>
      <c r="I31" s="571">
        <f>IF(ISERR((UCRPercentage!M31/100)*$B31), 0, (UCRPercentage!M31/100)*$B31)</f>
        <v>0</v>
      </c>
      <c r="J31" s="571">
        <f>IF(ISERR((UCRPercentage!N31/100)*$B31), 0, (UCRPercentage!N31/100)*$B31)</f>
        <v>27426.795454545456</v>
      </c>
      <c r="K31" s="571">
        <f>IF(ISERR((UCRPercentage!O31/100)*$B31), 0, (UCRPercentage!O31/100)*$B31)</f>
        <v>115.23863636363636</v>
      </c>
      <c r="L31" s="571">
        <f>IF(ISERR((UCRPercentage!P31/100)*$B31), 0, (UCRPercentage!P31/100)*$B31)</f>
        <v>0</v>
      </c>
      <c r="M31" s="571">
        <f>IF(ISERR((UCRPercentage!Q31/100)*$B31), 0, (UCRPercentage!Q31/100)*$B31)</f>
        <v>0</v>
      </c>
      <c r="N31" s="571">
        <f>IF(ISERR((UCRPercentage!R31/100)*$B31), 0, (UCRPercentage!R31/100)*$B31)</f>
        <v>9449.568181818182</v>
      </c>
      <c r="O31" s="571">
        <f>IF(ISERR((UCRPercentage!S31/100)*$B31), 0, (UCRPercentage!S31/100)*$B31)</f>
        <v>806.6704545454545</v>
      </c>
      <c r="P31" s="571">
        <f>IF(ISERR((UCRPercentage!T31/100)*$B31), 0, (UCRPercentage!T31/100)*$B31)</f>
        <v>0</v>
      </c>
      <c r="Q31" s="571">
        <f>IF(ISERR((UCRPercentage!U31/100)*$B31), 0, (UCRPercentage!U31/100)*$B31)</f>
        <v>0</v>
      </c>
      <c r="R31" s="571">
        <f>IF(ISERR((UCRPercentage!V31/100)*$B31), 0, (UCRPercentage!V31/100)*$B31)</f>
        <v>0</v>
      </c>
      <c r="S31" s="571">
        <f>IF(ISERR((UCRPercentage!W31/100)*$B31), 0, (UCRPercentage!W31/100)*$B31)</f>
        <v>0</v>
      </c>
      <c r="T31" s="571">
        <f>IF(ISERR((UCRPercentage!X31/100)*$B31), 0, (UCRPercentage!X31/100)*$B31)</f>
        <v>0</v>
      </c>
      <c r="U31" s="571">
        <f>IF(ISERR((UCRPercentage!Y31/100)*$B31), 0, (UCRPercentage!Y31/100)*$B31)</f>
        <v>0</v>
      </c>
      <c r="V31" s="571">
        <f>IF(ISERR((UCRPercentage!Z31/100)*$B31), 0, (UCRPercentage!Z31/100)*$B31)</f>
        <v>0</v>
      </c>
      <c r="W31" s="572">
        <f t="shared" si="0"/>
        <v>40564</v>
      </c>
      <c r="Y31" s="1140"/>
    </row>
    <row r="32" spans="1:25">
      <c r="A32" s="201">
        <v>2005</v>
      </c>
      <c r="B32" s="590">
        <f>Escapements!R34</f>
        <v>30333</v>
      </c>
      <c r="C32" s="571">
        <f>IF(ISERR((UCRPercentage!G32/100)*$B32), 0, (UCRPercentage!G32/100)*$B32)</f>
        <v>0</v>
      </c>
      <c r="D32" s="571">
        <f>IF(ISERR((UCRPercentage!H32/100)*$B32), 0, (UCRPercentage!H32/100)*$B32)</f>
        <v>0</v>
      </c>
      <c r="E32" s="571">
        <f>IF(ISERR((UCRPercentage!I32/100)*$B32), 0, (UCRPercentage!I32/100)*$B32)</f>
        <v>236.9765625</v>
      </c>
      <c r="F32" s="571">
        <f>IF(ISERR((UCRPercentage!J32/100)*$B32), 0, (UCRPercentage!J32/100)*$B32)</f>
        <v>0</v>
      </c>
      <c r="G32" s="571">
        <f>IF(ISERR((UCRPercentage!K32/100)*$B32), 0, (UCRPercentage!K32/100)*$B32)</f>
        <v>3436.16015625</v>
      </c>
      <c r="H32" s="571">
        <f>IF(ISERR((UCRPercentage!L32/100)*$B32), 0, (UCRPercentage!L32/100)*$B32)</f>
        <v>0</v>
      </c>
      <c r="I32" s="571">
        <f>IF(ISERR((UCRPercentage!M32/100)*$B32), 0, (UCRPercentage!M32/100)*$B32)</f>
        <v>0</v>
      </c>
      <c r="J32" s="571">
        <f>IF(ISERR((UCRPercentage!N32/100)*$B32), 0, (UCRPercentage!N32/100)*$B32)</f>
        <v>17062.3125</v>
      </c>
      <c r="K32" s="571">
        <f>IF(ISERR((UCRPercentage!O32/100)*$B32), 0, (UCRPercentage!O32/100)*$B32)</f>
        <v>0</v>
      </c>
      <c r="L32" s="571">
        <f>IF(ISERR((UCRPercentage!P32/100)*$B32), 0, (UCRPercentage!P32/100)*$B32)</f>
        <v>0</v>
      </c>
      <c r="M32" s="571">
        <f>IF(ISERR((UCRPercentage!Q32/100)*$B32), 0, (UCRPercentage!Q32/100)*$B32)</f>
        <v>0</v>
      </c>
      <c r="N32" s="571">
        <f>IF(ISERR((UCRPercentage!R32/100)*$B32), 0, (UCRPercentage!R32/100)*$B32)</f>
        <v>8294.1796875</v>
      </c>
      <c r="O32" s="571">
        <f>IF(ISERR((UCRPercentage!S32/100)*$B32), 0, (UCRPercentage!S32/100)*$B32)</f>
        <v>947.90625</v>
      </c>
      <c r="P32" s="571">
        <f>IF(ISERR((UCRPercentage!T32/100)*$B32), 0, (UCRPercentage!T32/100)*$B32)</f>
        <v>0</v>
      </c>
      <c r="Q32" s="571">
        <f>IF(ISERR((UCRPercentage!U32/100)*$B32), 0, (UCRPercentage!U32/100)*$B32)</f>
        <v>0</v>
      </c>
      <c r="R32" s="571">
        <f>IF(ISERR((UCRPercentage!V32/100)*$B32), 0, (UCRPercentage!V32/100)*$B32)</f>
        <v>236.9765625</v>
      </c>
      <c r="S32" s="571">
        <f>IF(ISERR((UCRPercentage!W32/100)*$B32), 0, (UCRPercentage!W32/100)*$B32)</f>
        <v>0</v>
      </c>
      <c r="T32" s="571">
        <f>IF(ISERR((UCRPercentage!X32/100)*$B32), 0, (UCRPercentage!X32/100)*$B32)</f>
        <v>118.48828125</v>
      </c>
      <c r="U32" s="571">
        <f>IF(ISERR((UCRPercentage!Y32/100)*$B32), 0, (UCRPercentage!Y32/100)*$B32)</f>
        <v>0</v>
      </c>
      <c r="V32" s="571">
        <f>IF(ISERR((UCRPercentage!Z32/100)*$B32), 0, (UCRPercentage!Z32/100)*$B32)</f>
        <v>0</v>
      </c>
      <c r="W32" s="572">
        <f t="shared" si="0"/>
        <v>30333</v>
      </c>
      <c r="Y32" s="1140"/>
    </row>
    <row r="33" spans="1:25">
      <c r="A33" s="201">
        <v>2006</v>
      </c>
      <c r="B33" s="590">
        <f>Escapements!R35</f>
        <v>67789</v>
      </c>
      <c r="C33" s="571">
        <f>IF(ISERR((UCRPercentage!G33/100)*$B33), 0, (UCRPercentage!G33/100)*$B33)</f>
        <v>0</v>
      </c>
      <c r="D33" s="571">
        <f>IF(ISERR((UCRPercentage!H33/100)*$B33), 0, (UCRPercentage!H33/100)*$B33)</f>
        <v>0</v>
      </c>
      <c r="E33" s="571">
        <f>IF(ISERR((UCRPercentage!I33/100)*$B33), 0, (UCRPercentage!I33/100)*$B33)</f>
        <v>277.82377049180332</v>
      </c>
      <c r="F33" s="571">
        <f>IF(ISERR((UCRPercentage!J33/100)*$B33), 0, (UCRPercentage!J33/100)*$B33)</f>
        <v>0</v>
      </c>
      <c r="G33" s="571">
        <f>IF(ISERR((UCRPercentage!K33/100)*$B33), 0, (UCRPercentage!K33/100)*$B33)</f>
        <v>4445.1803278688531</v>
      </c>
      <c r="H33" s="571">
        <f>IF(ISERR((UCRPercentage!L33/100)*$B33), 0, (UCRPercentage!L33/100)*$B33)</f>
        <v>0</v>
      </c>
      <c r="I33" s="571">
        <f>IF(ISERR((UCRPercentage!M33/100)*$B33), 0, (UCRPercentage!M33/100)*$B33)</f>
        <v>0</v>
      </c>
      <c r="J33" s="571">
        <f>IF(ISERR((UCRPercentage!N33/100)*$B33), 0, (UCRPercentage!N33/100)*$B33)</f>
        <v>48619.15983606557</v>
      </c>
      <c r="K33" s="571">
        <f>IF(ISERR((UCRPercentage!O33/100)*$B33), 0, (UCRPercentage!O33/100)*$B33)</f>
        <v>555.64754098360663</v>
      </c>
      <c r="L33" s="571">
        <f>IF(ISERR((UCRPercentage!P33/100)*$B33), 0, (UCRPercentage!P33/100)*$B33)</f>
        <v>0</v>
      </c>
      <c r="M33" s="571">
        <f>IF(ISERR((UCRPercentage!Q33/100)*$B33), 0, (UCRPercentage!Q33/100)*$B33)</f>
        <v>0</v>
      </c>
      <c r="N33" s="571">
        <f>IF(ISERR((UCRPercentage!R33/100)*$B33), 0, (UCRPercentage!R33/100)*$B33)</f>
        <v>9723.8319672131147</v>
      </c>
      <c r="O33" s="571">
        <f>IF(ISERR((UCRPercentage!S33/100)*$B33), 0, (UCRPercentage!S33/100)*$B33)</f>
        <v>3333.8852459016393</v>
      </c>
      <c r="P33" s="571">
        <f>IF(ISERR((UCRPercentage!T33/100)*$B33), 0, (UCRPercentage!T33/100)*$B33)</f>
        <v>0</v>
      </c>
      <c r="Q33" s="571">
        <f>IF(ISERR((UCRPercentage!U33/100)*$B33), 0, (UCRPercentage!U33/100)*$B33)</f>
        <v>277.82377049180332</v>
      </c>
      <c r="R33" s="571">
        <f>IF(ISERR((UCRPercentage!V33/100)*$B33), 0, (UCRPercentage!V33/100)*$B33)</f>
        <v>555.64754098360663</v>
      </c>
      <c r="S33" s="571">
        <f>IF(ISERR((UCRPercentage!W33/100)*$B33), 0, (UCRPercentage!W33/100)*$B33)</f>
        <v>0</v>
      </c>
      <c r="T33" s="571">
        <f>IF(ISERR((UCRPercentage!X33/100)*$B33), 0, (UCRPercentage!X33/100)*$B33)</f>
        <v>0</v>
      </c>
      <c r="U33" s="571">
        <f>IF(ISERR((UCRPercentage!Y33/100)*$B33), 0, (UCRPercentage!Y33/100)*$B33)</f>
        <v>0</v>
      </c>
      <c r="V33" s="571">
        <f>IF(ISERR((UCRPercentage!Z33/100)*$B33), 0, (UCRPercentage!Z33/100)*$B33)</f>
        <v>0</v>
      </c>
      <c r="W33" s="572">
        <f t="shared" si="0"/>
        <v>67788.999999999985</v>
      </c>
      <c r="Y33" s="1140"/>
    </row>
    <row r="34" spans="1:25">
      <c r="A34" s="201">
        <v>2007</v>
      </c>
      <c r="B34" s="590">
        <f>Escapements!R36</f>
        <v>46349</v>
      </c>
      <c r="C34" s="571">
        <f>IF(ISERR((UCRPercentage!G34/100)*$B34), 0, (UCRPercentage!G34/100)*$B34)</f>
        <v>0</v>
      </c>
      <c r="D34" s="571">
        <f>IF(ISERR((UCRPercentage!H34/100)*$B34), 0, (UCRPercentage!H34/100)*$B34)</f>
        <v>0</v>
      </c>
      <c r="E34" s="571">
        <f>IF(ISERR((UCRPercentage!I34/100)*$B34), 0, (UCRPercentage!I34/100)*$B34)</f>
        <v>107.53828306264501</v>
      </c>
      <c r="F34" s="571">
        <f>IF(ISERR((UCRPercentage!J34/100)*$B34), 0, (UCRPercentage!J34/100)*$B34)</f>
        <v>0</v>
      </c>
      <c r="G34" s="571">
        <f>IF(ISERR((UCRPercentage!K34/100)*$B34), 0, (UCRPercentage!K34/100)*$B34)</f>
        <v>1397.997679814385</v>
      </c>
      <c r="H34" s="571">
        <f>IF(ISERR((UCRPercentage!L34/100)*$B34), 0, (UCRPercentage!L34/100)*$B34)</f>
        <v>0</v>
      </c>
      <c r="I34" s="571">
        <f>IF(ISERR((UCRPercentage!M34/100)*$B34), 0, (UCRPercentage!M34/100)*$B34)</f>
        <v>0</v>
      </c>
      <c r="J34" s="571">
        <f>IF(ISERR((UCRPercentage!N34/100)*$B34), 0, (UCRPercentage!N34/100)*$B34)</f>
        <v>31616.255220417635</v>
      </c>
      <c r="K34" s="571">
        <f>IF(ISERR((UCRPercentage!O34/100)*$B34), 0, (UCRPercentage!O34/100)*$B34)</f>
        <v>215.07656612529001</v>
      </c>
      <c r="L34" s="571">
        <f>IF(ISERR((UCRPercentage!P34/100)*$B34), 0, (UCRPercentage!P34/100)*$B34)</f>
        <v>0</v>
      </c>
      <c r="M34" s="571">
        <f>IF(ISERR((UCRPercentage!Q34/100)*$B34), 0, (UCRPercentage!Q34/100)*$B34)</f>
        <v>0</v>
      </c>
      <c r="N34" s="571">
        <f>IF(ISERR((UCRPercentage!R34/100)*$B34), 0, (UCRPercentage!R34/100)*$B34)</f>
        <v>12044.28770301624</v>
      </c>
      <c r="O34" s="571">
        <f>IF(ISERR((UCRPercentage!S34/100)*$B34), 0, (UCRPercentage!S34/100)*$B34)</f>
        <v>537.69141531322498</v>
      </c>
      <c r="P34" s="571">
        <f>IF(ISERR((UCRPercentage!T34/100)*$B34), 0, (UCRPercentage!T34/100)*$B34)</f>
        <v>0</v>
      </c>
      <c r="Q34" s="571">
        <f>IF(ISERR((UCRPercentage!U34/100)*$B34), 0, (UCRPercentage!U34/100)*$B34)</f>
        <v>215.07656612529001</v>
      </c>
      <c r="R34" s="571">
        <f>IF(ISERR((UCRPercentage!V34/100)*$B34), 0, (UCRPercentage!V34/100)*$B34)</f>
        <v>215.07656612529001</v>
      </c>
      <c r="S34" s="571">
        <f>IF(ISERR((UCRPercentage!W34/100)*$B34), 0, (UCRPercentage!W34/100)*$B34)</f>
        <v>0</v>
      </c>
      <c r="T34" s="571">
        <f>IF(ISERR((UCRPercentage!X34/100)*$B34), 0, (UCRPercentage!X34/100)*$B34)</f>
        <v>0</v>
      </c>
      <c r="U34" s="571">
        <f>IF(ISERR((UCRPercentage!Y34/100)*$B34), 0, (UCRPercentage!Y34/100)*$B34)</f>
        <v>0</v>
      </c>
      <c r="V34" s="571">
        <f>IF(ISERR((UCRPercentage!Z34/100)*$B34), 0, (UCRPercentage!Z34/100)*$B34)</f>
        <v>0</v>
      </c>
      <c r="W34" s="572">
        <f t="shared" si="0"/>
        <v>46348.999999999993</v>
      </c>
      <c r="Y34" s="1140"/>
    </row>
    <row r="35" spans="1:25">
      <c r="A35" s="201">
        <v>2008</v>
      </c>
      <c r="B35" s="590">
        <f>Escapements!R37</f>
        <v>41343</v>
      </c>
      <c r="C35" s="571">
        <f>IF(ISERR((UCRPercentage!G35/100)*$B35), 0, (UCRPercentage!G35/100)*$B35)</f>
        <v>0</v>
      </c>
      <c r="D35" s="571">
        <f>IF(ISERR((UCRPercentage!H35/100)*$B35), 0, (UCRPercentage!H35/100)*$B35)</f>
        <v>0</v>
      </c>
      <c r="E35" s="571">
        <f>IF(ISERR((UCRPercentage!I35/100)*$B35), 0, (UCRPercentage!I35/100)*$B35)</f>
        <v>0</v>
      </c>
      <c r="F35" s="571">
        <f>IF(ISERR((UCRPercentage!J35/100)*$B35), 0, (UCRPercentage!J35/100)*$B35)</f>
        <v>0</v>
      </c>
      <c r="G35" s="571">
        <f>IF(ISERR((UCRPercentage!K35/100)*$B35), 0, (UCRPercentage!K35/100)*$B35)</f>
        <v>2505.6363636363635</v>
      </c>
      <c r="H35" s="571">
        <f>IF(ISERR((UCRPercentage!L35/100)*$B35), 0, (UCRPercentage!L35/100)*$B35)</f>
        <v>0</v>
      </c>
      <c r="I35" s="571">
        <f>IF(ISERR((UCRPercentage!M35/100)*$B35), 0, (UCRPercentage!M35/100)*$B35)</f>
        <v>0</v>
      </c>
      <c r="J35" s="571">
        <f>IF(ISERR((UCRPercentage!N35/100)*$B35), 0, (UCRPercentage!N35/100)*$B35)</f>
        <v>25056.363636363636</v>
      </c>
      <c r="K35" s="571">
        <f>IF(ISERR((UCRPercentage!O35/100)*$B35), 0, (UCRPercentage!O35/100)*$B35)</f>
        <v>139.20202020202021</v>
      </c>
      <c r="L35" s="571">
        <f>IF(ISERR((UCRPercentage!P35/100)*$B35), 0, (UCRPercentage!P35/100)*$B35)</f>
        <v>0</v>
      </c>
      <c r="M35" s="571">
        <f>IF(ISERR((UCRPercentage!Q35/100)*$B35), 0, (UCRPercentage!Q35/100)*$B35)</f>
        <v>0</v>
      </c>
      <c r="N35" s="571">
        <f>IF(ISERR((UCRPercentage!R35/100)*$B35), 0, (UCRPercentage!R35/100)*$B35)</f>
        <v>13363.39393939394</v>
      </c>
      <c r="O35" s="571">
        <f>IF(ISERR((UCRPercentage!S35/100)*$B35), 0, (UCRPercentage!S35/100)*$B35)</f>
        <v>278.40404040404042</v>
      </c>
      <c r="P35" s="571">
        <f>IF(ISERR((UCRPercentage!T35/100)*$B35), 0, (UCRPercentage!T35/100)*$B35)</f>
        <v>0</v>
      </c>
      <c r="Q35" s="571">
        <f>IF(ISERR((UCRPercentage!U35/100)*$B35), 0, (UCRPercentage!U35/100)*$B35)</f>
        <v>0</v>
      </c>
      <c r="R35" s="571">
        <f>IF(ISERR((UCRPercentage!V35/100)*$B35), 0, (UCRPercentage!V35/100)*$B35)</f>
        <v>0</v>
      </c>
      <c r="S35" s="571">
        <f>IF(ISERR((UCRPercentage!W35/100)*$B35), 0, (UCRPercentage!W35/100)*$B35)</f>
        <v>0</v>
      </c>
      <c r="T35" s="571">
        <f>IF(ISERR((UCRPercentage!X35/100)*$B35), 0, (UCRPercentage!X35/100)*$B35)</f>
        <v>0</v>
      </c>
      <c r="U35" s="571">
        <f>IF(ISERR((UCRPercentage!Y35/100)*$B35), 0, (UCRPercentage!Y35/100)*$B35)</f>
        <v>0</v>
      </c>
      <c r="V35" s="571">
        <f>IF(ISERR((UCRPercentage!Z35/100)*$B35), 0, (UCRPercentage!Z35/100)*$B35)</f>
        <v>0</v>
      </c>
      <c r="W35" s="572">
        <f t="shared" si="0"/>
        <v>41343</v>
      </c>
      <c r="Y35" s="1140"/>
    </row>
    <row r="36" spans="1:25">
      <c r="A36" s="201">
        <v>2009</v>
      </c>
      <c r="B36" s="590">
        <f>Escapements!R38</f>
        <v>32401</v>
      </c>
      <c r="C36" s="571">
        <f>IF(ISERR((UCRPercentage!G36/100)*$B36), 0, (UCRPercentage!G36/100)*$B36)</f>
        <v>0</v>
      </c>
      <c r="D36" s="571">
        <f>IF(ISERR((UCRPercentage!H36/100)*$B36), 0, (UCRPercentage!H36/100)*$B36)</f>
        <v>0</v>
      </c>
      <c r="E36" s="571">
        <f>IF(ISERR((UCRPercentage!I36/100)*$B36), 0, (UCRPercentage!I36/100)*$B36)</f>
        <v>167.88082901554407</v>
      </c>
      <c r="F36" s="571">
        <f>IF(ISERR((UCRPercentage!J36/100)*$B36), 0, (UCRPercentage!J36/100)*$B36)</f>
        <v>0</v>
      </c>
      <c r="G36" s="571">
        <f>IF(ISERR((UCRPercentage!K36/100)*$B36), 0, (UCRPercentage!K36/100)*$B36)</f>
        <v>2518.2124352331607</v>
      </c>
      <c r="H36" s="571">
        <f>IF(ISERR((UCRPercentage!L36/100)*$B36), 0, (UCRPercentage!L36/100)*$B36)</f>
        <v>0</v>
      </c>
      <c r="I36" s="571">
        <f>IF(ISERR((UCRPercentage!M36/100)*$B36), 0, (UCRPercentage!M36/100)*$B36)</f>
        <v>0</v>
      </c>
      <c r="J36" s="571">
        <f>IF(ISERR((UCRPercentage!N36/100)*$B36), 0, (UCRPercentage!N36/100)*$B36)</f>
        <v>21992.388601036269</v>
      </c>
      <c r="K36" s="571">
        <f>IF(ISERR((UCRPercentage!O36/100)*$B36), 0, (UCRPercentage!O36/100)*$B36)</f>
        <v>167.88082901554407</v>
      </c>
      <c r="L36" s="571">
        <f>IF(ISERR((UCRPercentage!P36/100)*$B36), 0, (UCRPercentage!P36/100)*$B36)</f>
        <v>0</v>
      </c>
      <c r="M36" s="571">
        <f>IF(ISERR((UCRPercentage!Q36/100)*$B36), 0, (UCRPercentage!Q36/100)*$B36)</f>
        <v>0</v>
      </c>
      <c r="N36" s="571">
        <f>IF(ISERR((UCRPercentage!R36/100)*$B36), 0, (UCRPercentage!R36/100)*$B36)</f>
        <v>6883.1139896373061</v>
      </c>
      <c r="O36" s="571">
        <f>IF(ISERR((UCRPercentage!S36/100)*$B36), 0, (UCRPercentage!S36/100)*$B36)</f>
        <v>167.88082901554407</v>
      </c>
      <c r="P36" s="571">
        <f>IF(ISERR((UCRPercentage!T36/100)*$B36), 0, (UCRPercentage!T36/100)*$B36)</f>
        <v>0</v>
      </c>
      <c r="Q36" s="571">
        <f>IF(ISERR((UCRPercentage!U36/100)*$B36), 0, (UCRPercentage!U36/100)*$B36)</f>
        <v>0</v>
      </c>
      <c r="R36" s="571">
        <f>IF(ISERR((UCRPercentage!V36/100)*$B36), 0, (UCRPercentage!V36/100)*$B36)</f>
        <v>503.64248704663214</v>
      </c>
      <c r="S36" s="571">
        <f>IF(ISERR((UCRPercentage!W36/100)*$B36), 0, (UCRPercentage!W36/100)*$B36)</f>
        <v>0</v>
      </c>
      <c r="T36" s="571">
        <f>IF(ISERR((UCRPercentage!X36/100)*$B36), 0, (UCRPercentage!X36/100)*$B36)</f>
        <v>0</v>
      </c>
      <c r="U36" s="571">
        <f>IF(ISERR((UCRPercentage!Y36/100)*$B36), 0, (UCRPercentage!Y36/100)*$B36)</f>
        <v>0</v>
      </c>
      <c r="V36" s="571">
        <f>IF(ISERR((UCRPercentage!Z36/100)*$B36), 0, (UCRPercentage!Z36/100)*$B36)</f>
        <v>0</v>
      </c>
      <c r="W36" s="572">
        <f t="shared" si="0"/>
        <v>32401</v>
      </c>
      <c r="Y36" s="1140"/>
    </row>
    <row r="37" spans="1:25">
      <c r="A37" s="201">
        <v>2010</v>
      </c>
      <c r="B37" s="590">
        <f>Escapements!R39</f>
        <v>22323</v>
      </c>
      <c r="C37" s="571">
        <f>IF(ISERR((UCRPercentage!G37/100)*$B37), 0, (UCRPercentage!G37/100)*$B37)</f>
        <v>0</v>
      </c>
      <c r="D37" s="571">
        <f>IF(ISERR((UCRPercentage!H37/100)*$B37), 0, (UCRPercentage!H37/100)*$B37)</f>
        <v>0</v>
      </c>
      <c r="E37" s="571">
        <f>IF(ISERR((UCRPercentage!I37/100)*$B37), 0, (UCRPercentage!I37/100)*$B37)</f>
        <v>129.03468208092485</v>
      </c>
      <c r="F37" s="571">
        <f>IF(ISERR((UCRPercentage!J37/100)*$B37), 0, (UCRPercentage!J37/100)*$B37)</f>
        <v>0</v>
      </c>
      <c r="G37" s="571">
        <f>IF(ISERR((UCRPercentage!K37/100)*$B37), 0, (UCRPercentage!K37/100)*$B37)</f>
        <v>2709.7283236994217</v>
      </c>
      <c r="H37" s="571">
        <f>IF(ISERR((UCRPercentage!L37/100)*$B37), 0, (UCRPercentage!L37/100)*$B37)</f>
        <v>0</v>
      </c>
      <c r="I37" s="571">
        <f>IF(ISERR((UCRPercentage!M37/100)*$B37), 0, (UCRPercentage!M37/100)*$B37)</f>
        <v>0</v>
      </c>
      <c r="J37" s="571">
        <f>IF(ISERR((UCRPercentage!N37/100)*$B37), 0, (UCRPercentage!N37/100)*$B37)</f>
        <v>14451.884393063587</v>
      </c>
      <c r="K37" s="571">
        <f>IF(ISERR((UCRPercentage!O37/100)*$B37), 0, (UCRPercentage!O37/100)*$B37)</f>
        <v>129.03468208092485</v>
      </c>
      <c r="L37" s="571">
        <f>IF(ISERR((UCRPercentage!P37/100)*$B37), 0, (UCRPercentage!P37/100)*$B37)</f>
        <v>0</v>
      </c>
      <c r="M37" s="571">
        <f>IF(ISERR((UCRPercentage!Q37/100)*$B37), 0, (UCRPercentage!Q37/100)*$B37)</f>
        <v>0</v>
      </c>
      <c r="N37" s="571">
        <f>IF(ISERR((UCRPercentage!R37/100)*$B37), 0, (UCRPercentage!R37/100)*$B37)</f>
        <v>4774.2832369942207</v>
      </c>
      <c r="O37" s="571">
        <f>IF(ISERR((UCRPercentage!S37/100)*$B37), 0, (UCRPercentage!S37/100)*$B37)</f>
        <v>129.03468208092485</v>
      </c>
      <c r="P37" s="571">
        <f>IF(ISERR((UCRPercentage!T37/100)*$B37), 0, (UCRPercentage!T37/100)*$B37)</f>
        <v>0</v>
      </c>
      <c r="Q37" s="571">
        <f>IF(ISERR((UCRPercentage!U37/100)*$B37), 0, (UCRPercentage!U37/100)*$B37)</f>
        <v>0</v>
      </c>
      <c r="R37" s="571">
        <f>IF(ISERR((UCRPercentage!V37/100)*$B37), 0, (UCRPercentage!V37/100)*$B37)</f>
        <v>0</v>
      </c>
      <c r="S37" s="571">
        <f>IF(ISERR((UCRPercentage!W37/100)*$B37), 0, (UCRPercentage!W37/100)*$B37)</f>
        <v>0</v>
      </c>
      <c r="T37" s="571">
        <f>IF(ISERR((UCRPercentage!X37/100)*$B37), 0, (UCRPercentage!X37/100)*$B37)</f>
        <v>0</v>
      </c>
      <c r="U37" s="571">
        <f>IF(ISERR((UCRPercentage!Y37/100)*$B37), 0, (UCRPercentage!Y37/100)*$B37)</f>
        <v>0</v>
      </c>
      <c r="V37" s="571">
        <f>IF(ISERR((UCRPercentage!Z37/100)*$B37), 0, (UCRPercentage!Z37/100)*$B37)</f>
        <v>0</v>
      </c>
      <c r="W37" s="572">
        <f t="shared" si="0"/>
        <v>22323.000000000004</v>
      </c>
      <c r="Y37" s="1140"/>
    </row>
    <row r="38" spans="1:25">
      <c r="A38" s="201">
        <v>2011</v>
      </c>
      <c r="B38" s="590">
        <f>Escapements!R40</f>
        <v>33889</v>
      </c>
      <c r="C38" s="571">
        <f>IF(ISERR((UCRPercentage!G38/100)*$B38), 0, (UCRPercentage!G38/100)*$B38)</f>
        <v>0</v>
      </c>
      <c r="D38" s="571">
        <f>IF(ISERR((UCRPercentage!H38/100)*$B38), 0, (UCRPercentage!H38/100)*$B38)</f>
        <v>0</v>
      </c>
      <c r="E38" s="571">
        <f>IF(ISERR((UCRPercentage!I38/100)*$B38), 0, (UCRPercentage!I38/100)*$B38)</f>
        <v>0</v>
      </c>
      <c r="F38" s="571">
        <f>IF(ISERR((UCRPercentage!J38/100)*$B38), 0, (UCRPercentage!J38/100)*$B38)</f>
        <v>0</v>
      </c>
      <c r="G38" s="571">
        <f>IF(ISERR((UCRPercentage!K38/100)*$B38), 0, (UCRPercentage!K38/100)*$B38)</f>
        <v>2346.1615384615384</v>
      </c>
      <c r="H38" s="571">
        <f>IF(ISERR((UCRPercentage!L38/100)*$B38), 0, (UCRPercentage!L38/100)*$B38)</f>
        <v>0</v>
      </c>
      <c r="I38" s="571">
        <f>IF(ISERR((UCRPercentage!M38/100)*$B38), 0, (UCRPercentage!M38/100)*$B38)</f>
        <v>0</v>
      </c>
      <c r="J38" s="571">
        <f>IF(ISERR((UCRPercentage!N38/100)*$B38), 0, (UCRPercentage!N38/100)*$B38)</f>
        <v>26068.461538461543</v>
      </c>
      <c r="K38" s="571">
        <f>IF(ISERR((UCRPercentage!O38/100)*$B38), 0, (UCRPercentage!O38/100)*$B38)</f>
        <v>0</v>
      </c>
      <c r="L38" s="571">
        <f>IF(ISERR((UCRPercentage!P38/100)*$B38), 0, (UCRPercentage!P38/100)*$B38)</f>
        <v>0</v>
      </c>
      <c r="M38" s="571">
        <f>IF(ISERR((UCRPercentage!Q38/100)*$B38), 0, (UCRPercentage!Q38/100)*$B38)</f>
        <v>0</v>
      </c>
      <c r="N38" s="571">
        <f>IF(ISERR((UCRPercentage!R38/100)*$B38), 0, (UCRPercentage!R38/100)*$B38)</f>
        <v>4431.6384615384613</v>
      </c>
      <c r="O38" s="571">
        <f>IF(ISERR((UCRPercentage!S38/100)*$B38), 0, (UCRPercentage!S38/100)*$B38)</f>
        <v>1042.7384615384617</v>
      </c>
      <c r="P38" s="571">
        <f>IF(ISERR((UCRPercentage!T38/100)*$B38), 0, (UCRPercentage!T38/100)*$B38)</f>
        <v>0</v>
      </c>
      <c r="Q38" s="571">
        <f>IF(ISERR((UCRPercentage!U38/100)*$B38), 0, (UCRPercentage!U38/100)*$B38)</f>
        <v>0</v>
      </c>
      <c r="R38" s="571">
        <f>IF(ISERR((UCRPercentage!V38/100)*$B38), 0, (UCRPercentage!V38/100)*$B38)</f>
        <v>0</v>
      </c>
      <c r="S38" s="571">
        <f>IF(ISERR((UCRPercentage!W38/100)*$B38), 0, (UCRPercentage!W38/100)*$B38)</f>
        <v>0</v>
      </c>
      <c r="T38" s="571">
        <f>IF(ISERR((UCRPercentage!X38/100)*$B38), 0, (UCRPercentage!X38/100)*$B38)</f>
        <v>0</v>
      </c>
      <c r="U38" s="571">
        <f>IF(ISERR((UCRPercentage!Y38/100)*$B38), 0, (UCRPercentage!Y38/100)*$B38)</f>
        <v>0</v>
      </c>
      <c r="V38" s="571">
        <f>IF(ISERR((UCRPercentage!Z38/100)*$B38), 0, (UCRPercentage!Z38/100)*$B38)</f>
        <v>0</v>
      </c>
      <c r="W38" s="572">
        <f t="shared" si="0"/>
        <v>33889</v>
      </c>
      <c r="Y38" s="1140"/>
    </row>
    <row r="39" spans="1:25">
      <c r="A39" s="201">
        <v>2012</v>
      </c>
      <c r="B39" s="590">
        <f>Escapements!R41</f>
        <v>33582</v>
      </c>
      <c r="C39" s="571">
        <f>IF(ISERR((UCRPercentage!G39/100)*$B39), 0, (UCRPercentage!G39/100)*$B39)</f>
        <v>0</v>
      </c>
      <c r="D39" s="571">
        <f>IF(ISERR((UCRPercentage!H39/100)*$B39), 0, (UCRPercentage!H39/100)*$B39)</f>
        <v>0</v>
      </c>
      <c r="E39" s="571">
        <f>IF(ISERR((UCRPercentage!I39/100)*$B39), 0, (UCRPercentage!I39/100)*$B39)</f>
        <v>0</v>
      </c>
      <c r="F39" s="571">
        <f>IF(ISERR((UCRPercentage!J39/100)*$B39), 0, (UCRPercentage!J39/100)*$B39)</f>
        <v>0</v>
      </c>
      <c r="G39" s="571">
        <f>IF(ISERR((UCRPercentage!K39/100)*$B39), 0, (UCRPercentage!K39/100)*$B39)</f>
        <v>2457.2195121951218</v>
      </c>
      <c r="H39" s="571">
        <f>IF(ISERR((UCRPercentage!L39/100)*$B39), 0, (UCRPercentage!L39/100)*$B39)</f>
        <v>0</v>
      </c>
      <c r="I39" s="571">
        <f>IF(ISERR((UCRPercentage!M39/100)*$B39), 0, (UCRPercentage!M39/100)*$B39)</f>
        <v>0</v>
      </c>
      <c r="J39" s="571">
        <f>IF(ISERR((UCRPercentage!N39/100)*$B39), 0, (UCRPercentage!N39/100)*$B39)</f>
        <v>26210.341463414636</v>
      </c>
      <c r="K39" s="571">
        <f>IF(ISERR((UCRPercentage!O39/100)*$B39), 0, (UCRPercentage!O39/100)*$B39)</f>
        <v>0</v>
      </c>
      <c r="L39" s="571">
        <f>IF(ISERR((UCRPercentage!P39/100)*$B39), 0, (UCRPercentage!P39/100)*$B39)</f>
        <v>0</v>
      </c>
      <c r="M39" s="571">
        <f>IF(ISERR((UCRPercentage!Q39/100)*$B39), 0, (UCRPercentage!Q39/100)*$B39)</f>
        <v>0</v>
      </c>
      <c r="N39" s="571">
        <f>IF(ISERR((UCRPercentage!R39/100)*$B39), 0, (UCRPercentage!R39/100)*$B39)</f>
        <v>3276.2926829268295</v>
      </c>
      <c r="O39" s="571">
        <f>IF(ISERR((UCRPercentage!S39/100)*$B39), 0, (UCRPercentage!S39/100)*$B39)</f>
        <v>819.07317073170736</v>
      </c>
      <c r="P39" s="571">
        <f>IF(ISERR((UCRPercentage!T39/100)*$B39), 0, (UCRPercentage!T39/100)*$B39)</f>
        <v>0</v>
      </c>
      <c r="Q39" s="571">
        <f>IF(ISERR((UCRPercentage!U39/100)*$B39), 0, (UCRPercentage!U39/100)*$B39)</f>
        <v>819.07317073170736</v>
      </c>
      <c r="R39" s="571">
        <f>IF(ISERR((UCRPercentage!V39/100)*$B39), 0, (UCRPercentage!V39/100)*$B39)</f>
        <v>0</v>
      </c>
      <c r="S39" s="571">
        <f>IF(ISERR((UCRPercentage!W39/100)*$B39), 0, (UCRPercentage!W39/100)*$B39)</f>
        <v>0</v>
      </c>
      <c r="T39" s="571">
        <f>IF(ISERR((UCRPercentage!X39/100)*$B39), 0, (UCRPercentage!X39/100)*$B39)</f>
        <v>0</v>
      </c>
      <c r="U39" s="571">
        <f>IF(ISERR((UCRPercentage!Y39/100)*$B39), 0, (UCRPercentage!Y39/100)*$B39)</f>
        <v>0</v>
      </c>
      <c r="V39" s="571">
        <f>IF(ISERR((UCRPercentage!Z39/100)*$B39), 0, (UCRPercentage!Z39/100)*$B39)</f>
        <v>0</v>
      </c>
      <c r="W39" s="572">
        <f t="shared" si="0"/>
        <v>33582</v>
      </c>
      <c r="Y39" s="1140"/>
    </row>
    <row r="40" spans="1:25">
      <c r="A40" s="201">
        <v>2013</v>
      </c>
      <c r="B40" s="591">
        <f>Escapements!R42</f>
        <v>32581</v>
      </c>
      <c r="C40" s="571">
        <f>IF(ISERR((UCRPercentage!G40/100)*$B40), 0, (UCRPercentage!G40/100)*$B40)</f>
        <v>0</v>
      </c>
      <c r="D40" s="571">
        <f>IF(ISERR((UCRPercentage!H40/100)*$B40), 0, (UCRPercentage!H40/100)*$B40)</f>
        <v>0</v>
      </c>
      <c r="E40" s="571">
        <f>IF(ISERR((UCRPercentage!I40/100)*$B40), 0, (UCRPercentage!I40/100)*$B40)</f>
        <v>4276.2562500000004</v>
      </c>
      <c r="F40" s="571">
        <f>IF(ISERR((UCRPercentage!J40/100)*$B40), 0, (UCRPercentage!J40/100)*$B40)</f>
        <v>0</v>
      </c>
      <c r="G40" s="571">
        <f>IF(ISERR((UCRPercentage!K40/100)*$B40), 0, (UCRPercentage!K40/100)*$B40)</f>
        <v>3868.9937499999996</v>
      </c>
      <c r="H40" s="571">
        <f>IF(ISERR((UCRPercentage!L40/100)*$B40), 0, (UCRPercentage!L40/100)*$B40)</f>
        <v>0</v>
      </c>
      <c r="I40" s="571">
        <f>IF(ISERR((UCRPercentage!M40/100)*$B40), 0, (UCRPercentage!M40/100)*$B40)</f>
        <v>0</v>
      </c>
      <c r="J40" s="571">
        <f>IF(ISERR((UCRPercentage!N40/100)*$B40), 0, (UCRPercentage!N40/100)*$B40)</f>
        <v>19955.862500000003</v>
      </c>
      <c r="K40" s="571">
        <f>IF(ISERR((UCRPercentage!O40/100)*$B40), 0, (UCRPercentage!O40/100)*$B40)</f>
        <v>0</v>
      </c>
      <c r="L40" s="571">
        <f>IF(ISERR((UCRPercentage!P40/100)*$B40), 0, (UCRPercentage!P40/100)*$B40)</f>
        <v>0</v>
      </c>
      <c r="M40" s="571">
        <f>IF(ISERR((UCRPercentage!Q40/100)*$B40), 0, (UCRPercentage!Q40/100)*$B40)</f>
        <v>0</v>
      </c>
      <c r="N40" s="571">
        <f>IF(ISERR((UCRPercentage!R40/100)*$B40), 0, (UCRPercentage!R40/100)*$B40)</f>
        <v>3258.1000000000004</v>
      </c>
      <c r="O40" s="571">
        <f>IF(ISERR((UCRPercentage!S40/100)*$B40), 0, (UCRPercentage!S40/100)*$B40)</f>
        <v>1221.7874999999999</v>
      </c>
      <c r="P40" s="571">
        <f>IF(ISERR((UCRPercentage!T40/100)*$B40), 0, (UCRPercentage!T40/100)*$B40)</f>
        <v>0</v>
      </c>
      <c r="Q40" s="571">
        <f>IF(ISERR((UCRPercentage!U40/100)*$B40), 0, (UCRPercentage!U40/100)*$B40)</f>
        <v>0</v>
      </c>
      <c r="R40" s="571">
        <f>IF(ISERR((UCRPercentage!V40/100)*$B40), 0, (UCRPercentage!V40/100)*$B40)</f>
        <v>0</v>
      </c>
      <c r="S40" s="571">
        <f>IF(ISERR((UCRPercentage!W40/100)*$B40), 0, (UCRPercentage!W40/100)*$B40)</f>
        <v>0</v>
      </c>
      <c r="T40" s="571">
        <f>IF(ISERR((UCRPercentage!X40/100)*$B40), 0, (UCRPercentage!X40/100)*$B40)</f>
        <v>0</v>
      </c>
      <c r="U40" s="571">
        <f>IF(ISERR((UCRPercentage!Y40/100)*$B40), 0, (UCRPercentage!Y40/100)*$B40)</f>
        <v>0</v>
      </c>
      <c r="V40" s="571">
        <f>IF(ISERR((UCRPercentage!Z40/100)*$B40), 0, (UCRPercentage!Z40/100)*$B40)</f>
        <v>0</v>
      </c>
      <c r="W40" s="572">
        <f t="shared" si="0"/>
        <v>32581</v>
      </c>
      <c r="Y40" s="1140"/>
    </row>
    <row r="41" spans="1:25">
      <c r="A41" s="201">
        <v>2014</v>
      </c>
      <c r="B41" s="590">
        <f>Escapements!R43</f>
        <v>24158</v>
      </c>
      <c r="C41" s="571">
        <f>IF(ISERR((UCRPercentage!G41/100)*$B41), 0, (UCRPercentage!G41/100)*$B41)</f>
        <v>0</v>
      </c>
      <c r="D41" s="571">
        <f>IF(ISERR((UCRPercentage!H41/100)*$B41), 0, (UCRPercentage!H41/100)*$B41)</f>
        <v>0</v>
      </c>
      <c r="E41" s="571">
        <f>IF(ISERR((UCRPercentage!I41/100)*$B41), 0, (UCRPercentage!I41/100)*$B41)</f>
        <v>462.35406698564594</v>
      </c>
      <c r="F41" s="571">
        <f>IF(ISERR((UCRPercentage!J41/100)*$B41), 0, (UCRPercentage!J41/100)*$B41)</f>
        <v>0</v>
      </c>
      <c r="G41" s="571">
        <f>IF(ISERR((UCRPercentage!K41/100)*$B41), 0, (UCRPercentage!K41/100)*$B41)</f>
        <v>5432.6602870813394</v>
      </c>
      <c r="H41" s="571">
        <f>IF(ISERR((UCRPercentage!L41/100)*$B41), 0, (UCRPercentage!L41/100)*$B41)</f>
        <v>0</v>
      </c>
      <c r="I41" s="571">
        <f>IF(ISERR((UCRPercentage!M41/100)*$B41), 0, (UCRPercentage!M41/100)*$B41)</f>
        <v>0</v>
      </c>
      <c r="J41" s="571">
        <f>IF(ISERR((UCRPercentage!N41/100)*$B41), 0, (UCRPercentage!N41/100)*$B41)</f>
        <v>11096.497607655501</v>
      </c>
      <c r="K41" s="571">
        <f>IF(ISERR((UCRPercentage!O41/100)*$B41), 0, (UCRPercentage!O41/100)*$B41)</f>
        <v>231.17703349282297</v>
      </c>
      <c r="L41" s="571">
        <f>IF(ISERR((UCRPercentage!P41/100)*$B41), 0, (UCRPercentage!P41/100)*$B41)</f>
        <v>0</v>
      </c>
      <c r="M41" s="571">
        <f>IF(ISERR((UCRPercentage!Q41/100)*$B41), 0, (UCRPercentage!Q41/100)*$B41)</f>
        <v>0</v>
      </c>
      <c r="N41" s="571">
        <f>IF(ISERR((UCRPercentage!R41/100)*$B41), 0, (UCRPercentage!R41/100)*$B41)</f>
        <v>6357.3684210526317</v>
      </c>
      <c r="O41" s="571">
        <f>IF(ISERR((UCRPercentage!S41/100)*$B41), 0, (UCRPercentage!S41/100)*$B41)</f>
        <v>462.35406698564594</v>
      </c>
      <c r="P41" s="571">
        <f>IF(ISERR((UCRPercentage!T41/100)*$B41), 0, (UCRPercentage!T41/100)*$B41)</f>
        <v>0</v>
      </c>
      <c r="Q41" s="571">
        <f>IF(ISERR((UCRPercentage!U41/100)*$B41), 0, (UCRPercentage!U41/100)*$B41)</f>
        <v>0</v>
      </c>
      <c r="R41" s="571">
        <f>IF(ISERR((UCRPercentage!V41/100)*$B41), 0, (UCRPercentage!V41/100)*$B41)</f>
        <v>115.58851674641149</v>
      </c>
      <c r="S41" s="571">
        <f>IF(ISERR((UCRPercentage!W41/100)*$B41), 0, (UCRPercentage!W41/100)*$B41)</f>
        <v>0</v>
      </c>
      <c r="T41" s="571">
        <f>IF(ISERR((UCRPercentage!X41/100)*$B41), 0, (UCRPercentage!X41/100)*$B41)</f>
        <v>0</v>
      </c>
      <c r="U41" s="571">
        <f>IF(ISERR((UCRPercentage!Y41/100)*$B41), 0, (UCRPercentage!Y41/100)*$B41)</f>
        <v>0</v>
      </c>
      <c r="V41" s="571">
        <f>IF(ISERR((UCRPercentage!Z41/100)*$B41), 0, (UCRPercentage!Z41/100)*$B41)</f>
        <v>0</v>
      </c>
      <c r="W41" s="572">
        <f>SUM(C41:V41)</f>
        <v>24157.999999999996</v>
      </c>
      <c r="Y41" s="1140"/>
    </row>
    <row r="42" spans="1:25">
      <c r="A42" s="201">
        <v>2015</v>
      </c>
      <c r="B42" s="590">
        <f>Escapements!R44</f>
        <v>32306</v>
      </c>
      <c r="C42" s="571">
        <f>IF(ISERR((UCRPercentage!G42/100)*$B42), 0, (UCRPercentage!G42/100)*$B42)</f>
        <v>0</v>
      </c>
      <c r="D42" s="571">
        <f>IF(ISERR((UCRPercentage!H42/100)*$B42), 0, (UCRPercentage!H42/100)*$B42)</f>
        <v>0</v>
      </c>
      <c r="E42" s="571">
        <f>IF(ISERR((UCRPercentage!I42/100)*$B42), 0, (UCRPercentage!I42/100)*$B42)</f>
        <v>0</v>
      </c>
      <c r="F42" s="571">
        <f>IF(ISERR((UCRPercentage!J42/100)*$B42), 0, (UCRPercentage!J42/100)*$B42)</f>
        <v>0</v>
      </c>
      <c r="G42" s="571">
        <f>IF(ISERR((UCRPercentage!K42/100)*$B42), 0, (UCRPercentage!K42/100)*$B42)</f>
        <v>1211.4749999999999</v>
      </c>
      <c r="H42" s="571">
        <f>IF(ISERR((UCRPercentage!L42/100)*$B42), 0, (UCRPercentage!L42/100)*$B42)</f>
        <v>0</v>
      </c>
      <c r="I42" s="571">
        <f>IF(ISERR((UCRPercentage!M42/100)*$B42), 0, (UCRPercentage!M42/100)*$B42)</f>
        <v>0</v>
      </c>
      <c r="J42" s="571">
        <f>IF(ISERR((UCRPercentage!N42/100)*$B42), 0, (UCRPercentage!N42/100)*$B42)</f>
        <v>24229.5</v>
      </c>
      <c r="K42" s="571">
        <f>IF(ISERR((UCRPercentage!O42/100)*$B42), 0, (UCRPercentage!O42/100)*$B42)</f>
        <v>0</v>
      </c>
      <c r="L42" s="571">
        <f>IF(ISERR((UCRPercentage!P42/100)*$B42), 0, (UCRPercentage!P42/100)*$B42)</f>
        <v>0</v>
      </c>
      <c r="M42" s="571">
        <f>IF(ISERR((UCRPercentage!Q42/100)*$B42), 0, (UCRPercentage!Q42/100)*$B42)</f>
        <v>0</v>
      </c>
      <c r="N42" s="571">
        <f>IF(ISERR((UCRPercentage!R42/100)*$B42), 0, (UCRPercentage!R42/100)*$B42)</f>
        <v>6865.0249999999996</v>
      </c>
      <c r="O42" s="571">
        <f>IF(ISERR((UCRPercentage!S42/100)*$B42), 0, (UCRPercentage!S42/100)*$B42)</f>
        <v>0</v>
      </c>
      <c r="P42" s="571">
        <f>IF(ISERR((UCRPercentage!T42/100)*$B42), 0, (UCRPercentage!T42/100)*$B42)</f>
        <v>0</v>
      </c>
      <c r="Q42" s="571">
        <f>IF(ISERR((UCRPercentage!U42/100)*$B42), 0, (UCRPercentage!U42/100)*$B42)</f>
        <v>0</v>
      </c>
      <c r="R42" s="571">
        <f>IF(ISERR((UCRPercentage!V42/100)*$B42), 0, (UCRPercentage!V42/100)*$B42)</f>
        <v>0</v>
      </c>
      <c r="S42" s="571">
        <f>IF(ISERR((UCRPercentage!W42/100)*$B42), 0, (UCRPercentage!W42/100)*$B42)</f>
        <v>0</v>
      </c>
      <c r="T42" s="571">
        <f>IF(ISERR((UCRPercentage!X42/100)*$B42), 0, (UCRPercentage!X42/100)*$B42)</f>
        <v>0</v>
      </c>
      <c r="U42" s="571">
        <f>IF(ISERR((UCRPercentage!Y42/100)*$B42), 0, (UCRPercentage!Y42/100)*$B42)</f>
        <v>0</v>
      </c>
      <c r="V42" s="571">
        <f>IF(ISERR((UCRPercentage!Z42/100)*$B42), 0, (UCRPercentage!Z42/100)*$B42)</f>
        <v>0</v>
      </c>
      <c r="W42" s="572">
        <f>SUM(C42:V42)</f>
        <v>32306</v>
      </c>
      <c r="Y42" s="1140"/>
    </row>
    <row r="43" spans="1:25">
      <c r="A43" s="201">
        <v>2016</v>
      </c>
      <c r="B43" s="590">
        <f>Escapements!R45</f>
        <v>16009</v>
      </c>
      <c r="C43" s="571">
        <f>IF(ISERR((UCRPercentage!G43/100)*$B43), 0, (UCRPercentage!G43/100)*$B43)</f>
        <v>0</v>
      </c>
      <c r="D43" s="571">
        <f>IF(ISERR((UCRPercentage!H43/100)*$B43), 0, (UCRPercentage!H43/100)*$B43)</f>
        <v>55.32267818574514</v>
      </c>
      <c r="E43" s="571">
        <f>IF(ISERR((UCRPercentage!I43/100)*$B43), 0, (UCRPercentage!I43/100)*$B43)</f>
        <v>0</v>
      </c>
      <c r="F43" s="571">
        <f>IF(ISERR((UCRPercentage!J43/100)*$B43), 0, (UCRPercentage!J43/100)*$B43)</f>
        <v>117.56069114470841</v>
      </c>
      <c r="G43" s="571">
        <f>IF(ISERR((UCRPercentage!K43/100)*$B43), 0, (UCRPercentage!K43/100)*$B43)</f>
        <v>1479.8816414686826</v>
      </c>
      <c r="H43" s="571">
        <f>IF(ISERR((UCRPercentage!L43/100)*$B43), 0, (UCRPercentage!L43/100)*$B43)</f>
        <v>0</v>
      </c>
      <c r="I43" s="571">
        <f>IF(ISERR((UCRPercentage!M43/100)*$B43), 0, (UCRPercentage!M43/100)*$B43)</f>
        <v>0</v>
      </c>
      <c r="J43" s="571">
        <f>IF(ISERR((UCRPercentage!N43/100)*$B43), 0, (UCRPercentage!N43/100)*$B43)</f>
        <v>10469.816846652267</v>
      </c>
      <c r="K43" s="571">
        <f>IF(ISERR((UCRPercentage!O43/100)*$B43), 0, (UCRPercentage!O43/100)*$B43)</f>
        <v>1237.8449244060475</v>
      </c>
      <c r="L43" s="571">
        <f>IF(ISERR((UCRPercentage!P43/100)*$B43), 0, (UCRPercentage!P43/100)*$B43)</f>
        <v>0</v>
      </c>
      <c r="M43" s="571">
        <f>IF(ISERR((UCRPercentage!Q43/100)*$B43), 0, (UCRPercentage!Q43/100)*$B43)</f>
        <v>0</v>
      </c>
      <c r="N43" s="571">
        <f>IF(ISERR((UCRPercentage!R43/100)*$B43), 0, (UCRPercentage!R43/100)*$B43)</f>
        <v>48.407343412526998</v>
      </c>
      <c r="O43" s="571">
        <f>IF(ISERR((UCRPercentage!S43/100)*$B43), 0, (UCRPercentage!S43/100)*$B43)</f>
        <v>2579.4198704103674</v>
      </c>
      <c r="P43" s="571">
        <f>IF(ISERR((UCRPercentage!T43/100)*$B43), 0, (UCRPercentage!T43/100)*$B43)</f>
        <v>13.830669546436285</v>
      </c>
      <c r="Q43" s="571">
        <f>IF(ISERR((UCRPercentage!U43/100)*$B43), 0, (UCRPercentage!U43/100)*$B43)</f>
        <v>0</v>
      </c>
      <c r="R43" s="571">
        <f>IF(ISERR((UCRPercentage!V43/100)*$B43), 0, (UCRPercentage!V43/100)*$B43)</f>
        <v>0</v>
      </c>
      <c r="S43" s="571">
        <f>IF(ISERR((UCRPercentage!W43/100)*$B43), 0, (UCRPercentage!W43/100)*$B43)</f>
        <v>6.9153347732181425</v>
      </c>
      <c r="T43" s="571">
        <f>IF(ISERR((UCRPercentage!X43/100)*$B43), 0, (UCRPercentage!X43/100)*$B43)</f>
        <v>0</v>
      </c>
      <c r="U43" s="571">
        <f>IF(ISERR((UCRPercentage!Y43/100)*$B43), 0, (UCRPercentage!Y43/100)*$B43)</f>
        <v>0</v>
      </c>
      <c r="V43" s="571">
        <f>IF(ISERR((UCRPercentage!Z43/100)*$B43), 0, (UCRPercentage!Z43/100)*$B43)</f>
        <v>0</v>
      </c>
      <c r="W43" s="572">
        <f>SUM(C43:V43)</f>
        <v>16009.000000000002</v>
      </c>
      <c r="Y43" s="1140"/>
    </row>
    <row r="44" spans="1:25">
      <c r="A44" s="1271">
        <v>2017</v>
      </c>
      <c r="B44" s="590">
        <f>Escapements!R46</f>
        <v>40725</v>
      </c>
      <c r="C44" s="571">
        <f>IF(ISERR((UCRPercentage!G44/100)*$B44), 0, (UCRPercentage!G44/100)*$B44)</f>
        <v>0</v>
      </c>
      <c r="D44" s="571">
        <f>IF(ISERR((UCRPercentage!H44/100)*$B44), 0, (UCRPercentage!H44/100)*$B44)</f>
        <v>0</v>
      </c>
      <c r="E44" s="571">
        <f>IF(ISERR((UCRPercentage!I44/100)*$B44), 0, (UCRPercentage!I44/100)*$B44)</f>
        <v>40.725000000000001</v>
      </c>
      <c r="F44" s="571">
        <f>IF(ISERR((UCRPercentage!J44/100)*$B44), 0, (UCRPercentage!J44/100)*$B44)</f>
        <v>40.725000000000001</v>
      </c>
      <c r="G44" s="571">
        <f>IF(ISERR((UCRPercentage!K44/100)*$B44), 0, (UCRPercentage!K44/100)*$B44)</f>
        <v>6801.0749999999989</v>
      </c>
      <c r="H44" s="571">
        <f>IF(ISERR((UCRPercentage!L44/100)*$B44), 0, (UCRPercentage!L44/100)*$B44)</f>
        <v>40.725000000000001</v>
      </c>
      <c r="I44" s="571">
        <f>IF(ISERR((UCRPercentage!M44/100)*$B44), 0, (UCRPercentage!M44/100)*$B44)</f>
        <v>0</v>
      </c>
      <c r="J44" s="571">
        <f>IF(ISERR((UCRPercentage!N44/100)*$B44), 0, (UCRPercentage!N44/100)*$B44)</f>
        <v>18000.45</v>
      </c>
      <c r="K44" s="571">
        <f>IF(ISERR((UCRPercentage!O44/100)*$B44), 0, (UCRPercentage!O44/100)*$B44)</f>
        <v>40.725000000000001</v>
      </c>
      <c r="L44" s="571">
        <f>IF(ISERR((UCRPercentage!P44/100)*$B44), 0, (UCRPercentage!P44/100)*$B44)</f>
        <v>0</v>
      </c>
      <c r="M44" s="571">
        <f>IF(ISERR((UCRPercentage!Q44/100)*$B44), 0, (UCRPercentage!Q44/100)*$B44)</f>
        <v>0</v>
      </c>
      <c r="N44" s="571">
        <f>IF(ISERR((UCRPercentage!R44/100)*$B44), 0, (UCRPercentage!R44/100)*$B44)</f>
        <v>15312.6</v>
      </c>
      <c r="O44" s="571">
        <f>IF(ISERR((UCRPercentage!S44/100)*$B44), 0, (UCRPercentage!S44/100)*$B44)</f>
        <v>81.45</v>
      </c>
      <c r="P44" s="571">
        <f>IF(ISERR((UCRPercentage!T44/100)*$B44), 0, (UCRPercentage!T44/100)*$B44)</f>
        <v>0</v>
      </c>
      <c r="Q44" s="571">
        <f>IF(ISERR((UCRPercentage!U44/100)*$B44), 0, (UCRPercentage!U44/100)*$B44)</f>
        <v>285.07499999999999</v>
      </c>
      <c r="R44" s="571">
        <f>IF(ISERR((UCRPercentage!V44/100)*$B44), 0, (UCRPercentage!V44/100)*$B44)</f>
        <v>81.45</v>
      </c>
      <c r="S44" s="571">
        <f>IF(ISERR((UCRPercentage!W44/100)*$B44), 0, (UCRPercentage!W44/100)*$B44)</f>
        <v>0</v>
      </c>
      <c r="T44" s="571">
        <f>IF(ISERR((UCRPercentage!X44/100)*$B44), 0, (UCRPercentage!X44/100)*$B44)</f>
        <v>0</v>
      </c>
      <c r="U44" s="571">
        <f>IF(ISERR((UCRPercentage!Y44/100)*$B44), 0, (UCRPercentage!Y44/100)*$B44)</f>
        <v>0</v>
      </c>
      <c r="V44" s="571">
        <f>IF(ISERR((UCRPercentage!Z44/100)*$B44), 0, (UCRPercentage!Z44/100)*$B44)</f>
        <v>0</v>
      </c>
      <c r="W44" s="572">
        <f>SUM(C44:V44)</f>
        <v>40724.999999999993</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
    <tabColor theme="9"/>
    <pageSetUpPr fitToPage="1"/>
  </sheetPr>
  <dimension ref="A1:AA52"/>
  <sheetViews>
    <sheetView zoomScale="75" zoomScaleNormal="75" workbookViewId="0">
      <pane ySplit="6" topLeftCell="A13" activePane="bottomLeft" state="frozen"/>
      <selection activeCell="D8" sqref="A1:XFD1048576"/>
      <selection pane="bottomLeft" activeCell="AA43" sqref="AA43:AA44"/>
    </sheetView>
  </sheetViews>
  <sheetFormatPr defaultRowHeight="15.75"/>
  <cols>
    <col min="1" max="1" width="12.75" customWidth="1"/>
    <col min="3" max="3" width="1.75" customWidth="1"/>
    <col min="5" max="5" width="12.25" customWidth="1"/>
    <col min="7" max="7" width="12.75" customWidth="1"/>
    <col min="8" max="10" width="8.625" customWidth="1"/>
    <col min="11" max="11" width="11.25" customWidth="1"/>
    <col min="12" max="12" width="8.625" customWidth="1"/>
    <col min="13" max="13" width="14.75" customWidth="1"/>
    <col min="14" max="14" width="10.625" customWidth="1"/>
    <col min="15" max="15" width="8.625" customWidth="1"/>
    <col min="16" max="16" width="12" customWidth="1"/>
    <col min="17" max="17" width="14.25" customWidth="1"/>
    <col min="18" max="18" width="12.75" customWidth="1"/>
    <col min="19" max="19" width="8.625" customWidth="1"/>
    <col min="20" max="20" width="8.25" customWidth="1"/>
    <col min="21" max="22" width="8.625" customWidth="1"/>
    <col min="23" max="24" width="12.25" customWidth="1"/>
    <col min="25" max="25" width="8.625" customWidth="1"/>
    <col min="26" max="26" width="9.5" customWidth="1"/>
    <col min="27" max="27" width="11.5" customWidth="1"/>
  </cols>
  <sheetData>
    <row r="1" spans="1:27" ht="33">
      <c r="A1" s="5" t="s">
        <v>258</v>
      </c>
      <c r="B1" s="6"/>
      <c r="C1" s="6"/>
      <c r="D1" s="6"/>
      <c r="E1" s="6"/>
      <c r="F1" s="6"/>
      <c r="G1" s="6"/>
      <c r="H1" s="6"/>
      <c r="I1" s="6"/>
      <c r="J1" s="6"/>
      <c r="K1" s="6"/>
      <c r="L1" s="6"/>
      <c r="M1" s="25" t="str">
        <f ca="1">CELL("filename",M1)</f>
        <v>C:\Projects\Shiny App\Aging Error\[Copprt Chinook brood.xlsx]CCPercentage</v>
      </c>
      <c r="N1" s="6"/>
      <c r="O1" s="6"/>
      <c r="P1" s="6"/>
      <c r="Q1" s="6"/>
      <c r="R1" s="6"/>
      <c r="S1" s="6"/>
      <c r="T1" s="6"/>
      <c r="U1" s="6"/>
      <c r="V1" s="6"/>
      <c r="W1" s="6"/>
      <c r="X1" s="6"/>
      <c r="Y1" s="6"/>
      <c r="Z1" s="6"/>
      <c r="AA1" s="243">
        <f ca="1">NOW()</f>
        <v>43509.705858449073</v>
      </c>
    </row>
    <row r="2" spans="1:27" ht="30.75">
      <c r="A2" s="218" t="s">
        <v>25</v>
      </c>
      <c r="B2" s="6"/>
      <c r="C2" s="6"/>
      <c r="D2" s="6"/>
      <c r="E2" s="6"/>
      <c r="F2" s="6"/>
      <c r="G2" s="6"/>
      <c r="H2" s="6"/>
      <c r="I2" s="6"/>
      <c r="J2" s="6"/>
      <c r="K2" s="6"/>
      <c r="L2" s="6"/>
      <c r="M2" s="6"/>
      <c r="N2" s="6"/>
      <c r="O2" s="6"/>
      <c r="P2" s="6"/>
      <c r="Q2" s="6"/>
      <c r="R2" s="6"/>
      <c r="S2" s="6"/>
      <c r="T2" s="6"/>
      <c r="U2" s="6"/>
      <c r="V2" s="6"/>
      <c r="W2" s="6"/>
      <c r="X2" s="6"/>
      <c r="Y2" s="6"/>
      <c r="Z2" s="6"/>
      <c r="AA2" s="6"/>
    </row>
    <row r="3" spans="1:27">
      <c r="A3" s="6"/>
      <c r="B3" s="6"/>
      <c r="C3" s="6"/>
      <c r="D3" s="6"/>
      <c r="E3" s="6"/>
      <c r="F3" s="6"/>
    </row>
    <row r="4" spans="1:27">
      <c r="A4" s="6"/>
      <c r="B4" s="6"/>
      <c r="C4" s="6"/>
      <c r="D4" s="6"/>
      <c r="E4" s="6"/>
      <c r="F4" s="6"/>
      <c r="G4" s="6"/>
      <c r="H4" s="6"/>
      <c r="I4" s="6"/>
      <c r="J4" s="6"/>
      <c r="K4" s="6"/>
      <c r="L4" s="6"/>
      <c r="M4" s="6"/>
      <c r="N4" s="6"/>
      <c r="O4" s="6"/>
      <c r="P4" s="6"/>
      <c r="Q4" s="6"/>
      <c r="R4" s="6"/>
      <c r="S4" s="6"/>
      <c r="T4" s="6"/>
      <c r="U4" s="6"/>
      <c r="V4" s="6"/>
      <c r="W4" s="6"/>
      <c r="X4" s="6"/>
      <c r="Y4" s="6"/>
      <c r="Z4" s="6"/>
      <c r="AA4" s="6"/>
    </row>
    <row r="5" spans="1:27">
      <c r="A5" s="206"/>
      <c r="B5" s="245" t="s">
        <v>2</v>
      </c>
      <c r="C5" s="245"/>
      <c r="D5" s="245"/>
      <c r="E5" s="246" t="s">
        <v>3</v>
      </c>
      <c r="F5" s="246" t="s">
        <v>4</v>
      </c>
      <c r="G5" s="251" t="s">
        <v>5</v>
      </c>
      <c r="H5" s="252" t="s">
        <v>6</v>
      </c>
      <c r="I5" s="253"/>
      <c r="J5" s="252" t="s">
        <v>7</v>
      </c>
      <c r="K5" s="247"/>
      <c r="L5" s="253"/>
      <c r="M5" s="252" t="s">
        <v>8</v>
      </c>
      <c r="N5" s="247"/>
      <c r="O5" s="247"/>
      <c r="P5" s="253"/>
      <c r="Q5" s="252" t="s">
        <v>9</v>
      </c>
      <c r="R5" s="248"/>
      <c r="S5" s="247"/>
      <c r="T5" s="253"/>
      <c r="U5" s="1320" t="s">
        <v>10</v>
      </c>
      <c r="V5" s="1320"/>
      <c r="W5" s="1320"/>
      <c r="X5" s="1320" t="s">
        <v>11</v>
      </c>
      <c r="Y5" s="1320"/>
      <c r="Z5" s="1320"/>
      <c r="AA5" s="206"/>
    </row>
    <row r="6" spans="1:27" ht="35.25" customHeight="1">
      <c r="A6" s="570" t="s">
        <v>321</v>
      </c>
      <c r="B6" s="249" t="s">
        <v>13</v>
      </c>
      <c r="C6" s="249"/>
      <c r="D6" s="249"/>
      <c r="E6" s="250" t="s">
        <v>24</v>
      </c>
      <c r="F6" s="250" t="s">
        <v>14</v>
      </c>
      <c r="G6" s="257">
        <v>0.1</v>
      </c>
      <c r="H6" s="258">
        <v>0.2</v>
      </c>
      <c r="I6" s="259">
        <v>1.1000000000000001</v>
      </c>
      <c r="J6" s="258">
        <v>0.3</v>
      </c>
      <c r="K6" s="254">
        <v>1.2</v>
      </c>
      <c r="L6" s="259">
        <v>2.1</v>
      </c>
      <c r="M6" s="258">
        <v>0.4</v>
      </c>
      <c r="N6" s="254">
        <v>1.3</v>
      </c>
      <c r="O6" s="254">
        <v>2.2000000000000002</v>
      </c>
      <c r="P6" s="260" t="s">
        <v>15</v>
      </c>
      <c r="Q6" s="258">
        <v>0.5</v>
      </c>
      <c r="R6" s="254">
        <v>1.4</v>
      </c>
      <c r="S6" s="254">
        <v>2.2999999999999998</v>
      </c>
      <c r="T6" s="259">
        <v>3.2</v>
      </c>
      <c r="U6" s="1153">
        <v>1.5</v>
      </c>
      <c r="V6" s="728">
        <v>2.4</v>
      </c>
      <c r="W6" s="1154">
        <v>3.3</v>
      </c>
      <c r="X6" s="728">
        <v>6.1</v>
      </c>
      <c r="Y6" s="1153">
        <v>2.5</v>
      </c>
      <c r="Z6" s="1154">
        <v>3.4</v>
      </c>
      <c r="AA6" s="254" t="s">
        <v>0</v>
      </c>
    </row>
    <row r="7" spans="1:27">
      <c r="A7" s="201">
        <v>1980</v>
      </c>
      <c r="B7" s="199">
        <v>29361</v>
      </c>
      <c r="C7" s="13" t="s">
        <v>1</v>
      </c>
      <c r="D7" s="200">
        <v>29383</v>
      </c>
      <c r="E7" s="256">
        <v>219</v>
      </c>
      <c r="F7" s="201" t="s">
        <v>16</v>
      </c>
      <c r="G7" s="202">
        <v>0</v>
      </c>
      <c r="H7" s="202">
        <v>0</v>
      </c>
      <c r="I7" s="202">
        <v>0</v>
      </c>
      <c r="J7" s="202">
        <v>0</v>
      </c>
      <c r="K7" s="202">
        <v>0.91324200913242004</v>
      </c>
      <c r="L7" s="202">
        <v>0</v>
      </c>
      <c r="M7" s="202">
        <v>0</v>
      </c>
      <c r="N7" s="202">
        <v>28.31050228310502</v>
      </c>
      <c r="O7" s="202">
        <v>0.45662100456621002</v>
      </c>
      <c r="P7" s="202">
        <v>0</v>
      </c>
      <c r="Q7" s="202">
        <v>0</v>
      </c>
      <c r="R7" s="202">
        <v>55.25114155251142</v>
      </c>
      <c r="S7" s="202">
        <v>7.7625570776255701</v>
      </c>
      <c r="T7" s="202">
        <v>0</v>
      </c>
      <c r="U7" s="202">
        <v>0.91324200913242004</v>
      </c>
      <c r="V7" s="202">
        <v>5.93607305936073</v>
      </c>
      <c r="W7" s="202">
        <v>0</v>
      </c>
      <c r="X7" s="202">
        <v>0</v>
      </c>
      <c r="Y7" s="202">
        <v>0.45662100456621002</v>
      </c>
      <c r="Z7" s="202">
        <v>0</v>
      </c>
      <c r="AA7" s="261">
        <f>IF(ROUND(SUM(G7:Z7),2)&lt;&gt;100,"DATA ERROR",SUM(G7:Z7))</f>
        <v>100</v>
      </c>
    </row>
    <row r="8" spans="1:27">
      <c r="A8" s="201">
        <v>1981</v>
      </c>
      <c r="B8" s="199">
        <v>29724</v>
      </c>
      <c r="C8" s="13" t="s">
        <v>1</v>
      </c>
      <c r="D8" s="200">
        <v>29748</v>
      </c>
      <c r="E8" s="256">
        <v>135</v>
      </c>
      <c r="F8" s="201" t="s">
        <v>16</v>
      </c>
      <c r="G8" s="202">
        <v>0</v>
      </c>
      <c r="H8" s="202">
        <v>0</v>
      </c>
      <c r="I8" s="202">
        <v>0</v>
      </c>
      <c r="J8" s="202">
        <v>3.7037037037037033</v>
      </c>
      <c r="K8" s="202">
        <v>5.1851851851851851</v>
      </c>
      <c r="L8" s="202">
        <v>0</v>
      </c>
      <c r="M8" s="202">
        <v>0</v>
      </c>
      <c r="N8" s="202">
        <v>42.222222222222221</v>
      </c>
      <c r="O8" s="202">
        <v>0</v>
      </c>
      <c r="P8" s="202">
        <v>0</v>
      </c>
      <c r="Q8" s="202">
        <v>0</v>
      </c>
      <c r="R8" s="202">
        <v>40.74074074074074</v>
      </c>
      <c r="S8" s="202">
        <v>0.74074074074074081</v>
      </c>
      <c r="T8" s="202">
        <v>0</v>
      </c>
      <c r="U8" s="202">
        <v>0</v>
      </c>
      <c r="V8" s="202">
        <v>7.4074074074074066</v>
      </c>
      <c r="W8" s="202">
        <v>0</v>
      </c>
      <c r="X8" s="202">
        <v>0</v>
      </c>
      <c r="Y8" s="202">
        <v>0</v>
      </c>
      <c r="Z8" s="202">
        <v>0</v>
      </c>
      <c r="AA8" s="261">
        <f t="shared" ref="AA8:AA44" si="0">IF(ROUND(SUM(G8:Z8),2)&lt;&gt;100,"DATA ERROR",SUM(G8:Z8))</f>
        <v>100</v>
      </c>
    </row>
    <row r="9" spans="1:27">
      <c r="A9" s="201">
        <v>1982</v>
      </c>
      <c r="B9" s="199">
        <v>30092</v>
      </c>
      <c r="C9" s="13" t="s">
        <v>1</v>
      </c>
      <c r="D9" s="200">
        <v>30125</v>
      </c>
      <c r="E9" s="256"/>
      <c r="F9" s="201" t="s">
        <v>16</v>
      </c>
      <c r="G9" s="202">
        <v>0</v>
      </c>
      <c r="H9" s="202">
        <v>0.10373865994060454</v>
      </c>
      <c r="I9" s="202">
        <v>0.21764777673813107</v>
      </c>
      <c r="J9" s="202">
        <v>3.6613644684919247E-2</v>
      </c>
      <c r="K9" s="202">
        <v>7.5017289776656764</v>
      </c>
      <c r="L9" s="202">
        <v>0</v>
      </c>
      <c r="M9" s="202">
        <v>0</v>
      </c>
      <c r="N9" s="202">
        <v>52.880273381880315</v>
      </c>
      <c r="O9" s="202">
        <v>0.9519547618079004</v>
      </c>
      <c r="P9" s="202">
        <v>0</v>
      </c>
      <c r="Q9" s="202">
        <v>0</v>
      </c>
      <c r="R9" s="202">
        <v>25.281721654936739</v>
      </c>
      <c r="S9" s="202">
        <v>8.3397746226760514</v>
      </c>
      <c r="T9" s="202">
        <v>0</v>
      </c>
      <c r="U9" s="202">
        <v>9.7636385826451316E-2</v>
      </c>
      <c r="V9" s="202">
        <v>4.5889101338432123</v>
      </c>
      <c r="W9" s="202">
        <v>0</v>
      </c>
      <c r="X9" s="202">
        <v>0</v>
      </c>
      <c r="Y9" s="202">
        <v>0</v>
      </c>
      <c r="Z9" s="202">
        <v>0</v>
      </c>
      <c r="AA9" s="261">
        <f t="shared" si="0"/>
        <v>99.999999999999986</v>
      </c>
    </row>
    <row r="10" spans="1:27">
      <c r="A10" s="201">
        <v>1983</v>
      </c>
      <c r="B10" s="199">
        <v>30452</v>
      </c>
      <c r="C10" s="13" t="s">
        <v>1</v>
      </c>
      <c r="D10" s="200">
        <v>30482</v>
      </c>
      <c r="E10" s="256">
        <v>3165</v>
      </c>
      <c r="F10" s="201" t="s">
        <v>17</v>
      </c>
      <c r="G10" s="202">
        <v>0</v>
      </c>
      <c r="H10" s="202">
        <v>0</v>
      </c>
      <c r="I10" s="202">
        <v>4.3980648514653553E-2</v>
      </c>
      <c r="J10" s="202">
        <v>0</v>
      </c>
      <c r="K10" s="202">
        <v>3.8583023469673341</v>
      </c>
      <c r="L10" s="202">
        <v>0</v>
      </c>
      <c r="M10" s="202">
        <v>0</v>
      </c>
      <c r="N10" s="202">
        <v>63.767942105473594</v>
      </c>
      <c r="O10" s="202">
        <v>3.5984166966534725E-2</v>
      </c>
      <c r="P10" s="202">
        <v>0</v>
      </c>
      <c r="Q10" s="202">
        <v>0</v>
      </c>
      <c r="R10" s="202">
        <v>31.943944664347683</v>
      </c>
      <c r="S10" s="202">
        <v>0.15593139018831714</v>
      </c>
      <c r="T10" s="202">
        <v>0</v>
      </c>
      <c r="U10" s="202">
        <v>3.1985926192475311E-2</v>
      </c>
      <c r="V10" s="202">
        <v>0.16192875134940626</v>
      </c>
      <c r="W10" s="202">
        <v>0</v>
      </c>
      <c r="X10" s="202">
        <v>0</v>
      </c>
      <c r="Y10" s="202">
        <v>0</v>
      </c>
      <c r="Z10" s="202">
        <v>0</v>
      </c>
      <c r="AA10" s="261">
        <f t="shared" si="0"/>
        <v>99.999999999999986</v>
      </c>
    </row>
    <row r="11" spans="1:27">
      <c r="A11" s="201">
        <v>1984</v>
      </c>
      <c r="B11" s="199">
        <v>30816</v>
      </c>
      <c r="C11" s="13" t="s">
        <v>1</v>
      </c>
      <c r="D11" s="200">
        <v>30844</v>
      </c>
      <c r="E11" s="256">
        <v>2387</v>
      </c>
      <c r="F11" s="201" t="s">
        <v>17</v>
      </c>
      <c r="G11" s="202">
        <v>0</v>
      </c>
      <c r="H11" s="202">
        <v>0</v>
      </c>
      <c r="I11" s="202">
        <v>0</v>
      </c>
      <c r="J11" s="202">
        <v>3.8746674243794077E-2</v>
      </c>
      <c r="K11" s="202">
        <v>2.2860537803838503</v>
      </c>
      <c r="L11" s="202">
        <v>2.3248004546276443E-2</v>
      </c>
      <c r="M11" s="202">
        <v>0</v>
      </c>
      <c r="N11" s="202">
        <v>33.500374551184358</v>
      </c>
      <c r="O11" s="202">
        <v>0.43396275153049363</v>
      </c>
      <c r="P11" s="202">
        <v>0</v>
      </c>
      <c r="Q11" s="202">
        <v>0</v>
      </c>
      <c r="R11" s="202">
        <v>56.198176323198922</v>
      </c>
      <c r="S11" s="202">
        <v>4.1665590370159888</v>
      </c>
      <c r="T11" s="202">
        <v>0</v>
      </c>
      <c r="U11" s="202">
        <v>4.6496009092552887E-2</v>
      </c>
      <c r="V11" s="202">
        <v>3.1539792834448375</v>
      </c>
      <c r="W11" s="202">
        <v>0.15240358535892334</v>
      </c>
      <c r="X11" s="202">
        <v>0</v>
      </c>
      <c r="Y11" s="202">
        <v>0</v>
      </c>
      <c r="Z11" s="202">
        <v>0</v>
      </c>
      <c r="AA11" s="261">
        <f t="shared" si="0"/>
        <v>100</v>
      </c>
    </row>
    <row r="12" spans="1:27">
      <c r="A12" s="201">
        <v>1985</v>
      </c>
      <c r="B12" s="199">
        <v>31181</v>
      </c>
      <c r="C12" s="13" t="s">
        <v>1</v>
      </c>
      <c r="D12" s="200">
        <v>31212</v>
      </c>
      <c r="E12" s="256">
        <v>2830</v>
      </c>
      <c r="F12" s="201" t="s">
        <v>17</v>
      </c>
      <c r="G12" s="202">
        <v>0</v>
      </c>
      <c r="H12" s="202">
        <v>0.13231576211516197</v>
      </c>
      <c r="I12" s="202">
        <v>0</v>
      </c>
      <c r="J12" s="202">
        <v>0.10159960305271365</v>
      </c>
      <c r="K12" s="202">
        <v>6.6535926092195732</v>
      </c>
      <c r="L12" s="202">
        <v>0</v>
      </c>
      <c r="M12" s="202">
        <v>0.14649245091321503</v>
      </c>
      <c r="N12" s="202">
        <v>28.788129385913098</v>
      </c>
      <c r="O12" s="202">
        <v>0.16539470264395245</v>
      </c>
      <c r="P12" s="202">
        <v>0</v>
      </c>
      <c r="Q12" s="202">
        <v>0</v>
      </c>
      <c r="R12" s="202">
        <v>61.129882097204828</v>
      </c>
      <c r="S12" s="202">
        <v>0.81043404295536703</v>
      </c>
      <c r="T12" s="202">
        <v>0</v>
      </c>
      <c r="U12" s="202">
        <v>0.53635139285967437</v>
      </c>
      <c r="V12" s="202">
        <v>1.5358079531224156</v>
      </c>
      <c r="W12" s="202">
        <v>0</v>
      </c>
      <c r="X12" s="202">
        <v>0</v>
      </c>
      <c r="Y12" s="202">
        <v>0</v>
      </c>
      <c r="Z12" s="202">
        <v>0</v>
      </c>
      <c r="AA12" s="261">
        <f t="shared" si="0"/>
        <v>99.999999999999986</v>
      </c>
    </row>
    <row r="13" spans="1:27">
      <c r="A13" s="201">
        <v>1986</v>
      </c>
      <c r="B13" s="199">
        <v>31544</v>
      </c>
      <c r="C13" s="13" t="s">
        <v>1</v>
      </c>
      <c r="D13" s="200">
        <v>31573</v>
      </c>
      <c r="E13" s="256">
        <v>2766</v>
      </c>
      <c r="F13" s="201" t="s">
        <v>17</v>
      </c>
      <c r="G13" s="202">
        <v>0</v>
      </c>
      <c r="H13" s="202">
        <v>6.884681583476765E-2</v>
      </c>
      <c r="I13" s="202">
        <v>0</v>
      </c>
      <c r="J13" s="202">
        <v>0</v>
      </c>
      <c r="K13" s="202">
        <v>5.753626751905581</v>
      </c>
      <c r="L13" s="202">
        <v>0</v>
      </c>
      <c r="M13" s="202">
        <v>9.3434964347184651E-2</v>
      </c>
      <c r="N13" s="202">
        <v>53.525940496680604</v>
      </c>
      <c r="O13" s="202">
        <v>0.11310548315711826</v>
      </c>
      <c r="P13" s="202">
        <v>0</v>
      </c>
      <c r="Q13" s="202">
        <v>0</v>
      </c>
      <c r="R13" s="202">
        <v>34.357019916400297</v>
      </c>
      <c r="S13" s="202">
        <v>3.9168920580280306</v>
      </c>
      <c r="T13" s="202">
        <v>0</v>
      </c>
      <c r="U13" s="202">
        <v>0.59749200885173348</v>
      </c>
      <c r="V13" s="202">
        <v>1.5244652077698551</v>
      </c>
      <c r="W13" s="202">
        <v>4.9176297024834031E-2</v>
      </c>
      <c r="X13" s="202">
        <v>0</v>
      </c>
      <c r="Y13" s="202">
        <v>0</v>
      </c>
      <c r="Z13" s="202">
        <v>0</v>
      </c>
      <c r="AA13" s="261">
        <f t="shared" si="0"/>
        <v>99.999999999999986</v>
      </c>
    </row>
    <row r="14" spans="1:27">
      <c r="A14" s="201">
        <v>1987</v>
      </c>
      <c r="B14" s="199">
        <v>31911</v>
      </c>
      <c r="C14" s="13" t="s">
        <v>1</v>
      </c>
      <c r="D14" s="200">
        <v>31937</v>
      </c>
      <c r="E14" s="256">
        <v>2576</v>
      </c>
      <c r="F14" s="201" t="s">
        <v>17</v>
      </c>
      <c r="G14" s="202">
        <v>0</v>
      </c>
      <c r="H14" s="202">
        <v>4.7427080863172877E-2</v>
      </c>
      <c r="I14" s="202">
        <v>4.7427080863172877E-2</v>
      </c>
      <c r="J14" s="202">
        <v>4.7427080863172877E-2</v>
      </c>
      <c r="K14" s="202">
        <v>2.0116986799462491</v>
      </c>
      <c r="L14" s="202">
        <v>0</v>
      </c>
      <c r="M14" s="202">
        <v>0.10275867520354123</v>
      </c>
      <c r="N14" s="202">
        <v>24.262904118251523</v>
      </c>
      <c r="O14" s="202">
        <v>4.7427080863172877E-2</v>
      </c>
      <c r="P14" s="202">
        <v>0</v>
      </c>
      <c r="Q14" s="202">
        <v>0</v>
      </c>
      <c r="R14" s="202">
        <v>63.888230179432462</v>
      </c>
      <c r="S14" s="202">
        <v>3.2329460121729507</v>
      </c>
      <c r="T14" s="202">
        <v>0</v>
      </c>
      <c r="U14" s="202">
        <v>1.2331041024424947</v>
      </c>
      <c r="V14" s="202">
        <v>5.078649909098095</v>
      </c>
      <c r="W14" s="202">
        <v>0</v>
      </c>
      <c r="X14" s="202">
        <v>0</v>
      </c>
      <c r="Y14" s="202">
        <v>0</v>
      </c>
      <c r="Z14" s="202">
        <v>0</v>
      </c>
      <c r="AA14" s="261">
        <f t="shared" si="0"/>
        <v>100</v>
      </c>
    </row>
    <row r="15" spans="1:27">
      <c r="A15" s="201">
        <v>1988</v>
      </c>
      <c r="B15" s="199">
        <v>32280</v>
      </c>
      <c r="C15" s="13" t="s">
        <v>1</v>
      </c>
      <c r="D15" s="200">
        <v>32305</v>
      </c>
      <c r="E15" s="256">
        <v>1752</v>
      </c>
      <c r="F15" s="201" t="s">
        <v>17</v>
      </c>
      <c r="G15" s="202">
        <v>0</v>
      </c>
      <c r="H15" s="202">
        <v>4.2506464524813145E-2</v>
      </c>
      <c r="I15" s="202">
        <v>0.14168821508271048</v>
      </c>
      <c r="J15" s="202">
        <v>4.2506464524813145E-2</v>
      </c>
      <c r="K15" s="202">
        <v>3.1490205802132412</v>
      </c>
      <c r="L15" s="202">
        <v>9.9181750557897352E-2</v>
      </c>
      <c r="M15" s="202">
        <v>9.2097339803761821E-2</v>
      </c>
      <c r="N15" s="202">
        <v>25.227586695476607</v>
      </c>
      <c r="O15" s="202">
        <v>0.24441217101767559</v>
      </c>
      <c r="P15" s="202">
        <v>0</v>
      </c>
      <c r="Q15" s="202">
        <v>0</v>
      </c>
      <c r="R15" s="202">
        <v>61.963798661046368</v>
      </c>
      <c r="S15" s="202">
        <v>1.8561156175835074</v>
      </c>
      <c r="T15" s="202">
        <v>0</v>
      </c>
      <c r="U15" s="202">
        <v>2.1076121993553185</v>
      </c>
      <c r="V15" s="202">
        <v>5.0334738408132909</v>
      </c>
      <c r="W15" s="202">
        <v>0</v>
      </c>
      <c r="X15" s="202">
        <v>0</v>
      </c>
      <c r="Y15" s="202">
        <v>0</v>
      </c>
      <c r="Z15" s="202">
        <v>0</v>
      </c>
      <c r="AA15" s="261">
        <f t="shared" si="0"/>
        <v>100</v>
      </c>
    </row>
    <row r="16" spans="1:27">
      <c r="A16" s="201">
        <v>1989</v>
      </c>
      <c r="B16" s="199">
        <v>32644</v>
      </c>
      <c r="C16" s="13" t="s">
        <v>1</v>
      </c>
      <c r="D16" s="200">
        <v>32669</v>
      </c>
      <c r="E16" s="256">
        <v>1545</v>
      </c>
      <c r="F16" s="201" t="s">
        <v>17</v>
      </c>
      <c r="G16" s="202">
        <v>0</v>
      </c>
      <c r="H16" s="202">
        <v>0</v>
      </c>
      <c r="I16" s="202">
        <v>0.14581510644502771</v>
      </c>
      <c r="J16" s="202">
        <v>0</v>
      </c>
      <c r="K16" s="202">
        <v>2.5598652020349308</v>
      </c>
      <c r="L16" s="202">
        <v>0.20090081332426041</v>
      </c>
      <c r="M16" s="202">
        <v>4.5364699782897505E-2</v>
      </c>
      <c r="N16" s="202">
        <v>24.542302582547553</v>
      </c>
      <c r="O16" s="202">
        <v>0.18469913483036843</v>
      </c>
      <c r="P16" s="202">
        <v>0</v>
      </c>
      <c r="Q16" s="202">
        <v>0</v>
      </c>
      <c r="R16" s="202">
        <v>61.686270697644275</v>
      </c>
      <c r="S16" s="202">
        <v>2.25851398204854</v>
      </c>
      <c r="T16" s="202">
        <v>0</v>
      </c>
      <c r="U16" s="202">
        <v>2.488577816661806</v>
      </c>
      <c r="V16" s="202">
        <v>5.8876899646803409</v>
      </c>
      <c r="W16" s="202">
        <v>0</v>
      </c>
      <c r="X16" s="202">
        <v>0</v>
      </c>
      <c r="Y16" s="202">
        <v>0</v>
      </c>
      <c r="Z16" s="202">
        <v>0</v>
      </c>
      <c r="AA16" s="261">
        <f t="shared" si="0"/>
        <v>100</v>
      </c>
    </row>
    <row r="17" spans="1:27">
      <c r="A17" s="201">
        <v>1990</v>
      </c>
      <c r="B17" s="199">
        <v>33008</v>
      </c>
      <c r="C17" s="13" t="s">
        <v>1</v>
      </c>
      <c r="D17" s="200">
        <v>33043</v>
      </c>
      <c r="E17" s="256">
        <v>1594</v>
      </c>
      <c r="F17" s="201" t="s">
        <v>17</v>
      </c>
      <c r="G17" s="202">
        <v>0</v>
      </c>
      <c r="H17" s="202">
        <v>0.24884792626728111</v>
      </c>
      <c r="I17" s="202">
        <v>0.29953917050691248</v>
      </c>
      <c r="J17" s="202">
        <v>2.3041474654377881E-2</v>
      </c>
      <c r="K17" s="202">
        <v>5.8202764976958523</v>
      </c>
      <c r="L17" s="202">
        <v>0.2119815668202765</v>
      </c>
      <c r="M17" s="202">
        <v>0</v>
      </c>
      <c r="N17" s="202">
        <v>25.05069124423963</v>
      </c>
      <c r="O17" s="202">
        <v>1.2857142857142856</v>
      </c>
      <c r="P17" s="202">
        <v>0</v>
      </c>
      <c r="Q17" s="202">
        <v>0</v>
      </c>
      <c r="R17" s="202">
        <v>53.972350230414747</v>
      </c>
      <c r="S17" s="202">
        <v>2.1105990783410138</v>
      </c>
      <c r="T17" s="202">
        <v>0.1889400921658986</v>
      </c>
      <c r="U17" s="202">
        <v>1.7557603686635943</v>
      </c>
      <c r="V17" s="202">
        <v>8.6405529953917046</v>
      </c>
      <c r="W17" s="202">
        <v>8.294930875576037E-2</v>
      </c>
      <c r="X17" s="202">
        <v>0</v>
      </c>
      <c r="Y17" s="202">
        <v>0.30875576036866359</v>
      </c>
      <c r="Z17" s="202">
        <v>0</v>
      </c>
      <c r="AA17" s="261">
        <f t="shared" si="0"/>
        <v>100</v>
      </c>
    </row>
    <row r="18" spans="1:27">
      <c r="A18" s="201">
        <v>1991</v>
      </c>
      <c r="B18" s="199">
        <v>33375</v>
      </c>
      <c r="C18" s="13" t="s">
        <v>1</v>
      </c>
      <c r="D18" s="200">
        <v>33411</v>
      </c>
      <c r="E18" s="256">
        <v>1596</v>
      </c>
      <c r="F18" s="201" t="s">
        <v>17</v>
      </c>
      <c r="G18" s="202">
        <v>2.5870989996550537E-2</v>
      </c>
      <c r="H18" s="202">
        <v>0.22996435552489364</v>
      </c>
      <c r="I18" s="202">
        <v>0.25008623663332186</v>
      </c>
      <c r="J18" s="202">
        <v>0.50017247326664371</v>
      </c>
      <c r="K18" s="202">
        <v>3.2712429573416122</v>
      </c>
      <c r="L18" s="202">
        <v>0.12073128665056915</v>
      </c>
      <c r="M18" s="202">
        <v>0.5662872254800505</v>
      </c>
      <c r="N18" s="202">
        <v>56.45912383580545</v>
      </c>
      <c r="O18" s="202">
        <v>0.47142692882603193</v>
      </c>
      <c r="P18" s="202">
        <v>0</v>
      </c>
      <c r="Q18" s="202">
        <v>0</v>
      </c>
      <c r="R18" s="202">
        <v>34.296309072093827</v>
      </c>
      <c r="S18" s="202">
        <v>1.5005174197999309</v>
      </c>
      <c r="T18" s="202">
        <v>2.5870989996550537E-2</v>
      </c>
      <c r="U18" s="202">
        <v>1.0147177187535932</v>
      </c>
      <c r="V18" s="202">
        <v>1.1986892031735081</v>
      </c>
      <c r="W18" s="202">
        <v>0</v>
      </c>
      <c r="X18" s="202">
        <v>0</v>
      </c>
      <c r="Y18" s="202">
        <v>6.8989306657468094E-2</v>
      </c>
      <c r="Z18" s="202">
        <v>0</v>
      </c>
      <c r="AA18" s="261">
        <f t="shared" si="0"/>
        <v>100</v>
      </c>
    </row>
    <row r="19" spans="1:27">
      <c r="A19" s="201">
        <v>1992</v>
      </c>
      <c r="B19" s="199">
        <v>33739</v>
      </c>
      <c r="C19" s="13" t="s">
        <v>1</v>
      </c>
      <c r="D19" s="200">
        <v>33768</v>
      </c>
      <c r="E19" s="256">
        <v>1996</v>
      </c>
      <c r="F19" s="201" t="s">
        <v>17</v>
      </c>
      <c r="G19" s="202">
        <v>0</v>
      </c>
      <c r="H19" s="202">
        <v>0</v>
      </c>
      <c r="I19" s="202">
        <v>0.12561236025624922</v>
      </c>
      <c r="J19" s="202">
        <v>0.16078382112799899</v>
      </c>
      <c r="K19" s="202">
        <v>4.2607712598919729</v>
      </c>
      <c r="L19" s="202">
        <v>0</v>
      </c>
      <c r="M19" s="202">
        <v>0.35171460871749777</v>
      </c>
      <c r="N19" s="202">
        <v>12.84260771259892</v>
      </c>
      <c r="O19" s="202">
        <v>0.66825775656324582</v>
      </c>
      <c r="P19" s="202">
        <v>0</v>
      </c>
      <c r="Q19" s="202">
        <v>4.77326968973747E-2</v>
      </c>
      <c r="R19" s="202">
        <v>74.078633337520415</v>
      </c>
      <c r="S19" s="202">
        <v>1.3113930410752417</v>
      </c>
      <c r="T19" s="202">
        <v>9.0440899384499437E-2</v>
      </c>
      <c r="U19" s="202">
        <v>0.91445798266549427</v>
      </c>
      <c r="V19" s="202">
        <v>4.9491269940962184</v>
      </c>
      <c r="W19" s="202">
        <v>0</v>
      </c>
      <c r="X19" s="202">
        <v>0</v>
      </c>
      <c r="Y19" s="202">
        <v>5.2757191307624671E-2</v>
      </c>
      <c r="Z19" s="202">
        <v>0.1457103378972491</v>
      </c>
      <c r="AA19" s="261">
        <f t="shared" si="0"/>
        <v>100</v>
      </c>
    </row>
    <row r="20" spans="1:27">
      <c r="A20" s="201">
        <v>1993</v>
      </c>
      <c r="B20" s="199">
        <v>34107</v>
      </c>
      <c r="C20" s="13" t="s">
        <v>1</v>
      </c>
      <c r="D20" s="200">
        <v>34136</v>
      </c>
      <c r="E20" s="256">
        <v>2043</v>
      </c>
      <c r="F20" s="201" t="s">
        <v>17</v>
      </c>
      <c r="G20" s="202">
        <v>0</v>
      </c>
      <c r="H20" s="202">
        <v>0.35994214014195847</v>
      </c>
      <c r="I20" s="202">
        <v>0.15137753557372086</v>
      </c>
      <c r="J20" s="202">
        <v>4.0367342819658897E-2</v>
      </c>
      <c r="K20" s="202">
        <v>6.6000605510142289</v>
      </c>
      <c r="L20" s="202">
        <v>0</v>
      </c>
      <c r="M20" s="202">
        <v>0.12110202845897669</v>
      </c>
      <c r="N20" s="202">
        <v>63.309449322165037</v>
      </c>
      <c r="O20" s="202">
        <v>0.19174487839337975</v>
      </c>
      <c r="P20" s="202">
        <v>0</v>
      </c>
      <c r="Q20" s="202">
        <v>3.0275507114744173E-2</v>
      </c>
      <c r="R20" s="202">
        <v>24.953745753019142</v>
      </c>
      <c r="S20" s="202">
        <v>1.8165304268846505</v>
      </c>
      <c r="T20" s="202">
        <v>0</v>
      </c>
      <c r="U20" s="202">
        <v>1.3388502035186867</v>
      </c>
      <c r="V20" s="202">
        <v>1.0865543108958187</v>
      </c>
      <c r="W20" s="202">
        <v>0</v>
      </c>
      <c r="X20" s="202">
        <v>0</v>
      </c>
      <c r="Y20" s="202">
        <v>0</v>
      </c>
      <c r="Z20" s="202">
        <v>0</v>
      </c>
      <c r="AA20" s="261">
        <f t="shared" si="0"/>
        <v>100.00000000000001</v>
      </c>
    </row>
    <row r="21" spans="1:27">
      <c r="A21" s="201">
        <v>1994</v>
      </c>
      <c r="B21" s="199">
        <v>34470</v>
      </c>
      <c r="C21" s="13" t="s">
        <v>1</v>
      </c>
      <c r="D21" s="200">
        <v>34489</v>
      </c>
      <c r="E21" s="256">
        <v>1999</v>
      </c>
      <c r="F21" s="201" t="s">
        <v>17</v>
      </c>
      <c r="G21" s="202">
        <v>0</v>
      </c>
      <c r="H21" s="202">
        <v>0.10412460953271424</v>
      </c>
      <c r="I21" s="202">
        <v>4.8874816719437303E-2</v>
      </c>
      <c r="J21" s="202">
        <v>0</v>
      </c>
      <c r="K21" s="202">
        <v>5.1998555005418732</v>
      </c>
      <c r="L21" s="202">
        <v>0</v>
      </c>
      <c r="M21" s="202">
        <v>9.3499649376314845E-2</v>
      </c>
      <c r="N21" s="202">
        <v>39.180603072738478</v>
      </c>
      <c r="O21" s="202" t="s">
        <v>23</v>
      </c>
      <c r="P21" s="202">
        <v>0</v>
      </c>
      <c r="Q21" s="202">
        <v>0</v>
      </c>
      <c r="R21" s="202">
        <v>54.374296096389642</v>
      </c>
      <c r="S21" s="202">
        <v>0.24437408359718654</v>
      </c>
      <c r="T21" s="202">
        <v>0</v>
      </c>
      <c r="U21" s="202">
        <v>0.44412333453749547</v>
      </c>
      <c r="V21" s="202">
        <v>0.31024883656686286</v>
      </c>
      <c r="W21" s="202">
        <v>0</v>
      </c>
      <c r="X21" s="202">
        <v>0</v>
      </c>
      <c r="Y21" s="202">
        <v>0</v>
      </c>
      <c r="Z21" s="202">
        <v>0</v>
      </c>
      <c r="AA21" s="261">
        <f t="shared" si="0"/>
        <v>99.999999999999986</v>
      </c>
    </row>
    <row r="22" spans="1:27">
      <c r="A22" s="201">
        <v>1995</v>
      </c>
      <c r="B22" s="199">
        <v>34834</v>
      </c>
      <c r="C22" s="13" t="s">
        <v>1</v>
      </c>
      <c r="D22" s="200">
        <v>34853</v>
      </c>
      <c r="E22" s="256">
        <v>2118</v>
      </c>
      <c r="F22" s="201" t="s">
        <v>17</v>
      </c>
      <c r="G22" s="202">
        <v>0</v>
      </c>
      <c r="H22" s="202">
        <v>0</v>
      </c>
      <c r="I22" s="202">
        <v>0.28017175746870909</v>
      </c>
      <c r="J22" s="202">
        <v>0</v>
      </c>
      <c r="K22" s="202">
        <v>5.8896975972226446</v>
      </c>
      <c r="L22" s="202">
        <v>0</v>
      </c>
      <c r="M22" s="202">
        <v>0</v>
      </c>
      <c r="N22" s="202">
        <v>53.719889149435083</v>
      </c>
      <c r="O22" s="202">
        <v>0.12485915278496817</v>
      </c>
      <c r="P22" s="202">
        <v>0</v>
      </c>
      <c r="Q22" s="202">
        <v>0</v>
      </c>
      <c r="R22" s="202">
        <v>38.258671620428174</v>
      </c>
      <c r="S22" s="202">
        <v>0.7004293936717727</v>
      </c>
      <c r="T22" s="202">
        <v>0</v>
      </c>
      <c r="U22" s="202">
        <v>0.9653744251910954</v>
      </c>
      <c r="V22" s="202">
        <v>6.0906903797545452E-2</v>
      </c>
      <c r="W22" s="202">
        <v>0</v>
      </c>
      <c r="X22" s="202">
        <v>0</v>
      </c>
      <c r="Y22" s="202">
        <v>0</v>
      </c>
      <c r="Z22" s="202">
        <v>0</v>
      </c>
      <c r="AA22" s="261">
        <f t="shared" si="0"/>
        <v>100</v>
      </c>
    </row>
    <row r="23" spans="1:27">
      <c r="A23" s="201">
        <v>1996</v>
      </c>
      <c r="B23" s="199">
        <v>35202</v>
      </c>
      <c r="C23" s="13" t="s">
        <v>1</v>
      </c>
      <c r="D23" s="200">
        <v>35224</v>
      </c>
      <c r="E23" s="256">
        <v>1729</v>
      </c>
      <c r="F23" s="201" t="s">
        <v>17</v>
      </c>
      <c r="G23" s="202">
        <v>0</v>
      </c>
      <c r="H23" s="202">
        <v>0</v>
      </c>
      <c r="I23" s="202">
        <v>0.58764331668044423</v>
      </c>
      <c r="J23" s="202">
        <v>0</v>
      </c>
      <c r="K23" s="202">
        <v>6.5341623836394342</v>
      </c>
      <c r="L23" s="202">
        <v>0.14736009776084535</v>
      </c>
      <c r="M23" s="202">
        <v>0</v>
      </c>
      <c r="N23" s="202">
        <v>46.702368544010355</v>
      </c>
      <c r="O23" s="202">
        <v>0.49060130108183875</v>
      </c>
      <c r="P23" s="202">
        <v>7.3680048880422677E-2</v>
      </c>
      <c r="Q23" s="202">
        <v>0</v>
      </c>
      <c r="R23" s="202">
        <v>44.190058584624232</v>
      </c>
      <c r="S23" s="202">
        <v>0.65233799374618129</v>
      </c>
      <c r="T23" s="202">
        <v>0</v>
      </c>
      <c r="U23" s="202">
        <v>0.13118642849441109</v>
      </c>
      <c r="V23" s="202">
        <v>0.44926859073428455</v>
      </c>
      <c r="W23" s="202">
        <v>0</v>
      </c>
      <c r="X23" s="202">
        <v>0</v>
      </c>
      <c r="Y23" s="202">
        <v>4.1332710347554182E-2</v>
      </c>
      <c r="Z23" s="202">
        <v>0</v>
      </c>
      <c r="AA23" s="261">
        <f t="shared" si="0"/>
        <v>100</v>
      </c>
    </row>
    <row r="24" spans="1:27">
      <c r="A24" s="201">
        <v>1997</v>
      </c>
      <c r="B24" s="199">
        <v>35566</v>
      </c>
      <c r="C24" s="13" t="s">
        <v>1</v>
      </c>
      <c r="D24" s="200">
        <v>35585</v>
      </c>
      <c r="E24" s="256">
        <v>1805</v>
      </c>
      <c r="F24" s="201" t="s">
        <v>17</v>
      </c>
      <c r="G24" s="202">
        <v>0</v>
      </c>
      <c r="H24" s="202">
        <v>0</v>
      </c>
      <c r="I24" s="202">
        <v>0.25158949955142956</v>
      </c>
      <c r="J24" s="202">
        <v>0</v>
      </c>
      <c r="K24" s="202">
        <v>9.3497679135624292</v>
      </c>
      <c r="L24" s="202">
        <v>0</v>
      </c>
      <c r="M24" s="202">
        <v>0</v>
      </c>
      <c r="N24" s="202">
        <v>57.606194172485083</v>
      </c>
      <c r="O24" s="202" t="s">
        <v>23</v>
      </c>
      <c r="P24" s="202">
        <v>0</v>
      </c>
      <c r="Q24" s="202">
        <v>0</v>
      </c>
      <c r="R24" s="202">
        <v>31.050824979521785</v>
      </c>
      <c r="S24" s="202">
        <v>1.1350782072785428</v>
      </c>
      <c r="T24" s="202">
        <v>0</v>
      </c>
      <c r="U24" s="202">
        <v>0.14627296485548233</v>
      </c>
      <c r="V24" s="202">
        <v>0.46027226274525102</v>
      </c>
      <c r="W24" s="202">
        <v>0</v>
      </c>
      <c r="X24" s="202">
        <v>0</v>
      </c>
      <c r="Y24" s="202">
        <v>0</v>
      </c>
      <c r="Z24" s="202">
        <v>0</v>
      </c>
      <c r="AA24" s="261">
        <f t="shared" si="0"/>
        <v>100</v>
      </c>
    </row>
    <row r="25" spans="1:27">
      <c r="A25" s="201">
        <v>1998</v>
      </c>
      <c r="B25" s="199">
        <v>35930</v>
      </c>
      <c r="C25" s="13" t="s">
        <v>1</v>
      </c>
      <c r="D25" s="200">
        <v>35948</v>
      </c>
      <c r="E25" s="256">
        <v>1920</v>
      </c>
      <c r="F25" s="201" t="s">
        <v>17</v>
      </c>
      <c r="G25" s="202">
        <v>0</v>
      </c>
      <c r="H25" s="202">
        <v>6.2475482005608263E-2</v>
      </c>
      <c r="I25" s="202">
        <v>0.2542606825809639</v>
      </c>
      <c r="J25" s="202">
        <v>6.2475482005608263E-2</v>
      </c>
      <c r="K25" s="202">
        <v>6.5381318377962145</v>
      </c>
      <c r="L25" s="202">
        <v>6.2475482005608263E-2</v>
      </c>
      <c r="M25" s="202">
        <v>0</v>
      </c>
      <c r="N25" s="202">
        <v>63.672686591018056</v>
      </c>
      <c r="O25" s="202">
        <v>0.27169570081508709</v>
      </c>
      <c r="P25" s="202">
        <v>0</v>
      </c>
      <c r="Q25" s="202">
        <v>0</v>
      </c>
      <c r="R25" s="202">
        <v>27.675185610298286</v>
      </c>
      <c r="S25" s="202">
        <v>0.49253926511398144</v>
      </c>
      <c r="T25" s="202">
        <v>0</v>
      </c>
      <c r="U25" s="202">
        <v>0</v>
      </c>
      <c r="V25" s="202">
        <v>0.90807386636058518</v>
      </c>
      <c r="W25" s="202">
        <v>0</v>
      </c>
      <c r="X25" s="202">
        <v>0</v>
      </c>
      <c r="Y25" s="202">
        <v>0</v>
      </c>
      <c r="Z25" s="202">
        <v>0</v>
      </c>
      <c r="AA25" s="261">
        <f t="shared" si="0"/>
        <v>99.999999999999986</v>
      </c>
    </row>
    <row r="26" spans="1:27">
      <c r="A26" s="201">
        <v>1999</v>
      </c>
      <c r="B26" s="199">
        <v>36294</v>
      </c>
      <c r="C26" s="13" t="s">
        <v>1</v>
      </c>
      <c r="D26" s="200">
        <v>36312</v>
      </c>
      <c r="E26" s="256">
        <v>1694</v>
      </c>
      <c r="F26" s="201" t="s">
        <v>17</v>
      </c>
      <c r="G26" s="202">
        <v>0</v>
      </c>
      <c r="H26" s="202">
        <v>0</v>
      </c>
      <c r="I26" s="202">
        <v>0</v>
      </c>
      <c r="J26" s="202">
        <v>0</v>
      </c>
      <c r="K26" s="202">
        <v>9.6315190015560574</v>
      </c>
      <c r="L26" s="202">
        <v>0</v>
      </c>
      <c r="M26" s="202">
        <v>0</v>
      </c>
      <c r="N26" s="202">
        <v>51.927426728908998</v>
      </c>
      <c r="O26" s="202">
        <v>0.39623337664629349</v>
      </c>
      <c r="P26" s="202" t="s">
        <v>23</v>
      </c>
      <c r="Q26" s="202">
        <v>0</v>
      </c>
      <c r="R26" s="202">
        <v>35.941736047612174</v>
      </c>
      <c r="S26" s="202">
        <v>1.2416381924057944</v>
      </c>
      <c r="T26" s="202">
        <v>0</v>
      </c>
      <c r="U26" s="202">
        <v>0.58713123826940661</v>
      </c>
      <c r="V26" s="202">
        <v>0.27431541460128017</v>
      </c>
      <c r="W26" s="202">
        <v>0</v>
      </c>
      <c r="X26" s="202">
        <v>0</v>
      </c>
      <c r="Y26" s="202">
        <v>0</v>
      </c>
      <c r="Z26" s="202">
        <v>0</v>
      </c>
      <c r="AA26" s="261">
        <f t="shared" si="0"/>
        <v>100</v>
      </c>
    </row>
    <row r="27" spans="1:27">
      <c r="A27" s="201">
        <v>2000</v>
      </c>
      <c r="B27" s="199">
        <v>36661</v>
      </c>
      <c r="C27" s="13" t="s">
        <v>1</v>
      </c>
      <c r="D27" s="200">
        <v>36683</v>
      </c>
      <c r="E27" s="256">
        <v>1830</v>
      </c>
      <c r="F27" s="201" t="s">
        <v>17</v>
      </c>
      <c r="G27" s="202">
        <v>0</v>
      </c>
      <c r="H27" s="202">
        <v>0</v>
      </c>
      <c r="I27" s="202">
        <v>3.5999999999999997E-2</v>
      </c>
      <c r="J27" s="202">
        <v>0</v>
      </c>
      <c r="K27" s="202">
        <v>5.9749999999999996</v>
      </c>
      <c r="L27" s="202">
        <v>0</v>
      </c>
      <c r="M27" s="202">
        <v>0</v>
      </c>
      <c r="N27" s="202">
        <v>69.304000000000002</v>
      </c>
      <c r="O27" s="202">
        <v>0.377</v>
      </c>
      <c r="P27" s="202">
        <v>0</v>
      </c>
      <c r="Q27" s="202">
        <v>0</v>
      </c>
      <c r="R27" s="202">
        <v>22.724</v>
      </c>
      <c r="S27" s="202">
        <v>0.93700000000000006</v>
      </c>
      <c r="T27" s="202">
        <v>0</v>
      </c>
      <c r="U27" s="202">
        <v>0.23599999999999999</v>
      </c>
      <c r="V27" s="202">
        <v>0.40799999999999997</v>
      </c>
      <c r="W27" s="202">
        <v>0</v>
      </c>
      <c r="X27" s="202">
        <v>0</v>
      </c>
      <c r="Y27" s="202">
        <v>0</v>
      </c>
      <c r="Z27" s="202">
        <v>0</v>
      </c>
      <c r="AA27" s="261">
        <f t="shared" si="0"/>
        <v>99.997</v>
      </c>
    </row>
    <row r="28" spans="1:27">
      <c r="A28" s="201">
        <v>2001</v>
      </c>
      <c r="B28" s="199">
        <v>37028</v>
      </c>
      <c r="C28" s="13" t="s">
        <v>1</v>
      </c>
      <c r="D28" s="200">
        <v>37048</v>
      </c>
      <c r="E28" s="256">
        <v>1845</v>
      </c>
      <c r="F28" s="201" t="s">
        <v>17</v>
      </c>
      <c r="G28" s="202">
        <v>0</v>
      </c>
      <c r="H28" s="202">
        <v>0.104</v>
      </c>
      <c r="I28" s="202">
        <v>0.14399999999999999</v>
      </c>
      <c r="J28" s="202">
        <v>0</v>
      </c>
      <c r="K28" s="202">
        <v>11.954000000000001</v>
      </c>
      <c r="L28" s="202">
        <v>0.23799999999999999</v>
      </c>
      <c r="M28" s="202">
        <v>0</v>
      </c>
      <c r="N28" s="202">
        <v>64.465000000000003</v>
      </c>
      <c r="O28" s="202">
        <v>0.27200000000000002</v>
      </c>
      <c r="P28" s="202">
        <v>0</v>
      </c>
      <c r="Q28" s="202">
        <v>0</v>
      </c>
      <c r="R28" s="202">
        <v>21.67</v>
      </c>
      <c r="S28" s="202">
        <v>0.95599999999999996</v>
      </c>
      <c r="T28" s="202">
        <v>0</v>
      </c>
      <c r="U28" s="202">
        <v>8.6999999999999994E-2</v>
      </c>
      <c r="V28" s="202">
        <v>0.106</v>
      </c>
      <c r="W28" s="202">
        <v>0</v>
      </c>
      <c r="X28" s="202">
        <v>0</v>
      </c>
      <c r="Y28" s="202">
        <v>0</v>
      </c>
      <c r="Z28" s="202">
        <v>0</v>
      </c>
      <c r="AA28" s="261">
        <f t="shared" si="0"/>
        <v>99.996000000000009</v>
      </c>
    </row>
    <row r="29" spans="1:27">
      <c r="A29" s="201">
        <v>2002</v>
      </c>
      <c r="B29" s="199">
        <v>37392</v>
      </c>
      <c r="C29" s="13" t="s">
        <v>1</v>
      </c>
      <c r="D29" s="200">
        <v>37422</v>
      </c>
      <c r="E29" s="256">
        <v>2143</v>
      </c>
      <c r="F29" s="201" t="s">
        <v>17</v>
      </c>
      <c r="G29" s="202">
        <v>0</v>
      </c>
      <c r="H29" s="202">
        <v>2.5552320693540298E-2</v>
      </c>
      <c r="I29" s="202">
        <v>0.25332251177732679</v>
      </c>
      <c r="J29" s="202">
        <v>0</v>
      </c>
      <c r="K29" s="202">
        <v>12.705884758013225</v>
      </c>
      <c r="L29" s="202">
        <v>6.3500003111508566E-2</v>
      </c>
      <c r="M29" s="202">
        <v>0</v>
      </c>
      <c r="N29" s="202">
        <v>61.288222213799202</v>
      </c>
      <c r="O29" s="202">
        <v>0.54678126091710522</v>
      </c>
      <c r="P29" s="202">
        <v>0</v>
      </c>
      <c r="Q29" s="202">
        <v>0</v>
      </c>
      <c r="R29" s="202">
        <v>24.078576416929877</v>
      </c>
      <c r="S29" s="202">
        <v>0.46708753542308207</v>
      </c>
      <c r="T29" s="202">
        <v>0</v>
      </c>
      <c r="U29" s="202">
        <v>7.021118664493875E-2</v>
      </c>
      <c r="V29" s="202">
        <v>0.50086179269020603</v>
      </c>
      <c r="W29" s="202">
        <v>0</v>
      </c>
      <c r="X29" s="202">
        <v>0</v>
      </c>
      <c r="Y29" s="202">
        <v>0</v>
      </c>
      <c r="Z29" s="202">
        <v>0</v>
      </c>
      <c r="AA29" s="261">
        <f t="shared" si="0"/>
        <v>100</v>
      </c>
    </row>
    <row r="30" spans="1:27">
      <c r="A30" s="201">
        <v>2003</v>
      </c>
      <c r="B30" s="199">
        <v>37755</v>
      </c>
      <c r="C30" s="13" t="s">
        <v>1</v>
      </c>
      <c r="D30" s="200">
        <v>37775</v>
      </c>
      <c r="E30" s="256">
        <v>1931</v>
      </c>
      <c r="F30" s="201" t="s">
        <v>17</v>
      </c>
      <c r="G30" s="202">
        <v>0</v>
      </c>
      <c r="H30" s="202">
        <v>7.6099119976900526E-2</v>
      </c>
      <c r="I30" s="202">
        <v>0.39582737729968193</v>
      </c>
      <c r="J30" s="202">
        <v>0.152198239953801</v>
      </c>
      <c r="K30" s="202">
        <v>5.8521927756809964</v>
      </c>
      <c r="L30" s="202">
        <v>6.478793996393345E-2</v>
      </c>
      <c r="M30" s="202">
        <v>0</v>
      </c>
      <c r="N30" s="202">
        <v>63.110800199028937</v>
      </c>
      <c r="O30" s="202">
        <v>0</v>
      </c>
      <c r="P30" s="202">
        <v>0</v>
      </c>
      <c r="Q30" s="202">
        <v>0</v>
      </c>
      <c r="R30" s="202">
        <v>29.013586202687939</v>
      </c>
      <c r="S30" s="202">
        <v>1.1742294703847429</v>
      </c>
      <c r="T30" s="202">
        <v>0</v>
      </c>
      <c r="U30" s="202">
        <v>2.6642957428146336E-2</v>
      </c>
      <c r="V30" s="202">
        <v>0.13363571759491708</v>
      </c>
      <c r="W30" s="202">
        <v>0</v>
      </c>
      <c r="X30" s="202">
        <v>0</v>
      </c>
      <c r="Y30" s="202">
        <v>0</v>
      </c>
      <c r="Z30" s="202">
        <v>0</v>
      </c>
      <c r="AA30" s="261">
        <f t="shared" si="0"/>
        <v>99.999999999999986</v>
      </c>
    </row>
    <row r="31" spans="1:27">
      <c r="A31" s="201">
        <v>2004</v>
      </c>
      <c r="B31" s="199">
        <v>38124</v>
      </c>
      <c r="C31" s="13" t="s">
        <v>1</v>
      </c>
      <c r="D31" s="200">
        <v>38143</v>
      </c>
      <c r="E31" s="256">
        <v>1865</v>
      </c>
      <c r="F31" s="201" t="s">
        <v>17</v>
      </c>
      <c r="G31" s="202">
        <v>0</v>
      </c>
      <c r="H31" s="202">
        <v>0</v>
      </c>
      <c r="I31" s="202">
        <v>0.63905392886504842</v>
      </c>
      <c r="J31" s="202">
        <v>0</v>
      </c>
      <c r="K31" s="202">
        <v>6.2104946887519521</v>
      </c>
      <c r="L31" s="202">
        <v>4.9548524320067351E-2</v>
      </c>
      <c r="M31" s="202">
        <v>0</v>
      </c>
      <c r="N31" s="202">
        <v>50.166085479353427</v>
      </c>
      <c r="O31" s="202">
        <v>0.22690783441314441</v>
      </c>
      <c r="P31" s="202">
        <v>0</v>
      </c>
      <c r="Q31" s="202">
        <v>0</v>
      </c>
      <c r="R31" s="202">
        <v>41.419654840255326</v>
      </c>
      <c r="S31" s="202">
        <v>0.62340103572834937</v>
      </c>
      <c r="T31" s="202">
        <v>0</v>
      </c>
      <c r="U31" s="202">
        <v>0</v>
      </c>
      <c r="V31" s="202">
        <v>0.66485366831268178</v>
      </c>
      <c r="W31" s="202">
        <v>0</v>
      </c>
      <c r="X31" s="202">
        <v>0</v>
      </c>
      <c r="Y31" s="202">
        <v>0</v>
      </c>
      <c r="Z31" s="202">
        <v>0</v>
      </c>
      <c r="AA31" s="261">
        <f t="shared" si="0"/>
        <v>100</v>
      </c>
    </row>
    <row r="32" spans="1:27">
      <c r="A32" s="201">
        <v>2005</v>
      </c>
      <c r="B32" s="199">
        <v>38488</v>
      </c>
      <c r="C32" s="13" t="s">
        <v>1</v>
      </c>
      <c r="D32" s="200">
        <v>38514</v>
      </c>
      <c r="E32" s="256">
        <v>2103</v>
      </c>
      <c r="F32" s="201" t="s">
        <v>17</v>
      </c>
      <c r="G32" s="202">
        <v>0</v>
      </c>
      <c r="H32" s="202">
        <v>4.7213200743924981E-2</v>
      </c>
      <c r="I32" s="202">
        <v>0.31623391781575733</v>
      </c>
      <c r="J32" s="202">
        <v>0.20295422048217923</v>
      </c>
      <c r="K32" s="202">
        <v>6.8162977875194954</v>
      </c>
      <c r="L32" s="202">
        <v>4.9682422639286343E-2</v>
      </c>
      <c r="M32" s="202">
        <v>0</v>
      </c>
      <c r="N32" s="202">
        <v>57.089671735974726</v>
      </c>
      <c r="O32" s="202">
        <v>0.30268318465979815</v>
      </c>
      <c r="P32" s="202">
        <v>0</v>
      </c>
      <c r="Q32" s="202">
        <v>0</v>
      </c>
      <c r="R32" s="202">
        <v>33.340935585873041</v>
      </c>
      <c r="S32" s="202">
        <v>1.2048842592544822</v>
      </c>
      <c r="T32" s="202">
        <v>0</v>
      </c>
      <c r="U32" s="202">
        <v>3.8756063374648667E-2</v>
      </c>
      <c r="V32" s="202">
        <v>0.59068762166266187</v>
      </c>
      <c r="W32" s="202">
        <v>0</v>
      </c>
      <c r="X32" s="202">
        <v>0</v>
      </c>
      <c r="Y32" s="202">
        <v>0</v>
      </c>
      <c r="Z32" s="202">
        <v>0</v>
      </c>
      <c r="AA32" s="261">
        <f t="shared" si="0"/>
        <v>100.00000000000001</v>
      </c>
    </row>
    <row r="33" spans="1:27">
      <c r="A33" s="201">
        <v>2006</v>
      </c>
      <c r="B33" s="199">
        <v>38853</v>
      </c>
      <c r="C33" s="13" t="s">
        <v>1</v>
      </c>
      <c r="D33" s="200">
        <v>38878</v>
      </c>
      <c r="E33" s="256">
        <v>1568</v>
      </c>
      <c r="F33" s="201" t="s">
        <v>17</v>
      </c>
      <c r="G33" s="202">
        <v>0</v>
      </c>
      <c r="H33" s="202">
        <v>0</v>
      </c>
      <c r="I33" s="202">
        <v>0.26985583955530612</v>
      </c>
      <c r="J33" s="202">
        <v>0</v>
      </c>
      <c r="K33" s="202">
        <v>15.953906856437621</v>
      </c>
      <c r="L33" s="202">
        <v>0</v>
      </c>
      <c r="M33" s="323">
        <v>0</v>
      </c>
      <c r="N33" s="202">
        <v>61.081840132881602</v>
      </c>
      <c r="O33" s="202">
        <v>0.91962492320723532</v>
      </c>
      <c r="P33" s="202">
        <v>0</v>
      </c>
      <c r="Q33" s="323">
        <v>0</v>
      </c>
      <c r="R33" s="202">
        <v>20.679886250908474</v>
      </c>
      <c r="S33" s="202">
        <v>0.67090249484584918</v>
      </c>
      <c r="T33" s="202">
        <v>0</v>
      </c>
      <c r="U33" s="202">
        <v>0.42398350216390895</v>
      </c>
      <c r="V33" s="202">
        <v>0</v>
      </c>
      <c r="W33" s="202">
        <v>0</v>
      </c>
      <c r="X33" s="202">
        <v>0</v>
      </c>
      <c r="Y33" s="202">
        <v>0</v>
      </c>
      <c r="Z33" s="202">
        <v>0</v>
      </c>
      <c r="AA33" s="261">
        <f t="shared" si="0"/>
        <v>100</v>
      </c>
    </row>
    <row r="34" spans="1:27">
      <c r="A34" s="201">
        <v>2007</v>
      </c>
      <c r="B34" s="199">
        <v>39216</v>
      </c>
      <c r="C34" s="13" t="s">
        <v>1</v>
      </c>
      <c r="D34" s="200">
        <v>39246</v>
      </c>
      <c r="E34" s="256">
        <v>2290</v>
      </c>
      <c r="F34" s="201" t="s">
        <v>17</v>
      </c>
      <c r="G34" s="202">
        <v>0</v>
      </c>
      <c r="H34" s="202">
        <v>0</v>
      </c>
      <c r="I34" s="202">
        <v>0</v>
      </c>
      <c r="J34" s="202">
        <v>6.2486878841332312E-2</v>
      </c>
      <c r="K34" s="202">
        <v>9.0831515956884878</v>
      </c>
      <c r="L34" s="202">
        <v>0.22380764730374372</v>
      </c>
      <c r="M34" s="202">
        <v>0</v>
      </c>
      <c r="N34" s="202">
        <v>63.643523477437078</v>
      </c>
      <c r="O34" s="202">
        <v>0.69175588504173713</v>
      </c>
      <c r="P34" s="202">
        <v>0</v>
      </c>
      <c r="Q34" s="202">
        <v>0</v>
      </c>
      <c r="R34" s="202">
        <v>25.19258362165575</v>
      </c>
      <c r="S34" s="202">
        <v>0.70688114494227805</v>
      </c>
      <c r="T34" s="202">
        <v>0</v>
      </c>
      <c r="U34" s="323">
        <v>0</v>
      </c>
      <c r="V34" s="202">
        <v>0.39580974908958227</v>
      </c>
      <c r="W34" s="202">
        <v>0</v>
      </c>
      <c r="X34" s="202">
        <v>0</v>
      </c>
      <c r="Y34" s="202">
        <v>0</v>
      </c>
      <c r="Z34" s="202">
        <v>0</v>
      </c>
      <c r="AA34" s="261">
        <f t="shared" si="0"/>
        <v>99.999999999999986</v>
      </c>
    </row>
    <row r="35" spans="1:27">
      <c r="A35" s="201">
        <v>2008</v>
      </c>
      <c r="B35" s="199">
        <v>39583</v>
      </c>
      <c r="C35" s="13" t="s">
        <v>1</v>
      </c>
      <c r="D35" s="200">
        <v>39609</v>
      </c>
      <c r="E35" s="256">
        <v>1365</v>
      </c>
      <c r="F35" s="201" t="s">
        <v>17</v>
      </c>
      <c r="G35" s="202">
        <v>0</v>
      </c>
      <c r="H35" s="202">
        <v>0.12636462882096069</v>
      </c>
      <c r="I35" s="202">
        <v>5.8331324063903706E-2</v>
      </c>
      <c r="J35" s="202">
        <v>0</v>
      </c>
      <c r="K35" s="202">
        <v>11.70195865232002</v>
      </c>
      <c r="L35" s="202">
        <v>0.12636462882096069</v>
      </c>
      <c r="M35" s="202">
        <v>0</v>
      </c>
      <c r="N35" s="202">
        <v>56.840396972557038</v>
      </c>
      <c r="O35" s="202">
        <v>0.47694923311134607</v>
      </c>
      <c r="P35" s="202">
        <v>0</v>
      </c>
      <c r="Q35" s="202">
        <v>0</v>
      </c>
      <c r="R35" s="202">
        <v>29.367420958274266</v>
      </c>
      <c r="S35" s="202">
        <v>0.93449450483638552</v>
      </c>
      <c r="T35" s="202">
        <v>0</v>
      </c>
      <c r="U35" s="323">
        <v>0.17182837947033772</v>
      </c>
      <c r="V35" s="202">
        <v>0.19589071772477887</v>
      </c>
      <c r="W35" s="202">
        <v>0</v>
      </c>
      <c r="X35" s="202">
        <v>0</v>
      </c>
      <c r="Y35" s="202">
        <v>0</v>
      </c>
      <c r="Z35" s="202">
        <v>0</v>
      </c>
      <c r="AA35" s="261">
        <f t="shared" si="0"/>
        <v>99.999999999999986</v>
      </c>
    </row>
    <row r="36" spans="1:27">
      <c r="A36" s="201">
        <v>2009</v>
      </c>
      <c r="B36" s="199">
        <v>39947</v>
      </c>
      <c r="C36" s="13" t="s">
        <v>1</v>
      </c>
      <c r="D36" s="200">
        <v>39973</v>
      </c>
      <c r="E36" s="256">
        <v>1457</v>
      </c>
      <c r="F36" s="201" t="s">
        <v>17</v>
      </c>
      <c r="G36" s="202">
        <v>0</v>
      </c>
      <c r="H36" s="202">
        <v>0</v>
      </c>
      <c r="I36" s="202">
        <v>0.23355716020593392</v>
      </c>
      <c r="J36" s="202">
        <v>0</v>
      </c>
      <c r="K36" s="202">
        <v>19.541050310246799</v>
      </c>
      <c r="L36" s="202">
        <v>0.49343357124265985</v>
      </c>
      <c r="M36" s="202">
        <v>0</v>
      </c>
      <c r="N36" s="202">
        <v>47.56315902342623</v>
      </c>
      <c r="O36" s="202">
        <v>1.7928852942857929</v>
      </c>
      <c r="P36" s="202">
        <v>0</v>
      </c>
      <c r="Q36" s="202">
        <v>0</v>
      </c>
      <c r="R36" s="202">
        <v>25.84880764487777</v>
      </c>
      <c r="S36" s="202">
        <v>1.7451393246721565</v>
      </c>
      <c r="T36" s="202">
        <v>0</v>
      </c>
      <c r="U36" s="323">
        <v>0.33648813070910638</v>
      </c>
      <c r="V36" s="202">
        <v>2.4454795403335483</v>
      </c>
      <c r="W36" s="202">
        <v>0</v>
      </c>
      <c r="X36" s="202">
        <v>0</v>
      </c>
      <c r="Y36" s="202">
        <v>0</v>
      </c>
      <c r="Z36" s="202">
        <v>0</v>
      </c>
      <c r="AA36" s="261">
        <f t="shared" si="0"/>
        <v>99.999999999999986</v>
      </c>
    </row>
    <row r="37" spans="1:27">
      <c r="A37" s="201">
        <v>2010</v>
      </c>
      <c r="B37" s="199">
        <v>40311</v>
      </c>
      <c r="C37" s="13"/>
      <c r="D37" s="200">
        <v>40339</v>
      </c>
      <c r="E37" s="256">
        <v>725</v>
      </c>
      <c r="F37" s="201" t="s">
        <v>17</v>
      </c>
      <c r="G37" s="202">
        <v>0</v>
      </c>
      <c r="H37" s="202">
        <v>0</v>
      </c>
      <c r="I37" s="202">
        <v>2.1037300353007971</v>
      </c>
      <c r="J37" s="202">
        <v>0</v>
      </c>
      <c r="K37" s="202">
        <v>24.778359447475793</v>
      </c>
      <c r="L37" s="202">
        <v>1.1795202024017675</v>
      </c>
      <c r="M37" s="202">
        <v>0</v>
      </c>
      <c r="N37" s="202">
        <v>48.546913449154601</v>
      </c>
      <c r="O37" s="202">
        <v>0.85204207176542457</v>
      </c>
      <c r="P37" s="202">
        <v>0</v>
      </c>
      <c r="Q37" s="202">
        <v>0</v>
      </c>
      <c r="R37" s="202">
        <v>18.276487299682255</v>
      </c>
      <c r="S37" s="202">
        <v>2.9768464698401904</v>
      </c>
      <c r="T37" s="202">
        <v>0</v>
      </c>
      <c r="U37" s="323">
        <v>0</v>
      </c>
      <c r="V37" s="202">
        <v>1.286101024379168</v>
      </c>
      <c r="W37" s="202">
        <v>0</v>
      </c>
      <c r="X37" s="202">
        <v>0</v>
      </c>
      <c r="Y37" s="202">
        <v>0</v>
      </c>
      <c r="Z37" s="202">
        <v>0</v>
      </c>
      <c r="AA37" s="261">
        <f t="shared" si="0"/>
        <v>100</v>
      </c>
    </row>
    <row r="38" spans="1:27">
      <c r="A38" s="201">
        <v>2011</v>
      </c>
      <c r="B38" s="199">
        <v>40679</v>
      </c>
      <c r="C38" s="13" t="s">
        <v>1</v>
      </c>
      <c r="D38" s="200">
        <v>40698</v>
      </c>
      <c r="E38" s="256">
        <v>1760</v>
      </c>
      <c r="F38" s="201" t="s">
        <v>17</v>
      </c>
      <c r="G38" s="202">
        <v>0</v>
      </c>
      <c r="H38" s="202">
        <v>0</v>
      </c>
      <c r="I38" s="202">
        <v>0</v>
      </c>
      <c r="J38" s="202">
        <v>0</v>
      </c>
      <c r="K38" s="202">
        <v>15.639994765429396</v>
      </c>
      <c r="L38" s="202">
        <v>0.11409953428546127</v>
      </c>
      <c r="M38" s="202">
        <v>0</v>
      </c>
      <c r="N38" s="202">
        <v>75.017820510705917</v>
      </c>
      <c r="O38" s="202">
        <v>0.65449763724310406</v>
      </c>
      <c r="P38" s="202">
        <v>0</v>
      </c>
      <c r="Q38" s="202">
        <v>0</v>
      </c>
      <c r="R38" s="202">
        <v>7.8562704512573873</v>
      </c>
      <c r="S38" s="202">
        <v>0.63187163045813277</v>
      </c>
      <c r="T38" s="202">
        <v>0</v>
      </c>
      <c r="U38" s="323">
        <v>0</v>
      </c>
      <c r="V38" s="202">
        <v>8.5445470620608185E-2</v>
      </c>
      <c r="W38" s="202">
        <v>0</v>
      </c>
      <c r="X38" s="202">
        <v>0</v>
      </c>
      <c r="Y38" s="202">
        <v>0</v>
      </c>
      <c r="Z38" s="202">
        <v>0</v>
      </c>
      <c r="AA38" s="261">
        <f t="shared" si="0"/>
        <v>100.00000000000003</v>
      </c>
    </row>
    <row r="39" spans="1:27">
      <c r="A39" s="201">
        <v>2012</v>
      </c>
      <c r="B39" s="199">
        <v>41046</v>
      </c>
      <c r="C39" s="13"/>
      <c r="D39" s="200">
        <v>41062</v>
      </c>
      <c r="E39" s="256">
        <v>1565</v>
      </c>
      <c r="F39" s="201" t="s">
        <v>17</v>
      </c>
      <c r="G39" s="202">
        <v>0</v>
      </c>
      <c r="H39" s="202">
        <v>9.3486484627553476E-2</v>
      </c>
      <c r="I39" s="202">
        <v>2.3278104888402026E-2</v>
      </c>
      <c r="J39" s="202">
        <v>0</v>
      </c>
      <c r="K39" s="202">
        <v>10.612039228631142</v>
      </c>
      <c r="L39" s="202">
        <v>9.3486484627553476E-2</v>
      </c>
      <c r="M39" s="202">
        <v>0</v>
      </c>
      <c r="N39" s="202">
        <v>71.057756838254633</v>
      </c>
      <c r="O39" s="202">
        <v>0.53612378562256036</v>
      </c>
      <c r="P39" s="202">
        <v>0</v>
      </c>
      <c r="Q39" s="202">
        <v>0</v>
      </c>
      <c r="R39" s="202">
        <v>15.958594126117131</v>
      </c>
      <c r="S39" s="202">
        <v>1.2840505505776987</v>
      </c>
      <c r="T39" s="202">
        <v>0</v>
      </c>
      <c r="U39" s="323">
        <v>9.7469694484619868E-2</v>
      </c>
      <c r="V39" s="202">
        <v>0.24371470216870084</v>
      </c>
      <c r="W39" s="202">
        <v>0</v>
      </c>
      <c r="X39" s="202">
        <v>0</v>
      </c>
      <c r="Y39" s="202">
        <v>0</v>
      </c>
      <c r="Z39" s="202">
        <v>0</v>
      </c>
      <c r="AA39" s="261">
        <f t="shared" si="0"/>
        <v>100</v>
      </c>
    </row>
    <row r="40" spans="1:27">
      <c r="A40" s="201">
        <v>2013</v>
      </c>
      <c r="B40" s="199">
        <v>41410</v>
      </c>
      <c r="C40" s="13"/>
      <c r="D40" s="200">
        <v>41440</v>
      </c>
      <c r="E40" s="256">
        <v>916</v>
      </c>
      <c r="F40" s="201" t="s">
        <v>17</v>
      </c>
      <c r="G40" s="202">
        <v>0</v>
      </c>
      <c r="H40" s="202">
        <v>0</v>
      </c>
      <c r="I40" s="202">
        <v>1.7462362000628129</v>
      </c>
      <c r="J40" s="202">
        <v>0</v>
      </c>
      <c r="K40" s="202">
        <v>18.91269451464807</v>
      </c>
      <c r="L40" s="202">
        <v>0.24946231429468754</v>
      </c>
      <c r="M40" s="202">
        <v>0</v>
      </c>
      <c r="N40" s="202">
        <v>62.3411798763332</v>
      </c>
      <c r="O40" s="202">
        <v>1.5791421676784299</v>
      </c>
      <c r="P40" s="202">
        <v>0</v>
      </c>
      <c r="Q40" s="202">
        <v>0</v>
      </c>
      <c r="R40" s="202">
        <v>14.315294406700025</v>
      </c>
      <c r="S40" s="202">
        <v>0.79548746113933944</v>
      </c>
      <c r="T40" s="202">
        <v>0</v>
      </c>
      <c r="U40" s="323">
        <v>0</v>
      </c>
      <c r="V40" s="202">
        <v>0</v>
      </c>
      <c r="W40" s="202">
        <v>6.0503059143439841E-2</v>
      </c>
      <c r="X40" s="202">
        <v>0</v>
      </c>
      <c r="Y40" s="202">
        <v>0</v>
      </c>
      <c r="Z40" s="202">
        <v>0</v>
      </c>
      <c r="AA40" s="261">
        <f t="shared" si="0"/>
        <v>100</v>
      </c>
    </row>
    <row r="41" spans="1:27">
      <c r="A41" s="201">
        <v>2014</v>
      </c>
      <c r="B41" s="199">
        <v>41410</v>
      </c>
      <c r="C41" s="13"/>
      <c r="D41" s="200">
        <v>41440</v>
      </c>
      <c r="E41" s="256">
        <v>1876</v>
      </c>
      <c r="F41" s="201" t="s">
        <v>17</v>
      </c>
      <c r="G41" s="202">
        <v>0</v>
      </c>
      <c r="H41" s="202">
        <v>0</v>
      </c>
      <c r="I41" s="202">
        <v>0.25297137131937802</v>
      </c>
      <c r="J41" s="202">
        <v>0</v>
      </c>
      <c r="K41" s="202">
        <v>30.569169288024352</v>
      </c>
      <c r="L41" s="202">
        <v>0.22526411573779637</v>
      </c>
      <c r="M41" s="202">
        <v>0</v>
      </c>
      <c r="N41" s="202">
        <v>43.622683889388995</v>
      </c>
      <c r="O41" s="202">
        <v>1.8398734763681077</v>
      </c>
      <c r="P41" s="202">
        <v>0</v>
      </c>
      <c r="Q41" s="202">
        <v>0</v>
      </c>
      <c r="R41" s="202">
        <v>22.309230195839991</v>
      </c>
      <c r="S41" s="202">
        <v>1.1047114060291066</v>
      </c>
      <c r="T41" s="202">
        <v>0</v>
      </c>
      <c r="U41" s="323">
        <v>4.0159121519999272E-2</v>
      </c>
      <c r="V41" s="202">
        <v>3.5937135772272574E-2</v>
      </c>
      <c r="W41" s="202">
        <v>0</v>
      </c>
      <c r="X41" s="202">
        <v>0</v>
      </c>
      <c r="Y41" s="202">
        <v>0</v>
      </c>
      <c r="Z41" s="202">
        <v>0</v>
      </c>
      <c r="AA41" s="261">
        <f t="shared" si="0"/>
        <v>100.00000000000001</v>
      </c>
    </row>
    <row r="42" spans="1:27">
      <c r="A42" s="201">
        <v>2015</v>
      </c>
      <c r="B42" s="744">
        <v>42138</v>
      </c>
      <c r="C42" s="745" t="s">
        <v>1</v>
      </c>
      <c r="D42" s="746">
        <v>42171</v>
      </c>
      <c r="E42" s="747">
        <v>2504</v>
      </c>
      <c r="F42" s="201" t="s">
        <v>17</v>
      </c>
      <c r="G42" s="323">
        <v>0</v>
      </c>
      <c r="H42" s="323">
        <v>0.10865880946946979</v>
      </c>
      <c r="I42" s="323">
        <v>0.38285481259625359</v>
      </c>
      <c r="J42" s="323">
        <v>0.10865880946946979</v>
      </c>
      <c r="K42" s="323">
        <v>21.998557873257017</v>
      </c>
      <c r="L42" s="323">
        <v>3.712187005450103E-2</v>
      </c>
      <c r="M42" s="323">
        <v>0</v>
      </c>
      <c r="N42" s="323">
        <v>54.372607542831616</v>
      </c>
      <c r="O42" s="323">
        <v>0.59496303207073309</v>
      </c>
      <c r="P42" s="323">
        <v>0</v>
      </c>
      <c r="Q42" s="323">
        <v>0</v>
      </c>
      <c r="R42" s="323">
        <v>20.200144034609181</v>
      </c>
      <c r="S42" s="323">
        <v>0.82396314374359836</v>
      </c>
      <c r="T42" s="323">
        <v>0</v>
      </c>
      <c r="U42" s="323">
        <v>1.202850943183561</v>
      </c>
      <c r="V42" s="202">
        <v>0.16961912871459417</v>
      </c>
      <c r="W42" s="323">
        <v>0</v>
      </c>
      <c r="X42" s="323">
        <v>0</v>
      </c>
      <c r="Y42" s="323">
        <v>0</v>
      </c>
      <c r="Z42" s="323">
        <v>0</v>
      </c>
      <c r="AA42" s="261">
        <f t="shared" si="0"/>
        <v>100.00000000000001</v>
      </c>
    </row>
    <row r="43" spans="1:27">
      <c r="A43" s="201">
        <v>2016</v>
      </c>
      <c r="B43" s="199"/>
      <c r="C43" s="13"/>
      <c r="D43" s="200"/>
      <c r="E43" s="256"/>
      <c r="F43" s="201"/>
      <c r="G43" s="323">
        <v>0</v>
      </c>
      <c r="H43" s="323">
        <v>0</v>
      </c>
      <c r="I43" s="202">
        <v>0.70974885085582418</v>
      </c>
      <c r="J43" s="202">
        <v>0.16751079769343119</v>
      </c>
      <c r="K43" s="202">
        <v>19.939673247689786</v>
      </c>
      <c r="L43" s="202">
        <v>5.8692342402295754E-2</v>
      </c>
      <c r="M43" s="202">
        <v>7.2545636860756976E-2</v>
      </c>
      <c r="N43" s="202">
        <v>57.776093717901546</v>
      </c>
      <c r="O43" s="202">
        <v>0.22345018164675493</v>
      </c>
      <c r="P43" s="202">
        <v>0</v>
      </c>
      <c r="Q43" s="202">
        <v>0</v>
      </c>
      <c r="R43" s="202">
        <v>19.373809581233246</v>
      </c>
      <c r="S43" s="202">
        <v>0.6368306849588582</v>
      </c>
      <c r="T43" s="202">
        <v>0</v>
      </c>
      <c r="U43" s="323">
        <v>0.81819477711075084</v>
      </c>
      <c r="V43" s="202">
        <v>0.22345018164675493</v>
      </c>
      <c r="W43" s="202">
        <v>0</v>
      </c>
      <c r="X43" s="202">
        <v>0</v>
      </c>
      <c r="Y43" s="202">
        <v>0</v>
      </c>
      <c r="Z43" s="202">
        <v>0</v>
      </c>
      <c r="AA43" s="261">
        <f t="shared" si="0"/>
        <v>99.999999999999986</v>
      </c>
    </row>
    <row r="44" spans="1:27">
      <c r="A44" s="244">
        <v>2017</v>
      </c>
      <c r="B44" s="199"/>
      <c r="C44" s="13"/>
      <c r="D44" s="200"/>
      <c r="E44" s="201"/>
      <c r="F44" s="201"/>
      <c r="G44" s="540"/>
      <c r="H44" s="540"/>
      <c r="I44" s="540">
        <v>0.1</v>
      </c>
      <c r="J44" s="540">
        <v>0.1</v>
      </c>
      <c r="K44" s="542">
        <v>16.7</v>
      </c>
      <c r="L44" s="542">
        <v>0.1</v>
      </c>
      <c r="M44" s="542"/>
      <c r="N44" s="542">
        <v>44.2</v>
      </c>
      <c r="O44" s="542">
        <v>0.1</v>
      </c>
      <c r="P44" s="542"/>
      <c r="Q44" s="542"/>
      <c r="R44" s="542">
        <v>37.6</v>
      </c>
      <c r="S44" s="542">
        <v>0.2</v>
      </c>
      <c r="T44" s="540"/>
      <c r="U44" s="538">
        <v>0.7</v>
      </c>
      <c r="V44" s="540">
        <v>0.2</v>
      </c>
      <c r="W44" s="540"/>
      <c r="X44" s="540"/>
      <c r="Y44" s="540"/>
      <c r="Z44" s="540"/>
      <c r="AA44" s="261">
        <f t="shared" si="0"/>
        <v>100.00000000000001</v>
      </c>
    </row>
    <row r="45" spans="1:27" ht="18.75">
      <c r="A45" s="533" t="str">
        <f>"Last 10 years "&amp;FcastYR-10&amp;"-"&amp;FcastYR-1</f>
        <v>Last 10 years 2008-2017</v>
      </c>
      <c r="B45" s="181"/>
      <c r="C45" s="179"/>
      <c r="D45" s="181"/>
      <c r="E45" s="180"/>
      <c r="F45" s="180"/>
      <c r="G45" s="184">
        <f t="shared" ref="G45" si="1">AVERAGE(G34:G43)</f>
        <v>0</v>
      </c>
      <c r="H45" s="184">
        <f>AVERAGE(H34:H43)</f>
        <v>3.28509922917984E-2</v>
      </c>
      <c r="I45" s="184">
        <f t="shared" ref="I45:AA45" si="2">AVERAGE(I34:I43)</f>
        <v>0.55107078592933056</v>
      </c>
      <c r="J45" s="184">
        <f t="shared" si="2"/>
        <v>3.3865648600423327E-2</v>
      </c>
      <c r="K45" s="184">
        <f t="shared" si="2"/>
        <v>18.277664892341086</v>
      </c>
      <c r="L45" s="184">
        <f t="shared" si="2"/>
        <v>0.28012527111714264</v>
      </c>
      <c r="M45" s="184">
        <f t="shared" si="2"/>
        <v>7.2545636860756975E-3</v>
      </c>
      <c r="N45" s="184">
        <f t="shared" si="2"/>
        <v>58.078213529799086</v>
      </c>
      <c r="O45" s="184">
        <f t="shared" si="2"/>
        <v>0.92416827648339905</v>
      </c>
      <c r="P45" s="184">
        <f t="shared" si="2"/>
        <v>0</v>
      </c>
      <c r="Q45" s="184">
        <f t="shared" si="2"/>
        <v>0</v>
      </c>
      <c r="R45" s="184">
        <f t="shared" si="2"/>
        <v>19.869864232024703</v>
      </c>
      <c r="S45" s="184">
        <f t="shared" si="2"/>
        <v>1.1640276321197744</v>
      </c>
      <c r="T45" s="184">
        <f t="shared" si="2"/>
        <v>0</v>
      </c>
      <c r="U45" s="184">
        <f t="shared" si="2"/>
        <v>0.26669910464783753</v>
      </c>
      <c r="V45" s="184">
        <f t="shared" si="2"/>
        <v>0.50814476504500083</v>
      </c>
      <c r="W45" s="184">
        <f t="shared" si="2"/>
        <v>6.050305914343984E-3</v>
      </c>
      <c r="X45" s="184">
        <f t="shared" si="2"/>
        <v>0</v>
      </c>
      <c r="Y45" s="184">
        <f t="shared" si="2"/>
        <v>0</v>
      </c>
      <c r="Z45" s="184">
        <f t="shared" si="2"/>
        <v>0</v>
      </c>
      <c r="AA45" s="184">
        <f t="shared" si="2"/>
        <v>100</v>
      </c>
    </row>
    <row r="46" spans="1:27" ht="18.75">
      <c r="A46" s="262" t="s">
        <v>18</v>
      </c>
      <c r="B46" s="534" t="str">
        <f>"1980-"&amp;FcastYR-1</f>
        <v>1980-2017</v>
      </c>
      <c r="C46" s="182"/>
      <c r="D46" s="182"/>
      <c r="E46" s="183"/>
      <c r="F46" s="183"/>
      <c r="G46" s="184">
        <f>AVERAGE(G7:G44)</f>
        <v>6.9921594585271721E-4</v>
      </c>
      <c r="H46" s="184">
        <f t="shared" ref="H46:AA46" si="3">AVERAGE(H7:H44)</f>
        <v>5.3555780029279076E-2</v>
      </c>
      <c r="I46" s="184">
        <f t="shared" si="3"/>
        <v>0.27659777995319235</v>
      </c>
      <c r="J46" s="184">
        <f t="shared" si="3"/>
        <v>0.14608543977335833</v>
      </c>
      <c r="K46" s="184">
        <f t="shared" si="3"/>
        <v>9.6819007213876436</v>
      </c>
      <c r="L46" s="184">
        <f t="shared" si="3"/>
        <v>0.11138554218084093</v>
      </c>
      <c r="M46" s="184">
        <f t="shared" si="3"/>
        <v>4.5548575106599931E-2</v>
      </c>
      <c r="N46" s="184">
        <f t="shared" si="3"/>
        <v>49.973341401451805</v>
      </c>
      <c r="O46" s="184">
        <f t="shared" si="3"/>
        <v>0.51446596128443978</v>
      </c>
      <c r="P46" s="184">
        <f t="shared" si="3"/>
        <v>2.0466680244561855E-3</v>
      </c>
      <c r="Q46" s="184">
        <f t="shared" si="3"/>
        <v>2.1083298381653751E-3</v>
      </c>
      <c r="R46" s="184">
        <f t="shared" si="3"/>
        <v>35.275211037797042</v>
      </c>
      <c r="S46" s="184">
        <f t="shared" si="3"/>
        <v>1.6399916526258849</v>
      </c>
      <c r="T46" s="184">
        <f t="shared" si="3"/>
        <v>8.2500535553229355E-3</v>
      </c>
      <c r="U46" s="184">
        <f t="shared" si="3"/>
        <v>0.5157883492487948</v>
      </c>
      <c r="V46" s="184">
        <f t="shared" si="3"/>
        <v>1.7455758247358724</v>
      </c>
      <c r="W46" s="184">
        <f t="shared" si="3"/>
        <v>9.3251959535934487E-3</v>
      </c>
      <c r="X46" s="184">
        <f t="shared" si="3"/>
        <v>0</v>
      </c>
      <c r="Y46" s="184">
        <f t="shared" si="3"/>
        <v>2.5093404682365417E-2</v>
      </c>
      <c r="Z46" s="184">
        <f t="shared" si="3"/>
        <v>3.9381172404661918E-3</v>
      </c>
      <c r="AA46" s="184">
        <f t="shared" si="3"/>
        <v>99.999815789473686</v>
      </c>
    </row>
    <row r="47" spans="1:27">
      <c r="A47" s="4"/>
      <c r="B47" s="14"/>
      <c r="C47" s="15"/>
      <c r="D47" s="14"/>
      <c r="E47" s="4"/>
      <c r="F47" s="4"/>
      <c r="G47" s="16"/>
      <c r="H47" s="16"/>
      <c r="I47" s="16"/>
      <c r="J47" s="16"/>
      <c r="K47" s="16"/>
      <c r="L47" s="16"/>
      <c r="M47" s="4"/>
      <c r="N47" s="16"/>
      <c r="O47" s="16"/>
      <c r="P47" s="16"/>
      <c r="Q47" s="16"/>
      <c r="R47" s="4"/>
      <c r="S47" s="16"/>
      <c r="T47" s="16"/>
      <c r="U47" s="16"/>
      <c r="V47" s="16"/>
      <c r="W47" s="16"/>
      <c r="X47" s="16"/>
      <c r="Y47" s="16"/>
      <c r="Z47" s="16"/>
      <c r="AA47" s="16"/>
    </row>
    <row r="48" spans="1:27" ht="18.75">
      <c r="A48" s="263" t="s">
        <v>19</v>
      </c>
      <c r="B48" s="264" t="s">
        <v>20</v>
      </c>
      <c r="C48" s="15"/>
      <c r="D48" s="14"/>
      <c r="E48" s="4"/>
      <c r="F48" s="4"/>
      <c r="G48" s="16"/>
      <c r="H48" s="16"/>
      <c r="I48" s="16"/>
      <c r="J48" s="16"/>
      <c r="K48" s="4"/>
      <c r="L48" s="4"/>
      <c r="M48" s="4"/>
      <c r="N48" s="4"/>
      <c r="O48" s="4"/>
      <c r="P48" s="4"/>
      <c r="Q48" s="4"/>
      <c r="R48" s="4"/>
      <c r="S48" s="4"/>
      <c r="T48" s="4"/>
      <c r="U48" s="16"/>
      <c r="V48" s="16"/>
      <c r="W48" s="16"/>
      <c r="X48" s="16"/>
      <c r="Y48" s="16"/>
      <c r="Z48" s="16"/>
      <c r="AA48" s="16"/>
    </row>
    <row r="49" spans="1:27" ht="9" customHeight="1">
      <c r="A49" s="265"/>
      <c r="B49" s="264"/>
      <c r="C49" s="15"/>
      <c r="D49" s="14"/>
      <c r="E49" s="4"/>
      <c r="F49" s="4"/>
      <c r="G49" s="16"/>
      <c r="H49" s="16"/>
      <c r="I49" s="16"/>
      <c r="J49" s="16"/>
      <c r="K49" s="16"/>
      <c r="L49" s="16"/>
      <c r="M49" s="16"/>
      <c r="N49" s="16"/>
      <c r="O49" s="16"/>
      <c r="P49" s="16"/>
      <c r="Q49" s="16"/>
      <c r="R49" s="16"/>
      <c r="S49" s="16"/>
      <c r="T49" s="16"/>
      <c r="U49" s="16"/>
      <c r="V49" s="16"/>
      <c r="W49" s="16"/>
      <c r="X49" s="16"/>
      <c r="Y49" s="16"/>
      <c r="Z49" s="16"/>
      <c r="AA49" s="16"/>
    </row>
    <row r="50" spans="1:27" ht="18.75">
      <c r="A50" s="263" t="s">
        <v>21</v>
      </c>
      <c r="B50" s="266" t="s">
        <v>22</v>
      </c>
      <c r="C50" s="15"/>
      <c r="D50" s="14"/>
      <c r="E50" s="4"/>
      <c r="F50" s="4"/>
      <c r="G50" s="16"/>
      <c r="H50" s="16"/>
      <c r="I50" s="535"/>
      <c r="J50" s="535"/>
      <c r="K50" s="535"/>
      <c r="L50" s="535"/>
      <c r="M50" s="535"/>
      <c r="N50" s="535"/>
      <c r="O50" s="535"/>
      <c r="P50" s="535"/>
      <c r="Q50" s="535"/>
      <c r="R50" s="535"/>
      <c r="S50" s="535"/>
      <c r="T50" s="535"/>
      <c r="U50" s="535"/>
      <c r="V50" s="535"/>
      <c r="W50" s="535"/>
      <c r="X50" s="535"/>
      <c r="Y50" s="535"/>
      <c r="Z50" s="535"/>
      <c r="AA50" s="535"/>
    </row>
    <row r="51" spans="1:27">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c r="A52" s="6"/>
      <c r="B52" s="6"/>
      <c r="C52" s="6"/>
      <c r="D52" s="6"/>
      <c r="E52" s="6"/>
      <c r="F52" s="6"/>
      <c r="G52" s="6"/>
      <c r="H52" s="6"/>
      <c r="I52" s="6"/>
      <c r="J52" s="6"/>
      <c r="K52" s="6"/>
      <c r="L52" s="6"/>
      <c r="M52" s="6"/>
      <c r="N52" s="6"/>
      <c r="O52" s="6"/>
      <c r="P52" s="6"/>
      <c r="Q52" s="6"/>
      <c r="R52" s="6"/>
      <c r="S52" s="6"/>
      <c r="T52" s="6"/>
      <c r="U52" s="6"/>
      <c r="V52" s="6"/>
      <c r="W52" s="6"/>
      <c r="X52" s="6"/>
      <c r="Y52" s="6"/>
      <c r="Z52" s="6"/>
      <c r="AA52" s="6"/>
    </row>
  </sheetData>
  <mergeCells count="2">
    <mergeCell ref="U5:W5"/>
    <mergeCell ref="X5:Z5"/>
  </mergeCells>
  <phoneticPr fontId="47" type="noConversion"/>
  <conditionalFormatting sqref="G7:Z43">
    <cfRule type="cellIs" dxfId="1" priority="2" operator="equal">
      <formula>0</formula>
    </cfRule>
  </conditionalFormatting>
  <conditionalFormatting sqref="G44:Z44">
    <cfRule type="cellIs" dxfId="0" priority="1" operator="equal">
      <formula>0</formula>
    </cfRule>
  </conditionalFormatting>
  <pageMargins left="0.75" right="0.75" top="1" bottom="1" header="0.5" footer="0.5"/>
  <pageSetup scale="41" orientation="landscape" horizontalDpi="300" verticalDpi="3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tabColor theme="9"/>
    <pageSetUpPr fitToPage="1"/>
  </sheetPr>
  <dimension ref="A1:X49"/>
  <sheetViews>
    <sheetView zoomScale="75" zoomScaleNormal="75" workbookViewId="0">
      <pane ySplit="6" topLeftCell="A7" activePane="bottomLeft" state="frozen"/>
      <selection activeCell="D8" sqref="A1:XFD1048576"/>
      <selection pane="bottomLeft" activeCell="X43" sqref="X43"/>
    </sheetView>
  </sheetViews>
  <sheetFormatPr defaultRowHeight="15.75"/>
  <cols>
    <col min="1" max="1" width="14.25" customWidth="1"/>
    <col min="2" max="2" width="16.75" customWidth="1"/>
    <col min="3" max="3" width="10.125" customWidth="1"/>
    <col min="4" max="4" width="9.25" customWidth="1"/>
    <col min="6" max="7" width="11.625" customWidth="1"/>
    <col min="8" max="8" width="8.625" customWidth="1"/>
    <col min="9" max="9" width="9.75" customWidth="1"/>
    <col min="10" max="10" width="12.5" customWidth="1"/>
    <col min="12" max="12" width="6.5" customWidth="1"/>
    <col min="13" max="13" width="11.125" customWidth="1"/>
    <col min="14" max="14" width="13.125" customWidth="1"/>
    <col min="15" max="15" width="11.625" customWidth="1"/>
    <col min="16" max="16" width="8.25" customWidth="1"/>
    <col min="17" max="18" width="11.625" customWidth="1"/>
    <col min="19" max="20" width="7.75" customWidth="1"/>
    <col min="21" max="21" width="8.25" customWidth="1"/>
    <col min="22" max="22" width="8" customWidth="1"/>
  </cols>
  <sheetData>
    <row r="1" spans="1:23" ht="22.5">
      <c r="A1" s="5" t="s">
        <v>29</v>
      </c>
      <c r="B1" s="17"/>
      <c r="C1" s="6"/>
      <c r="D1" s="6"/>
      <c r="E1" s="6"/>
      <c r="F1" s="6"/>
      <c r="G1" s="6"/>
      <c r="H1" s="6"/>
      <c r="I1" s="25" t="str">
        <f ca="1">CELL("filename",I1)</f>
        <v>C:\Projects\Shiny App\Aging Error\[Copprt Chinook brood.xlsx]CCNumber</v>
      </c>
      <c r="J1" s="6"/>
      <c r="K1" s="6"/>
      <c r="L1" s="6"/>
      <c r="M1" s="6"/>
      <c r="N1" s="6"/>
      <c r="O1" s="6"/>
      <c r="P1" s="6"/>
      <c r="Q1" s="6"/>
      <c r="R1" s="6"/>
      <c r="S1" s="6"/>
      <c r="T1" s="6"/>
      <c r="U1" s="6"/>
      <c r="V1" s="6"/>
    </row>
    <row r="2" spans="1:23" ht="27.75">
      <c r="A2" s="217" t="s">
        <v>422</v>
      </c>
      <c r="B2" s="6"/>
      <c r="C2" s="6"/>
      <c r="D2" s="6"/>
      <c r="E2" s="6"/>
      <c r="F2" s="6"/>
      <c r="G2" s="6"/>
      <c r="H2" s="6"/>
      <c r="I2" s="6"/>
      <c r="J2" s="6"/>
      <c r="K2" s="6"/>
      <c r="L2" s="6"/>
      <c r="M2" s="6"/>
      <c r="N2" s="6"/>
      <c r="O2" s="6"/>
      <c r="P2" s="6"/>
      <c r="Q2" s="6"/>
      <c r="R2" s="6"/>
      <c r="S2" s="6"/>
      <c r="T2" s="6"/>
      <c r="U2" s="6"/>
      <c r="V2" s="6"/>
    </row>
    <row r="3" spans="1:23" ht="16.5" thickBot="1">
      <c r="A3" s="6"/>
      <c r="B3" s="7"/>
      <c r="C3" s="6"/>
      <c r="D3" s="7"/>
      <c r="E3" s="6"/>
      <c r="F3" s="7"/>
      <c r="G3" s="7"/>
      <c r="H3" s="6"/>
      <c r="I3" s="6"/>
      <c r="J3" s="7"/>
      <c r="K3" s="7"/>
      <c r="L3" s="7"/>
      <c r="M3" s="7"/>
      <c r="N3" s="7"/>
      <c r="O3" s="7"/>
      <c r="P3" s="7"/>
      <c r="Q3" s="6"/>
      <c r="R3" s="6"/>
      <c r="S3" s="6"/>
      <c r="T3" s="6"/>
      <c r="U3" s="6"/>
      <c r="V3" s="7"/>
    </row>
    <row r="4" spans="1:23" ht="21" customHeight="1">
      <c r="A4" s="6"/>
      <c r="B4" s="24"/>
      <c r="C4" s="6"/>
      <c r="D4" s="6"/>
      <c r="E4" s="6"/>
      <c r="F4" s="6"/>
      <c r="G4" s="6"/>
      <c r="H4" s="6"/>
      <c r="I4" s="6"/>
      <c r="J4" s="6"/>
      <c r="K4" s="6"/>
      <c r="L4" s="6"/>
      <c r="M4" s="6"/>
      <c r="N4" s="6"/>
      <c r="O4" s="6"/>
      <c r="P4" s="6"/>
      <c r="Q4" s="6"/>
      <c r="R4" s="6"/>
      <c r="S4" s="6"/>
      <c r="T4" s="6"/>
      <c r="U4" s="6"/>
      <c r="V4" s="6"/>
    </row>
    <row r="5" spans="1:23" ht="19.5" customHeight="1">
      <c r="A5" s="576"/>
      <c r="B5" s="577" t="s">
        <v>324</v>
      </c>
      <c r="C5" s="578" t="s">
        <v>5</v>
      </c>
      <c r="D5" s="579" t="s">
        <v>6</v>
      </c>
      <c r="E5" s="580"/>
      <c r="F5" s="579" t="s">
        <v>7</v>
      </c>
      <c r="G5" s="247"/>
      <c r="H5" s="580"/>
      <c r="I5" s="579" t="s">
        <v>8</v>
      </c>
      <c r="J5" s="247"/>
      <c r="K5" s="580"/>
      <c r="L5" s="247"/>
      <c r="M5" s="252" t="s">
        <v>9</v>
      </c>
      <c r="N5" s="248"/>
      <c r="O5" s="247"/>
      <c r="P5" s="247"/>
      <c r="Q5" s="1321" t="s">
        <v>10</v>
      </c>
      <c r="R5" s="1321"/>
      <c r="S5" s="1321"/>
      <c r="T5" s="1320" t="s">
        <v>11</v>
      </c>
      <c r="U5" s="1320"/>
      <c r="V5" s="1320"/>
    </row>
    <row r="6" spans="1:23">
      <c r="A6" s="581" t="s">
        <v>320</v>
      </c>
      <c r="B6" s="582" t="s">
        <v>325</v>
      </c>
      <c r="C6" s="583">
        <v>0.1</v>
      </c>
      <c r="D6" s="584">
        <v>0.2</v>
      </c>
      <c r="E6" s="584">
        <v>1.1000000000000001</v>
      </c>
      <c r="F6" s="584">
        <v>0.3</v>
      </c>
      <c r="G6" s="584">
        <v>1.2</v>
      </c>
      <c r="H6" s="584">
        <v>2.1</v>
      </c>
      <c r="I6" s="584">
        <v>0.4</v>
      </c>
      <c r="J6" s="584">
        <v>1.3</v>
      </c>
      <c r="K6" s="585">
        <v>2.2000000000000002</v>
      </c>
      <c r="L6" s="586" t="s">
        <v>15</v>
      </c>
      <c r="M6" s="584">
        <v>0.5</v>
      </c>
      <c r="N6" s="584">
        <v>1.4</v>
      </c>
      <c r="O6" s="584">
        <v>2.2999999999999998</v>
      </c>
      <c r="P6" s="587">
        <v>3.2</v>
      </c>
      <c r="Q6" s="1150">
        <v>1.5</v>
      </c>
      <c r="R6" s="1150">
        <v>2.4</v>
      </c>
      <c r="S6" s="1151">
        <v>3.3</v>
      </c>
      <c r="T6" s="1150">
        <v>6.1</v>
      </c>
      <c r="U6" s="1150">
        <v>2.5</v>
      </c>
      <c r="V6" s="1150">
        <v>3.4</v>
      </c>
    </row>
    <row r="7" spans="1:23">
      <c r="A7" s="279">
        <v>1980</v>
      </c>
      <c r="B7" s="575">
        <f>Harvests!I98</f>
        <v>8473</v>
      </c>
      <c r="C7" s="203">
        <f>IF(ISERR((CCPercentage!G7/100)*$B7), 0, (CCPercentage!G7/100)*$B7)</f>
        <v>0</v>
      </c>
      <c r="D7" s="203">
        <f>IF(ISERR((CCPercentage!H7/100)*$B7), 0, (CCPercentage!H7/100)*$B7)</f>
        <v>0</v>
      </c>
      <c r="E7" s="203">
        <f>IF(ISERR((CCPercentage!I7/100)*$B7), 0, (CCPercentage!I7/100)*$B7)</f>
        <v>0</v>
      </c>
      <c r="F7" s="203">
        <f>IF(ISERR((CCPercentage!J7/100)*$B7), 0, (CCPercentage!J7/100)*$B7)</f>
        <v>0</v>
      </c>
      <c r="G7" s="203">
        <f>IF(ISERR((CCPercentage!K7/100)*$B7), 0, (CCPercentage!K7/100)*$B7)</f>
        <v>77.378995433789953</v>
      </c>
      <c r="H7" s="203">
        <f>IF(ISERR((CCPercentage!L7/100)*$B7), 0, (CCPercentage!L7/100)*$B7)</f>
        <v>0</v>
      </c>
      <c r="I7" s="203">
        <f>IF(ISERR((CCPercentage!M7/100)*$B7), 0, (CCPercentage!M7/100)*$B7)</f>
        <v>0</v>
      </c>
      <c r="J7" s="203">
        <f>IF(ISERR((CCPercentage!N7/100)*$B7), 0, (CCPercentage!N7/100)*$B7)</f>
        <v>2398.7488584474886</v>
      </c>
      <c r="K7" s="203">
        <f>IF(ISERR((CCPercentage!O7/100)*$B7), 0, (CCPercentage!O7/100)*$B7)</f>
        <v>38.689497716894977</v>
      </c>
      <c r="L7" s="203">
        <f>IF(ISERR((CCPercentage!P7/100)*$B7), 0, (CCPercentage!P7/100)*$B7)</f>
        <v>0</v>
      </c>
      <c r="M7" s="203">
        <f>IF(ISERR((CCPercentage!Q7/100)*$B7), 0, (CCPercentage!Q7/100)*$B7)</f>
        <v>0</v>
      </c>
      <c r="N7" s="203">
        <f>IF(ISERR((CCPercentage!R7/100)*$B7), 0, (CCPercentage!R7/100)*$B7)</f>
        <v>4681.4292237442924</v>
      </c>
      <c r="O7" s="203">
        <f>IF(ISERR((CCPercentage!S7/100)*$B7), 0, (CCPercentage!S7/100)*$B7)</f>
        <v>657.72146118721457</v>
      </c>
      <c r="P7" s="203">
        <f>IF(ISERR((CCPercentage!T7/100)*$B7), 0, (CCPercentage!T7/100)*$B7)</f>
        <v>0</v>
      </c>
      <c r="Q7" s="203">
        <f>IF(ISERR((CCPercentage!U7/100)*$B7), 0, (CCPercentage!U7/100)*$B7)</f>
        <v>77.378995433789953</v>
      </c>
      <c r="R7" s="203">
        <f>IF(ISERR((CCPercentage!V7/100)*$B7), 0, (CCPercentage!V7/100)*$B7)</f>
        <v>502.96347031963467</v>
      </c>
      <c r="S7" s="203">
        <f>IF(ISERR((CCPercentage!W7/100)*$B7), 0, (CCPercentage!W7/100)*$B7)</f>
        <v>0</v>
      </c>
      <c r="T7" s="203">
        <f>IF(ISERR((CCPercentage!X7/100)*$B7), 0, (CCPercentage!X7/100)*$B7)</f>
        <v>0</v>
      </c>
      <c r="U7" s="203">
        <f>IF(ISERR((CCPercentage!Y7/100)*$B7), 0, (CCPercentage!Y7/100)*$B7)</f>
        <v>38.689497716894977</v>
      </c>
      <c r="V7" s="203">
        <f>IF(ISERR((CCPercentage!Z7/100)*$B7), 0, (CCPercentage!Z7/100)*$B7)</f>
        <v>0</v>
      </c>
      <c r="W7" s="366"/>
    </row>
    <row r="8" spans="1:23">
      <c r="A8" s="279">
        <v>1981</v>
      </c>
      <c r="B8" s="575">
        <f>Harvests!I99</f>
        <v>20426</v>
      </c>
      <c r="C8" s="203">
        <f>IF(ISERR((CCPercentage!G8/100)*$B8), 0, (CCPercentage!G8/100)*$B8)</f>
        <v>0</v>
      </c>
      <c r="D8" s="203">
        <f>IF(ISERR((CCPercentage!H8/100)*$B8), 0, (CCPercentage!H8/100)*$B8)</f>
        <v>0</v>
      </c>
      <c r="E8" s="203">
        <f>IF(ISERR((CCPercentage!I8/100)*$B8), 0, (CCPercentage!I8/100)*$B8)</f>
        <v>0</v>
      </c>
      <c r="F8" s="203">
        <f>IF(ISERR((CCPercentage!J8/100)*$B8), 0, (CCPercentage!J8/100)*$B8)</f>
        <v>756.51851851851848</v>
      </c>
      <c r="G8" s="203">
        <f>IF(ISERR((CCPercentage!K8/100)*$B8), 0, (CCPercentage!K8/100)*$B8)</f>
        <v>1059.1259259259259</v>
      </c>
      <c r="H8" s="203">
        <f>IF(ISERR((CCPercentage!L8/100)*$B8), 0, (CCPercentage!L8/100)*$B8)</f>
        <v>0</v>
      </c>
      <c r="I8" s="203">
        <f>IF(ISERR((CCPercentage!M8/100)*$B8), 0, (CCPercentage!M8/100)*$B8)</f>
        <v>0</v>
      </c>
      <c r="J8" s="203">
        <f>IF(ISERR((CCPercentage!N8/100)*$B8), 0, (CCPercentage!N8/100)*$B8)</f>
        <v>8624.3111111111102</v>
      </c>
      <c r="K8" s="203">
        <f>IF(ISERR((CCPercentage!O8/100)*$B8), 0, (CCPercentage!O8/100)*$B8)</f>
        <v>0</v>
      </c>
      <c r="L8" s="203">
        <f>IF(ISERR((CCPercentage!P8/100)*$B8), 0, (CCPercentage!P8/100)*$B8)</f>
        <v>0</v>
      </c>
      <c r="M8" s="203">
        <f>IF(ISERR((CCPercentage!Q8/100)*$B8), 0, (CCPercentage!Q8/100)*$B8)</f>
        <v>0</v>
      </c>
      <c r="N8" s="203">
        <f>IF(ISERR((CCPercentage!R8/100)*$B8), 0, (CCPercentage!R8/100)*$B8)</f>
        <v>8321.7037037037026</v>
      </c>
      <c r="O8" s="203">
        <f>IF(ISERR((CCPercentage!S8/100)*$B8), 0, (CCPercentage!S8/100)*$B8)</f>
        <v>151.30370370370372</v>
      </c>
      <c r="P8" s="203">
        <f>IF(ISERR((CCPercentage!T8/100)*$B8), 0, (CCPercentage!T8/100)*$B8)</f>
        <v>0</v>
      </c>
      <c r="Q8" s="203">
        <f>IF(ISERR((CCPercentage!U8/100)*$B8), 0, (CCPercentage!U8/100)*$B8)</f>
        <v>0</v>
      </c>
      <c r="R8" s="203">
        <f>IF(ISERR((CCPercentage!V8/100)*$B8), 0, (CCPercentage!V8/100)*$B8)</f>
        <v>1513.037037037037</v>
      </c>
      <c r="S8" s="203">
        <f>IF(ISERR((CCPercentage!W8/100)*$B8), 0, (CCPercentage!W8/100)*$B8)</f>
        <v>0</v>
      </c>
      <c r="T8" s="203">
        <f>IF(ISERR((CCPercentage!X8/100)*$B8), 0, (CCPercentage!X8/100)*$B8)</f>
        <v>0</v>
      </c>
      <c r="U8" s="203">
        <f>IF(ISERR((CCPercentage!Y8/100)*$B8), 0, (CCPercentage!Y8/100)*$B8)</f>
        <v>0</v>
      </c>
      <c r="V8" s="203">
        <f>IF(ISERR((CCPercentage!Z8/100)*$B8), 0, (CCPercentage!Z8/100)*$B8)</f>
        <v>0</v>
      </c>
      <c r="W8" s="366"/>
    </row>
    <row r="9" spans="1:23">
      <c r="A9" s="279">
        <v>1982</v>
      </c>
      <c r="B9" s="575">
        <f>Harvests!I100</f>
        <v>47676</v>
      </c>
      <c r="C9" s="203">
        <f>IF(ISERR((CCPercentage!G9/100)*$B9), 0, (CCPercentage!G9/100)*$B9)</f>
        <v>0</v>
      </c>
      <c r="D9" s="203">
        <f>IF(ISERR((CCPercentage!H9/100)*$B9), 0, (CCPercentage!H9/100)*$B9)</f>
        <v>49.458443513282617</v>
      </c>
      <c r="E9" s="203">
        <f>IF(ISERR((CCPercentage!I9/100)*$B9), 0, (CCPercentage!I9/100)*$B9)</f>
        <v>103.76575403767137</v>
      </c>
      <c r="F9" s="203">
        <f>IF(ISERR((CCPercentage!J9/100)*$B9), 0, (CCPercentage!J9/100)*$B9)</f>
        <v>17.4559212399821</v>
      </c>
      <c r="G9" s="203">
        <f>IF(ISERR((CCPercentage!K9/100)*$B9), 0, (CCPercentage!K9/100)*$B9)</f>
        <v>3576.5243073918882</v>
      </c>
      <c r="H9" s="203">
        <f>IF(ISERR((CCPercentage!L9/100)*$B9), 0, (CCPercentage!L9/100)*$B9)</f>
        <v>0</v>
      </c>
      <c r="I9" s="203">
        <f>IF(ISERR((CCPercentage!M9/100)*$B9), 0, (CCPercentage!M9/100)*$B9)</f>
        <v>0</v>
      </c>
      <c r="J9" s="203">
        <f>IF(ISERR((CCPercentage!N9/100)*$B9), 0, (CCPercentage!N9/100)*$B9)</f>
        <v>25211.19913754526</v>
      </c>
      <c r="K9" s="203">
        <f>IF(ISERR((CCPercentage!O9/100)*$B9), 0, (CCPercentage!O9/100)*$B9)</f>
        <v>453.85395223953464</v>
      </c>
      <c r="L9" s="203">
        <f>IF(ISERR((CCPercentage!P9/100)*$B9), 0, (CCPercentage!P9/100)*$B9)</f>
        <v>0</v>
      </c>
      <c r="M9" s="203">
        <f>IF(ISERR((CCPercentage!Q9/100)*$B9), 0, (CCPercentage!Q9/100)*$B9)</f>
        <v>0</v>
      </c>
      <c r="N9" s="203">
        <f>IF(ISERR((CCPercentage!R9/100)*$B9), 0, (CCPercentage!R9/100)*$B9)</f>
        <v>12053.313616207641</v>
      </c>
      <c r="O9" s="203">
        <f>IF(ISERR((CCPercentage!S9/100)*$B9), 0, (CCPercentage!S9/100)*$B9)</f>
        <v>3976.0709491070338</v>
      </c>
      <c r="P9" s="203">
        <f>IF(ISERR((CCPercentage!T9/100)*$B9), 0, (CCPercentage!T9/100)*$B9)</f>
        <v>0</v>
      </c>
      <c r="Q9" s="203">
        <f>IF(ISERR((CCPercentage!U9/100)*$B9), 0, (CCPercentage!U9/100)*$B9)</f>
        <v>46.549123306618931</v>
      </c>
      <c r="R9" s="203">
        <f>IF(ISERR((CCPercentage!V9/100)*$B9), 0, (CCPercentage!V9/100)*$B9)</f>
        <v>2187.8087954110902</v>
      </c>
      <c r="S9" s="203">
        <f>IF(ISERR((CCPercentage!W9/100)*$B9), 0, (CCPercentage!W9/100)*$B9)</f>
        <v>0</v>
      </c>
      <c r="T9" s="203">
        <f>IF(ISERR((CCPercentage!X9/100)*$B9), 0, (CCPercentage!X9/100)*$B9)</f>
        <v>0</v>
      </c>
      <c r="U9" s="203">
        <f>IF(ISERR((CCPercentage!Y9/100)*$B9), 0, (CCPercentage!Y9/100)*$B9)</f>
        <v>0</v>
      </c>
      <c r="V9" s="203">
        <f>IF(ISERR((CCPercentage!Z9/100)*$B9), 0, (CCPercentage!Z9/100)*$B9)</f>
        <v>0</v>
      </c>
      <c r="W9" s="366"/>
    </row>
    <row r="10" spans="1:23">
      <c r="A10" s="279">
        <v>1983</v>
      </c>
      <c r="B10" s="575">
        <f>Harvests!I101</f>
        <v>53189</v>
      </c>
      <c r="C10" s="203">
        <f>IF(ISERR((CCPercentage!G10/100)*$B10), 0, (CCPercentage!G10/100)*$B10)</f>
        <v>0</v>
      </c>
      <c r="D10" s="203">
        <f>IF(ISERR((CCPercentage!H10/100)*$B10), 0, (CCPercentage!H10/100)*$B10)</f>
        <v>0</v>
      </c>
      <c r="E10" s="203">
        <f>IF(ISERR((CCPercentage!I10/100)*$B10), 0, (CCPercentage!I10/100)*$B10)</f>
        <v>23.392867138459078</v>
      </c>
      <c r="F10" s="203">
        <f>IF(ISERR((CCPercentage!J10/100)*$B10), 0, (CCPercentage!J10/100)*$B10)</f>
        <v>0</v>
      </c>
      <c r="G10" s="203">
        <f>IF(ISERR((CCPercentage!K10/100)*$B10), 0, (CCPercentage!K10/100)*$B10)</f>
        <v>2052.1924353284553</v>
      </c>
      <c r="H10" s="203">
        <f>IF(ISERR((CCPercentage!L10/100)*$B10), 0, (CCPercentage!L10/100)*$B10)</f>
        <v>0</v>
      </c>
      <c r="I10" s="203">
        <f>IF(ISERR((CCPercentage!M10/100)*$B10), 0, (CCPercentage!M10/100)*$B10)</f>
        <v>0</v>
      </c>
      <c r="J10" s="203">
        <f>IF(ISERR((CCPercentage!N10/100)*$B10), 0, (CCPercentage!N10/100)*$B10)</f>
        <v>33917.530726480349</v>
      </c>
      <c r="K10" s="203">
        <f>IF(ISERR((CCPercentage!O10/100)*$B10), 0, (CCPercentage!O10/100)*$B10)</f>
        <v>19.139618567830155</v>
      </c>
      <c r="L10" s="203">
        <f>IF(ISERR((CCPercentage!P10/100)*$B10), 0, (CCPercentage!P10/100)*$B10)</f>
        <v>0</v>
      </c>
      <c r="M10" s="203">
        <f>IF(ISERR((CCPercentage!Q10/100)*$B10), 0, (CCPercentage!Q10/100)*$B10)</f>
        <v>0</v>
      </c>
      <c r="N10" s="203">
        <f>IF(ISERR((CCPercentage!R10/100)*$B10), 0, (CCPercentage!R10/100)*$B10)</f>
        <v>16990.664727519888</v>
      </c>
      <c r="O10" s="203">
        <f>IF(ISERR((CCPercentage!S10/100)*$B10), 0, (CCPercentage!S10/100)*$B10)</f>
        <v>82.938347127263995</v>
      </c>
      <c r="P10" s="203">
        <f>IF(ISERR((CCPercentage!T10/100)*$B10), 0, (CCPercentage!T10/100)*$B10)</f>
        <v>0</v>
      </c>
      <c r="Q10" s="203">
        <f>IF(ISERR((CCPercentage!U10/100)*$B10), 0, (CCPercentage!U10/100)*$B10)</f>
        <v>17.012994282515695</v>
      </c>
      <c r="R10" s="203">
        <f>IF(ISERR((CCPercentage!V10/100)*$B10), 0, (CCPercentage!V10/100)*$B10)</f>
        <v>86.128283555235697</v>
      </c>
      <c r="S10" s="203">
        <f>IF(ISERR((CCPercentage!W10/100)*$B10), 0, (CCPercentage!W10/100)*$B10)</f>
        <v>0</v>
      </c>
      <c r="T10" s="203">
        <f>IF(ISERR((CCPercentage!X10/100)*$B10), 0, (CCPercentage!X10/100)*$B10)</f>
        <v>0</v>
      </c>
      <c r="U10" s="203">
        <f>IF(ISERR((CCPercentage!Y10/100)*$B10), 0, (CCPercentage!Y10/100)*$B10)</f>
        <v>0</v>
      </c>
      <c r="V10" s="203">
        <f>IF(ISERR((CCPercentage!Z10/100)*$B10), 0, (CCPercentage!Z10/100)*$B10)</f>
        <v>0</v>
      </c>
      <c r="W10" s="366"/>
    </row>
    <row r="11" spans="1:23">
      <c r="A11" s="279">
        <v>1984</v>
      </c>
      <c r="B11" s="575">
        <f>Harvests!I102</f>
        <v>39355</v>
      </c>
      <c r="C11" s="203">
        <f>IF(ISERR((CCPercentage!G11/100)*$B11), 0, (CCPercentage!G11/100)*$B11)</f>
        <v>0</v>
      </c>
      <c r="D11" s="203">
        <f>IF(ISERR((CCPercentage!H11/100)*$B11), 0, (CCPercentage!H11/100)*$B11)</f>
        <v>0</v>
      </c>
      <c r="E11" s="203">
        <f>IF(ISERR((CCPercentage!I11/100)*$B11), 0, (CCPercentage!I11/100)*$B11)</f>
        <v>0</v>
      </c>
      <c r="F11" s="203">
        <f>IF(ISERR((CCPercentage!J11/100)*$B11), 0, (CCPercentage!J11/100)*$B11)</f>
        <v>15.24875364864516</v>
      </c>
      <c r="G11" s="203">
        <f>IF(ISERR((CCPercentage!K11/100)*$B11), 0, (CCPercentage!K11/100)*$B11)</f>
        <v>899.67646527006423</v>
      </c>
      <c r="H11" s="203">
        <f>IF(ISERR((CCPercentage!L11/100)*$B11), 0, (CCPercentage!L11/100)*$B11)</f>
        <v>9.149252189187095</v>
      </c>
      <c r="I11" s="203">
        <f>IF(ISERR((CCPercentage!M11/100)*$B11), 0, (CCPercentage!M11/100)*$B11)</f>
        <v>0</v>
      </c>
      <c r="J11" s="203">
        <f>IF(ISERR((CCPercentage!N11/100)*$B11), 0, (CCPercentage!N11/100)*$B11)</f>
        <v>13184.072404618604</v>
      </c>
      <c r="K11" s="203">
        <f>IF(ISERR((CCPercentage!O11/100)*$B11), 0, (CCPercentage!O11/100)*$B11)</f>
        <v>170.78604086482576</v>
      </c>
      <c r="L11" s="203">
        <f>IF(ISERR((CCPercentage!P11/100)*$B11), 0, (CCPercentage!P11/100)*$B11)</f>
        <v>0</v>
      </c>
      <c r="M11" s="203">
        <f>IF(ISERR((CCPercentage!Q11/100)*$B11), 0, (CCPercentage!Q11/100)*$B11)</f>
        <v>0</v>
      </c>
      <c r="N11" s="203">
        <f>IF(ISERR((CCPercentage!R11/100)*$B11), 0, (CCPercentage!R11/100)*$B11)</f>
        <v>22116.792291994938</v>
      </c>
      <c r="O11" s="203">
        <f>IF(ISERR((CCPercentage!S11/100)*$B11), 0, (CCPercentage!S11/100)*$B11)</f>
        <v>1639.7493090176424</v>
      </c>
      <c r="P11" s="203">
        <f>IF(ISERR((CCPercentage!T11/100)*$B11), 0, (CCPercentage!T11/100)*$B11)</f>
        <v>0</v>
      </c>
      <c r="Q11" s="203">
        <f>IF(ISERR((CCPercentage!U11/100)*$B11), 0, (CCPercentage!U11/100)*$B11)</f>
        <v>18.29850437837419</v>
      </c>
      <c r="R11" s="203">
        <f>IF(ISERR((CCPercentage!V11/100)*$B11), 0, (CCPercentage!V11/100)*$B11)</f>
        <v>1241.2485469997159</v>
      </c>
      <c r="S11" s="203">
        <f>IF(ISERR((CCPercentage!W11/100)*$B11), 0, (CCPercentage!W11/100)*$B11)</f>
        <v>59.978431018004279</v>
      </c>
      <c r="T11" s="203">
        <f>IF(ISERR((CCPercentage!X11/100)*$B11), 0, (CCPercentage!X11/100)*$B11)</f>
        <v>0</v>
      </c>
      <c r="U11" s="203">
        <f>IF(ISERR((CCPercentage!Y11/100)*$B11), 0, (CCPercentage!Y11/100)*$B11)</f>
        <v>0</v>
      </c>
      <c r="V11" s="203">
        <f>IF(ISERR((CCPercentage!Z11/100)*$B11), 0, (CCPercentage!Z11/100)*$B11)</f>
        <v>0</v>
      </c>
      <c r="W11" s="366"/>
    </row>
    <row r="12" spans="1:23">
      <c r="A12" s="279">
        <v>1985</v>
      </c>
      <c r="B12" s="575">
        <f>Harvests!I103</f>
        <v>42517</v>
      </c>
      <c r="C12" s="203">
        <f>IF(ISERR((CCPercentage!G12/100)*$B12), 0, (CCPercentage!G12/100)*$B12)</f>
        <v>0</v>
      </c>
      <c r="D12" s="203">
        <f>IF(ISERR((CCPercentage!H12/100)*$B12), 0, (CCPercentage!H12/100)*$B12)</f>
        <v>56.256692578503412</v>
      </c>
      <c r="E12" s="203">
        <f>IF(ISERR((CCPercentage!I12/100)*$B12), 0, (CCPercentage!I12/100)*$B12)</f>
        <v>0</v>
      </c>
      <c r="F12" s="203">
        <f>IF(ISERR((CCPercentage!J12/100)*$B12), 0, (CCPercentage!J12/100)*$B12)</f>
        <v>43.197103229922263</v>
      </c>
      <c r="G12" s="203">
        <f>IF(ISERR((CCPercentage!K12/100)*$B12), 0, (CCPercentage!K12/100)*$B12)</f>
        <v>2828.907969661886</v>
      </c>
      <c r="H12" s="203">
        <f>IF(ISERR((CCPercentage!L12/100)*$B12), 0, (CCPercentage!L12/100)*$B12)</f>
        <v>0</v>
      </c>
      <c r="I12" s="203">
        <f>IF(ISERR((CCPercentage!M12/100)*$B12), 0, (CCPercentage!M12/100)*$B12)</f>
        <v>62.284195354771633</v>
      </c>
      <c r="J12" s="203">
        <f>IF(ISERR((CCPercentage!N12/100)*$B12), 0, (CCPercentage!N12/100)*$B12)</f>
        <v>12239.848971008672</v>
      </c>
      <c r="K12" s="203">
        <f>IF(ISERR((CCPercentage!O12/100)*$B12), 0, (CCPercentage!O12/100)*$B12)</f>
        <v>70.320865723129259</v>
      </c>
      <c r="L12" s="203">
        <f>IF(ISERR((CCPercentage!P12/100)*$B12), 0, (CCPercentage!P12/100)*$B12)</f>
        <v>0</v>
      </c>
      <c r="M12" s="203">
        <f>IF(ISERR((CCPercentage!Q12/100)*$B12), 0, (CCPercentage!Q12/100)*$B12)</f>
        <v>0</v>
      </c>
      <c r="N12" s="203">
        <f>IF(ISERR((CCPercentage!R12/100)*$B12), 0, (CCPercentage!R12/100)*$B12)</f>
        <v>25990.591971268575</v>
      </c>
      <c r="O12" s="203">
        <f>IF(ISERR((CCPercentage!S12/100)*$B12), 0, (CCPercentage!S12/100)*$B12)</f>
        <v>344.5722420433334</v>
      </c>
      <c r="P12" s="203">
        <f>IF(ISERR((CCPercentage!T12/100)*$B12), 0, (CCPercentage!T12/100)*$B12)</f>
        <v>0</v>
      </c>
      <c r="Q12" s="203">
        <f>IF(ISERR((CCPercentage!U12/100)*$B12), 0, (CCPercentage!U12/100)*$B12)</f>
        <v>228.04052170214777</v>
      </c>
      <c r="R12" s="203">
        <f>IF(ISERR((CCPercentage!V12/100)*$B12), 0, (CCPercentage!V12/100)*$B12)</f>
        <v>652.97946742905742</v>
      </c>
      <c r="S12" s="203">
        <f>IF(ISERR((CCPercentage!W12/100)*$B12), 0, (CCPercentage!W12/100)*$B12)</f>
        <v>0</v>
      </c>
      <c r="T12" s="203">
        <f>IF(ISERR((CCPercentage!X12/100)*$B12), 0, (CCPercentage!X12/100)*$B12)</f>
        <v>0</v>
      </c>
      <c r="U12" s="203">
        <f>IF(ISERR((CCPercentage!Y12/100)*$B12), 0, (CCPercentage!Y12/100)*$B12)</f>
        <v>0</v>
      </c>
      <c r="V12" s="203">
        <f>IF(ISERR((CCPercentage!Z12/100)*$B12), 0, (CCPercentage!Z12/100)*$B12)</f>
        <v>0</v>
      </c>
      <c r="W12" s="366"/>
    </row>
    <row r="13" spans="1:23">
      <c r="A13" s="279">
        <v>1986</v>
      </c>
      <c r="B13" s="575">
        <f>Harvests!I104</f>
        <v>40884</v>
      </c>
      <c r="C13" s="203">
        <f>IF(ISERR((CCPercentage!G13/100)*$B13), 0, (CCPercentage!G13/100)*$B13)</f>
        <v>0</v>
      </c>
      <c r="D13" s="203">
        <f>IF(ISERR((CCPercentage!H13/100)*$B13), 0, (CCPercentage!H13/100)*$B13)</f>
        <v>28.147332185886405</v>
      </c>
      <c r="E13" s="203">
        <f>IF(ISERR((CCPercentage!I13/100)*$B13), 0, (CCPercentage!I13/100)*$B13)</f>
        <v>0</v>
      </c>
      <c r="F13" s="203">
        <f>IF(ISERR((CCPercentage!J13/100)*$B13), 0, (CCPercentage!J13/100)*$B13)</f>
        <v>0</v>
      </c>
      <c r="G13" s="203">
        <f>IF(ISERR((CCPercentage!K13/100)*$B13), 0, (CCPercentage!K13/100)*$B13)</f>
        <v>2352.3127612490775</v>
      </c>
      <c r="H13" s="203">
        <f>IF(ISERR((CCPercentage!L13/100)*$B13), 0, (CCPercentage!L13/100)*$B13)</f>
        <v>0</v>
      </c>
      <c r="I13" s="203">
        <f>IF(ISERR((CCPercentage!M13/100)*$B13), 0, (CCPercentage!M13/100)*$B13)</f>
        <v>38.199950823702977</v>
      </c>
      <c r="J13" s="203">
        <f>IF(ISERR((CCPercentage!N13/100)*$B13), 0, (CCPercentage!N13/100)*$B13)</f>
        <v>21883.545512662899</v>
      </c>
      <c r="K13" s="203">
        <f>IF(ISERR((CCPercentage!O13/100)*$B13), 0, (CCPercentage!O13/100)*$B13)</f>
        <v>46.242045733956232</v>
      </c>
      <c r="L13" s="203">
        <f>IF(ISERR((CCPercentage!P13/100)*$B13), 0, (CCPercentage!P13/100)*$B13)</f>
        <v>0</v>
      </c>
      <c r="M13" s="203">
        <f>IF(ISERR((CCPercentage!Q13/100)*$B13), 0, (CCPercentage!Q13/100)*$B13)</f>
        <v>0</v>
      </c>
      <c r="N13" s="203">
        <f>IF(ISERR((CCPercentage!R13/100)*$B13), 0, (CCPercentage!R13/100)*$B13)</f>
        <v>14046.524022621099</v>
      </c>
      <c r="O13" s="203">
        <f>IF(ISERR((CCPercentage!S13/100)*$B13), 0, (CCPercentage!S13/100)*$B13)</f>
        <v>1601.3821490041801</v>
      </c>
      <c r="P13" s="203">
        <f>IF(ISERR((CCPercentage!T13/100)*$B13), 0, (CCPercentage!T13/100)*$B13)</f>
        <v>0</v>
      </c>
      <c r="Q13" s="203">
        <f>IF(ISERR((CCPercentage!U13/100)*$B13), 0, (CCPercentage!U13/100)*$B13)</f>
        <v>244.2786328989427</v>
      </c>
      <c r="R13" s="203">
        <f>IF(ISERR((CCPercentage!V13/100)*$B13), 0, (CCPercentage!V13/100)*$B13)</f>
        <v>623.26235554462755</v>
      </c>
      <c r="S13" s="203">
        <f>IF(ISERR((CCPercentage!W13/100)*$B13), 0, (CCPercentage!W13/100)*$B13)</f>
        <v>20.105237275633144</v>
      </c>
      <c r="T13" s="203">
        <f>IF(ISERR((CCPercentage!X13/100)*$B13), 0, (CCPercentage!X13/100)*$B13)</f>
        <v>0</v>
      </c>
      <c r="U13" s="203">
        <f>IF(ISERR((CCPercentage!Y13/100)*$B13), 0, (CCPercentage!Y13/100)*$B13)</f>
        <v>0</v>
      </c>
      <c r="V13" s="203">
        <f>IF(ISERR((CCPercentage!Z13/100)*$B13), 0, (CCPercentage!Z13/100)*$B13)</f>
        <v>0</v>
      </c>
      <c r="W13" s="366"/>
    </row>
    <row r="14" spans="1:23">
      <c r="A14" s="279">
        <v>1987</v>
      </c>
      <c r="B14" s="575">
        <f>Harvests!I105</f>
        <v>41213</v>
      </c>
      <c r="C14" s="203">
        <f>IF(ISERR((CCPercentage!G14/100)*$B14), 0, (CCPercentage!G14/100)*$B14)</f>
        <v>0</v>
      </c>
      <c r="D14" s="203">
        <f>IF(ISERR((CCPercentage!H14/100)*$B14), 0, (CCPercentage!H14/100)*$B14)</f>
        <v>19.546122836139439</v>
      </c>
      <c r="E14" s="203">
        <f>IF(ISERR((CCPercentage!I14/100)*$B14), 0, (CCPercentage!I14/100)*$B14)</f>
        <v>19.546122836139439</v>
      </c>
      <c r="F14" s="203">
        <f>IF(ISERR((CCPercentage!J14/100)*$B14), 0, (CCPercentage!J14/100)*$B14)</f>
        <v>19.546122836139439</v>
      </c>
      <c r="G14" s="203">
        <f>IF(ISERR((CCPercentage!K14/100)*$B14), 0, (CCPercentage!K14/100)*$B14)</f>
        <v>829.0813769662476</v>
      </c>
      <c r="H14" s="203">
        <f>IF(ISERR((CCPercentage!L14/100)*$B14), 0, (CCPercentage!L14/100)*$B14)</f>
        <v>0</v>
      </c>
      <c r="I14" s="203">
        <f>IF(ISERR((CCPercentage!M14/100)*$B14), 0, (CCPercentage!M14/100)*$B14)</f>
        <v>42.349932811635448</v>
      </c>
      <c r="J14" s="203">
        <f>IF(ISERR((CCPercentage!N14/100)*$B14), 0, (CCPercentage!N14/100)*$B14)</f>
        <v>9999.4706742550006</v>
      </c>
      <c r="K14" s="203">
        <f>IF(ISERR((CCPercentage!O14/100)*$B14), 0, (CCPercentage!O14/100)*$B14)</f>
        <v>19.546122836139439</v>
      </c>
      <c r="L14" s="203">
        <f>IF(ISERR((CCPercentage!P14/100)*$B14), 0, (CCPercentage!P14/100)*$B14)</f>
        <v>0</v>
      </c>
      <c r="M14" s="203">
        <f>IF(ISERR((CCPercentage!Q14/100)*$B14), 0, (CCPercentage!Q14/100)*$B14)</f>
        <v>0</v>
      </c>
      <c r="N14" s="203">
        <f>IF(ISERR((CCPercentage!R14/100)*$B14), 0, (CCPercentage!R14/100)*$B14)</f>
        <v>26330.256303849499</v>
      </c>
      <c r="O14" s="203">
        <f>IF(ISERR((CCPercentage!S14/100)*$B14), 0, (CCPercentage!S14/100)*$B14)</f>
        <v>1332.394039996838</v>
      </c>
      <c r="P14" s="203">
        <f>IF(ISERR((CCPercentage!T14/100)*$B14), 0, (CCPercentage!T14/100)*$B14)</f>
        <v>0</v>
      </c>
      <c r="Q14" s="203">
        <f>IF(ISERR((CCPercentage!U14/100)*$B14), 0, (CCPercentage!U14/100)*$B14)</f>
        <v>508.19919373962534</v>
      </c>
      <c r="R14" s="203">
        <f>IF(ISERR((CCPercentage!V14/100)*$B14), 0, (CCPercentage!V14/100)*$B14)</f>
        <v>2093.0639870365981</v>
      </c>
      <c r="S14" s="203">
        <f>IF(ISERR((CCPercentage!W14/100)*$B14), 0, (CCPercentage!W14/100)*$B14)</f>
        <v>0</v>
      </c>
      <c r="T14" s="203">
        <f>IF(ISERR((CCPercentage!X14/100)*$B14), 0, (CCPercentage!X14/100)*$B14)</f>
        <v>0</v>
      </c>
      <c r="U14" s="203">
        <f>IF(ISERR((CCPercentage!Y14/100)*$B14), 0, (CCPercentage!Y14/100)*$B14)</f>
        <v>0</v>
      </c>
      <c r="V14" s="203">
        <f>IF(ISERR((CCPercentage!Z14/100)*$B14), 0, (CCPercentage!Z14/100)*$B14)</f>
        <v>0</v>
      </c>
      <c r="W14" s="366"/>
    </row>
    <row r="15" spans="1:23">
      <c r="A15" s="279">
        <v>1988</v>
      </c>
      <c r="B15" s="575">
        <f>Harvests!I106</f>
        <v>30819</v>
      </c>
      <c r="C15" s="203">
        <f>IF(ISERR((CCPercentage!G15/100)*$B15), 0, (CCPercentage!G15/100)*$B15)</f>
        <v>0</v>
      </c>
      <c r="D15" s="203">
        <f>IF(ISERR((CCPercentage!H15/100)*$B15), 0, (CCPercentage!H15/100)*$B15)</f>
        <v>13.100067301902163</v>
      </c>
      <c r="E15" s="203">
        <f>IF(ISERR((CCPercentage!I15/100)*$B15), 0, (CCPercentage!I15/100)*$B15)</f>
        <v>43.666891006340542</v>
      </c>
      <c r="F15" s="203">
        <f>IF(ISERR((CCPercentage!J15/100)*$B15), 0, (CCPercentage!J15/100)*$B15)</f>
        <v>13.100067301902163</v>
      </c>
      <c r="G15" s="203">
        <f>IF(ISERR((CCPercentage!K15/100)*$B15), 0, (CCPercentage!K15/100)*$B15)</f>
        <v>970.49665261591872</v>
      </c>
      <c r="H15" s="203">
        <f>IF(ISERR((CCPercentage!L15/100)*$B15), 0, (CCPercentage!L15/100)*$B15)</f>
        <v>30.566823704438384</v>
      </c>
      <c r="I15" s="203">
        <f>IF(ISERR((CCPercentage!M15/100)*$B15), 0, (CCPercentage!M15/100)*$B15)</f>
        <v>28.383479154121357</v>
      </c>
      <c r="J15" s="203">
        <f>IF(ISERR((CCPercentage!N15/100)*$B15), 0, (CCPercentage!N15/100)*$B15)</f>
        <v>7774.8899436789352</v>
      </c>
      <c r="K15" s="203">
        <f>IF(ISERR((CCPercentage!O15/100)*$B15), 0, (CCPercentage!O15/100)*$B15)</f>
        <v>75.325386985937442</v>
      </c>
      <c r="L15" s="203">
        <f>IF(ISERR((CCPercentage!P15/100)*$B15), 0, (CCPercentage!P15/100)*$B15)</f>
        <v>0</v>
      </c>
      <c r="M15" s="203">
        <f>IF(ISERR((CCPercentage!Q15/100)*$B15), 0, (CCPercentage!Q15/100)*$B15)</f>
        <v>0</v>
      </c>
      <c r="N15" s="203">
        <f>IF(ISERR((CCPercentage!R15/100)*$B15), 0, (CCPercentage!R15/100)*$B15)</f>
        <v>19096.623109347878</v>
      </c>
      <c r="O15" s="203">
        <f>IF(ISERR((CCPercentage!S15/100)*$B15), 0, (CCPercentage!S15/100)*$B15)</f>
        <v>572.03627218306121</v>
      </c>
      <c r="P15" s="203">
        <f>IF(ISERR((CCPercentage!T15/100)*$B15), 0, (CCPercentage!T15/100)*$B15)</f>
        <v>0</v>
      </c>
      <c r="Q15" s="203">
        <f>IF(ISERR((CCPercentage!U15/100)*$B15), 0, (CCPercentage!U15/100)*$B15)</f>
        <v>649.54500371931556</v>
      </c>
      <c r="R15" s="203">
        <f>IF(ISERR((CCPercentage!V15/100)*$B15), 0, (CCPercentage!V15/100)*$B15)</f>
        <v>1551.2663030002479</v>
      </c>
      <c r="S15" s="203">
        <f>IF(ISERR((CCPercentage!W15/100)*$B15), 0, (CCPercentage!W15/100)*$B15)</f>
        <v>0</v>
      </c>
      <c r="T15" s="203">
        <f>IF(ISERR((CCPercentage!X15/100)*$B15), 0, (CCPercentage!X15/100)*$B15)</f>
        <v>0</v>
      </c>
      <c r="U15" s="203">
        <f>IF(ISERR((CCPercentage!Y15/100)*$B15), 0, (CCPercentage!Y15/100)*$B15)</f>
        <v>0</v>
      </c>
      <c r="V15" s="203">
        <f>IF(ISERR((CCPercentage!Z15/100)*$B15), 0, (CCPercentage!Z15/100)*$B15)</f>
        <v>0</v>
      </c>
      <c r="W15" s="366"/>
    </row>
    <row r="16" spans="1:23">
      <c r="A16" s="279">
        <v>1989</v>
      </c>
      <c r="B16" s="575">
        <f>Harvests!I107</f>
        <v>30959</v>
      </c>
      <c r="C16" s="203">
        <f>IF(ISERR((CCPercentage!G16/100)*$B16), 0, (CCPercentage!G16/100)*$B16)</f>
        <v>0</v>
      </c>
      <c r="D16" s="203">
        <f>IF(ISERR((CCPercentage!H16/100)*$B16), 0, (CCPercentage!H16/100)*$B16)</f>
        <v>0</v>
      </c>
      <c r="E16" s="203">
        <f>IF(ISERR((CCPercentage!I16/100)*$B16), 0, (CCPercentage!I16/100)*$B16)</f>
        <v>45.142898804316133</v>
      </c>
      <c r="F16" s="203">
        <f>IF(ISERR((CCPercentage!J16/100)*$B16), 0, (CCPercentage!J16/100)*$B16)</f>
        <v>0</v>
      </c>
      <c r="G16" s="203">
        <f>IF(ISERR((CCPercentage!K16/100)*$B16), 0, (CCPercentage!K16/100)*$B16)</f>
        <v>792.5086678979942</v>
      </c>
      <c r="H16" s="203">
        <f>IF(ISERR((CCPercentage!L16/100)*$B16), 0, (CCPercentage!L16/100)*$B16)</f>
        <v>62.196882797057782</v>
      </c>
      <c r="I16" s="203">
        <f>IF(ISERR((CCPercentage!M16/100)*$B16), 0, (CCPercentage!M16/100)*$B16)</f>
        <v>14.044457405787238</v>
      </c>
      <c r="J16" s="203">
        <f>IF(ISERR((CCPercentage!N16/100)*$B16), 0, (CCPercentage!N16/100)*$B16)</f>
        <v>7598.0514565308968</v>
      </c>
      <c r="K16" s="203">
        <f>IF(ISERR((CCPercentage!O16/100)*$B16), 0, (CCPercentage!O16/100)*$B16)</f>
        <v>57.181005152133764</v>
      </c>
      <c r="L16" s="203">
        <f>IF(ISERR((CCPercentage!P16/100)*$B16), 0, (CCPercentage!P16/100)*$B16)</f>
        <v>0</v>
      </c>
      <c r="M16" s="203">
        <f>IF(ISERR((CCPercentage!Q16/100)*$B16), 0, (CCPercentage!Q16/100)*$B16)</f>
        <v>0</v>
      </c>
      <c r="N16" s="203">
        <f>IF(ISERR((CCPercentage!R16/100)*$B16), 0, (CCPercentage!R16/100)*$B16)</f>
        <v>19097.45254528369</v>
      </c>
      <c r="O16" s="203">
        <f>IF(ISERR((CCPercentage!S16/100)*$B16), 0, (CCPercentage!S16/100)*$B16)</f>
        <v>699.21334370240743</v>
      </c>
      <c r="P16" s="203">
        <f>IF(ISERR((CCPercentage!T16/100)*$B16), 0, (CCPercentage!T16/100)*$B16)</f>
        <v>0</v>
      </c>
      <c r="Q16" s="203">
        <f>IF(ISERR((CCPercentage!U16/100)*$B16), 0, (CCPercentage!U16/100)*$B16)</f>
        <v>770.43880626032853</v>
      </c>
      <c r="R16" s="203">
        <f>IF(ISERR((CCPercentage!V16/100)*$B16), 0, (CCPercentage!V16/100)*$B16)</f>
        <v>1822.7699361653868</v>
      </c>
      <c r="S16" s="203">
        <f>IF(ISERR((CCPercentage!W16/100)*$B16), 0, (CCPercentage!W16/100)*$B16)</f>
        <v>0</v>
      </c>
      <c r="T16" s="203">
        <f>IF(ISERR((CCPercentage!X16/100)*$B16), 0, (CCPercentage!X16/100)*$B16)</f>
        <v>0</v>
      </c>
      <c r="U16" s="203">
        <f>IF(ISERR((CCPercentage!Y16/100)*$B16), 0, (CCPercentage!Y16/100)*$B16)</f>
        <v>0</v>
      </c>
      <c r="V16" s="203">
        <f>IF(ISERR((CCPercentage!Z16/100)*$B16), 0, (CCPercentage!Z16/100)*$B16)</f>
        <v>0</v>
      </c>
      <c r="W16" s="366"/>
    </row>
    <row r="17" spans="1:23">
      <c r="A17" s="279">
        <v>1990</v>
      </c>
      <c r="B17" s="575">
        <f>Harvests!I108</f>
        <v>21810</v>
      </c>
      <c r="C17" s="203">
        <f>IF(ISERR((CCPercentage!G17/100)*$B17), 0, (CCPercentage!G17/100)*$B17)</f>
        <v>0</v>
      </c>
      <c r="D17" s="203">
        <f>IF(ISERR((CCPercentage!H17/100)*$B17), 0, (CCPercentage!H17/100)*$B17)</f>
        <v>54.27373271889401</v>
      </c>
      <c r="E17" s="203">
        <f>IF(ISERR((CCPercentage!I17/100)*$B17), 0, (CCPercentage!I17/100)*$B17)</f>
        <v>65.329493087557609</v>
      </c>
      <c r="F17" s="203">
        <f>IF(ISERR((CCPercentage!J17/100)*$B17), 0, (CCPercentage!J17/100)*$B17)</f>
        <v>5.0253456221198158</v>
      </c>
      <c r="G17" s="203">
        <f>IF(ISERR((CCPercentage!K17/100)*$B17), 0, (CCPercentage!K17/100)*$B17)</f>
        <v>1269.4023041474654</v>
      </c>
      <c r="H17" s="203">
        <f>IF(ISERR((CCPercentage!L17/100)*$B17), 0, (CCPercentage!L17/100)*$B17)</f>
        <v>46.233179723502303</v>
      </c>
      <c r="I17" s="203">
        <f>IF(ISERR((CCPercentage!M17/100)*$B17), 0, (CCPercentage!M17/100)*$B17)</f>
        <v>0</v>
      </c>
      <c r="J17" s="203">
        <f>IF(ISERR((CCPercentage!N17/100)*$B17), 0, (CCPercentage!N17/100)*$B17)</f>
        <v>5463.5557603686639</v>
      </c>
      <c r="K17" s="203">
        <f>IF(ISERR((CCPercentage!O17/100)*$B17), 0, (CCPercentage!O17/100)*$B17)</f>
        <v>280.41428571428565</v>
      </c>
      <c r="L17" s="203">
        <f>IF(ISERR((CCPercentage!P17/100)*$B17), 0, (CCPercentage!P17/100)*$B17)</f>
        <v>0</v>
      </c>
      <c r="M17" s="203">
        <f>IF(ISERR((CCPercentage!Q17/100)*$B17), 0, (CCPercentage!Q17/100)*$B17)</f>
        <v>0</v>
      </c>
      <c r="N17" s="203">
        <f>IF(ISERR((CCPercentage!R17/100)*$B17), 0, (CCPercentage!R17/100)*$B17)</f>
        <v>11771.369585253457</v>
      </c>
      <c r="O17" s="203">
        <f>IF(ISERR((CCPercentage!S17/100)*$B17), 0, (CCPercentage!S17/100)*$B17)</f>
        <v>460.32165898617507</v>
      </c>
      <c r="P17" s="203">
        <f>IF(ISERR((CCPercentage!T17/100)*$B17), 0, (CCPercentage!T17/100)*$B17)</f>
        <v>41.207834101382481</v>
      </c>
      <c r="Q17" s="203">
        <f>IF(ISERR((CCPercentage!U17/100)*$B17), 0, (CCPercentage!U17/100)*$B17)</f>
        <v>382.93133640552992</v>
      </c>
      <c r="R17" s="203">
        <f>IF(ISERR((CCPercentage!V17/100)*$B17), 0, (CCPercentage!V17/100)*$B17)</f>
        <v>1884.5046082949309</v>
      </c>
      <c r="S17" s="203">
        <f>IF(ISERR((CCPercentage!W17/100)*$B17), 0, (CCPercentage!W17/100)*$B17)</f>
        <v>18.091244239631337</v>
      </c>
      <c r="T17" s="203">
        <f>IF(ISERR((CCPercentage!X17/100)*$B17), 0, (CCPercentage!X17/100)*$B17)</f>
        <v>0</v>
      </c>
      <c r="U17" s="203">
        <f>IF(ISERR((CCPercentage!Y17/100)*$B17), 0, (CCPercentage!Y17/100)*$B17)</f>
        <v>67.339631336405532</v>
      </c>
      <c r="V17" s="203">
        <f>IF(ISERR((CCPercentage!Z17/100)*$B17), 0, (CCPercentage!Z17/100)*$B17)</f>
        <v>0</v>
      </c>
      <c r="W17" s="366"/>
    </row>
    <row r="18" spans="1:23">
      <c r="A18" s="279">
        <v>1991</v>
      </c>
      <c r="B18" s="575">
        <f>Harvests!I109</f>
        <v>35046</v>
      </c>
      <c r="C18" s="203">
        <f>IF(ISERR((CCPercentage!G18/100)*$B18), 0, (CCPercentage!G18/100)*$B18)</f>
        <v>9.0667471541911002</v>
      </c>
      <c r="D18" s="203">
        <f>IF(ISERR((CCPercentage!H18/100)*$B18), 0, (CCPercentage!H18/100)*$B18)</f>
        <v>80.593308037254218</v>
      </c>
      <c r="E18" s="203">
        <f>IF(ISERR((CCPercentage!I18/100)*$B18), 0, (CCPercentage!I18/100)*$B18)</f>
        <v>87.645222490513973</v>
      </c>
      <c r="F18" s="203">
        <f>IF(ISERR((CCPercentage!J18/100)*$B18), 0, (CCPercentage!J18/100)*$B18)</f>
        <v>175.29044498102795</v>
      </c>
      <c r="G18" s="203">
        <f>IF(ISERR((CCPercentage!K18/100)*$B18), 0, (CCPercentage!K18/100)*$B18)</f>
        <v>1146.4398068299413</v>
      </c>
      <c r="H18" s="203">
        <f>IF(ISERR((CCPercentage!L18/100)*$B18), 0, (CCPercentage!L18/100)*$B18)</f>
        <v>42.311486719558467</v>
      </c>
      <c r="I18" s="203">
        <f>IF(ISERR((CCPercentage!M18/100)*$B18), 0, (CCPercentage!M18/100)*$B18)</f>
        <v>198.46102104173849</v>
      </c>
      <c r="J18" s="203">
        <f>IF(ISERR((CCPercentage!N18/100)*$B18), 0, (CCPercentage!N18/100)*$B18)</f>
        <v>19786.664539496378</v>
      </c>
      <c r="K18" s="203">
        <f>IF(ISERR((CCPercentage!O18/100)*$B18), 0, (CCPercentage!O18/100)*$B18)</f>
        <v>165.21628147637117</v>
      </c>
      <c r="L18" s="203">
        <f>IF(ISERR((CCPercentage!P18/100)*$B18), 0, (CCPercentage!P18/100)*$B18)</f>
        <v>0</v>
      </c>
      <c r="M18" s="203">
        <f>IF(ISERR((CCPercentage!Q18/100)*$B18), 0, (CCPercentage!Q18/100)*$B18)</f>
        <v>0</v>
      </c>
      <c r="N18" s="203">
        <f>IF(ISERR((CCPercentage!R18/100)*$B18), 0, (CCPercentage!R18/100)*$B18)</f>
        <v>12019.484477406002</v>
      </c>
      <c r="O18" s="203">
        <f>IF(ISERR((CCPercentage!S18/100)*$B18), 0, (CCPercentage!S18/100)*$B18)</f>
        <v>525.87133494308375</v>
      </c>
      <c r="P18" s="203">
        <f>IF(ISERR((CCPercentage!T18/100)*$B18), 0, (CCPercentage!T18/100)*$B18)</f>
        <v>9.0667471541911002</v>
      </c>
      <c r="Q18" s="203">
        <f>IF(ISERR((CCPercentage!U18/100)*$B18), 0, (CCPercentage!U18/100)*$B18)</f>
        <v>355.61797171438428</v>
      </c>
      <c r="R18" s="203">
        <f>IF(ISERR((CCPercentage!V18/100)*$B18), 0, (CCPercentage!V18/100)*$B18)</f>
        <v>420.09261814418761</v>
      </c>
      <c r="S18" s="203">
        <f>IF(ISERR((CCPercentage!W18/100)*$B18), 0, (CCPercentage!W18/100)*$B18)</f>
        <v>0</v>
      </c>
      <c r="T18" s="203">
        <f>IF(ISERR((CCPercentage!X18/100)*$B18), 0, (CCPercentage!X18/100)*$B18)</f>
        <v>0</v>
      </c>
      <c r="U18" s="203">
        <f>IF(ISERR((CCPercentage!Y18/100)*$B18), 0, (CCPercentage!Y18/100)*$B18)</f>
        <v>24.177992411176266</v>
      </c>
      <c r="V18" s="203">
        <f>IF(ISERR((CCPercentage!Z18/100)*$B18), 0, (CCPercentage!Z18/100)*$B18)</f>
        <v>0</v>
      </c>
      <c r="W18" s="366"/>
    </row>
    <row r="19" spans="1:23">
      <c r="A19" s="279">
        <v>1992</v>
      </c>
      <c r="B19" s="575">
        <f>Harvests!I110</f>
        <v>39973</v>
      </c>
      <c r="C19" s="203">
        <f>IF(ISERR((CCPercentage!G19/100)*$B19), 0, (CCPercentage!G19/100)*$B19)</f>
        <v>0</v>
      </c>
      <c r="D19" s="203">
        <f>IF(ISERR((CCPercentage!H19/100)*$B19), 0, (CCPercentage!H19/100)*$B19)</f>
        <v>0</v>
      </c>
      <c r="E19" s="203">
        <f>IF(ISERR((CCPercentage!I19/100)*$B19), 0, (CCPercentage!I19/100)*$B19)</f>
        <v>50.211028765230495</v>
      </c>
      <c r="F19" s="203">
        <f>IF(ISERR((CCPercentage!J19/100)*$B19), 0, (CCPercentage!J19/100)*$B19)</f>
        <v>64.270116819495044</v>
      </c>
      <c r="G19" s="203">
        <f>IF(ISERR((CCPercentage!K19/100)*$B19), 0, (CCPercentage!K19/100)*$B19)</f>
        <v>1703.1580957166184</v>
      </c>
      <c r="H19" s="203">
        <f>IF(ISERR((CCPercentage!L19/100)*$B19), 0, (CCPercentage!L19/100)*$B19)</f>
        <v>0</v>
      </c>
      <c r="I19" s="203">
        <f>IF(ISERR((CCPercentage!M19/100)*$B19), 0, (CCPercentage!M19/100)*$B19)</f>
        <v>140.59088054264538</v>
      </c>
      <c r="J19" s="203">
        <f>IF(ISERR((CCPercentage!N19/100)*$B19), 0, (CCPercentage!N19/100)*$B19)</f>
        <v>5133.5755809571656</v>
      </c>
      <c r="K19" s="203">
        <f>IF(ISERR((CCPercentage!O19/100)*$B19), 0, (CCPercentage!O19/100)*$B19)</f>
        <v>267.12267303102624</v>
      </c>
      <c r="L19" s="203">
        <f>IF(ISERR((CCPercentage!P19/100)*$B19), 0, (CCPercentage!P19/100)*$B19)</f>
        <v>0</v>
      </c>
      <c r="M19" s="203">
        <f>IF(ISERR((CCPercentage!Q19/100)*$B19), 0, (CCPercentage!Q19/100)*$B19)</f>
        <v>19.080190930787591</v>
      </c>
      <c r="N19" s="203">
        <f>IF(ISERR((CCPercentage!R19/100)*$B19), 0, (CCPercentage!R19/100)*$B19)</f>
        <v>29611.452104007036</v>
      </c>
      <c r="O19" s="203">
        <f>IF(ISERR((CCPercentage!S19/100)*$B19), 0, (CCPercentage!S19/100)*$B19)</f>
        <v>524.20314030900636</v>
      </c>
      <c r="P19" s="203">
        <f>IF(ISERR((CCPercentage!T19/100)*$B19), 0, (CCPercentage!T19/100)*$B19)</f>
        <v>36.15194071096596</v>
      </c>
      <c r="Q19" s="203">
        <f>IF(ISERR((CCPercentage!U19/100)*$B19), 0, (CCPercentage!U19/100)*$B19)</f>
        <v>365.536289410878</v>
      </c>
      <c r="R19" s="203">
        <f>IF(ISERR((CCPercentage!V19/100)*$B19), 0, (CCPercentage!V19/100)*$B19)</f>
        <v>1978.3145333500813</v>
      </c>
      <c r="S19" s="203">
        <f>IF(ISERR((CCPercentage!W19/100)*$B19), 0, (CCPercentage!W19/100)*$B19)</f>
        <v>0</v>
      </c>
      <c r="T19" s="203">
        <f>IF(ISERR((CCPercentage!X19/100)*$B19), 0, (CCPercentage!X19/100)*$B19)</f>
        <v>0</v>
      </c>
      <c r="U19" s="203">
        <f>IF(ISERR((CCPercentage!Y19/100)*$B19), 0, (CCPercentage!Y19/100)*$B19)</f>
        <v>21.08863208139681</v>
      </c>
      <c r="V19" s="203">
        <f>IF(ISERR((CCPercentage!Z19/100)*$B19), 0, (CCPercentage!Z19/100)*$B19)</f>
        <v>58.244793367667377</v>
      </c>
      <c r="W19" s="366"/>
    </row>
    <row r="20" spans="1:23">
      <c r="A20" s="279">
        <v>1993</v>
      </c>
      <c r="B20" s="575">
        <f>Harvests!I111</f>
        <v>29978</v>
      </c>
      <c r="C20" s="203">
        <f>IF(ISERR((CCPercentage!G20/100)*$B20), 0, (CCPercentage!G20/100)*$B20)</f>
        <v>0</v>
      </c>
      <c r="D20" s="203">
        <f>IF(ISERR((CCPercentage!H20/100)*$B20), 0, (CCPercentage!H20/100)*$B20)</f>
        <v>107.90345477175632</v>
      </c>
      <c r="E20" s="203">
        <f>IF(ISERR((CCPercentage!I20/100)*$B20), 0, (CCPercentage!I20/100)*$B20)</f>
        <v>45.379957614290035</v>
      </c>
      <c r="F20" s="203">
        <f>IF(ISERR((CCPercentage!J20/100)*$B20), 0, (CCPercentage!J20/100)*$B20)</f>
        <v>12.101322030477345</v>
      </c>
      <c r="G20" s="203">
        <f>IF(ISERR((CCPercentage!K20/100)*$B20), 0, (CCPercentage!K20/100)*$B20)</f>
        <v>1978.5661519830458</v>
      </c>
      <c r="H20" s="203">
        <f>IF(ISERR((CCPercentage!L20/100)*$B20), 0, (CCPercentage!L20/100)*$B20)</f>
        <v>0</v>
      </c>
      <c r="I20" s="203">
        <f>IF(ISERR((CCPercentage!M20/100)*$B20), 0, (CCPercentage!M20/100)*$B20)</f>
        <v>36.303966091432031</v>
      </c>
      <c r="J20" s="203">
        <f>IF(ISERR((CCPercentage!N20/100)*$B20), 0, (CCPercentage!N20/100)*$B20)</f>
        <v>18978.906717798633</v>
      </c>
      <c r="K20" s="203">
        <f>IF(ISERR((CCPercentage!O20/100)*$B20), 0, (CCPercentage!O20/100)*$B20)</f>
        <v>57.481279644767383</v>
      </c>
      <c r="L20" s="203">
        <f>IF(ISERR((CCPercentage!P20/100)*$B20), 0, (CCPercentage!P20/100)*$B20)</f>
        <v>0</v>
      </c>
      <c r="M20" s="203">
        <f>IF(ISERR((CCPercentage!Q20/100)*$B20), 0, (CCPercentage!Q20/100)*$B20)</f>
        <v>9.0759915228580077</v>
      </c>
      <c r="N20" s="203">
        <f>IF(ISERR((CCPercentage!R20/100)*$B20), 0, (CCPercentage!R20/100)*$B20)</f>
        <v>7480.6339018400777</v>
      </c>
      <c r="O20" s="203">
        <f>IF(ISERR((CCPercentage!S20/100)*$B20), 0, (CCPercentage!S20/100)*$B20)</f>
        <v>544.55949137148048</v>
      </c>
      <c r="P20" s="203">
        <f>IF(ISERR((CCPercentage!T20/100)*$B20), 0, (CCPercentage!T20/100)*$B20)</f>
        <v>0</v>
      </c>
      <c r="Q20" s="203">
        <f>IF(ISERR((CCPercentage!U20/100)*$B20), 0, (CCPercentage!U20/100)*$B20)</f>
        <v>401.36051401083193</v>
      </c>
      <c r="R20" s="203">
        <f>IF(ISERR((CCPercentage!V20/100)*$B20), 0, (CCPercentage!V20/100)*$B20)</f>
        <v>325.7272513203485</v>
      </c>
      <c r="S20" s="203">
        <f>IF(ISERR((CCPercentage!W20/100)*$B20), 0, (CCPercentage!W20/100)*$B20)</f>
        <v>0</v>
      </c>
      <c r="T20" s="203">
        <f>IF(ISERR((CCPercentage!X20/100)*$B20), 0, (CCPercentage!X20/100)*$B20)</f>
        <v>0</v>
      </c>
      <c r="U20" s="203">
        <f>IF(ISERR((CCPercentage!Y20/100)*$B20), 0, (CCPercentage!Y20/100)*$B20)</f>
        <v>0</v>
      </c>
      <c r="V20" s="203">
        <f>IF(ISERR((CCPercentage!Z20/100)*$B20), 0, (CCPercentage!Z20/100)*$B20)</f>
        <v>0</v>
      </c>
      <c r="W20" s="366"/>
    </row>
    <row r="21" spans="1:23">
      <c r="A21" s="279">
        <v>1994</v>
      </c>
      <c r="B21" s="575">
        <f>Harvests!I112</f>
        <v>48097</v>
      </c>
      <c r="C21" s="203">
        <f>IF(ISERR((CCPercentage!G21/100)*$B21), 0, (CCPercentage!G21/100)*$B21)</f>
        <v>0</v>
      </c>
      <c r="D21" s="203">
        <f>IF(ISERR((CCPercentage!H21/100)*$B21), 0, (CCPercentage!H21/100)*$B21)</f>
        <v>50.08081344694957</v>
      </c>
      <c r="E21" s="203">
        <f>IF(ISERR((CCPercentage!I21/100)*$B21), 0, (CCPercentage!I21/100)*$B21)</f>
        <v>23.507320597547761</v>
      </c>
      <c r="F21" s="203">
        <f>IF(ISERR((CCPercentage!J21/100)*$B21), 0, (CCPercentage!J21/100)*$B21)</f>
        <v>0</v>
      </c>
      <c r="G21" s="203">
        <f>IF(ISERR((CCPercentage!K21/100)*$B21), 0, (CCPercentage!K21/100)*$B21)</f>
        <v>2500.9745000956245</v>
      </c>
      <c r="H21" s="203">
        <f>IF(ISERR((CCPercentage!L21/100)*$B21), 0, (CCPercentage!L21/100)*$B21)</f>
        <v>0</v>
      </c>
      <c r="I21" s="203">
        <f>IF(ISERR((CCPercentage!M21/100)*$B21), 0, (CCPercentage!M21/100)*$B21)</f>
        <v>44.970526360526151</v>
      </c>
      <c r="J21" s="203">
        <f>IF(ISERR((CCPercentage!N21/100)*$B21), 0, (CCPercentage!N21/100)*$B21)</f>
        <v>18844.694659895027</v>
      </c>
      <c r="K21" s="203">
        <f>IF(ISERR((CCPercentage!O21/100)*$B21), 0, (CCPercentage!O21/100)*$B21)</f>
        <v>0</v>
      </c>
      <c r="L21" s="203">
        <f>IF(ISERR((CCPercentage!P21/100)*$B21), 0, (CCPercentage!P21/100)*$B21)</f>
        <v>0</v>
      </c>
      <c r="M21" s="203">
        <f>IF(ISERR((CCPercentage!Q21/100)*$B21), 0, (CCPercentage!Q21/100)*$B21)</f>
        <v>0</v>
      </c>
      <c r="N21" s="203">
        <f>IF(ISERR((CCPercentage!R21/100)*$B21), 0, (CCPercentage!R21/100)*$B21)</f>
        <v>26152.405193480525</v>
      </c>
      <c r="O21" s="203">
        <f>IF(ISERR((CCPercentage!S21/100)*$B21), 0, (CCPercentage!S21/100)*$B21)</f>
        <v>117.5366029877388</v>
      </c>
      <c r="P21" s="203">
        <f>IF(ISERR((CCPercentage!T21/100)*$B21), 0, (CCPercentage!T21/100)*$B21)</f>
        <v>0</v>
      </c>
      <c r="Q21" s="203">
        <f>IF(ISERR((CCPercentage!U21/100)*$B21), 0, (CCPercentage!U21/100)*$B21)</f>
        <v>213.61000021249919</v>
      </c>
      <c r="R21" s="203">
        <f>IF(ISERR((CCPercentage!V21/100)*$B21), 0, (CCPercentage!V21/100)*$B21)</f>
        <v>149.22038292356405</v>
      </c>
      <c r="S21" s="203">
        <f>IF(ISERR((CCPercentage!W21/100)*$B21), 0, (CCPercentage!W21/100)*$B21)</f>
        <v>0</v>
      </c>
      <c r="T21" s="203">
        <f>IF(ISERR((CCPercentage!X21/100)*$B21), 0, (CCPercentage!X21/100)*$B21)</f>
        <v>0</v>
      </c>
      <c r="U21" s="203">
        <f>IF(ISERR((CCPercentage!Y21/100)*$B21), 0, (CCPercentage!Y21/100)*$B21)</f>
        <v>0</v>
      </c>
      <c r="V21" s="203">
        <f>IF(ISERR((CCPercentage!Z21/100)*$B21), 0, (CCPercentage!Z21/100)*$B21)</f>
        <v>0</v>
      </c>
      <c r="W21" s="366"/>
    </row>
    <row r="22" spans="1:23">
      <c r="A22" s="279">
        <v>1995</v>
      </c>
      <c r="B22" s="575">
        <f>Harvests!I113</f>
        <v>67561</v>
      </c>
      <c r="C22" s="203">
        <f>IF(ISERR((CCPercentage!G22/100)*$B22), 0, (CCPercentage!G22/100)*$B22)</f>
        <v>0</v>
      </c>
      <c r="D22" s="203">
        <f>IF(ISERR((CCPercentage!H22/100)*$B22), 0, (CCPercentage!H22/100)*$B22)</f>
        <v>0</v>
      </c>
      <c r="E22" s="203">
        <f>IF(ISERR((CCPercentage!I22/100)*$B22), 0, (CCPercentage!I22/100)*$B22)</f>
        <v>189.28684106343454</v>
      </c>
      <c r="F22" s="203">
        <f>IF(ISERR((CCPercentage!J22/100)*$B22), 0, (CCPercentage!J22/100)*$B22)</f>
        <v>0</v>
      </c>
      <c r="G22" s="203">
        <f>IF(ISERR((CCPercentage!K22/100)*$B22), 0, (CCPercentage!K22/100)*$B22)</f>
        <v>3979.1385936595912</v>
      </c>
      <c r="H22" s="203">
        <f>IF(ISERR((CCPercentage!L22/100)*$B22), 0, (CCPercentage!L22/100)*$B22)</f>
        <v>0</v>
      </c>
      <c r="I22" s="203">
        <f>IF(ISERR((CCPercentage!M22/100)*$B22), 0, (CCPercentage!M22/100)*$B22)</f>
        <v>0</v>
      </c>
      <c r="J22" s="203">
        <f>IF(ISERR((CCPercentage!N22/100)*$B22), 0, (CCPercentage!N22/100)*$B22)</f>
        <v>36293.69430824984</v>
      </c>
      <c r="K22" s="203">
        <f>IF(ISERR((CCPercentage!O22/100)*$B22), 0, (CCPercentage!O22/100)*$B22)</f>
        <v>84.356092213052349</v>
      </c>
      <c r="L22" s="203">
        <f>IF(ISERR((CCPercentage!P22/100)*$B22), 0, (CCPercentage!P22/100)*$B22)</f>
        <v>0</v>
      </c>
      <c r="M22" s="203">
        <f>IF(ISERR((CCPercentage!Q22/100)*$B22), 0, (CCPercentage!Q22/100)*$B22)</f>
        <v>0</v>
      </c>
      <c r="N22" s="203">
        <f>IF(ISERR((CCPercentage!R22/100)*$B22), 0, (CCPercentage!R22/100)*$B22)</f>
        <v>25847.941133477478</v>
      </c>
      <c r="O22" s="203">
        <f>IF(ISERR((CCPercentage!S22/100)*$B22), 0, (CCPercentage!S22/100)*$B22)</f>
        <v>473.21710265858633</v>
      </c>
      <c r="P22" s="203">
        <f>IF(ISERR((CCPercentage!T22/100)*$B22), 0, (CCPercentage!T22/100)*$B22)</f>
        <v>0</v>
      </c>
      <c r="Q22" s="203">
        <f>IF(ISERR((CCPercentage!U22/100)*$B22), 0, (CCPercentage!U22/100)*$B22)</f>
        <v>652.21661540335595</v>
      </c>
      <c r="R22" s="203">
        <f>IF(ISERR((CCPercentage!V22/100)*$B22), 0, (CCPercentage!V22/100)*$B22)</f>
        <v>41.149313274659683</v>
      </c>
      <c r="S22" s="203">
        <f>IF(ISERR((CCPercentage!W22/100)*$B22), 0, (CCPercentage!W22/100)*$B22)</f>
        <v>0</v>
      </c>
      <c r="T22" s="203">
        <f>IF(ISERR((CCPercentage!X22/100)*$B22), 0, (CCPercentage!X22/100)*$B22)</f>
        <v>0</v>
      </c>
      <c r="U22" s="203">
        <f>IF(ISERR((CCPercentage!Y22/100)*$B22), 0, (CCPercentage!Y22/100)*$B22)</f>
        <v>0</v>
      </c>
      <c r="V22" s="203">
        <f>IF(ISERR((CCPercentage!Z22/100)*$B22), 0, (CCPercentage!Z22/100)*$B22)</f>
        <v>0</v>
      </c>
      <c r="W22" s="366"/>
    </row>
    <row r="23" spans="1:23">
      <c r="A23" s="279">
        <v>1996</v>
      </c>
      <c r="B23" s="575">
        <f>Harvests!I114</f>
        <v>58209</v>
      </c>
      <c r="C23" s="203">
        <f>IF(ISERR((CCPercentage!G23/100)*$B23), 0, (CCPercentage!G23/100)*$B23)</f>
        <v>0</v>
      </c>
      <c r="D23" s="203">
        <f>IF(ISERR((CCPercentage!H23/100)*$B23), 0, (CCPercentage!H23/100)*$B23)</f>
        <v>0</v>
      </c>
      <c r="E23" s="203">
        <f>IF(ISERR((CCPercentage!I23/100)*$B23), 0, (CCPercentage!I23/100)*$B23)</f>
        <v>342.06129820651978</v>
      </c>
      <c r="F23" s="203">
        <f>IF(ISERR((CCPercentage!J23/100)*$B23), 0, (CCPercentage!J23/100)*$B23)</f>
        <v>0</v>
      </c>
      <c r="G23" s="203">
        <f>IF(ISERR((CCPercentage!K23/100)*$B23), 0, (CCPercentage!K23/100)*$B23)</f>
        <v>3803.4705818926782</v>
      </c>
      <c r="H23" s="203">
        <f>IF(ISERR((CCPercentage!L23/100)*$B23), 0, (CCPercentage!L23/100)*$B23)</f>
        <v>85.77683930561048</v>
      </c>
      <c r="I23" s="203">
        <f>IF(ISERR((CCPercentage!M23/100)*$B23), 0, (CCPercentage!M23/100)*$B23)</f>
        <v>0</v>
      </c>
      <c r="J23" s="203">
        <f>IF(ISERR((CCPercentage!N23/100)*$B23), 0, (CCPercentage!N23/100)*$B23)</f>
        <v>27184.981705782986</v>
      </c>
      <c r="K23" s="203">
        <f>IF(ISERR((CCPercentage!O23/100)*$B23), 0, (CCPercentage!O23/100)*$B23)</f>
        <v>285.57411134672753</v>
      </c>
      <c r="L23" s="203">
        <f>IF(ISERR((CCPercentage!P23/100)*$B23), 0, (CCPercentage!P23/100)*$B23)</f>
        <v>42.88841965280524</v>
      </c>
      <c r="M23" s="203">
        <f>IF(ISERR((CCPercentage!Q23/100)*$B23), 0, (CCPercentage!Q23/100)*$B23)</f>
        <v>0</v>
      </c>
      <c r="N23" s="203">
        <f>IF(ISERR((CCPercentage!R23/100)*$B23), 0, (CCPercentage!R23/100)*$B23)</f>
        <v>25722.591201523919</v>
      </c>
      <c r="O23" s="203">
        <f>IF(ISERR((CCPercentage!S23/100)*$B23), 0, (CCPercentage!S23/100)*$B23)</f>
        <v>379.71942277971471</v>
      </c>
      <c r="P23" s="203">
        <f>IF(ISERR((CCPercentage!T23/100)*$B23), 0, (CCPercentage!T23/100)*$B23)</f>
        <v>0</v>
      </c>
      <c r="Q23" s="203">
        <f>IF(ISERR((CCPercentage!U23/100)*$B23), 0, (CCPercentage!U23/100)*$B23)</f>
        <v>76.362308162311749</v>
      </c>
      <c r="R23" s="203">
        <f>IF(ISERR((CCPercentage!V23/100)*$B23), 0, (CCPercentage!V23/100)*$B23)</f>
        <v>261.51475398051969</v>
      </c>
      <c r="S23" s="203">
        <f>IF(ISERR((CCPercentage!W23/100)*$B23), 0, (CCPercentage!W23/100)*$B23)</f>
        <v>0</v>
      </c>
      <c r="T23" s="203">
        <f>IF(ISERR((CCPercentage!X23/100)*$B23), 0, (CCPercentage!X23/100)*$B23)</f>
        <v>0</v>
      </c>
      <c r="U23" s="203">
        <f>IF(ISERR((CCPercentage!Y23/100)*$B23), 0, (CCPercentage!Y23/100)*$B23)</f>
        <v>24.059357366207816</v>
      </c>
      <c r="V23" s="203">
        <f>IF(ISERR((CCPercentage!Z23/100)*$B23), 0, (CCPercentage!Z23/100)*$B23)</f>
        <v>0</v>
      </c>
      <c r="W23" s="366"/>
    </row>
    <row r="24" spans="1:23">
      <c r="A24" s="279">
        <v>1997</v>
      </c>
      <c r="B24" s="575">
        <f>Harvests!I115</f>
        <v>52739</v>
      </c>
      <c r="C24" s="203">
        <f>IF(ISERR((CCPercentage!G24/100)*$B24), 0, (CCPercentage!G24/100)*$B24)</f>
        <v>0</v>
      </c>
      <c r="D24" s="203">
        <f>IF(ISERR((CCPercentage!H24/100)*$B24), 0, (CCPercentage!H24/100)*$B24)</f>
        <v>0</v>
      </c>
      <c r="E24" s="203">
        <f>IF(ISERR((CCPercentage!I24/100)*$B24), 0, (CCPercentage!I24/100)*$B24)</f>
        <v>132.68578616842842</v>
      </c>
      <c r="F24" s="203">
        <f>IF(ISERR((CCPercentage!J24/100)*$B24), 0, (CCPercentage!J24/100)*$B24)</f>
        <v>0</v>
      </c>
      <c r="G24" s="203">
        <f>IF(ISERR((CCPercentage!K24/100)*$B24), 0, (CCPercentage!K24/100)*$B24)</f>
        <v>4930.9740999336891</v>
      </c>
      <c r="H24" s="203">
        <f>IF(ISERR((CCPercentage!L24/100)*$B24), 0, (CCPercentage!L24/100)*$B24)</f>
        <v>0</v>
      </c>
      <c r="I24" s="203">
        <f>IF(ISERR((CCPercentage!M24/100)*$B24), 0, (CCPercentage!M24/100)*$B24)</f>
        <v>0</v>
      </c>
      <c r="J24" s="203">
        <f>IF(ISERR((CCPercentage!N24/100)*$B24), 0, (CCPercentage!N24/100)*$B24)</f>
        <v>30380.930744626909</v>
      </c>
      <c r="K24" s="203">
        <f>IF(ISERR((CCPercentage!O24/100)*$B24), 0, (CCPercentage!O24/100)*$B24)</f>
        <v>0</v>
      </c>
      <c r="L24" s="203">
        <f>IF(ISERR((CCPercentage!P24/100)*$B24), 0, (CCPercentage!P24/100)*$B24)</f>
        <v>0</v>
      </c>
      <c r="M24" s="203">
        <f>IF(ISERR((CCPercentage!Q24/100)*$B24), 0, (CCPercentage!Q24/100)*$B24)</f>
        <v>0</v>
      </c>
      <c r="N24" s="203">
        <f>IF(ISERR((CCPercentage!R24/100)*$B24), 0, (CCPercentage!R24/100)*$B24)</f>
        <v>16375.894585949995</v>
      </c>
      <c r="O24" s="203">
        <f>IF(ISERR((CCPercentage!S24/100)*$B24), 0, (CCPercentage!S24/100)*$B24)</f>
        <v>598.62889573663062</v>
      </c>
      <c r="P24" s="203">
        <f>IF(ISERR((CCPercentage!T24/100)*$B24), 0, (CCPercentage!T24/100)*$B24)</f>
        <v>0</v>
      </c>
      <c r="Q24" s="203">
        <f>IF(ISERR((CCPercentage!U24/100)*$B24), 0, (CCPercentage!U24/100)*$B24)</f>
        <v>77.14289893513282</v>
      </c>
      <c r="R24" s="203">
        <f>IF(ISERR((CCPercentage!V24/100)*$B24), 0, (CCPercentage!V24/100)*$B24)</f>
        <v>242.74298864921792</v>
      </c>
      <c r="S24" s="203">
        <f>IF(ISERR((CCPercentage!W24/100)*$B24), 0, (CCPercentage!W24/100)*$B24)</f>
        <v>0</v>
      </c>
      <c r="T24" s="203">
        <f>IF(ISERR((CCPercentage!X24/100)*$B24), 0, (CCPercentage!X24/100)*$B24)</f>
        <v>0</v>
      </c>
      <c r="U24" s="203">
        <f>IF(ISERR((CCPercentage!Y24/100)*$B24), 0, (CCPercentage!Y24/100)*$B24)</f>
        <v>0</v>
      </c>
      <c r="V24" s="203">
        <f>IF(ISERR((CCPercentage!Z24/100)*$B24), 0, (CCPercentage!Z24/100)*$B24)</f>
        <v>0</v>
      </c>
      <c r="W24" s="366"/>
    </row>
    <row r="25" spans="1:23">
      <c r="A25" s="279">
        <v>1998</v>
      </c>
      <c r="B25" s="575">
        <f>Harvests!I116</f>
        <v>70791</v>
      </c>
      <c r="C25" s="203">
        <f>IF(ISERR((CCPercentage!G25/100)*$B25), 0, (CCPercentage!G25/100)*$B25)</f>
        <v>0</v>
      </c>
      <c r="D25" s="203">
        <f>IF(ISERR((CCPercentage!H25/100)*$B25), 0, (CCPercentage!H25/100)*$B25)</f>
        <v>44.227018466590145</v>
      </c>
      <c r="E25" s="203">
        <f>IF(ISERR((CCPercentage!I25/100)*$B25), 0, (CCPercentage!I25/100)*$B25)</f>
        <v>179.99367980589017</v>
      </c>
      <c r="F25" s="203">
        <f>IF(ISERR((CCPercentage!J25/100)*$B25), 0, (CCPercentage!J25/100)*$B25)</f>
        <v>44.227018466590145</v>
      </c>
      <c r="G25" s="203">
        <f>IF(ISERR((CCPercentage!K25/100)*$B25), 0, (CCPercentage!K25/100)*$B25)</f>
        <v>4628.4089092943177</v>
      </c>
      <c r="H25" s="203">
        <f>IF(ISERR((CCPercentage!L25/100)*$B25), 0, (CCPercentage!L25/100)*$B25)</f>
        <v>44.227018466590145</v>
      </c>
      <c r="I25" s="203">
        <f>IF(ISERR((CCPercentage!M25/100)*$B25), 0, (CCPercentage!M25/100)*$B25)</f>
        <v>0</v>
      </c>
      <c r="J25" s="203">
        <f>IF(ISERR((CCPercentage!N25/100)*$B25), 0, (CCPercentage!N25/100)*$B25)</f>
        <v>45074.531564647594</v>
      </c>
      <c r="K25" s="203">
        <f>IF(ISERR((CCPercentage!O25/100)*$B25), 0, (CCPercentage!O25/100)*$B25)</f>
        <v>192.33610356400831</v>
      </c>
      <c r="L25" s="203">
        <f>IF(ISERR((CCPercentage!P25/100)*$B25), 0, (CCPercentage!P25/100)*$B25)</f>
        <v>0</v>
      </c>
      <c r="M25" s="203">
        <f>IF(ISERR((CCPercentage!Q25/100)*$B25), 0, (CCPercentage!Q25/100)*$B25)</f>
        <v>0</v>
      </c>
      <c r="N25" s="203">
        <f>IF(ISERR((CCPercentage!R25/100)*$B25), 0, (CCPercentage!R25/100)*$B25)</f>
        <v>19591.54064538626</v>
      </c>
      <c r="O25" s="203">
        <f>IF(ISERR((CCPercentage!S25/100)*$B25), 0, (CCPercentage!S25/100)*$B25)</f>
        <v>348.67347116683862</v>
      </c>
      <c r="P25" s="203">
        <f>IF(ISERR((CCPercentage!T25/100)*$B25), 0, (CCPercentage!T25/100)*$B25)</f>
        <v>0</v>
      </c>
      <c r="Q25" s="203">
        <f>IF(ISERR((CCPercentage!U25/100)*$B25), 0, (CCPercentage!U25/100)*$B25)</f>
        <v>0</v>
      </c>
      <c r="R25" s="203">
        <f>IF(ISERR((CCPercentage!V25/100)*$B25), 0, (CCPercentage!V25/100)*$B25)</f>
        <v>642.8345707353219</v>
      </c>
      <c r="S25" s="203">
        <f>IF(ISERR((CCPercentage!W25/100)*$B25), 0, (CCPercentage!W25/100)*$B25)</f>
        <v>0</v>
      </c>
      <c r="T25" s="203">
        <f>IF(ISERR((CCPercentage!X25/100)*$B25), 0, (CCPercentage!X25/100)*$B25)</f>
        <v>0</v>
      </c>
      <c r="U25" s="203">
        <f>IF(ISERR((CCPercentage!Y25/100)*$B25), 0, (CCPercentage!Y25/100)*$B25)</f>
        <v>0</v>
      </c>
      <c r="V25" s="203">
        <f>IF(ISERR((CCPercentage!Z25/100)*$B25), 0, (CCPercentage!Z25/100)*$B25)</f>
        <v>0</v>
      </c>
      <c r="W25" s="366"/>
    </row>
    <row r="26" spans="1:23">
      <c r="A26" s="279">
        <v>1999</v>
      </c>
      <c r="B26" s="575">
        <f>Harvests!I117</f>
        <v>63861</v>
      </c>
      <c r="C26" s="203">
        <f>IF(ISERR((CCPercentage!G26/100)*$B26), 0, (CCPercentage!G26/100)*$B26)</f>
        <v>0</v>
      </c>
      <c r="D26" s="203">
        <f>IF(ISERR((CCPercentage!H26/100)*$B26), 0, (CCPercentage!H26/100)*$B26)</f>
        <v>0</v>
      </c>
      <c r="E26" s="203">
        <f>IF(ISERR((CCPercentage!I26/100)*$B26), 0, (CCPercentage!I26/100)*$B26)</f>
        <v>0</v>
      </c>
      <c r="F26" s="203">
        <f>IF(ISERR((CCPercentage!J26/100)*$B26), 0, (CCPercentage!J26/100)*$B26)</f>
        <v>0</v>
      </c>
      <c r="G26" s="203">
        <f>IF(ISERR((CCPercentage!K26/100)*$B26), 0, (CCPercentage!K26/100)*$B26)</f>
        <v>6150.7843495837142</v>
      </c>
      <c r="H26" s="203">
        <f>IF(ISERR((CCPercentage!L26/100)*$B26), 0, (CCPercentage!L26/100)*$B26)</f>
        <v>0</v>
      </c>
      <c r="I26" s="203">
        <f>IF(ISERR((CCPercentage!M26/100)*$B26), 0, (CCPercentage!M26/100)*$B26)</f>
        <v>0</v>
      </c>
      <c r="J26" s="203">
        <f>IF(ISERR((CCPercentage!N26/100)*$B26), 0, (CCPercentage!N26/100)*$B26)</f>
        <v>33161.373983348574</v>
      </c>
      <c r="K26" s="203">
        <f>IF(ISERR((CCPercentage!O26/100)*$B26), 0, (CCPercentage!O26/100)*$B26)</f>
        <v>253.0385966600895</v>
      </c>
      <c r="L26" s="203">
        <f>IF(ISERR((CCPercentage!P26/100)*$B26), 0, (CCPercentage!P26/100)*$B26)</f>
        <v>0</v>
      </c>
      <c r="M26" s="203">
        <f>IF(ISERR((CCPercentage!Q26/100)*$B26), 0, (CCPercentage!Q26/100)*$B26)</f>
        <v>0</v>
      </c>
      <c r="N26" s="203">
        <f>IF(ISERR((CCPercentage!R26/100)*$B26), 0, (CCPercentage!R26/100)*$B26)</f>
        <v>22952.752057365607</v>
      </c>
      <c r="O26" s="203">
        <f>IF(ISERR((CCPercentage!S26/100)*$B26), 0, (CCPercentage!S26/100)*$B26)</f>
        <v>792.9225660522643</v>
      </c>
      <c r="P26" s="203">
        <f>IF(ISERR((CCPercentage!T26/100)*$B26), 0, (CCPercentage!T26/100)*$B26)</f>
        <v>0</v>
      </c>
      <c r="Q26" s="203">
        <f>IF(ISERR((CCPercentage!U26/100)*$B26), 0, (CCPercentage!U26/100)*$B26)</f>
        <v>374.94788007122571</v>
      </c>
      <c r="R26" s="203">
        <f>IF(ISERR((CCPercentage!V26/100)*$B26), 0, (CCPercentage!V26/100)*$B26)</f>
        <v>175.18056691852354</v>
      </c>
      <c r="S26" s="203">
        <f>IF(ISERR((CCPercentage!W26/100)*$B26), 0, (CCPercentage!W26/100)*$B26)</f>
        <v>0</v>
      </c>
      <c r="T26" s="203">
        <f>IF(ISERR((CCPercentage!X26/100)*$B26), 0, (CCPercentage!X26/100)*$B26)</f>
        <v>0</v>
      </c>
      <c r="U26" s="203">
        <f>IF(ISERR((CCPercentage!Y26/100)*$B26), 0, (CCPercentage!Y26/100)*$B26)</f>
        <v>0</v>
      </c>
      <c r="V26" s="203">
        <f>IF(ISERR((CCPercentage!Z26/100)*$B26), 0, (CCPercentage!Z26/100)*$B26)</f>
        <v>0</v>
      </c>
      <c r="W26" s="366"/>
    </row>
    <row r="27" spans="1:23">
      <c r="A27" s="279">
        <v>2000</v>
      </c>
      <c r="B27" s="575">
        <f>Harvests!I118</f>
        <v>32707</v>
      </c>
      <c r="C27" s="203">
        <f>IF(ISERR((CCPercentage!G27/100)*$B27), 0, (CCPercentage!G27/100)*$B27)</f>
        <v>0</v>
      </c>
      <c r="D27" s="203">
        <f>IF(ISERR((CCPercentage!H27/100)*$B27), 0, (CCPercentage!H27/100)*$B27)</f>
        <v>0</v>
      </c>
      <c r="E27" s="203">
        <f>IF(ISERR((CCPercentage!I27/100)*$B27), 0, (CCPercentage!I27/100)*$B27)</f>
        <v>11.774519999999999</v>
      </c>
      <c r="F27" s="203">
        <f>IF(ISERR((CCPercentage!J27/100)*$B27), 0, (CCPercentage!J27/100)*$B27)</f>
        <v>0</v>
      </c>
      <c r="G27" s="203">
        <f>IF(ISERR((CCPercentage!K27/100)*$B27), 0, (CCPercentage!K27/100)*$B27)</f>
        <v>1954.24325</v>
      </c>
      <c r="H27" s="203">
        <f>IF(ISERR((CCPercentage!L27/100)*$B27), 0, (CCPercentage!L27/100)*$B27)</f>
        <v>0</v>
      </c>
      <c r="I27" s="203">
        <f>IF(ISERR((CCPercentage!M27/100)*$B27), 0, (CCPercentage!M27/100)*$B27)</f>
        <v>0</v>
      </c>
      <c r="J27" s="203">
        <f>IF(ISERR((CCPercentage!N27/100)*$B27), 0, (CCPercentage!N27/100)*$B27)</f>
        <v>22667.259279999998</v>
      </c>
      <c r="K27" s="203">
        <f>IF(ISERR((CCPercentage!O27/100)*$B27), 0, (CCPercentage!O27/100)*$B27)</f>
        <v>123.30539</v>
      </c>
      <c r="L27" s="203">
        <f>IF(ISERR((CCPercentage!P27/100)*$B27), 0, (CCPercentage!P27/100)*$B27)</f>
        <v>0</v>
      </c>
      <c r="M27" s="203">
        <f>IF(ISERR((CCPercentage!Q27/100)*$B27), 0, (CCPercentage!Q27/100)*$B27)</f>
        <v>0</v>
      </c>
      <c r="N27" s="203">
        <f>IF(ISERR((CCPercentage!R27/100)*$B27), 0, (CCPercentage!R27/100)*$B27)</f>
        <v>7432.3386799999998</v>
      </c>
      <c r="O27" s="203">
        <f>IF(ISERR((CCPercentage!S27/100)*$B27), 0, (CCPercentage!S27/100)*$B27)</f>
        <v>306.46458999999999</v>
      </c>
      <c r="P27" s="203">
        <f>IF(ISERR((CCPercentage!T27/100)*$B27), 0, (CCPercentage!T27/100)*$B27)</f>
        <v>0</v>
      </c>
      <c r="Q27" s="203">
        <f>IF(ISERR((CCPercentage!U27/100)*$B27), 0, (CCPercentage!U27/100)*$B27)</f>
        <v>77.188519999999983</v>
      </c>
      <c r="R27" s="203">
        <f>IF(ISERR((CCPercentage!V27/100)*$B27), 0, (CCPercentage!V27/100)*$B27)</f>
        <v>133.44455999999997</v>
      </c>
      <c r="S27" s="203">
        <f>IF(ISERR((CCPercentage!W27/100)*$B27), 0, (CCPercentage!W27/100)*$B27)</f>
        <v>0</v>
      </c>
      <c r="T27" s="203">
        <f>IF(ISERR((CCPercentage!X27/100)*$B27), 0, (CCPercentage!X27/100)*$B27)</f>
        <v>0</v>
      </c>
      <c r="U27" s="203">
        <f>IF(ISERR((CCPercentage!Y27/100)*$B27), 0, (CCPercentage!Y27/100)*$B27)</f>
        <v>0</v>
      </c>
      <c r="V27" s="203">
        <f>IF(ISERR((CCPercentage!Z27/100)*$B27), 0, (CCPercentage!Z27/100)*$B27)</f>
        <v>0</v>
      </c>
      <c r="W27" s="366"/>
    </row>
    <row r="28" spans="1:23">
      <c r="A28" s="279">
        <v>2001</v>
      </c>
      <c r="B28" s="575">
        <f>Harvests!I119</f>
        <v>41361</v>
      </c>
      <c r="C28" s="203">
        <f>IF(ISERR((CCPercentage!G28/100)*$B28), 0, (CCPercentage!G28/100)*$B28)</f>
        <v>0</v>
      </c>
      <c r="D28" s="203">
        <f>IF(ISERR((CCPercentage!H28/100)*$B28), 0, (CCPercentage!H28/100)*$B28)</f>
        <v>43.015439999999998</v>
      </c>
      <c r="E28" s="203">
        <f>IF(ISERR((CCPercentage!I28/100)*$B28), 0, (CCPercentage!I28/100)*$B28)</f>
        <v>59.559839999999994</v>
      </c>
      <c r="F28" s="203">
        <f>IF(ISERR((CCPercentage!J28/100)*$B28), 0, (CCPercentage!J28/100)*$B28)</f>
        <v>0</v>
      </c>
      <c r="G28" s="203">
        <f>IF(ISERR((CCPercentage!K28/100)*$B28), 0, (CCPercentage!K28/100)*$B28)</f>
        <v>4944.2939400000005</v>
      </c>
      <c r="H28" s="203">
        <f>IF(ISERR((CCPercentage!L28/100)*$B28), 0, (CCPercentage!L28/100)*$B28)</f>
        <v>98.439179999999993</v>
      </c>
      <c r="I28" s="203">
        <f>IF(ISERR((CCPercentage!M28/100)*$B28), 0, (CCPercentage!M28/100)*$B28)</f>
        <v>0</v>
      </c>
      <c r="J28" s="203">
        <f>IF(ISERR((CCPercentage!N28/100)*$B28), 0, (CCPercentage!N28/100)*$B28)</f>
        <v>26663.368650000004</v>
      </c>
      <c r="K28" s="203">
        <f>IF(ISERR((CCPercentage!O28/100)*$B28), 0, (CCPercentage!O28/100)*$B28)</f>
        <v>112.50192000000001</v>
      </c>
      <c r="L28" s="203">
        <f>IF(ISERR((CCPercentage!P28/100)*$B28), 0, (CCPercentage!P28/100)*$B28)</f>
        <v>0</v>
      </c>
      <c r="M28" s="203">
        <f>IF(ISERR((CCPercentage!Q28/100)*$B28), 0, (CCPercentage!Q28/100)*$B28)</f>
        <v>0</v>
      </c>
      <c r="N28" s="203">
        <f>IF(ISERR((CCPercentage!R28/100)*$B28), 0, (CCPercentage!R28/100)*$B28)</f>
        <v>8962.9287000000004</v>
      </c>
      <c r="O28" s="203">
        <f>IF(ISERR((CCPercentage!S28/100)*$B28), 0, (CCPercentage!S28/100)*$B28)</f>
        <v>395.41115999999994</v>
      </c>
      <c r="P28" s="203">
        <f>IF(ISERR((CCPercentage!T28/100)*$B28), 0, (CCPercentage!T28/100)*$B28)</f>
        <v>0</v>
      </c>
      <c r="Q28" s="203">
        <f>IF(ISERR((CCPercentage!U28/100)*$B28), 0, (CCPercentage!U28/100)*$B28)</f>
        <v>35.984069999999996</v>
      </c>
      <c r="R28" s="203">
        <f>IF(ISERR((CCPercentage!V28/100)*$B28), 0, (CCPercentage!V28/100)*$B28)</f>
        <v>43.842659999999995</v>
      </c>
      <c r="S28" s="203">
        <f>IF(ISERR((CCPercentage!W28/100)*$B28), 0, (CCPercentage!W28/100)*$B28)</f>
        <v>0</v>
      </c>
      <c r="T28" s="203">
        <f>IF(ISERR((CCPercentage!X28/100)*$B28), 0, (CCPercentage!X28/100)*$B28)</f>
        <v>0</v>
      </c>
      <c r="U28" s="203">
        <f>IF(ISERR((CCPercentage!Y28/100)*$B28), 0, (CCPercentage!Y28/100)*$B28)</f>
        <v>0</v>
      </c>
      <c r="V28" s="203">
        <f>IF(ISERR((CCPercentage!Z28/100)*$B28), 0, (CCPercentage!Z28/100)*$B28)</f>
        <v>0</v>
      </c>
      <c r="W28" s="366"/>
    </row>
    <row r="29" spans="1:23">
      <c r="A29" s="279">
        <v>2002</v>
      </c>
      <c r="B29" s="575">
        <f>Harvests!I120</f>
        <v>40101</v>
      </c>
      <c r="C29" s="203">
        <f>IF(ISERR((CCPercentage!G29/100)*$B29), 0, (CCPercentage!G29/100)*$B29)</f>
        <v>0</v>
      </c>
      <c r="D29" s="203">
        <f>IF(ISERR((CCPercentage!H29/100)*$B29), 0, (CCPercentage!H29/100)*$B29)</f>
        <v>10.246736121316594</v>
      </c>
      <c r="E29" s="203">
        <f>IF(ISERR((CCPercentage!I29/100)*$B29), 0, (CCPercentage!I29/100)*$B29)</f>
        <v>101.5848604478258</v>
      </c>
      <c r="F29" s="203">
        <f>IF(ISERR((CCPercentage!J29/100)*$B29), 0, (CCPercentage!J29/100)*$B29)</f>
        <v>0</v>
      </c>
      <c r="G29" s="203">
        <f>IF(ISERR((CCPercentage!K29/100)*$B29), 0, (CCPercentage!K29/100)*$B29)</f>
        <v>5095.1868468108833</v>
      </c>
      <c r="H29" s="203">
        <f>IF(ISERR((CCPercentage!L29/100)*$B29), 0, (CCPercentage!L29/100)*$B29)</f>
        <v>25.464136247746051</v>
      </c>
      <c r="I29" s="203">
        <f>IF(ISERR((CCPercentage!M29/100)*$B29), 0, (CCPercentage!M29/100)*$B29)</f>
        <v>0</v>
      </c>
      <c r="J29" s="203">
        <f>IF(ISERR((CCPercentage!N29/100)*$B29), 0, (CCPercentage!N29/100)*$B29)</f>
        <v>24577.189989955619</v>
      </c>
      <c r="K29" s="203">
        <f>IF(ISERR((CCPercentage!O29/100)*$B29), 0, (CCPercentage!O29/100)*$B29)</f>
        <v>219.26475344036837</v>
      </c>
      <c r="L29" s="203">
        <f>IF(ISERR((CCPercentage!P29/100)*$B29), 0, (CCPercentage!P29/100)*$B29)</f>
        <v>0</v>
      </c>
      <c r="M29" s="203">
        <f>IF(ISERR((CCPercentage!Q29/100)*$B29), 0, (CCPercentage!Q29/100)*$B29)</f>
        <v>0</v>
      </c>
      <c r="N29" s="203">
        <f>IF(ISERR((CCPercentage!R29/100)*$B29), 0, (CCPercentage!R29/100)*$B29)</f>
        <v>9655.7499289530497</v>
      </c>
      <c r="O29" s="203">
        <f>IF(ISERR((CCPercentage!S29/100)*$B29), 0, (CCPercentage!S29/100)*$B29)</f>
        <v>187.30677258001015</v>
      </c>
      <c r="P29" s="203">
        <f>IF(ISERR((CCPercentage!T29/100)*$B29), 0, (CCPercentage!T29/100)*$B29)</f>
        <v>0</v>
      </c>
      <c r="Q29" s="203">
        <f>IF(ISERR((CCPercentage!U29/100)*$B29), 0, (CCPercentage!U29/100)*$B29)</f>
        <v>28.155387956486891</v>
      </c>
      <c r="R29" s="203">
        <f>IF(ISERR((CCPercentage!V29/100)*$B29), 0, (CCPercentage!V29/100)*$B29)</f>
        <v>200.85058748669951</v>
      </c>
      <c r="S29" s="203">
        <f>IF(ISERR((CCPercentage!W29/100)*$B29), 0, (CCPercentage!W29/100)*$B29)</f>
        <v>0</v>
      </c>
      <c r="T29" s="203">
        <f>IF(ISERR((CCPercentage!X29/100)*$B29), 0, (CCPercentage!X29/100)*$B29)</f>
        <v>0</v>
      </c>
      <c r="U29" s="203">
        <f>IF(ISERR((CCPercentage!Y29/100)*$B29), 0, (CCPercentage!Y29/100)*$B29)</f>
        <v>0</v>
      </c>
      <c r="V29" s="203">
        <f>IF(ISERR((CCPercentage!Z29/100)*$B29), 0, (CCPercentage!Z29/100)*$B29)</f>
        <v>0</v>
      </c>
      <c r="W29" s="366"/>
    </row>
    <row r="30" spans="1:23">
      <c r="A30" s="279">
        <v>2003</v>
      </c>
      <c r="B30" s="575">
        <f>Harvests!I121</f>
        <v>49791</v>
      </c>
      <c r="C30" s="203">
        <f>IF(ISERR((CCPercentage!G30/100)*$B30), 0, (CCPercentage!G30/100)*$B30)</f>
        <v>0</v>
      </c>
      <c r="D30" s="203">
        <f>IF(ISERR((CCPercentage!H30/100)*$B30), 0, (CCPercentage!H30/100)*$B30)</f>
        <v>37.890512827698544</v>
      </c>
      <c r="E30" s="203">
        <f>IF(ISERR((CCPercentage!I30/100)*$B30), 0, (CCPercentage!I30/100)*$B30)</f>
        <v>197.08640943128464</v>
      </c>
      <c r="F30" s="203">
        <f>IF(ISERR((CCPercentage!J30/100)*$B30), 0, (CCPercentage!J30/100)*$B30)</f>
        <v>75.781025655397059</v>
      </c>
      <c r="G30" s="203">
        <f>IF(ISERR((CCPercentage!K30/100)*$B30), 0, (CCPercentage!K30/100)*$B30)</f>
        <v>2913.8653049393247</v>
      </c>
      <c r="H30" s="203">
        <f>IF(ISERR((CCPercentage!L30/100)*$B30), 0, (CCPercentage!L30/100)*$B30)</f>
        <v>32.258563187442107</v>
      </c>
      <c r="I30" s="203">
        <f>IF(ISERR((CCPercentage!M30/100)*$B30), 0, (CCPercentage!M30/100)*$B30)</f>
        <v>0</v>
      </c>
      <c r="J30" s="203">
        <f>IF(ISERR((CCPercentage!N30/100)*$B30), 0, (CCPercentage!N30/100)*$B30)</f>
        <v>31423.498527098498</v>
      </c>
      <c r="K30" s="203">
        <f>IF(ISERR((CCPercentage!O30/100)*$B30), 0, (CCPercentage!O30/100)*$B30)</f>
        <v>0</v>
      </c>
      <c r="L30" s="203">
        <f>IF(ISERR((CCPercentage!P30/100)*$B30), 0, (CCPercentage!P30/100)*$B30)</f>
        <v>0</v>
      </c>
      <c r="M30" s="203">
        <f>IF(ISERR((CCPercentage!Q30/100)*$B30), 0, (CCPercentage!Q30/100)*$B30)</f>
        <v>0</v>
      </c>
      <c r="N30" s="203">
        <f>IF(ISERR((CCPercentage!R30/100)*$B30), 0, (CCPercentage!R30/100)*$B30)</f>
        <v>14446.154706180352</v>
      </c>
      <c r="O30" s="203">
        <f>IF(ISERR((CCPercentage!S30/100)*$B30), 0, (CCPercentage!S30/100)*$B30)</f>
        <v>584.66059559926737</v>
      </c>
      <c r="P30" s="203">
        <f>IF(ISERR((CCPercentage!T30/100)*$B30), 0, (CCPercentage!T30/100)*$B30)</f>
        <v>0</v>
      </c>
      <c r="Q30" s="203">
        <f>IF(ISERR((CCPercentage!U30/100)*$B30), 0, (CCPercentage!U30/100)*$B30)</f>
        <v>13.265794933048342</v>
      </c>
      <c r="R30" s="203">
        <f>IF(ISERR((CCPercentage!V30/100)*$B30), 0, (CCPercentage!V30/100)*$B30)</f>
        <v>66.53856014768516</v>
      </c>
      <c r="S30" s="203">
        <f>IF(ISERR((CCPercentage!W30/100)*$B30), 0, (CCPercentage!W30/100)*$B30)</f>
        <v>0</v>
      </c>
      <c r="T30" s="203">
        <f>IF(ISERR((CCPercentage!X30/100)*$B30), 0, (CCPercentage!X30/100)*$B30)</f>
        <v>0</v>
      </c>
      <c r="U30" s="203">
        <f>IF(ISERR((CCPercentage!Y30/100)*$B30), 0, (CCPercentage!Y30/100)*$B30)</f>
        <v>0</v>
      </c>
      <c r="V30" s="203">
        <f>IF(ISERR((CCPercentage!Z30/100)*$B30), 0, (CCPercentage!Z30/100)*$B30)</f>
        <v>0</v>
      </c>
      <c r="W30" s="366"/>
    </row>
    <row r="31" spans="1:23">
      <c r="A31" s="279">
        <v>2004</v>
      </c>
      <c r="B31" s="575">
        <f>Harvests!I122</f>
        <v>40002</v>
      </c>
      <c r="C31" s="203">
        <f>IF(ISERR((CCPercentage!G31/100)*$B31), 0, (CCPercentage!G31/100)*$B31)</f>
        <v>0</v>
      </c>
      <c r="D31" s="203">
        <f>IF(ISERR((CCPercentage!H31/100)*$B31), 0, (CCPercentage!H31/100)*$B31)</f>
        <v>0</v>
      </c>
      <c r="E31" s="203">
        <f>IF(ISERR((CCPercentage!I31/100)*$B31), 0, (CCPercentage!I31/100)*$B31)</f>
        <v>255.63435262459669</v>
      </c>
      <c r="F31" s="203">
        <f>IF(ISERR((CCPercentage!J31/100)*$B31), 0, (CCPercentage!J31/100)*$B31)</f>
        <v>0</v>
      </c>
      <c r="G31" s="203">
        <f>IF(ISERR((CCPercentage!K31/100)*$B31), 0, (CCPercentage!K31/100)*$B31)</f>
        <v>2484.3220853945559</v>
      </c>
      <c r="H31" s="203">
        <f>IF(ISERR((CCPercentage!L31/100)*$B31), 0, (CCPercentage!L31/100)*$B31)</f>
        <v>19.820400698513343</v>
      </c>
      <c r="I31" s="203">
        <f>IF(ISERR((CCPercentage!M31/100)*$B31), 0, (CCPercentage!M31/100)*$B31)</f>
        <v>0</v>
      </c>
      <c r="J31" s="203">
        <f>IF(ISERR((CCPercentage!N31/100)*$B31), 0, (CCPercentage!N31/100)*$B31)</f>
        <v>20067.437513450957</v>
      </c>
      <c r="K31" s="203">
        <f>IF(ISERR((CCPercentage!O31/100)*$B31), 0, (CCPercentage!O31/100)*$B31)</f>
        <v>90.767671921946032</v>
      </c>
      <c r="L31" s="203">
        <f>IF(ISERR((CCPercentage!P31/100)*$B31), 0, (CCPercentage!P31/100)*$B31)</f>
        <v>0</v>
      </c>
      <c r="M31" s="203">
        <f>IF(ISERR((CCPercentage!Q31/100)*$B31), 0, (CCPercentage!Q31/100)*$B31)</f>
        <v>0</v>
      </c>
      <c r="N31" s="203">
        <f>IF(ISERR((CCPercentage!R31/100)*$B31), 0, (CCPercentage!R31/100)*$B31)</f>
        <v>16568.690329198937</v>
      </c>
      <c r="O31" s="203">
        <f>IF(ISERR((CCPercentage!S31/100)*$B31), 0, (CCPercentage!S31/100)*$B31)</f>
        <v>249.37288231205432</v>
      </c>
      <c r="P31" s="203">
        <f>IF(ISERR((CCPercentage!T31/100)*$B31), 0, (CCPercentage!T31/100)*$B31)</f>
        <v>0</v>
      </c>
      <c r="Q31" s="203">
        <f>IF(ISERR((CCPercentage!U31/100)*$B31), 0, (CCPercentage!U31/100)*$B31)</f>
        <v>0</v>
      </c>
      <c r="R31" s="203">
        <f>IF(ISERR((CCPercentage!V31/100)*$B31), 0, (CCPercentage!V31/100)*$B31)</f>
        <v>265.95476439843895</v>
      </c>
      <c r="S31" s="203">
        <f>IF(ISERR((CCPercentage!W31/100)*$B31), 0, (CCPercentage!W31/100)*$B31)</f>
        <v>0</v>
      </c>
      <c r="T31" s="203">
        <f>IF(ISERR((CCPercentage!X31/100)*$B31), 0, (CCPercentage!X31/100)*$B31)</f>
        <v>0</v>
      </c>
      <c r="U31" s="203">
        <f>IF(ISERR((CCPercentage!Y31/100)*$B31), 0, (CCPercentage!Y31/100)*$B31)</f>
        <v>0</v>
      </c>
      <c r="V31" s="203">
        <f>IF(ISERR((CCPercentage!Z31/100)*$B31), 0, (CCPercentage!Z31/100)*$B31)</f>
        <v>0</v>
      </c>
      <c r="W31" s="366"/>
    </row>
    <row r="32" spans="1:23">
      <c r="A32" s="279">
        <v>2005</v>
      </c>
      <c r="B32" s="575">
        <f>Harvests!I123</f>
        <v>36024</v>
      </c>
      <c r="C32" s="203">
        <f>IF(ISERR((CCPercentage!G32/100)*$B32), 0, (CCPercentage!G32/100)*$B32)</f>
        <v>0</v>
      </c>
      <c r="D32" s="203">
        <f>IF(ISERR((CCPercentage!H32/100)*$B32), 0, (CCPercentage!H32/100)*$B32)</f>
        <v>17.008083435991534</v>
      </c>
      <c r="E32" s="203">
        <f>IF(ISERR((CCPercentage!I32/100)*$B32), 0, (CCPercentage!I32/100)*$B32)</f>
        <v>113.92010655394843</v>
      </c>
      <c r="F32" s="203">
        <f>IF(ISERR((CCPercentage!J32/100)*$B32), 0, (CCPercentage!J32/100)*$B32)</f>
        <v>73.112228386500249</v>
      </c>
      <c r="G32" s="203">
        <f>IF(ISERR((CCPercentage!K32/100)*$B32), 0, (CCPercentage!K32/100)*$B32)</f>
        <v>2455.503114976023</v>
      </c>
      <c r="H32" s="203">
        <f>IF(ISERR((CCPercentage!L32/100)*$B32), 0, (CCPercentage!L32/100)*$B32)</f>
        <v>17.897595931576511</v>
      </c>
      <c r="I32" s="203">
        <f>IF(ISERR((CCPercentage!M32/100)*$B32), 0, (CCPercentage!M32/100)*$B32)</f>
        <v>0</v>
      </c>
      <c r="J32" s="203">
        <f>IF(ISERR((CCPercentage!N32/100)*$B32), 0, (CCPercentage!N32/100)*$B32)</f>
        <v>20565.983346167533</v>
      </c>
      <c r="K32" s="203">
        <f>IF(ISERR((CCPercentage!O32/100)*$B32), 0, (CCPercentage!O32/100)*$B32)</f>
        <v>109.03859044184568</v>
      </c>
      <c r="L32" s="203">
        <f>IF(ISERR((CCPercentage!P32/100)*$B32), 0, (CCPercentage!P32/100)*$B32)</f>
        <v>0</v>
      </c>
      <c r="M32" s="203">
        <f>IF(ISERR((CCPercentage!Q32/100)*$B32), 0, (CCPercentage!Q32/100)*$B32)</f>
        <v>0</v>
      </c>
      <c r="N32" s="203">
        <f>IF(ISERR((CCPercentage!R32/100)*$B32), 0, (CCPercentage!R32/100)*$B32)</f>
        <v>12010.738635454903</v>
      </c>
      <c r="O32" s="203">
        <f>IF(ISERR((CCPercentage!S32/100)*$B32), 0, (CCPercentage!S32/100)*$B32)</f>
        <v>434.04750555383464</v>
      </c>
      <c r="P32" s="203">
        <f>IF(ISERR((CCPercentage!T32/100)*$B32), 0, (CCPercentage!T32/100)*$B32)</f>
        <v>0</v>
      </c>
      <c r="Q32" s="203">
        <f>IF(ISERR((CCPercentage!U32/100)*$B32), 0, (CCPercentage!U32/100)*$B32)</f>
        <v>13.961484270083435</v>
      </c>
      <c r="R32" s="203">
        <f>IF(ISERR((CCPercentage!V32/100)*$B32), 0, (CCPercentage!V32/100)*$B32)</f>
        <v>212.78930882775731</v>
      </c>
      <c r="S32" s="203">
        <f>IF(ISERR((CCPercentage!W32/100)*$B32), 0, (CCPercentage!W32/100)*$B32)</f>
        <v>0</v>
      </c>
      <c r="T32" s="203">
        <f>IF(ISERR((CCPercentage!X32/100)*$B32), 0, (CCPercentage!X32/100)*$B32)</f>
        <v>0</v>
      </c>
      <c r="U32" s="203">
        <f>IF(ISERR((CCPercentage!Y32/100)*$B32), 0, (CCPercentage!Y32/100)*$B32)</f>
        <v>0</v>
      </c>
      <c r="V32" s="203">
        <f>IF(ISERR((CCPercentage!Z32/100)*$B32), 0, (CCPercentage!Z32/100)*$B32)</f>
        <v>0</v>
      </c>
      <c r="W32" s="366"/>
    </row>
    <row r="33" spans="1:24">
      <c r="A33" s="279">
        <v>2006</v>
      </c>
      <c r="B33" s="575">
        <f>Harvests!I124</f>
        <v>32088</v>
      </c>
      <c r="C33" s="203">
        <f>IF(ISERR((CCPercentage!G33/100)*$B33), 0, (CCPercentage!G33/100)*$B33)</f>
        <v>0</v>
      </c>
      <c r="D33" s="203">
        <f>IF(ISERR((CCPercentage!H33/100)*$B33), 0, (CCPercentage!H33/100)*$B33)</f>
        <v>0</v>
      </c>
      <c r="E33" s="203">
        <f>IF(ISERR((CCPercentage!I33/100)*$B33), 0, (CCPercentage!I33/100)*$B33)</f>
        <v>86.591341796506626</v>
      </c>
      <c r="F33" s="203">
        <f>IF(ISERR((CCPercentage!J33/100)*$B33), 0, (CCPercentage!J33/100)*$B33)</f>
        <v>0</v>
      </c>
      <c r="G33" s="203">
        <f>IF(ISERR((CCPercentage!K33/100)*$B33), 0, (CCPercentage!K33/100)*$B33)</f>
        <v>5119.2896320937043</v>
      </c>
      <c r="H33" s="203">
        <f>IF(ISERR((CCPercentage!L33/100)*$B33), 0, (CCPercentage!L33/100)*$B33)</f>
        <v>0</v>
      </c>
      <c r="I33" s="203">
        <f>IF(ISERR((CCPercentage!M33/100)*$B33), 0, (CCPercentage!M33/100)*$B33)</f>
        <v>0</v>
      </c>
      <c r="J33" s="203">
        <f>IF(ISERR((CCPercentage!N33/100)*$B33), 0, (CCPercentage!N33/100)*$B33)</f>
        <v>19599.940861839048</v>
      </c>
      <c r="K33" s="203">
        <f>IF(ISERR((CCPercentage!O33/100)*$B33), 0, (CCPercentage!O33/100)*$B33)</f>
        <v>295.08924535873763</v>
      </c>
      <c r="L33" s="203">
        <f>IF(ISERR((CCPercentage!P33/100)*$B33), 0, (CCPercentage!P33/100)*$B33)</f>
        <v>0</v>
      </c>
      <c r="M33" s="203">
        <f>IF(ISERR((CCPercentage!Q33/100)*$B33), 0, (CCPercentage!Q33/100)*$B33)</f>
        <v>0</v>
      </c>
      <c r="N33" s="203">
        <f>IF(ISERR((CCPercentage!R33/100)*$B33), 0, (CCPercentage!R33/100)*$B33)</f>
        <v>6635.7619001915109</v>
      </c>
      <c r="O33" s="203">
        <f>IF(ISERR((CCPercentage!S33/100)*$B33), 0, (CCPercentage!S33/100)*$B33)</f>
        <v>215.27919254613607</v>
      </c>
      <c r="P33" s="203">
        <f>IF(ISERR((CCPercentage!T33/100)*$B33), 0, (CCPercentage!T33/100)*$B33)</f>
        <v>0</v>
      </c>
      <c r="Q33" s="203">
        <f>IF(ISERR((CCPercentage!U33/100)*$B33), 0, (CCPercentage!U33/100)*$B33)</f>
        <v>136.04782617435512</v>
      </c>
      <c r="R33" s="203">
        <f>IF(ISERR((CCPercentage!V33/100)*$B33), 0, (CCPercentage!V33/100)*$B33)</f>
        <v>0</v>
      </c>
      <c r="S33" s="203">
        <f>IF(ISERR((CCPercentage!W33/100)*$B33), 0, (CCPercentage!W33/100)*$B33)</f>
        <v>0</v>
      </c>
      <c r="T33" s="203">
        <f>IF(ISERR((CCPercentage!X33/100)*$B33), 0, (CCPercentage!X33/100)*$B33)</f>
        <v>0</v>
      </c>
      <c r="U33" s="203">
        <f>IF(ISERR((CCPercentage!Y33/100)*$B33), 0, (CCPercentage!Y33/100)*$B33)</f>
        <v>0</v>
      </c>
      <c r="V33" s="203">
        <f>IF(ISERR((CCPercentage!Z33/100)*$B33), 0, (CCPercentage!Z33/100)*$B33)</f>
        <v>0</v>
      </c>
      <c r="W33" s="366"/>
    </row>
    <row r="34" spans="1:24">
      <c r="A34" s="279">
        <v>2007</v>
      </c>
      <c r="B34" s="575">
        <f>Harvests!I125</f>
        <v>41422</v>
      </c>
      <c r="C34" s="203">
        <f>IF(ISERR((CCPercentage!G34/100)*$B34), 0, (CCPercentage!G34/100)*$B34)</f>
        <v>0</v>
      </c>
      <c r="D34" s="203">
        <f>IF(ISERR((CCPercentage!H34/100)*$B34), 0, (CCPercentage!H34/100)*$B34)</f>
        <v>0</v>
      </c>
      <c r="E34" s="203">
        <f>IF(ISERR((CCPercentage!I34/100)*$B34), 0, (CCPercentage!I34/100)*$B34)</f>
        <v>0</v>
      </c>
      <c r="F34" s="203">
        <f>IF(ISERR((CCPercentage!J34/100)*$B34), 0, (CCPercentage!J34/100)*$B34)</f>
        <v>25.883314953656669</v>
      </c>
      <c r="G34" s="203">
        <f>IF(ISERR((CCPercentage!K34/100)*$B34), 0, (CCPercentage!K34/100)*$B34)</f>
        <v>3762.4230539660853</v>
      </c>
      <c r="H34" s="203">
        <f>IF(ISERR((CCPercentage!L34/100)*$B34), 0, (CCPercentage!L34/100)*$B34)</f>
        <v>92.705603666156719</v>
      </c>
      <c r="I34" s="203">
        <f>IF(ISERR((CCPercentage!M34/100)*$B34), 0, (CCPercentage!M34/100)*$B34)</f>
        <v>0</v>
      </c>
      <c r="J34" s="203">
        <f>IF(ISERR((CCPercentage!N34/100)*$B34), 0, (CCPercentage!N34/100)*$B34)</f>
        <v>26362.420294823987</v>
      </c>
      <c r="K34" s="203">
        <f>IF(ISERR((CCPercentage!O34/100)*$B34), 0, (CCPercentage!O34/100)*$B34)</f>
        <v>286.53912270198833</v>
      </c>
      <c r="L34" s="203">
        <f>IF(ISERR((CCPercentage!P34/100)*$B34), 0, (CCPercentage!P34/100)*$B34)</f>
        <v>0</v>
      </c>
      <c r="M34" s="203">
        <f>IF(ISERR((CCPercentage!Q34/100)*$B34), 0, (CCPercentage!Q34/100)*$B34)</f>
        <v>0</v>
      </c>
      <c r="N34" s="203">
        <f>IF(ISERR((CCPercentage!R34/100)*$B34), 0, (CCPercentage!R34/100)*$B34)</f>
        <v>10435.271987762246</v>
      </c>
      <c r="O34" s="203">
        <f>IF(ISERR((CCPercentage!S34/100)*$B34), 0, (CCPercentage!S34/100)*$B34)</f>
        <v>292.80430785799041</v>
      </c>
      <c r="P34" s="203">
        <f>IF(ISERR((CCPercentage!T34/100)*$B34), 0, (CCPercentage!T34/100)*$B34)</f>
        <v>0</v>
      </c>
      <c r="Q34" s="203">
        <f>IF(ISERR((CCPercentage!U34/100)*$B34), 0, (CCPercentage!U34/100)*$B34)</f>
        <v>0</v>
      </c>
      <c r="R34" s="203">
        <f>IF(ISERR((CCPercentage!V34/100)*$B34), 0, (CCPercentage!V34/100)*$B34)</f>
        <v>163.95231426788678</v>
      </c>
      <c r="S34" s="203">
        <f>IF(ISERR((CCPercentage!W34/100)*$B34), 0, (CCPercentage!W34/100)*$B34)</f>
        <v>0</v>
      </c>
      <c r="T34" s="203">
        <f>IF(ISERR((CCPercentage!X34/100)*$B34), 0, (CCPercentage!X34/100)*$B34)</f>
        <v>0</v>
      </c>
      <c r="U34" s="203">
        <f>IF(ISERR((CCPercentage!Y34/100)*$B34), 0, (CCPercentage!Y34/100)*$B34)</f>
        <v>0</v>
      </c>
      <c r="V34" s="203">
        <f>IF(ISERR((CCPercentage!Z34/100)*$B34), 0, (CCPercentage!Z34/100)*$B34)</f>
        <v>0</v>
      </c>
      <c r="W34" s="366"/>
    </row>
    <row r="35" spans="1:24">
      <c r="A35" s="279">
        <v>2008</v>
      </c>
      <c r="B35" s="575">
        <f>Harvests!I126</f>
        <v>12550</v>
      </c>
      <c r="C35" s="203">
        <f>IF(ISERR((CCPercentage!G35/100)*$B35), 0, (CCPercentage!G35/100)*$B35)</f>
        <v>0</v>
      </c>
      <c r="D35" s="203">
        <f>IF(ISERR((CCPercentage!H35/100)*$B35), 0, (CCPercentage!H35/100)*$B35)</f>
        <v>15.858760917030567</v>
      </c>
      <c r="E35" s="203">
        <f>IF(ISERR((CCPercentage!I35/100)*$B35), 0, (CCPercentage!I35/100)*$B35)</f>
        <v>7.3205811700199144</v>
      </c>
      <c r="F35" s="203">
        <f>IF(ISERR((CCPercentage!J35/100)*$B35), 0, (CCPercentage!J35/100)*$B35)</f>
        <v>0</v>
      </c>
      <c r="G35" s="203">
        <f>IF(ISERR((CCPercentage!K35/100)*$B35), 0, (CCPercentage!K35/100)*$B35)</f>
        <v>1468.5958108661625</v>
      </c>
      <c r="H35" s="203">
        <f>IF(ISERR((CCPercentage!L35/100)*$B35), 0, (CCPercentage!L35/100)*$B35)</f>
        <v>15.858760917030567</v>
      </c>
      <c r="I35" s="203">
        <f>IF(ISERR((CCPercentage!M35/100)*$B35), 0, (CCPercentage!M35/100)*$B35)</f>
        <v>0</v>
      </c>
      <c r="J35" s="203">
        <f>IF(ISERR((CCPercentage!N35/100)*$B35), 0, (CCPercentage!N35/100)*$B35)</f>
        <v>7133.4698200559087</v>
      </c>
      <c r="K35" s="203">
        <f>IF(ISERR((CCPercentage!O35/100)*$B35), 0, (CCPercentage!O35/100)*$B35)</f>
        <v>59.85712875547393</v>
      </c>
      <c r="L35" s="203">
        <f>IF(ISERR((CCPercentage!P35/100)*$B35), 0, (CCPercentage!P35/100)*$B35)</f>
        <v>0</v>
      </c>
      <c r="M35" s="203">
        <f>IF(ISERR((CCPercentage!Q35/100)*$B35), 0, (CCPercentage!Q35/100)*$B35)</f>
        <v>0</v>
      </c>
      <c r="N35" s="203">
        <f>IF(ISERR((CCPercentage!R35/100)*$B35), 0, (CCPercentage!R35/100)*$B35)</f>
        <v>3685.6113302634203</v>
      </c>
      <c r="O35" s="203">
        <f>IF(ISERR((CCPercentage!S35/100)*$B35), 0, (CCPercentage!S35/100)*$B35)</f>
        <v>117.27906035696638</v>
      </c>
      <c r="P35" s="203">
        <f>IF(ISERR((CCPercentage!T35/100)*$B35), 0, (CCPercentage!T35/100)*$B35)</f>
        <v>0</v>
      </c>
      <c r="Q35" s="203">
        <f>IF(ISERR((CCPercentage!U35/100)*$B35), 0, (CCPercentage!U35/100)*$B35)</f>
        <v>21.564461623527386</v>
      </c>
      <c r="R35" s="203">
        <f>IF(ISERR((CCPercentage!V35/100)*$B35), 0, (CCPercentage!V35/100)*$B35)</f>
        <v>24.584285074459746</v>
      </c>
      <c r="S35" s="203">
        <f>IF(ISERR((CCPercentage!W35/100)*$B35), 0, (CCPercentage!W35/100)*$B35)</f>
        <v>0</v>
      </c>
      <c r="T35" s="203">
        <f>IF(ISERR((CCPercentage!X35/100)*$B35), 0, (CCPercentage!X35/100)*$B35)</f>
        <v>0</v>
      </c>
      <c r="U35" s="203">
        <f>IF(ISERR((CCPercentage!Y35/100)*$B35), 0, (CCPercentage!Y35/100)*$B35)</f>
        <v>0</v>
      </c>
      <c r="V35" s="203">
        <f>IF(ISERR((CCPercentage!Z35/100)*$B35), 0, (CCPercentage!Z35/100)*$B35)</f>
        <v>0</v>
      </c>
      <c r="W35" s="366"/>
    </row>
    <row r="36" spans="1:24">
      <c r="A36" s="279">
        <v>2009</v>
      </c>
      <c r="B36" s="575">
        <f>Harvests!I127</f>
        <v>10606</v>
      </c>
      <c r="C36" s="203">
        <f>IF(ISERR((CCPercentage!G36/100)*$B36), 0, (CCPercentage!G36/100)*$B36)</f>
        <v>0</v>
      </c>
      <c r="D36" s="203">
        <f>IF(ISERR((CCPercentage!H36/100)*$B36), 0, (CCPercentage!H36/100)*$B36)</f>
        <v>0</v>
      </c>
      <c r="E36" s="203">
        <f>IF(ISERR((CCPercentage!I36/100)*$B36), 0, (CCPercentage!I36/100)*$B36)</f>
        <v>24.771072411441352</v>
      </c>
      <c r="F36" s="203">
        <f>IF(ISERR((CCPercentage!J36/100)*$B36), 0, (CCPercentage!J36/100)*$B36)</f>
        <v>0</v>
      </c>
      <c r="G36" s="203">
        <f>IF(ISERR((CCPercentage!K36/100)*$B36), 0, (CCPercentage!K36/100)*$B36)</f>
        <v>2072.5237959047754</v>
      </c>
      <c r="H36" s="203">
        <f>IF(ISERR((CCPercentage!L36/100)*$B36), 0, (CCPercentage!L36/100)*$B36)</f>
        <v>52.333564565996504</v>
      </c>
      <c r="I36" s="203">
        <f>IF(ISERR((CCPercentage!M36/100)*$B36), 0, (CCPercentage!M36/100)*$B36)</f>
        <v>0</v>
      </c>
      <c r="J36" s="203">
        <f>IF(ISERR((CCPercentage!N36/100)*$B36), 0, (CCPercentage!N36/100)*$B36)</f>
        <v>5044.5486460245866</v>
      </c>
      <c r="K36" s="203">
        <f>IF(ISERR((CCPercentage!O36/100)*$B36), 0, (CCPercentage!O36/100)*$B36)</f>
        <v>190.1534143119512</v>
      </c>
      <c r="L36" s="203">
        <f>IF(ISERR((CCPercentage!P36/100)*$B36), 0, (CCPercentage!P36/100)*$B36)</f>
        <v>0</v>
      </c>
      <c r="M36" s="203">
        <f>IF(ISERR((CCPercentage!Q36/100)*$B36), 0, (CCPercentage!Q36/100)*$B36)</f>
        <v>0</v>
      </c>
      <c r="N36" s="203">
        <f>IF(ISERR((CCPercentage!R36/100)*$B36), 0, (CCPercentage!R36/100)*$B36)</f>
        <v>2741.5245388157364</v>
      </c>
      <c r="O36" s="203">
        <f>IF(ISERR((CCPercentage!S36/100)*$B36), 0, (CCPercentage!S36/100)*$B36)</f>
        <v>185.08947677472892</v>
      </c>
      <c r="P36" s="203">
        <f>IF(ISERR((CCPercentage!T36/100)*$B36), 0, (CCPercentage!T36/100)*$B36)</f>
        <v>0</v>
      </c>
      <c r="Q36" s="203">
        <f>IF(ISERR((CCPercentage!U36/100)*$B36), 0, (CCPercentage!U36/100)*$B36)</f>
        <v>35.687931143007823</v>
      </c>
      <c r="R36" s="203">
        <f>IF(ISERR((CCPercentage!V36/100)*$B36), 0, (CCPercentage!V36/100)*$B36)</f>
        <v>259.36756004777612</v>
      </c>
      <c r="S36" s="203">
        <f>IF(ISERR((CCPercentage!W36/100)*$B36), 0, (CCPercentage!W36/100)*$B36)</f>
        <v>0</v>
      </c>
      <c r="T36" s="203">
        <f>IF(ISERR((CCPercentage!X36/100)*$B36), 0, (CCPercentage!X36/100)*$B36)</f>
        <v>0</v>
      </c>
      <c r="U36" s="203">
        <f>IF(ISERR((CCPercentage!Y36/100)*$B36), 0, (CCPercentage!Y36/100)*$B36)</f>
        <v>0</v>
      </c>
      <c r="V36" s="203">
        <f>IF(ISERR((CCPercentage!Z36/100)*$B36), 0, (CCPercentage!Z36/100)*$B36)</f>
        <v>0</v>
      </c>
      <c r="W36" s="366"/>
    </row>
    <row r="37" spans="1:24">
      <c r="A37" s="279">
        <v>2010</v>
      </c>
      <c r="B37" s="575">
        <f>Harvests!I128</f>
        <v>10861</v>
      </c>
      <c r="C37" s="203">
        <f>IF(ISERR((CCPercentage!G37/100)*$B37), 0, (CCPercentage!G37/100)*$B37)</f>
        <v>0</v>
      </c>
      <c r="D37" s="203">
        <f>IF(ISERR((CCPercentage!H37/100)*$B37), 0, (CCPercentage!H37/100)*$B37)</f>
        <v>0</v>
      </c>
      <c r="E37" s="203">
        <f>IF(ISERR((CCPercentage!I37/100)*$B37), 0, (CCPercentage!I37/100)*$B37)</f>
        <v>228.48611913401959</v>
      </c>
      <c r="F37" s="203">
        <f>IF(ISERR((CCPercentage!J37/100)*$B37), 0, (CCPercentage!J37/100)*$B37)</f>
        <v>0</v>
      </c>
      <c r="G37" s="203">
        <f>IF(ISERR((CCPercentage!K37/100)*$B37), 0, (CCPercentage!K37/100)*$B37)</f>
        <v>2691.1776195903458</v>
      </c>
      <c r="H37" s="203">
        <f>IF(ISERR((CCPercentage!L37/100)*$B37), 0, (CCPercentage!L37/100)*$B37)</f>
        <v>128.10768918285595</v>
      </c>
      <c r="I37" s="203">
        <f>IF(ISERR((CCPercentage!M37/100)*$B37), 0, (CCPercentage!M37/100)*$B37)</f>
        <v>0</v>
      </c>
      <c r="J37" s="203">
        <f>IF(ISERR((CCPercentage!N37/100)*$B37), 0, (CCPercentage!N37/100)*$B37)</f>
        <v>5272.6802697126814</v>
      </c>
      <c r="K37" s="203">
        <f>IF(ISERR((CCPercentage!O37/100)*$B37), 0, (CCPercentage!O37/100)*$B37)</f>
        <v>92.540289414442768</v>
      </c>
      <c r="L37" s="203">
        <f>IF(ISERR((CCPercentage!P37/100)*$B37), 0, (CCPercentage!P37/100)*$B37)</f>
        <v>0</v>
      </c>
      <c r="M37" s="203">
        <f>IF(ISERR((CCPercentage!Q37/100)*$B37), 0, (CCPercentage!Q37/100)*$B37)</f>
        <v>0</v>
      </c>
      <c r="N37" s="203">
        <f>IF(ISERR((CCPercentage!R37/100)*$B37), 0, (CCPercentage!R37/100)*$B37)</f>
        <v>1985.0092856184899</v>
      </c>
      <c r="O37" s="203">
        <f>IF(ISERR((CCPercentage!S37/100)*$B37), 0, (CCPercentage!S37/100)*$B37)</f>
        <v>323.31529508934307</v>
      </c>
      <c r="P37" s="203">
        <f>IF(ISERR((CCPercentage!T37/100)*$B37), 0, (CCPercentage!T37/100)*$B37)</f>
        <v>0</v>
      </c>
      <c r="Q37" s="203">
        <f>IF(ISERR((CCPercentage!U37/100)*$B37), 0, (CCPercentage!U37/100)*$B37)</f>
        <v>0</v>
      </c>
      <c r="R37" s="203">
        <f>IF(ISERR((CCPercentage!V37/100)*$B37), 0, (CCPercentage!V37/100)*$B37)</f>
        <v>139.68343225782144</v>
      </c>
      <c r="S37" s="203">
        <f>IF(ISERR((CCPercentage!W37/100)*$B37), 0, (CCPercentage!W37/100)*$B37)</f>
        <v>0</v>
      </c>
      <c r="T37" s="203">
        <f>IF(ISERR((CCPercentage!X37/100)*$B37), 0, (CCPercentage!X37/100)*$B37)</f>
        <v>0</v>
      </c>
      <c r="U37" s="203">
        <f>IF(ISERR((CCPercentage!Y37/100)*$B37), 0, (CCPercentage!Y37/100)*$B37)</f>
        <v>0</v>
      </c>
      <c r="V37" s="203">
        <f>IF(ISERR((CCPercentage!Z37/100)*$B37), 0, (CCPercentage!Z37/100)*$B37)</f>
        <v>0</v>
      </c>
      <c r="W37" s="366"/>
      <c r="X37" s="366"/>
    </row>
    <row r="38" spans="1:24">
      <c r="A38" s="279">
        <v>2011</v>
      </c>
      <c r="B38" s="575">
        <f>Harvests!I129</f>
        <v>20001</v>
      </c>
      <c r="C38" s="203">
        <f>IF(ISERR((CCPercentage!G38/100)*$B38), 0, (CCPercentage!G38/100)*$B38)</f>
        <v>0</v>
      </c>
      <c r="D38" s="203">
        <f>IF(ISERR((CCPercentage!H38/100)*$B38), 0, (CCPercentage!H38/100)*$B38)</f>
        <v>0</v>
      </c>
      <c r="E38" s="203">
        <f>IF(ISERR((CCPercentage!I38/100)*$B38), 0, (CCPercentage!I38/100)*$B38)</f>
        <v>0</v>
      </c>
      <c r="F38" s="203">
        <f>IF(ISERR((CCPercentage!J38/100)*$B38), 0, (CCPercentage!J38/100)*$B38)</f>
        <v>0</v>
      </c>
      <c r="G38" s="203">
        <f>IF(ISERR((CCPercentage!K38/100)*$B38), 0, (CCPercentage!K38/100)*$B38)</f>
        <v>3128.1553530335336</v>
      </c>
      <c r="H38" s="203">
        <f>IF(ISERR((CCPercentage!L38/100)*$B38), 0, (CCPercentage!L38/100)*$B38)</f>
        <v>22.821047852435107</v>
      </c>
      <c r="I38" s="203">
        <f>IF(ISERR((CCPercentage!M38/100)*$B38), 0, (CCPercentage!M38/100)*$B38)</f>
        <v>0</v>
      </c>
      <c r="J38" s="203">
        <f>IF(ISERR((CCPercentage!N38/100)*$B38), 0, (CCPercentage!N38/100)*$B38)</f>
        <v>15004.314280346289</v>
      </c>
      <c r="K38" s="203">
        <f>IF(ISERR((CCPercentage!O38/100)*$B38), 0, (CCPercentage!O38/100)*$B38)</f>
        <v>130.90607242499325</v>
      </c>
      <c r="L38" s="203">
        <f>IF(ISERR((CCPercentage!P38/100)*$B38), 0, (CCPercentage!P38/100)*$B38)</f>
        <v>0</v>
      </c>
      <c r="M38" s="203">
        <f>IF(ISERR((CCPercentage!Q38/100)*$B38), 0, (CCPercentage!Q38/100)*$B38)</f>
        <v>0</v>
      </c>
      <c r="N38" s="203">
        <f>IF(ISERR((CCPercentage!R38/100)*$B38), 0, (CCPercentage!R38/100)*$B38)</f>
        <v>1571.3326529559899</v>
      </c>
      <c r="O38" s="203">
        <f>IF(ISERR((CCPercentage!S38/100)*$B38), 0, (CCPercentage!S38/100)*$B38)</f>
        <v>126.38064480793113</v>
      </c>
      <c r="P38" s="203">
        <f>IF(ISERR((CCPercentage!T38/100)*$B38), 0, (CCPercentage!T38/100)*$B38)</f>
        <v>0</v>
      </c>
      <c r="Q38" s="203">
        <f>IF(ISERR((CCPercentage!U38/100)*$B38), 0, (CCPercentage!U38/100)*$B38)</f>
        <v>0</v>
      </c>
      <c r="R38" s="203">
        <f>IF(ISERR((CCPercentage!V38/100)*$B38), 0, (CCPercentage!V38/100)*$B38)</f>
        <v>17.089948578827844</v>
      </c>
      <c r="S38" s="203">
        <f>IF(ISERR((CCPercentage!W38/100)*$B38), 0, (CCPercentage!W38/100)*$B38)</f>
        <v>0</v>
      </c>
      <c r="T38" s="203">
        <f>IF(ISERR((CCPercentage!X38/100)*$B38), 0, (CCPercentage!X38/100)*$B38)</f>
        <v>0</v>
      </c>
      <c r="U38" s="203">
        <f>IF(ISERR((CCPercentage!Y38/100)*$B38), 0, (CCPercentage!Y38/100)*$B38)</f>
        <v>0</v>
      </c>
      <c r="V38" s="203">
        <f>IF(ISERR((CCPercentage!Z38/100)*$B38), 0, (CCPercentage!Z38/100)*$B38)</f>
        <v>0</v>
      </c>
      <c r="W38" s="366"/>
    </row>
    <row r="39" spans="1:24">
      <c r="A39" s="279">
        <v>2012</v>
      </c>
      <c r="B39" s="575">
        <f>Harvests!I130</f>
        <v>12861</v>
      </c>
      <c r="C39" s="203">
        <f>IF(ISERR((CCPercentage!G39/100)*$B39), 0, (CCPercentage!G39/100)*$B39)</f>
        <v>0</v>
      </c>
      <c r="D39" s="203">
        <f>IF(ISERR((CCPercentage!H39/100)*$B39), 0, (CCPercentage!H39/100)*$B39)</f>
        <v>12.023296787949652</v>
      </c>
      <c r="E39" s="203">
        <f>IF(ISERR((CCPercentage!I39/100)*$B39), 0, (CCPercentage!I39/100)*$B39)</f>
        <v>2.9937970696973846</v>
      </c>
      <c r="F39" s="203">
        <f>IF(ISERR((CCPercentage!J39/100)*$B39), 0, (CCPercentage!J39/100)*$B39)</f>
        <v>0</v>
      </c>
      <c r="G39" s="203">
        <f>IF(ISERR((CCPercentage!K39/100)*$B39), 0, (CCPercentage!K39/100)*$B39)</f>
        <v>1364.8143651942512</v>
      </c>
      <c r="H39" s="203">
        <f>IF(ISERR((CCPercentage!L39/100)*$B39), 0, (CCPercentage!L39/100)*$B39)</f>
        <v>12.023296787949652</v>
      </c>
      <c r="I39" s="203">
        <f>IF(ISERR((CCPercentage!M39/100)*$B39), 0, (CCPercentage!M39/100)*$B39)</f>
        <v>0</v>
      </c>
      <c r="J39" s="203">
        <f>IF(ISERR((CCPercentage!N39/100)*$B39), 0, (CCPercentage!N39/100)*$B39)</f>
        <v>9138.7381069679286</v>
      </c>
      <c r="K39" s="203">
        <f>IF(ISERR((CCPercentage!O39/100)*$B39), 0, (CCPercentage!O39/100)*$B39)</f>
        <v>68.950880068917485</v>
      </c>
      <c r="L39" s="203">
        <f>IF(ISERR((CCPercentage!P39/100)*$B39), 0, (CCPercentage!P39/100)*$B39)</f>
        <v>0</v>
      </c>
      <c r="M39" s="203">
        <f>IF(ISERR((CCPercentage!Q39/100)*$B39), 0, (CCPercentage!Q39/100)*$B39)</f>
        <v>0</v>
      </c>
      <c r="N39" s="203">
        <f>IF(ISERR((CCPercentage!R39/100)*$B39), 0, (CCPercentage!R39/100)*$B39)</f>
        <v>2052.4347905599243</v>
      </c>
      <c r="O39" s="203">
        <f>IF(ISERR((CCPercentage!S39/100)*$B39), 0, (CCPercentage!S39/100)*$B39)</f>
        <v>165.14174130979782</v>
      </c>
      <c r="P39" s="203">
        <f>IF(ISERR((CCPercentage!T39/100)*$B39), 0, (CCPercentage!T39/100)*$B39)</f>
        <v>0</v>
      </c>
      <c r="Q39" s="203">
        <f>IF(ISERR((CCPercentage!U39/100)*$B39), 0, (CCPercentage!U39/100)*$B39)</f>
        <v>12.535577407666961</v>
      </c>
      <c r="R39" s="203">
        <f>IF(ISERR((CCPercentage!V39/100)*$B39), 0, (CCPercentage!V39/100)*$B39)</f>
        <v>31.344147845916613</v>
      </c>
      <c r="S39" s="203">
        <f>IF(ISERR((CCPercentage!W39/100)*$B39), 0, (CCPercentage!W39/100)*$B39)</f>
        <v>0</v>
      </c>
      <c r="T39" s="203">
        <f>IF(ISERR((CCPercentage!X39/100)*$B39), 0, (CCPercentage!X39/100)*$B39)</f>
        <v>0</v>
      </c>
      <c r="U39" s="203">
        <f>IF(ISERR((CCPercentage!Y39/100)*$B39), 0, (CCPercentage!Y39/100)*$B39)</f>
        <v>0</v>
      </c>
      <c r="V39" s="203">
        <f>IF(ISERR((CCPercentage!Z39/100)*$B39), 0, (CCPercentage!Z39/100)*$B39)</f>
        <v>0</v>
      </c>
      <c r="W39" s="366"/>
    </row>
    <row r="40" spans="1:24">
      <c r="A40" s="279">
        <v>2013</v>
      </c>
      <c r="B40" s="575">
        <f>Harvests!I131</f>
        <v>10321</v>
      </c>
      <c r="C40" s="203">
        <f>IF(ISERR((CCPercentage!G40/100)*$B40), 0, (CCPercentage!G40/100)*$B40)</f>
        <v>0</v>
      </c>
      <c r="D40" s="203">
        <f>IF(ISERR((CCPercentage!H40/100)*$B40), 0, (CCPercentage!H40/100)*$B40)</f>
        <v>0</v>
      </c>
      <c r="E40" s="203">
        <f>IF(ISERR((CCPercentage!I40/100)*$B40), 0, (CCPercentage!I40/100)*$B40)</f>
        <v>180.2290382084829</v>
      </c>
      <c r="F40" s="203">
        <f>IF(ISERR((CCPercentage!J40/100)*$B40), 0, (CCPercentage!J40/100)*$B40)</f>
        <v>0</v>
      </c>
      <c r="G40" s="203">
        <f>IF(ISERR((CCPercentage!K40/100)*$B40), 0, (CCPercentage!K40/100)*$B40)</f>
        <v>1951.9792008568274</v>
      </c>
      <c r="H40" s="203">
        <f>IF(ISERR((CCPercentage!L40/100)*$B40), 0, (CCPercentage!L40/100)*$B40)</f>
        <v>25.7470054583547</v>
      </c>
      <c r="I40" s="203">
        <f>IF(ISERR((CCPercentage!M40/100)*$B40), 0, (CCPercentage!M40/100)*$B40)</f>
        <v>0</v>
      </c>
      <c r="J40" s="203">
        <f>IF(ISERR((CCPercentage!N40/100)*$B40), 0, (CCPercentage!N40/100)*$B40)</f>
        <v>6434.2331750363492</v>
      </c>
      <c r="K40" s="203">
        <f>IF(ISERR((CCPercentage!O40/100)*$B40), 0, (CCPercentage!O40/100)*$B40)</f>
        <v>162.98326312609075</v>
      </c>
      <c r="L40" s="203">
        <f>IF(ISERR((CCPercentage!P40/100)*$B40), 0, (CCPercentage!P40/100)*$B40)</f>
        <v>0</v>
      </c>
      <c r="M40" s="203">
        <f>IF(ISERR((CCPercentage!Q40/100)*$B40), 0, (CCPercentage!Q40/100)*$B40)</f>
        <v>0</v>
      </c>
      <c r="N40" s="203">
        <f>IF(ISERR((CCPercentage!R40/100)*$B40), 0, (CCPercentage!R40/100)*$B40)</f>
        <v>1477.4815357155096</v>
      </c>
      <c r="O40" s="203">
        <f>IF(ISERR((CCPercentage!S40/100)*$B40), 0, (CCPercentage!S40/100)*$B40)</f>
        <v>82.102260864191223</v>
      </c>
      <c r="P40" s="203">
        <f>IF(ISERR((CCPercentage!T40/100)*$B40), 0, (CCPercentage!T40/100)*$B40)</f>
        <v>0</v>
      </c>
      <c r="Q40" s="203">
        <f>IF(ISERR((CCPercentage!U40/100)*$B40), 0, (CCPercentage!U40/100)*$B40)</f>
        <v>0</v>
      </c>
      <c r="R40" s="203">
        <f>IF(ISERR((CCPercentage!V40/100)*$B40), 0, (CCPercentage!V40/100)*$B40)</f>
        <v>0</v>
      </c>
      <c r="S40" s="203">
        <f>IF(ISERR((CCPercentage!W40/100)*$B40), 0, (CCPercentage!W40/100)*$B40)</f>
        <v>6.2445207341944258</v>
      </c>
      <c r="T40" s="203">
        <f>IF(ISERR((CCPercentage!X40/100)*$B40), 0, (CCPercentage!X40/100)*$B40)</f>
        <v>0</v>
      </c>
      <c r="U40" s="203">
        <f>IF(ISERR((CCPercentage!Y40/100)*$B40), 0, (CCPercentage!Y40/100)*$B40)</f>
        <v>0</v>
      </c>
      <c r="V40" s="203">
        <f>IF(ISERR((CCPercentage!Z40/100)*$B40), 0, (CCPercentage!Z40/100)*$B40)</f>
        <v>0</v>
      </c>
      <c r="W40" s="366"/>
    </row>
    <row r="41" spans="1:24">
      <c r="A41" s="279">
        <v>2014</v>
      </c>
      <c r="B41" s="575">
        <f>Harvests!I132</f>
        <v>11164</v>
      </c>
      <c r="C41" s="203">
        <f>IF(ISERR((CCPercentage!G41/100)*$B41), 0, (CCPercentage!G41/100)*$B41)</f>
        <v>0</v>
      </c>
      <c r="D41" s="203">
        <f>IF(ISERR((CCPercentage!H41/100)*$B41), 0, (CCPercentage!H41/100)*$B41)</f>
        <v>0</v>
      </c>
      <c r="E41" s="203">
        <f>IF(ISERR((CCPercentage!I41/100)*$B41), 0, (CCPercentage!I41/100)*$B41)</f>
        <v>28.241723894095365</v>
      </c>
      <c r="F41" s="203">
        <f>IF(ISERR((CCPercentage!J41/100)*$B41), 0, (CCPercentage!J41/100)*$B41)</f>
        <v>0</v>
      </c>
      <c r="G41" s="203">
        <f>IF(ISERR((CCPercentage!K41/100)*$B41), 0, (CCPercentage!K41/100)*$B41)</f>
        <v>3412.7420593150387</v>
      </c>
      <c r="H41" s="203">
        <f>IF(ISERR((CCPercentage!L41/100)*$B41), 0, (CCPercentage!L41/100)*$B41)</f>
        <v>25.148485880967588</v>
      </c>
      <c r="I41" s="203">
        <f>IF(ISERR((CCPercentage!M41/100)*$B41), 0, (CCPercentage!M41/100)*$B41)</f>
        <v>0</v>
      </c>
      <c r="J41" s="203">
        <f>IF(ISERR((CCPercentage!N41/100)*$B41), 0, (CCPercentage!N41/100)*$B41)</f>
        <v>4870.0364294113879</v>
      </c>
      <c r="K41" s="203">
        <f>IF(ISERR((CCPercentage!O41/100)*$B41), 0, (CCPercentage!O41/100)*$B41)</f>
        <v>205.40347490173554</v>
      </c>
      <c r="L41" s="203">
        <f>IF(ISERR((CCPercentage!P41/100)*$B41), 0, (CCPercentage!P41/100)*$B41)</f>
        <v>0</v>
      </c>
      <c r="M41" s="203">
        <f>IF(ISERR((CCPercentage!Q41/100)*$B41), 0, (CCPercentage!Q41/100)*$B41)</f>
        <v>0</v>
      </c>
      <c r="N41" s="203">
        <f>IF(ISERR((CCPercentage!R41/100)*$B41), 0, (CCPercentage!R41/100)*$B41)</f>
        <v>2490.6024590635766</v>
      </c>
      <c r="O41" s="203">
        <f>IF(ISERR((CCPercentage!S41/100)*$B41), 0, (CCPercentage!S41/100)*$B41)</f>
        <v>123.32998136908945</v>
      </c>
      <c r="P41" s="203">
        <f>IF(ISERR((CCPercentage!T41/100)*$B41), 0, (CCPercentage!T41/100)*$B41)</f>
        <v>0</v>
      </c>
      <c r="Q41" s="203">
        <f>IF(ISERR((CCPercentage!U41/100)*$B41), 0, (CCPercentage!U41/100)*$B41)</f>
        <v>4.483364326492719</v>
      </c>
      <c r="R41" s="203">
        <f>IF(ISERR((CCPercentage!V41/100)*$B41), 0, (CCPercentage!V41/100)*$B41)</f>
        <v>4.0120218376165102</v>
      </c>
      <c r="S41" s="203">
        <f>IF(ISERR((CCPercentage!W41/100)*$B41), 0, (CCPercentage!W41/100)*$B41)</f>
        <v>0</v>
      </c>
      <c r="T41" s="203">
        <f>IF(ISERR((CCPercentage!X41/100)*$B41), 0, (CCPercentage!X41/100)*$B41)</f>
        <v>0</v>
      </c>
      <c r="U41" s="203">
        <f>IF(ISERR((CCPercentage!Y41/100)*$B41), 0, (CCPercentage!Y41/100)*$B41)</f>
        <v>0</v>
      </c>
      <c r="V41" s="203">
        <f>IF(ISERR((CCPercentage!Z41/100)*$B41), 0, (CCPercentage!Z41/100)*$B41)</f>
        <v>0</v>
      </c>
    </row>
    <row r="42" spans="1:24">
      <c r="A42" s="279">
        <v>2015</v>
      </c>
      <c r="B42" s="575">
        <f>Harvests!I133</f>
        <v>23881</v>
      </c>
      <c r="C42" s="203">
        <f>IF(ISERR((CCPercentage!G42/100)*$B42), 0, (CCPercentage!G42/100)*$B42)</f>
        <v>0</v>
      </c>
      <c r="D42" s="203">
        <f>IF(ISERR((CCPercentage!H42/100)*$B42), 0, (CCPercentage!H42/100)*$B42)</f>
        <v>25.948810289404083</v>
      </c>
      <c r="E42" s="203">
        <f>IF(ISERR((CCPercentage!I42/100)*$B42), 0, (CCPercentage!I42/100)*$B42)</f>
        <v>91.429557796111311</v>
      </c>
      <c r="F42" s="203">
        <f>IF(ISERR((CCPercentage!J42/100)*$B42), 0, (CCPercentage!J42/100)*$B42)</f>
        <v>25.948810289404083</v>
      </c>
      <c r="G42" s="203">
        <f>IF(ISERR((CCPercentage!K42/100)*$B42), 0, (CCPercentage!K42/100)*$B42)</f>
        <v>5253.4756057125078</v>
      </c>
      <c r="H42" s="203">
        <f>IF(ISERR((CCPercentage!L42/100)*$B42), 0, (CCPercentage!L42/100)*$B42)</f>
        <v>8.8650737877153905</v>
      </c>
      <c r="I42" s="203">
        <f>IF(ISERR((CCPercentage!M42/100)*$B42), 0, (CCPercentage!M42/100)*$B42)</f>
        <v>0</v>
      </c>
      <c r="J42" s="203">
        <f>IF(ISERR((CCPercentage!N42/100)*$B42), 0, (CCPercentage!N42/100)*$B42)</f>
        <v>12984.72240730362</v>
      </c>
      <c r="K42" s="203">
        <f>IF(ISERR((CCPercentage!O42/100)*$B42), 0, (CCPercentage!O42/100)*$B42)</f>
        <v>142.08312168881176</v>
      </c>
      <c r="L42" s="203">
        <f>IF(ISERR((CCPercentage!P42/100)*$B42), 0, (CCPercentage!P42/100)*$B42)</f>
        <v>0</v>
      </c>
      <c r="M42" s="203">
        <f>IF(ISERR((CCPercentage!Q42/100)*$B42), 0, (CCPercentage!Q42/100)*$B42)</f>
        <v>0</v>
      </c>
      <c r="N42" s="203">
        <f>IF(ISERR((CCPercentage!R42/100)*$B42), 0, (CCPercentage!R42/100)*$B42)</f>
        <v>4823.9963969050186</v>
      </c>
      <c r="O42" s="203">
        <f>IF(ISERR((CCPercentage!S42/100)*$B42), 0, (CCPercentage!S42/100)*$B42)</f>
        <v>196.77063835740873</v>
      </c>
      <c r="P42" s="203">
        <f>IF(ISERR((CCPercentage!T42/100)*$B42), 0, (CCPercentage!T42/100)*$B42)</f>
        <v>0</v>
      </c>
      <c r="Q42" s="203">
        <f>IF(ISERR((CCPercentage!U42/100)*$B42), 0, (CCPercentage!U42/100)*$B42)</f>
        <v>287.25283374166622</v>
      </c>
      <c r="R42" s="203">
        <f>IF(ISERR((CCPercentage!V42/100)*$B42), 0, (CCPercentage!V42/100)*$B42)</f>
        <v>40.506744128332237</v>
      </c>
      <c r="S42" s="203">
        <f>IF(ISERR((CCPercentage!W42/100)*$B42), 0, (CCPercentage!W42/100)*$B42)</f>
        <v>0</v>
      </c>
      <c r="T42" s="203">
        <f>IF(ISERR((CCPercentage!X42/100)*$B42), 0, (CCPercentage!X42/100)*$B42)</f>
        <v>0</v>
      </c>
      <c r="U42" s="203">
        <f>IF(ISERR((CCPercentage!Y42/100)*$B42), 0, (CCPercentage!Y42/100)*$B42)</f>
        <v>0</v>
      </c>
      <c r="V42" s="203">
        <f>IF(ISERR((CCPercentage!Z42/100)*$B42), 0, (CCPercentage!Z42/100)*$B42)</f>
        <v>0</v>
      </c>
    </row>
    <row r="43" spans="1:24">
      <c r="A43" s="279">
        <v>2016</v>
      </c>
      <c r="B43" s="575">
        <f>Harvests!I134</f>
        <v>13286</v>
      </c>
      <c r="C43" s="203">
        <f>IF(ISERR((CCPercentage!G43/100)*$B43), 0, (CCPercentage!G43/100)*$B43)</f>
        <v>0</v>
      </c>
      <c r="D43" s="203">
        <f>IF(ISERR((CCPercentage!H43/100)*$B43), 0, (CCPercentage!H43/100)*$B43)</f>
        <v>0</v>
      </c>
      <c r="E43" s="203">
        <f>IF(ISERR((CCPercentage!I43/100)*$B43), 0, (CCPercentage!I43/100)*$B43)</f>
        <v>94.297232324704794</v>
      </c>
      <c r="F43" s="203">
        <f>IF(ISERR((CCPercentage!J43/100)*$B43), 0, (CCPercentage!J43/100)*$B43)</f>
        <v>22.255484581549268</v>
      </c>
      <c r="G43" s="203">
        <f>IF(ISERR((CCPercentage!K43/100)*$B43), 0, (CCPercentage!K43/100)*$B43)</f>
        <v>2649.1849876880647</v>
      </c>
      <c r="H43" s="203">
        <f>IF(ISERR((CCPercentage!L43/100)*$B43), 0, (CCPercentage!L43/100)*$B43)</f>
        <v>7.7978646115690138</v>
      </c>
      <c r="I43" s="203">
        <f>IF(ISERR((CCPercentage!M43/100)*$B43), 0, (CCPercentage!M43/100)*$B43)</f>
        <v>9.6384133133201715</v>
      </c>
      <c r="J43" s="203">
        <f>IF(ISERR((CCPercentage!N43/100)*$B43), 0, (CCPercentage!N43/100)*$B43)</f>
        <v>7676.1318113603993</v>
      </c>
      <c r="K43" s="203">
        <f>IF(ISERR((CCPercentage!O43/100)*$B43), 0, (CCPercentage!O43/100)*$B43)</f>
        <v>29.687591133587858</v>
      </c>
      <c r="L43" s="203">
        <f>IF(ISERR((CCPercentage!P43/100)*$B43), 0, (CCPercentage!P43/100)*$B43)</f>
        <v>0</v>
      </c>
      <c r="M43" s="203">
        <f>IF(ISERR((CCPercentage!Q43/100)*$B43), 0, (CCPercentage!Q43/100)*$B43)</f>
        <v>0</v>
      </c>
      <c r="N43" s="203">
        <f>IF(ISERR((CCPercentage!R43/100)*$B43), 0, (CCPercentage!R43/100)*$B43)</f>
        <v>2574.0043409626487</v>
      </c>
      <c r="O43" s="203">
        <f>IF(ISERR((CCPercentage!S43/100)*$B43), 0, (CCPercentage!S43/100)*$B43)</f>
        <v>84.609324803633896</v>
      </c>
      <c r="P43" s="203">
        <f>IF(ISERR((CCPercentage!T43/100)*$B43), 0, (CCPercentage!T43/100)*$B43)</f>
        <v>0</v>
      </c>
      <c r="Q43" s="203">
        <f>IF(ISERR((CCPercentage!U43/100)*$B43), 0, (CCPercentage!U43/100)*$B43)</f>
        <v>108.70535808693435</v>
      </c>
      <c r="R43" s="203">
        <f>IF(ISERR((CCPercentage!V43/100)*$B43), 0, (CCPercentage!V43/100)*$B43)</f>
        <v>29.687591133587858</v>
      </c>
      <c r="S43" s="203">
        <f>IF(ISERR((CCPercentage!W43/100)*$B43), 0, (CCPercentage!W43/100)*$B43)</f>
        <v>0</v>
      </c>
      <c r="T43" s="203">
        <f>IF(ISERR((CCPercentage!X43/100)*$B43), 0, (CCPercentage!X43/100)*$B43)</f>
        <v>0</v>
      </c>
      <c r="U43" s="203">
        <f>IF(ISERR((CCPercentage!Y43/100)*$B43), 0, (CCPercentage!Y43/100)*$B43)</f>
        <v>0</v>
      </c>
      <c r="V43" s="203">
        <f>IF(ISERR((CCPercentage!Z43/100)*$B43), 0, (CCPercentage!Z43/100)*$B43)</f>
        <v>0</v>
      </c>
    </row>
    <row r="44" spans="1:24">
      <c r="A44" s="279">
        <v>2017</v>
      </c>
      <c r="B44" s="575">
        <f>Harvests!I135</f>
        <v>15442</v>
      </c>
      <c r="C44" s="203">
        <f>IF(ISERR((CCPercentage!G44/100)*$B44), 0, (CCPercentage!G44/100)*$B44)</f>
        <v>0</v>
      </c>
      <c r="D44" s="203">
        <f>IF(ISERR((CCPercentage!H44/100)*$B44), 0, (CCPercentage!H44/100)*$B44)</f>
        <v>0</v>
      </c>
      <c r="E44" s="203">
        <f>IF(ISERR((CCPercentage!I44/100)*$B44), 0, (CCPercentage!I44/100)*$B44)</f>
        <v>15.442</v>
      </c>
      <c r="F44" s="203">
        <f>IF(ISERR((CCPercentage!J44/100)*$B44), 0, (CCPercentage!J44/100)*$B44)</f>
        <v>15.442</v>
      </c>
      <c r="G44" s="203">
        <f>IF(ISERR((CCPercentage!K44/100)*$B44), 0, (CCPercentage!K44/100)*$B44)</f>
        <v>2578.8139999999999</v>
      </c>
      <c r="H44" s="203">
        <f>IF(ISERR((CCPercentage!L44/100)*$B44), 0, (CCPercentage!L44/100)*$B44)</f>
        <v>15.442</v>
      </c>
      <c r="I44" s="203">
        <f>IF(ISERR((CCPercentage!M44/100)*$B44), 0, (CCPercentage!M44/100)*$B44)</f>
        <v>0</v>
      </c>
      <c r="J44" s="203">
        <f>IF(ISERR((CCPercentage!N44/100)*$B44), 0, (CCPercentage!N44/100)*$B44)</f>
        <v>6825.3640000000005</v>
      </c>
      <c r="K44" s="203">
        <f>IF(ISERR((CCPercentage!O44/100)*$B44), 0, (CCPercentage!O44/100)*$B44)</f>
        <v>15.442</v>
      </c>
      <c r="L44" s="203">
        <f>IF(ISERR((CCPercentage!P44/100)*$B44), 0, (CCPercentage!P44/100)*$B44)</f>
        <v>0</v>
      </c>
      <c r="M44" s="203">
        <f>IF(ISERR((CCPercentage!Q44/100)*$B44), 0, (CCPercentage!Q44/100)*$B44)</f>
        <v>0</v>
      </c>
      <c r="N44" s="203">
        <f>IF(ISERR((CCPercentage!R44/100)*$B44), 0, (CCPercentage!R44/100)*$B44)</f>
        <v>5806.192</v>
      </c>
      <c r="O44" s="203">
        <f>IF(ISERR((CCPercentage!S44/100)*$B44), 0, (CCPercentage!S44/100)*$B44)</f>
        <v>30.884</v>
      </c>
      <c r="P44" s="203">
        <f>IF(ISERR((CCPercentage!T44/100)*$B44), 0, (CCPercentage!T44/100)*$B44)</f>
        <v>0</v>
      </c>
      <c r="Q44" s="203">
        <f>IF(ISERR((CCPercentage!U44/100)*$B44), 0, (CCPercentage!U44/100)*$B44)</f>
        <v>108.09399999999999</v>
      </c>
      <c r="R44" s="203">
        <f>IF(ISERR((CCPercentage!V44/100)*$B44), 0, (CCPercentage!V44/100)*$B44)</f>
        <v>30.884</v>
      </c>
      <c r="S44" s="203">
        <f>IF(ISERR((CCPercentage!W44/100)*$B44), 0, (CCPercentage!W44/100)*$B44)</f>
        <v>0</v>
      </c>
      <c r="T44" s="203">
        <f>IF(ISERR((CCPercentage!X44/100)*$B44), 0, (CCPercentage!X44/100)*$B44)</f>
        <v>0</v>
      </c>
      <c r="U44" s="203">
        <f>IF(ISERR((CCPercentage!Y44/100)*$B44), 0, (CCPercentage!Y44/100)*$B44)</f>
        <v>0</v>
      </c>
      <c r="V44" s="203">
        <f>IF(ISERR((CCPercentage!Z44/100)*$B44), 0, (CCPercentage!Z44/100)*$B44)</f>
        <v>0</v>
      </c>
    </row>
    <row r="45" spans="1:24">
      <c r="A45" s="12"/>
      <c r="B45" s="205"/>
      <c r="C45" s="204"/>
      <c r="D45" s="204"/>
      <c r="E45" s="204"/>
      <c r="F45" s="204"/>
      <c r="G45" s="204"/>
      <c r="H45" s="204"/>
      <c r="I45" s="204"/>
      <c r="J45" s="204"/>
      <c r="K45" s="204"/>
      <c r="L45" s="204"/>
      <c r="M45" s="204"/>
      <c r="N45" s="204"/>
      <c r="O45" s="204"/>
      <c r="P45" s="204"/>
      <c r="Q45" s="204"/>
      <c r="R45" s="204"/>
      <c r="S45" s="204"/>
      <c r="T45" s="204"/>
      <c r="U45" s="204"/>
      <c r="V45" s="204"/>
    </row>
    <row r="46" spans="1:24" ht="18.75">
      <c r="A46" s="568" t="s">
        <v>252</v>
      </c>
      <c r="B46" s="536">
        <f>AVERAGE(B7:B45)</f>
        <v>34159.07894736842</v>
      </c>
      <c r="C46" s="189">
        <f t="shared" ref="C46:V46" si="0">AVERAGE(C7:C45)</f>
        <v>0.23859860932081842</v>
      </c>
      <c r="D46" s="189">
        <f t="shared" si="0"/>
        <v>17.515227006224983</v>
      </c>
      <c r="E46" s="189">
        <f t="shared" si="0"/>
        <v>75.025729328554576</v>
      </c>
      <c r="F46" s="189">
        <f t="shared" si="0"/>
        <v>36.957989435824409</v>
      </c>
      <c r="G46" s="189">
        <f t="shared" si="0"/>
        <v>2706.0556046636843</v>
      </c>
      <c r="H46" s="189">
        <f t="shared" si="0"/>
        <v>24.241888202164574</v>
      </c>
      <c r="I46" s="189">
        <f t="shared" si="0"/>
        <v>16.190179549991601</v>
      </c>
      <c r="J46" s="189">
        <f t="shared" si="0"/>
        <v>17248.576730817516</v>
      </c>
      <c r="K46" s="189">
        <f t="shared" si="0"/>
        <v>128.18783918846316</v>
      </c>
      <c r="L46" s="189">
        <f t="shared" si="0"/>
        <v>1.1286426224422432</v>
      </c>
      <c r="M46" s="189">
        <f t="shared" si="0"/>
        <v>0.7409521698327789</v>
      </c>
      <c r="N46" s="189">
        <f t="shared" si="0"/>
        <v>12673.87475262718</v>
      </c>
      <c r="O46" s="189">
        <f t="shared" si="0"/>
        <v>524.29697195385722</v>
      </c>
      <c r="P46" s="189">
        <f t="shared" si="0"/>
        <v>2.2743821570141982</v>
      </c>
      <c r="Q46" s="189">
        <f t="shared" si="0"/>
        <v>166.90511051871258</v>
      </c>
      <c r="R46" s="189">
        <f t="shared" si="0"/>
        <v>527.90374358217866</v>
      </c>
      <c r="S46" s="189">
        <f t="shared" si="0"/>
        <v>2.7478798228279788</v>
      </c>
      <c r="T46" s="189">
        <f t="shared" si="0"/>
        <v>0</v>
      </c>
      <c r="U46" s="189">
        <f t="shared" si="0"/>
        <v>4.6146081818968794</v>
      </c>
      <c r="V46" s="189">
        <f t="shared" si="0"/>
        <v>1.532757720201773</v>
      </c>
    </row>
    <row r="47" spans="1:24" ht="36" customHeight="1">
      <c r="A47" s="569" t="str">
        <f>"Mean "&amp;FcastYR-10&amp;" - "&amp;FcastYR-1</f>
        <v>Mean 2008 - 2017</v>
      </c>
      <c r="B47" s="189">
        <f>AVERAGE(B34:B45)</f>
        <v>16581.363636363636</v>
      </c>
      <c r="C47" s="189">
        <f t="shared" ref="C47:V47" si="1">AVERAGE(C34:C45)</f>
        <v>0</v>
      </c>
      <c r="D47" s="189">
        <f t="shared" si="1"/>
        <v>4.8937152722167552</v>
      </c>
      <c r="E47" s="189">
        <f t="shared" si="1"/>
        <v>61.201011091688422</v>
      </c>
      <c r="F47" s="189">
        <f t="shared" si="1"/>
        <v>8.1390554386009111</v>
      </c>
      <c r="G47" s="189">
        <f t="shared" si="1"/>
        <v>2757.6259865570541</v>
      </c>
      <c r="H47" s="189">
        <f t="shared" si="1"/>
        <v>36.986399337366478</v>
      </c>
      <c r="I47" s="189">
        <f t="shared" si="1"/>
        <v>0.87621939212001554</v>
      </c>
      <c r="J47" s="189">
        <f t="shared" si="1"/>
        <v>9704.2417491857414</v>
      </c>
      <c r="K47" s="189">
        <f t="shared" si="1"/>
        <v>125.86785077527207</v>
      </c>
      <c r="L47" s="189">
        <f t="shared" si="1"/>
        <v>0</v>
      </c>
      <c r="M47" s="189">
        <f t="shared" si="1"/>
        <v>0</v>
      </c>
      <c r="N47" s="189">
        <f t="shared" si="1"/>
        <v>3603.9510289656873</v>
      </c>
      <c r="O47" s="189">
        <f t="shared" si="1"/>
        <v>157.06424832646192</v>
      </c>
      <c r="P47" s="189">
        <f t="shared" si="1"/>
        <v>0</v>
      </c>
      <c r="Q47" s="189">
        <f t="shared" si="1"/>
        <v>52.574866029935947</v>
      </c>
      <c r="R47" s="189">
        <f t="shared" si="1"/>
        <v>67.373822288384105</v>
      </c>
      <c r="S47" s="189">
        <f t="shared" si="1"/>
        <v>0.56768370310858418</v>
      </c>
      <c r="T47" s="189">
        <f t="shared" si="1"/>
        <v>0</v>
      </c>
      <c r="U47" s="189">
        <f t="shared" si="1"/>
        <v>0</v>
      </c>
      <c r="V47" s="189">
        <f t="shared" si="1"/>
        <v>0</v>
      </c>
    </row>
    <row r="48" spans="1:24">
      <c r="A48" s="100"/>
      <c r="B48" s="100"/>
      <c r="C48" s="100"/>
      <c r="D48" s="100"/>
      <c r="E48" s="100"/>
      <c r="F48" s="100"/>
      <c r="G48" s="100"/>
      <c r="H48" s="100"/>
      <c r="I48" s="100"/>
      <c r="J48" s="100"/>
      <c r="K48" s="100"/>
      <c r="L48" s="100"/>
      <c r="M48" s="100"/>
      <c r="N48" s="100"/>
      <c r="O48" s="100"/>
      <c r="P48" s="100"/>
      <c r="Q48" s="100"/>
      <c r="R48" s="100"/>
      <c r="S48" s="100"/>
      <c r="T48" s="100"/>
      <c r="U48" s="100"/>
      <c r="V48" s="100"/>
    </row>
    <row r="49" spans="1:1" ht="18.75">
      <c r="A49" s="85"/>
    </row>
  </sheetData>
  <mergeCells count="2">
    <mergeCell ref="T5:V5"/>
    <mergeCell ref="Q5:S5"/>
  </mergeCells>
  <phoneticPr fontId="47" type="noConversion"/>
  <pageMargins left="0.75" right="0.75" top="1" bottom="1" header="0.5" footer="0.5"/>
  <pageSetup scale="4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
    <pageSetUpPr fitToPage="1"/>
  </sheetPr>
  <dimension ref="A1:AC51"/>
  <sheetViews>
    <sheetView zoomScale="75" zoomScaleNormal="75" workbookViewId="0">
      <pane ySplit="7" topLeftCell="A20" activePane="bottomLeft" state="frozen"/>
      <selection pane="bottomLeft" activeCell="A2" sqref="A2"/>
    </sheetView>
  </sheetViews>
  <sheetFormatPr defaultRowHeight="15.75"/>
  <cols>
    <col min="1" max="1" width="15.625" customWidth="1"/>
    <col min="2" max="2" width="8.625" customWidth="1"/>
    <col min="3" max="3" width="7.25" customWidth="1"/>
    <col min="4" max="4" width="9.25" customWidth="1"/>
    <col min="5" max="5" width="7.25" customWidth="1"/>
    <col min="6" max="6" width="9.25" customWidth="1"/>
    <col min="7" max="7" width="7" customWidth="1"/>
    <col min="8" max="8" width="9.25" customWidth="1"/>
    <col min="9" max="9" width="7.625" customWidth="1"/>
    <col min="10" max="10" width="9.25" customWidth="1"/>
    <col min="11" max="11" width="7.125" customWidth="1"/>
    <col min="12" max="12" width="9.25" customWidth="1"/>
    <col min="13" max="13" width="6.625" customWidth="1"/>
    <col min="14" max="15" width="9.25" customWidth="1"/>
    <col min="16" max="16" width="7.25" customWidth="1"/>
    <col min="17" max="19" width="9.25" customWidth="1"/>
    <col min="20" max="20" width="6.625" customWidth="1"/>
    <col min="21" max="21" width="9.25" customWidth="1"/>
    <col min="22" max="22" width="10" customWidth="1"/>
  </cols>
  <sheetData>
    <row r="1" spans="1:29">
      <c r="A1" s="255" t="str">
        <f ca="1">CELL("filename",A1)</f>
        <v>C:\Projects\Shiny App\Aging Error\[Copprt Chinook brood.xlsx]Major Age Brood</v>
      </c>
    </row>
    <row r="3" spans="1:29" ht="23.25">
      <c r="A3" s="51" t="s">
        <v>57</v>
      </c>
    </row>
    <row r="4" spans="1:29">
      <c r="A4" s="4" t="s">
        <v>170</v>
      </c>
    </row>
    <row r="5" spans="1:29" ht="16.5" thickBot="1"/>
    <row r="6" spans="1:29" ht="16.5" thickBot="1">
      <c r="A6" s="40" t="s">
        <v>27</v>
      </c>
      <c r="B6" s="41" t="s">
        <v>6</v>
      </c>
      <c r="C6" s="42"/>
      <c r="D6" s="43"/>
      <c r="E6" s="41" t="s">
        <v>7</v>
      </c>
      <c r="F6" s="46"/>
      <c r="G6" s="46"/>
      <c r="H6" s="43"/>
      <c r="I6" s="41" t="s">
        <v>8</v>
      </c>
      <c r="J6" s="46"/>
      <c r="K6" s="42"/>
      <c r="L6" s="43"/>
      <c r="M6" s="41" t="s">
        <v>9</v>
      </c>
      <c r="N6" s="47"/>
      <c r="O6" s="46"/>
      <c r="P6" s="42"/>
      <c r="Q6" s="43"/>
      <c r="R6" s="48" t="s">
        <v>10</v>
      </c>
      <c r="S6" s="46"/>
      <c r="T6" s="49"/>
      <c r="U6" s="50"/>
    </row>
    <row r="7" spans="1:29" ht="16.5" thickBot="1">
      <c r="A7" s="592" t="s">
        <v>12</v>
      </c>
      <c r="B7" s="44">
        <v>0.2</v>
      </c>
      <c r="C7" s="36">
        <v>1.1000000000000001</v>
      </c>
      <c r="D7" s="38" t="s">
        <v>56</v>
      </c>
      <c r="E7" s="37">
        <v>0.3</v>
      </c>
      <c r="F7" s="34">
        <v>1.2</v>
      </c>
      <c r="G7" s="36">
        <v>2.1</v>
      </c>
      <c r="H7" s="38" t="s">
        <v>0</v>
      </c>
      <c r="I7" s="37">
        <v>0.4</v>
      </c>
      <c r="J7" s="18">
        <v>1.3</v>
      </c>
      <c r="K7" s="36">
        <v>2.2000000000000002</v>
      </c>
      <c r="L7" s="38" t="s">
        <v>0</v>
      </c>
      <c r="M7" s="37">
        <v>0.5</v>
      </c>
      <c r="N7" s="18">
        <v>1.4</v>
      </c>
      <c r="O7" s="18">
        <v>2.2999999999999998</v>
      </c>
      <c r="P7" s="36">
        <v>3.2</v>
      </c>
      <c r="Q7" s="38" t="s">
        <v>0</v>
      </c>
      <c r="R7" s="37">
        <v>1.5</v>
      </c>
      <c r="S7" s="18">
        <v>2.4</v>
      </c>
      <c r="T7" s="36">
        <v>3.3</v>
      </c>
      <c r="U7" s="38" t="s">
        <v>0</v>
      </c>
    </row>
    <row r="8" spans="1:29" ht="16.5" thickTop="1">
      <c r="A8" s="593">
        <v>1975</v>
      </c>
      <c r="B8" s="269">
        <f>Brood_Tab!D6</f>
        <v>0</v>
      </c>
      <c r="C8" s="269">
        <f>Brood_Tab!E6</f>
        <v>0</v>
      </c>
      <c r="D8" s="39">
        <f>SUM(B8:C8)</f>
        <v>0</v>
      </c>
      <c r="E8" s="269">
        <f>Brood_Tab!F6</f>
        <v>0</v>
      </c>
      <c r="F8" s="269">
        <f>Brood_Tab!G6</f>
        <v>0</v>
      </c>
      <c r="G8" s="269">
        <f>Brood_Tab!H6</f>
        <v>0</v>
      </c>
      <c r="H8" s="39">
        <f>SUM(E8:G8)</f>
        <v>0</v>
      </c>
      <c r="I8" s="269">
        <f>Brood_Tab!I6</f>
        <v>0</v>
      </c>
      <c r="J8" s="269">
        <f>Brood_Tab!J6</f>
        <v>2398.7488584474886</v>
      </c>
      <c r="K8" s="269">
        <f>Brood_Tab!K6</f>
        <v>38.689497716894977</v>
      </c>
      <c r="L8" s="39">
        <f>SUM(I8:K8)</f>
        <v>2437.4383561643835</v>
      </c>
      <c r="M8" s="269">
        <f>Brood_Tab!M6</f>
        <v>0</v>
      </c>
      <c r="N8" s="269">
        <f>Brood_Tab!N6</f>
        <v>8321.7037037037026</v>
      </c>
      <c r="O8" s="269">
        <f>Brood_Tab!O6</f>
        <v>151.30370370370372</v>
      </c>
      <c r="P8" s="269">
        <f>Brood_Tab!P6</f>
        <v>0</v>
      </c>
      <c r="Q8" s="39">
        <f>SUM(M8:P8)</f>
        <v>8473.0074074074055</v>
      </c>
      <c r="R8" s="269">
        <f>Brood_Tab!Q6</f>
        <v>46.549123306618931</v>
      </c>
      <c r="S8" s="269">
        <f>Brood_Tab!R6</f>
        <v>2187.8087954110902</v>
      </c>
      <c r="T8" s="269">
        <f>Brood_Tab!S6</f>
        <v>0</v>
      </c>
      <c r="U8" s="39">
        <f>SUM(R8:T8)</f>
        <v>2234.3579187177093</v>
      </c>
    </row>
    <row r="9" spans="1:29">
      <c r="A9" s="324">
        <v>1976</v>
      </c>
      <c r="B9" s="269">
        <f>Brood_Tab!D7</f>
        <v>0</v>
      </c>
      <c r="C9" s="269">
        <f>Brood_Tab!E7</f>
        <v>0</v>
      </c>
      <c r="D9" s="39">
        <f t="shared" ref="D9:D28" si="0">SUM(B9:C9)</f>
        <v>0</v>
      </c>
      <c r="E9" s="269">
        <f>Brood_Tab!F7</f>
        <v>0</v>
      </c>
      <c r="F9" s="269">
        <f>Brood_Tab!G7</f>
        <v>77.378995433789953</v>
      </c>
      <c r="G9" s="269">
        <f>Brood_Tab!H7</f>
        <v>0</v>
      </c>
      <c r="H9" s="39">
        <f t="shared" ref="H9:H28" si="1">SUM(E9:G9)</f>
        <v>77.378995433789953</v>
      </c>
      <c r="I9" s="269">
        <f>Brood_Tab!I7</f>
        <v>0</v>
      </c>
      <c r="J9" s="269">
        <f>Brood_Tab!J7</f>
        <v>8624.3111111111102</v>
      </c>
      <c r="K9" s="269">
        <f>Brood_Tab!K7</f>
        <v>0</v>
      </c>
      <c r="L9" s="39">
        <f t="shared" ref="L9:L27" si="2">SUM(I9:K9)</f>
        <v>8624.3111111111102</v>
      </c>
      <c r="M9" s="269">
        <f>Brood_Tab!M7</f>
        <v>0</v>
      </c>
      <c r="N9" s="269">
        <f>Brood_Tab!N7</f>
        <v>12053.313616207641</v>
      </c>
      <c r="O9" s="269">
        <f>Brood_Tab!O7</f>
        <v>3976.0709491070338</v>
      </c>
      <c r="P9" s="269">
        <f>Brood_Tab!P7</f>
        <v>0</v>
      </c>
      <c r="Q9" s="39">
        <f t="shared" ref="Q9:Q26" si="3">SUM(M9:P9)</f>
        <v>16029.384565314675</v>
      </c>
      <c r="R9" s="269">
        <f>Brood_Tab!Q7</f>
        <v>17.012994282515695</v>
      </c>
      <c r="S9" s="269">
        <f>Brood_Tab!R7</f>
        <v>86.128283555235697</v>
      </c>
      <c r="T9" s="269">
        <f>Brood_Tab!S7</f>
        <v>0</v>
      </c>
      <c r="U9" s="39">
        <f t="shared" ref="U9:U25" si="4">SUM(R9:T9)</f>
        <v>103.14127783775139</v>
      </c>
    </row>
    <row r="10" spans="1:29">
      <c r="A10" s="324">
        <v>1977</v>
      </c>
      <c r="B10" s="269">
        <f>Brood_Tab!D8</f>
        <v>0</v>
      </c>
      <c r="C10" s="269">
        <f>Brood_Tab!E8</f>
        <v>0</v>
      </c>
      <c r="D10" s="39">
        <f t="shared" si="0"/>
        <v>0</v>
      </c>
      <c r="E10" s="269">
        <f>Brood_Tab!F8</f>
        <v>756.51851851851848</v>
      </c>
      <c r="F10" s="269">
        <f>Brood_Tab!G8</f>
        <v>1059.1259259259259</v>
      </c>
      <c r="G10" s="269">
        <f>Brood_Tab!H8</f>
        <v>0</v>
      </c>
      <c r="H10" s="39">
        <f t="shared" si="1"/>
        <v>1815.6444444444444</v>
      </c>
      <c r="I10" s="269">
        <f>Brood_Tab!I8</f>
        <v>0</v>
      </c>
      <c r="J10" s="269">
        <f>Brood_Tab!J8</f>
        <v>25211.19913754526</v>
      </c>
      <c r="K10" s="269">
        <f>Brood_Tab!K8</f>
        <v>453.85395223953464</v>
      </c>
      <c r="L10" s="39">
        <f t="shared" si="2"/>
        <v>25665.053089784793</v>
      </c>
      <c r="M10" s="269">
        <f>Brood_Tab!M8</f>
        <v>0</v>
      </c>
      <c r="N10" s="269">
        <f>Brood_Tab!N8</f>
        <v>16990.664727519888</v>
      </c>
      <c r="O10" s="269">
        <f>Brood_Tab!O8</f>
        <v>82.938347127263995</v>
      </c>
      <c r="P10" s="269">
        <f>Brood_Tab!P8</f>
        <v>0</v>
      </c>
      <c r="Q10" s="39">
        <f t="shared" si="3"/>
        <v>17073.603074647152</v>
      </c>
      <c r="R10" s="269">
        <f>Brood_Tab!Q8</f>
        <v>18.29850437837419</v>
      </c>
      <c r="S10" s="269">
        <f>Brood_Tab!R8</f>
        <v>1241.2485469997159</v>
      </c>
      <c r="T10" s="269">
        <f>Brood_Tab!S8</f>
        <v>59.978431018004279</v>
      </c>
      <c r="U10" s="39">
        <f t="shared" si="4"/>
        <v>1319.5254823960945</v>
      </c>
    </row>
    <row r="11" spans="1:29" ht="12.75" customHeight="1">
      <c r="A11" s="324">
        <v>1978</v>
      </c>
      <c r="B11" s="269">
        <f>Brood_Tab!D9</f>
        <v>0</v>
      </c>
      <c r="C11" s="269">
        <f>Brood_Tab!E9</f>
        <v>0</v>
      </c>
      <c r="D11" s="39">
        <f t="shared" si="0"/>
        <v>0</v>
      </c>
      <c r="E11" s="269">
        <f>Brood_Tab!F9</f>
        <v>17.4559212399821</v>
      </c>
      <c r="F11" s="269">
        <f>Brood_Tab!G9</f>
        <v>3576.5243073918882</v>
      </c>
      <c r="G11" s="269">
        <f>Brood_Tab!H9</f>
        <v>0</v>
      </c>
      <c r="H11" s="39">
        <f t="shared" si="1"/>
        <v>3593.9802286318704</v>
      </c>
      <c r="I11" s="269">
        <f>Brood_Tab!I9</f>
        <v>0</v>
      </c>
      <c r="J11" s="269">
        <f>Brood_Tab!J9</f>
        <v>33917.530726480349</v>
      </c>
      <c r="K11" s="269">
        <f>Brood_Tab!K9</f>
        <v>19.139618567830155</v>
      </c>
      <c r="L11" s="39">
        <f t="shared" si="2"/>
        <v>33936.67034504818</v>
      </c>
      <c r="M11" s="269">
        <f>Brood_Tab!M9</f>
        <v>0</v>
      </c>
      <c r="N11" s="269">
        <f>Brood_Tab!N9</f>
        <v>22116.792291994938</v>
      </c>
      <c r="O11" s="269">
        <f>Brood_Tab!O9</f>
        <v>1639.7493090176424</v>
      </c>
      <c r="P11" s="269">
        <f>Brood_Tab!P9</f>
        <v>0</v>
      </c>
      <c r="Q11" s="39">
        <f t="shared" si="3"/>
        <v>23756.541601012581</v>
      </c>
      <c r="R11" s="269">
        <f>Brood_Tab!Q9</f>
        <v>228.04052170214777</v>
      </c>
      <c r="S11" s="269">
        <f>Brood_Tab!R9</f>
        <v>652.97946742905742</v>
      </c>
      <c r="T11" s="269">
        <f>Brood_Tab!S9</f>
        <v>0</v>
      </c>
      <c r="U11" s="39">
        <f t="shared" si="4"/>
        <v>881.01998913120519</v>
      </c>
      <c r="W11" s="555"/>
      <c r="X11" s="556"/>
      <c r="Y11" s="556"/>
      <c r="Z11" s="556"/>
      <c r="AA11" s="556"/>
      <c r="AB11" s="556"/>
      <c r="AC11" s="556"/>
    </row>
    <row r="12" spans="1:29">
      <c r="A12" s="324">
        <v>1979</v>
      </c>
      <c r="B12" s="269">
        <f>Brood_Tab!D10</f>
        <v>49.458443513282617</v>
      </c>
      <c r="C12" s="269">
        <f>Brood_Tab!E10</f>
        <v>103.76575403767137</v>
      </c>
      <c r="D12" s="39">
        <f t="shared" si="0"/>
        <v>153.22419755095399</v>
      </c>
      <c r="E12" s="269">
        <f>Brood_Tab!F10</f>
        <v>0</v>
      </c>
      <c r="F12" s="269">
        <f>Brood_Tab!G10</f>
        <v>2052.1924353284553</v>
      </c>
      <c r="G12" s="269">
        <f>Brood_Tab!H10</f>
        <v>0</v>
      </c>
      <c r="H12" s="39">
        <f t="shared" si="1"/>
        <v>2052.1924353284553</v>
      </c>
      <c r="I12" s="269">
        <f>Brood_Tab!I10</f>
        <v>0</v>
      </c>
      <c r="J12" s="269">
        <f>Brood_Tab!J10</f>
        <v>13184.072404618604</v>
      </c>
      <c r="K12" s="269">
        <f>Brood_Tab!K10</f>
        <v>170.78604086482576</v>
      </c>
      <c r="L12" s="39">
        <f t="shared" si="2"/>
        <v>13354.858445483431</v>
      </c>
      <c r="M12" s="269">
        <f>Brood_Tab!M10</f>
        <v>0</v>
      </c>
      <c r="N12" s="269">
        <f>Brood_Tab!N10</f>
        <v>25990.591971268575</v>
      </c>
      <c r="O12" s="269">
        <f>Brood_Tab!O10</f>
        <v>344.5722420433334</v>
      </c>
      <c r="P12" s="269">
        <f>Brood_Tab!P10</f>
        <v>0</v>
      </c>
      <c r="Q12" s="39">
        <f t="shared" si="3"/>
        <v>26335.164213311909</v>
      </c>
      <c r="R12" s="269">
        <f>Brood_Tab!Q10</f>
        <v>244.2786328989427</v>
      </c>
      <c r="S12" s="269">
        <f>Brood_Tab!R10</f>
        <v>623.26235554462755</v>
      </c>
      <c r="T12" s="269">
        <f>Brood_Tab!S10</f>
        <v>20.105237275633144</v>
      </c>
      <c r="U12" s="39">
        <f t="shared" si="4"/>
        <v>887.64622571920347</v>
      </c>
      <c r="W12" s="556"/>
      <c r="X12" s="556"/>
      <c r="Y12" s="556"/>
      <c r="Z12" s="556"/>
      <c r="AA12" s="556"/>
      <c r="AB12" s="556"/>
      <c r="AC12" s="556"/>
    </row>
    <row r="13" spans="1:29">
      <c r="A13" s="324">
        <v>1980</v>
      </c>
      <c r="B13" s="269">
        <f>Brood_Tab!D11</f>
        <v>0</v>
      </c>
      <c r="C13" s="269">
        <f>Brood_Tab!E11</f>
        <v>23.392867138459078</v>
      </c>
      <c r="D13" s="39">
        <f t="shared" si="0"/>
        <v>23.392867138459078</v>
      </c>
      <c r="E13" s="269">
        <f>Brood_Tab!F11</f>
        <v>15.24875364864516</v>
      </c>
      <c r="F13" s="269">
        <f>Brood_Tab!G11</f>
        <v>899.67646527006423</v>
      </c>
      <c r="G13" s="269">
        <f>Brood_Tab!H11</f>
        <v>9.149252189187095</v>
      </c>
      <c r="H13" s="39">
        <f t="shared" si="1"/>
        <v>924.07447110789644</v>
      </c>
      <c r="I13" s="269">
        <f>Brood_Tab!I11</f>
        <v>62.284195354771633</v>
      </c>
      <c r="J13" s="269">
        <f>Brood_Tab!J11</f>
        <v>12239.848971008672</v>
      </c>
      <c r="K13" s="269">
        <f>Brood_Tab!K11</f>
        <v>70.320865723129259</v>
      </c>
      <c r="L13" s="39">
        <f t="shared" si="2"/>
        <v>12372.454032086574</v>
      </c>
      <c r="M13" s="269">
        <f>Brood_Tab!M11</f>
        <v>0</v>
      </c>
      <c r="N13" s="269">
        <f>Brood_Tab!N11</f>
        <v>14046.524022621099</v>
      </c>
      <c r="O13" s="269">
        <f>Brood_Tab!O11</f>
        <v>1601.3821490041801</v>
      </c>
      <c r="P13" s="269">
        <f>Brood_Tab!P11</f>
        <v>0</v>
      </c>
      <c r="Q13" s="39">
        <f t="shared" si="3"/>
        <v>15647.90617162528</v>
      </c>
      <c r="R13" s="269">
        <f>Brood_Tab!Q11</f>
        <v>508.19919373962534</v>
      </c>
      <c r="S13" s="269">
        <f>Brood_Tab!R11</f>
        <v>2093.0639870365981</v>
      </c>
      <c r="T13" s="269">
        <f>Brood_Tab!S11</f>
        <v>0</v>
      </c>
      <c r="U13" s="39">
        <f t="shared" si="4"/>
        <v>2601.2631807762236</v>
      </c>
      <c r="W13" s="556"/>
      <c r="X13" s="556"/>
      <c r="Y13" s="556"/>
      <c r="Z13" s="556"/>
      <c r="AA13" s="556"/>
      <c r="AB13" s="556"/>
      <c r="AC13" s="556"/>
    </row>
    <row r="14" spans="1:29">
      <c r="A14" s="324">
        <v>1981</v>
      </c>
      <c r="B14" s="269">
        <f>Brood_Tab!D12</f>
        <v>0</v>
      </c>
      <c r="C14" s="269">
        <f>Brood_Tab!E12</f>
        <v>0</v>
      </c>
      <c r="D14" s="39">
        <f t="shared" si="0"/>
        <v>0</v>
      </c>
      <c r="E14" s="269">
        <f>Brood_Tab!F12</f>
        <v>43.197103229922263</v>
      </c>
      <c r="F14" s="269">
        <f>Brood_Tab!G12</f>
        <v>2828.907969661886</v>
      </c>
      <c r="G14" s="269">
        <f>Brood_Tab!H12</f>
        <v>0</v>
      </c>
      <c r="H14" s="39">
        <f t="shared" si="1"/>
        <v>2872.105072891808</v>
      </c>
      <c r="I14" s="269">
        <f>Brood_Tab!I12</f>
        <v>38.199950823702977</v>
      </c>
      <c r="J14" s="269">
        <f>Brood_Tab!J12</f>
        <v>21883.545512662899</v>
      </c>
      <c r="K14" s="269">
        <f>Brood_Tab!K12</f>
        <v>46.242045733956232</v>
      </c>
      <c r="L14" s="39">
        <f t="shared" si="2"/>
        <v>21967.987509220558</v>
      </c>
      <c r="M14" s="269">
        <f>Brood_Tab!M12</f>
        <v>0</v>
      </c>
      <c r="N14" s="269">
        <f>Brood_Tab!N12</f>
        <v>26330.256303849499</v>
      </c>
      <c r="O14" s="269">
        <f>Brood_Tab!O12</f>
        <v>1332.394039996838</v>
      </c>
      <c r="P14" s="269">
        <f>Brood_Tab!P12</f>
        <v>0</v>
      </c>
      <c r="Q14" s="39">
        <f t="shared" si="3"/>
        <v>27662.650343846337</v>
      </c>
      <c r="R14" s="269">
        <f>Brood_Tab!Q12</f>
        <v>649.54500371931556</v>
      </c>
      <c r="S14" s="269">
        <f>Brood_Tab!R12</f>
        <v>1551.2663030002479</v>
      </c>
      <c r="T14" s="269">
        <f>Brood_Tab!S12</f>
        <v>0</v>
      </c>
      <c r="U14" s="39">
        <f t="shared" si="4"/>
        <v>2200.8113067195636</v>
      </c>
      <c r="W14" s="556"/>
      <c r="X14" s="556"/>
      <c r="Y14" s="556"/>
      <c r="Z14" s="556"/>
      <c r="AA14" s="556"/>
      <c r="AB14" s="556"/>
      <c r="AC14" s="556"/>
    </row>
    <row r="15" spans="1:29">
      <c r="A15" s="324">
        <v>1982</v>
      </c>
      <c r="B15" s="269">
        <f>Brood_Tab!D13</f>
        <v>56.256692578503412</v>
      </c>
      <c r="C15" s="269">
        <f>Brood_Tab!E13</f>
        <v>0</v>
      </c>
      <c r="D15" s="39">
        <f t="shared" si="0"/>
        <v>56.256692578503412</v>
      </c>
      <c r="E15" s="269">
        <f>Brood_Tab!F13</f>
        <v>0</v>
      </c>
      <c r="F15" s="269">
        <f>Brood_Tab!G13</f>
        <v>2352.3127612490775</v>
      </c>
      <c r="G15" s="269">
        <f>Brood_Tab!H13</f>
        <v>0</v>
      </c>
      <c r="H15" s="39">
        <f t="shared" si="1"/>
        <v>2352.3127612490775</v>
      </c>
      <c r="I15" s="269">
        <f>Brood_Tab!I13</f>
        <v>42.349932811635448</v>
      </c>
      <c r="J15" s="269">
        <f>Brood_Tab!J13</f>
        <v>9999.4706742550006</v>
      </c>
      <c r="K15" s="269">
        <f>Brood_Tab!K13</f>
        <v>19.546122836139439</v>
      </c>
      <c r="L15" s="39">
        <f t="shared" si="2"/>
        <v>10061.366729902777</v>
      </c>
      <c r="M15" s="269">
        <f>Brood_Tab!M13</f>
        <v>0</v>
      </c>
      <c r="N15" s="269">
        <f>Brood_Tab!N13</f>
        <v>19096.623109347878</v>
      </c>
      <c r="O15" s="269">
        <f>Brood_Tab!O13</f>
        <v>572.03627218306121</v>
      </c>
      <c r="P15" s="269">
        <f>Brood_Tab!P13</f>
        <v>0</v>
      </c>
      <c r="Q15" s="39">
        <f t="shared" si="3"/>
        <v>19668.659381530939</v>
      </c>
      <c r="R15" s="269">
        <f>Brood_Tab!Q13</f>
        <v>770.43880626032853</v>
      </c>
      <c r="S15" s="269">
        <f>Brood_Tab!R13</f>
        <v>1822.7699361653868</v>
      </c>
      <c r="T15" s="269">
        <f>Brood_Tab!S13</f>
        <v>0</v>
      </c>
      <c r="U15" s="39">
        <f t="shared" si="4"/>
        <v>2593.2087424257152</v>
      </c>
      <c r="W15" s="556"/>
      <c r="X15" s="556"/>
      <c r="Y15" s="556"/>
      <c r="Z15" s="556"/>
      <c r="AA15" s="556"/>
      <c r="AB15" s="556"/>
      <c r="AC15" s="556"/>
    </row>
    <row r="16" spans="1:29">
      <c r="A16" s="324">
        <v>1983</v>
      </c>
      <c r="B16" s="269">
        <f>Brood_Tab!D14</f>
        <v>28.147332185886405</v>
      </c>
      <c r="C16" s="269">
        <f>Brood_Tab!E14</f>
        <v>0</v>
      </c>
      <c r="D16" s="39">
        <f t="shared" si="0"/>
        <v>28.147332185886405</v>
      </c>
      <c r="E16" s="269">
        <f>Brood_Tab!F14</f>
        <v>19.546122836139439</v>
      </c>
      <c r="F16" s="269">
        <f>Brood_Tab!G14</f>
        <v>829.0813769662476</v>
      </c>
      <c r="G16" s="269">
        <f>Brood_Tab!H14</f>
        <v>0</v>
      </c>
      <c r="H16" s="39">
        <f t="shared" si="1"/>
        <v>848.62749980238709</v>
      </c>
      <c r="I16" s="269">
        <f>Brood_Tab!I14</f>
        <v>28.383479154121357</v>
      </c>
      <c r="J16" s="269">
        <f>Brood_Tab!J14</f>
        <v>7774.8899436789352</v>
      </c>
      <c r="K16" s="269">
        <f>Brood_Tab!K14</f>
        <v>75.325386985937442</v>
      </c>
      <c r="L16" s="39">
        <f t="shared" si="2"/>
        <v>7878.5988098189937</v>
      </c>
      <c r="M16" s="269">
        <f>Brood_Tab!M14</f>
        <v>0</v>
      </c>
      <c r="N16" s="269">
        <f>Brood_Tab!N14</f>
        <v>19097.45254528369</v>
      </c>
      <c r="O16" s="269">
        <f>Brood_Tab!O14</f>
        <v>699.21334370240743</v>
      </c>
      <c r="P16" s="269">
        <f>Brood_Tab!P14</f>
        <v>0</v>
      </c>
      <c r="Q16" s="39">
        <f t="shared" si="3"/>
        <v>19796.665888986096</v>
      </c>
      <c r="R16" s="269">
        <f>Brood_Tab!Q14</f>
        <v>382.93133640552992</v>
      </c>
      <c r="S16" s="269">
        <f>Brood_Tab!R14</f>
        <v>1884.5046082949309</v>
      </c>
      <c r="T16" s="269">
        <f>Brood_Tab!S14</f>
        <v>18.091244239631337</v>
      </c>
      <c r="U16" s="39">
        <f t="shared" si="4"/>
        <v>2285.5271889400919</v>
      </c>
      <c r="W16" s="556"/>
      <c r="X16" s="556"/>
      <c r="Y16" s="556"/>
      <c r="Z16" s="556"/>
      <c r="AA16" s="556"/>
      <c r="AB16" s="556"/>
      <c r="AC16" s="556"/>
    </row>
    <row r="17" spans="1:29">
      <c r="A17" s="324">
        <v>1984</v>
      </c>
      <c r="B17" s="269">
        <f>Brood_Tab!D15</f>
        <v>19.546122836139439</v>
      </c>
      <c r="C17" s="269">
        <f>Brood_Tab!E15</f>
        <v>19.546122836139439</v>
      </c>
      <c r="D17" s="39">
        <f t="shared" si="0"/>
        <v>39.092245672278878</v>
      </c>
      <c r="E17" s="269">
        <f>Brood_Tab!F15</f>
        <v>13.100067301902163</v>
      </c>
      <c r="F17" s="269">
        <f>Brood_Tab!G15</f>
        <v>970.49665261591872</v>
      </c>
      <c r="G17" s="269">
        <f>Brood_Tab!H15</f>
        <v>30.566823704438384</v>
      </c>
      <c r="H17" s="39">
        <f t="shared" si="1"/>
        <v>1014.1635436222593</v>
      </c>
      <c r="I17" s="269">
        <f>Brood_Tab!I15</f>
        <v>14.044457405787238</v>
      </c>
      <c r="J17" s="269">
        <f>Brood_Tab!J15</f>
        <v>7598.0514565308968</v>
      </c>
      <c r="K17" s="269">
        <f>Brood_Tab!K15</f>
        <v>57.181005152133764</v>
      </c>
      <c r="L17" s="39">
        <f t="shared" si="2"/>
        <v>7669.2769190888175</v>
      </c>
      <c r="M17" s="269">
        <f>Brood_Tab!M15</f>
        <v>0</v>
      </c>
      <c r="N17" s="269">
        <f>Brood_Tab!N15</f>
        <v>11771.369585253457</v>
      </c>
      <c r="O17" s="269">
        <f>Brood_Tab!O15</f>
        <v>460.32165898617507</v>
      </c>
      <c r="P17" s="269">
        <f>Brood_Tab!P15</f>
        <v>41.207834101382481</v>
      </c>
      <c r="Q17" s="39">
        <f t="shared" si="3"/>
        <v>12272.899078341014</v>
      </c>
      <c r="R17" s="269">
        <f>Brood_Tab!Q15</f>
        <v>355.61797171438428</v>
      </c>
      <c r="S17" s="269">
        <f>Brood_Tab!R15</f>
        <v>420.09261814418761</v>
      </c>
      <c r="T17" s="269">
        <f>Brood_Tab!S15</f>
        <v>0</v>
      </c>
      <c r="U17" s="39">
        <f t="shared" si="4"/>
        <v>775.71058985857189</v>
      </c>
      <c r="W17" s="556"/>
      <c r="X17" s="556"/>
      <c r="Y17" s="556"/>
      <c r="Z17" s="556"/>
      <c r="AA17" s="556"/>
      <c r="AB17" s="556"/>
      <c r="AC17" s="556"/>
    </row>
    <row r="18" spans="1:29">
      <c r="A18" s="324">
        <v>1985</v>
      </c>
      <c r="B18" s="269">
        <f>Brood_Tab!D16</f>
        <v>13.100067301902163</v>
      </c>
      <c r="C18" s="269">
        <f>Brood_Tab!E16</f>
        <v>43.666891006340542</v>
      </c>
      <c r="D18" s="39">
        <f t="shared" si="0"/>
        <v>56.766958308242707</v>
      </c>
      <c r="E18" s="269">
        <f>Brood_Tab!F16</f>
        <v>0</v>
      </c>
      <c r="F18" s="269">
        <f>Brood_Tab!G16</f>
        <v>792.5086678979942</v>
      </c>
      <c r="G18" s="269">
        <f>Brood_Tab!H16</f>
        <v>62.196882797057782</v>
      </c>
      <c r="H18" s="39">
        <f t="shared" si="1"/>
        <v>854.70555069505201</v>
      </c>
      <c r="I18" s="269">
        <f>Brood_Tab!I16</f>
        <v>0</v>
      </c>
      <c r="J18" s="269">
        <f>Brood_Tab!J16</f>
        <v>5597.4829838087717</v>
      </c>
      <c r="K18" s="269">
        <f>Brood_Tab!K16</f>
        <v>280.41428571428565</v>
      </c>
      <c r="L18" s="39">
        <f t="shared" si="2"/>
        <v>5877.8972695230577</v>
      </c>
      <c r="M18" s="269">
        <f>Brood_Tab!M16</f>
        <v>0</v>
      </c>
      <c r="N18" s="269">
        <f>Brood_Tab!N16</f>
        <v>12019.484477406002</v>
      </c>
      <c r="O18" s="269">
        <f>Brood_Tab!O16</f>
        <v>525.87133494308375</v>
      </c>
      <c r="P18" s="269">
        <f>Brood_Tab!P16</f>
        <v>9.0667471541911002</v>
      </c>
      <c r="Q18" s="39">
        <f t="shared" si="3"/>
        <v>12554.422559503277</v>
      </c>
      <c r="R18" s="269">
        <f>Brood_Tab!Q16</f>
        <v>365.536289410878</v>
      </c>
      <c r="S18" s="269">
        <f>Brood_Tab!R16</f>
        <v>1978.3145333500813</v>
      </c>
      <c r="T18" s="269">
        <f>Brood_Tab!S16</f>
        <v>0</v>
      </c>
      <c r="U18" s="39">
        <f t="shared" si="4"/>
        <v>2343.8508227609591</v>
      </c>
      <c r="W18" s="556"/>
      <c r="X18" s="556"/>
      <c r="Y18" s="556"/>
      <c r="Z18" s="556"/>
      <c r="AA18" s="556"/>
      <c r="AB18" s="556"/>
      <c r="AC18" s="556"/>
    </row>
    <row r="19" spans="1:29">
      <c r="A19" s="324">
        <v>1986</v>
      </c>
      <c r="B19" s="269">
        <f>Brood_Tab!D17</f>
        <v>0</v>
      </c>
      <c r="C19" s="269">
        <f>Brood_Tab!E17</f>
        <v>45.142898804316133</v>
      </c>
      <c r="D19" s="39">
        <f t="shared" si="0"/>
        <v>45.142898804316133</v>
      </c>
      <c r="E19" s="269">
        <f>Brood_Tab!F17</f>
        <v>5.0253456221198158</v>
      </c>
      <c r="F19" s="269">
        <f>Brood_Tab!G17</f>
        <v>1269.4023041474654</v>
      </c>
      <c r="G19" s="269">
        <f>Brood_Tab!H17</f>
        <v>46.233179723502303</v>
      </c>
      <c r="H19" s="39">
        <f t="shared" si="1"/>
        <v>1320.6608294930875</v>
      </c>
      <c r="I19" s="269">
        <f>Brood_Tab!I17</f>
        <v>198.46102104173849</v>
      </c>
      <c r="J19" s="269">
        <f>Brood_Tab!J17</f>
        <v>19786.664539496378</v>
      </c>
      <c r="K19" s="269">
        <f>Brood_Tab!K17</f>
        <v>165.21628147637117</v>
      </c>
      <c r="L19" s="39">
        <f t="shared" si="2"/>
        <v>20150.341842014488</v>
      </c>
      <c r="M19" s="269">
        <f>Brood_Tab!M17</f>
        <v>19.080190930787591</v>
      </c>
      <c r="N19" s="269">
        <f>Brood_Tab!N17</f>
        <v>43279.314721733841</v>
      </c>
      <c r="O19" s="269">
        <f>Brood_Tab!O17</f>
        <v>759.85572466201552</v>
      </c>
      <c r="P19" s="269">
        <f>Brood_Tab!P17</f>
        <v>36.15194071096596</v>
      </c>
      <c r="Q19" s="39">
        <f t="shared" si="3"/>
        <v>44094.402578037611</v>
      </c>
      <c r="R19" s="269">
        <f>Brood_Tab!Q17</f>
        <v>401.36051401083193</v>
      </c>
      <c r="S19" s="269">
        <f>Brood_Tab!R17</f>
        <v>1605.2773607112003</v>
      </c>
      <c r="T19" s="269">
        <f>Brood_Tab!S17</f>
        <v>0</v>
      </c>
      <c r="U19" s="39">
        <f t="shared" si="4"/>
        <v>2006.6378747220324</v>
      </c>
      <c r="W19" s="556"/>
      <c r="X19" s="556"/>
      <c r="Y19" s="556"/>
      <c r="Z19" s="556"/>
      <c r="AA19" s="556"/>
      <c r="AB19" s="556"/>
      <c r="AC19" s="556"/>
    </row>
    <row r="20" spans="1:29">
      <c r="A20" s="324">
        <v>1987</v>
      </c>
      <c r="B20" s="269">
        <f>Brood_Tab!D18</f>
        <v>54.27373271889401</v>
      </c>
      <c r="C20" s="269">
        <f>Brood_Tab!E18</f>
        <v>65.329493087557609</v>
      </c>
      <c r="D20" s="39">
        <f t="shared" si="0"/>
        <v>119.60322580645162</v>
      </c>
      <c r="E20" s="269">
        <f>Brood_Tab!F18</f>
        <v>175.29044498102795</v>
      </c>
      <c r="F20" s="269">
        <f>Brood_Tab!G18</f>
        <v>1146.4398068299413</v>
      </c>
      <c r="G20" s="269">
        <f>Brood_Tab!H18</f>
        <v>42.311486719558467</v>
      </c>
      <c r="H20" s="39">
        <f t="shared" si="1"/>
        <v>1364.0417385305277</v>
      </c>
      <c r="I20" s="269">
        <f>Brood_Tab!I18</f>
        <v>140.59088054264538</v>
      </c>
      <c r="J20" s="269">
        <f>Brood_Tab!J18</f>
        <v>9375.3263410620893</v>
      </c>
      <c r="K20" s="269">
        <f>Brood_Tab!K18</f>
        <v>502.7752573840354</v>
      </c>
      <c r="L20" s="39">
        <f t="shared" si="2"/>
        <v>10018.692478988771</v>
      </c>
      <c r="M20" s="269">
        <f>Brood_Tab!M18</f>
        <v>9.0759915228580077</v>
      </c>
      <c r="N20" s="269">
        <f>Brood_Tab!N18</f>
        <v>13878.379842417628</v>
      </c>
      <c r="O20" s="269">
        <f>Brood_Tab!O18</f>
        <v>1397.5913621731454</v>
      </c>
      <c r="P20" s="269">
        <f>Brood_Tab!P18</f>
        <v>0</v>
      </c>
      <c r="Q20" s="39">
        <f t="shared" si="3"/>
        <v>15285.04719611363</v>
      </c>
      <c r="R20" s="269">
        <f>Brood_Tab!Q18</f>
        <v>213.61000021249919</v>
      </c>
      <c r="S20" s="269">
        <f>Brood_Tab!R18</f>
        <v>551.61163518015383</v>
      </c>
      <c r="T20" s="269">
        <f>Brood_Tab!S18</f>
        <v>0</v>
      </c>
      <c r="U20" s="39">
        <f t="shared" si="4"/>
        <v>765.22163539265307</v>
      </c>
      <c r="W20" s="556"/>
      <c r="X20" s="556"/>
      <c r="Y20" s="556"/>
      <c r="Z20" s="556"/>
      <c r="AA20" s="556"/>
      <c r="AB20" s="556"/>
      <c r="AC20" s="556"/>
    </row>
    <row r="21" spans="1:29">
      <c r="A21" s="324">
        <v>1988</v>
      </c>
      <c r="B21" s="269">
        <f>Brood_Tab!D19</f>
        <v>80.593308037254218</v>
      </c>
      <c r="C21" s="269">
        <f>Brood_Tab!E19</f>
        <v>87.645222490513973</v>
      </c>
      <c r="D21" s="39">
        <f t="shared" si="0"/>
        <v>168.23853052776821</v>
      </c>
      <c r="E21" s="269">
        <f>Brood_Tab!F19</f>
        <v>64.270116819495044</v>
      </c>
      <c r="F21" s="269">
        <f>Brood_Tab!G19</f>
        <v>3824.0334757690807</v>
      </c>
      <c r="G21" s="269">
        <f>Brood_Tab!H19</f>
        <v>0</v>
      </c>
      <c r="H21" s="39">
        <f t="shared" si="1"/>
        <v>3888.3035925885756</v>
      </c>
      <c r="I21" s="269">
        <f>Brood_Tab!I19</f>
        <v>36.303966091432031</v>
      </c>
      <c r="J21" s="269">
        <f>Brood_Tab!J19</f>
        <v>31347.880360364543</v>
      </c>
      <c r="K21" s="269">
        <f>Brood_Tab!K19</f>
        <v>57.481279644767383</v>
      </c>
      <c r="L21" s="39">
        <f t="shared" si="2"/>
        <v>31441.665606100742</v>
      </c>
      <c r="M21" s="269">
        <f>Brood_Tab!M19</f>
        <v>0</v>
      </c>
      <c r="N21" s="269">
        <f>Brood_Tab!N19</f>
        <v>36211.645151829012</v>
      </c>
      <c r="O21" s="269">
        <f>Brood_Tab!O19</f>
        <v>117.5366029877388</v>
      </c>
      <c r="P21" s="269">
        <f>Brood_Tab!P19</f>
        <v>0</v>
      </c>
      <c r="Q21" s="39">
        <f t="shared" si="3"/>
        <v>36329.181754816753</v>
      </c>
      <c r="R21" s="269">
        <f>Brood_Tab!Q19</f>
        <v>652.21661540335595</v>
      </c>
      <c r="S21" s="269">
        <f>Brood_Tab!R19</f>
        <v>267.1206389310891</v>
      </c>
      <c r="T21" s="269">
        <f>Brood_Tab!S19</f>
        <v>0</v>
      </c>
      <c r="U21" s="39">
        <f t="shared" si="4"/>
        <v>919.33725433444511</v>
      </c>
      <c r="W21" s="556"/>
      <c r="X21" s="556"/>
      <c r="Y21" s="556"/>
      <c r="Z21" s="556"/>
      <c r="AA21" s="556"/>
      <c r="AB21" s="556"/>
      <c r="AC21" s="556"/>
    </row>
    <row r="22" spans="1:29">
      <c r="A22" s="324">
        <v>1989</v>
      </c>
      <c r="B22" s="269">
        <f>Brood_Tab!D20</f>
        <v>0</v>
      </c>
      <c r="C22" s="269">
        <f>Brood_Tab!E20</f>
        <v>757.16878182425785</v>
      </c>
      <c r="D22" s="39">
        <f t="shared" si="0"/>
        <v>757.16878182425785</v>
      </c>
      <c r="E22" s="269">
        <f>Brood_Tab!F20</f>
        <v>12.101322030477345</v>
      </c>
      <c r="F22" s="269">
        <f>Brood_Tab!G20</f>
        <v>4111.1481321755628</v>
      </c>
      <c r="G22" s="269">
        <f>Brood_Tab!H20</f>
        <v>0</v>
      </c>
      <c r="H22" s="39">
        <f t="shared" si="1"/>
        <v>4123.2494542060404</v>
      </c>
      <c r="I22" s="269">
        <f>Brood_Tab!I20</f>
        <v>44.970526360526151</v>
      </c>
      <c r="J22" s="269">
        <f>Brood_Tab!J20</f>
        <v>31720.521207855119</v>
      </c>
      <c r="K22" s="269">
        <f>Brood_Tab!K20</f>
        <v>0</v>
      </c>
      <c r="L22" s="39">
        <f t="shared" si="2"/>
        <v>31765.491734215644</v>
      </c>
      <c r="M22" s="269">
        <f>Brood_Tab!M20</f>
        <v>0</v>
      </c>
      <c r="N22" s="269">
        <f>Brood_Tab!N20</f>
        <v>31949.172801461413</v>
      </c>
      <c r="O22" s="269">
        <f>Brood_Tab!O20</f>
        <v>699.1884283150157</v>
      </c>
      <c r="P22" s="269">
        <f>Brood_Tab!P20</f>
        <v>0</v>
      </c>
      <c r="Q22" s="39">
        <f t="shared" si="3"/>
        <v>32648.361229776427</v>
      </c>
      <c r="R22" s="269">
        <f>Brood_Tab!Q20</f>
        <v>76.362308162311749</v>
      </c>
      <c r="S22" s="269">
        <f>Brood_Tab!R20</f>
        <v>261.51475398051969</v>
      </c>
      <c r="T22" s="269">
        <f>Brood_Tab!S20</f>
        <v>0</v>
      </c>
      <c r="U22" s="39">
        <f t="shared" si="4"/>
        <v>337.87706214283145</v>
      </c>
      <c r="W22" s="556"/>
      <c r="X22" s="556"/>
      <c r="Y22" s="556"/>
      <c r="Z22" s="556"/>
      <c r="AA22" s="556"/>
      <c r="AB22" s="556"/>
      <c r="AC22" s="556"/>
    </row>
    <row r="23" spans="1:29">
      <c r="A23" s="324">
        <v>1990</v>
      </c>
      <c r="B23" s="269">
        <f>Brood_Tab!D21</f>
        <v>107.90345477175632</v>
      </c>
      <c r="C23" s="269">
        <f>Brood_Tab!E21</f>
        <v>45.379957614290035</v>
      </c>
      <c r="D23" s="39">
        <f t="shared" si="0"/>
        <v>153.28341238604634</v>
      </c>
      <c r="E23" s="269">
        <f>Brood_Tab!F21</f>
        <v>0</v>
      </c>
      <c r="F23" s="269">
        <f>Brood_Tab!G21</f>
        <v>4110.4521949177479</v>
      </c>
      <c r="G23" s="269">
        <f>Brood_Tab!H21</f>
        <v>0</v>
      </c>
      <c r="H23" s="39">
        <f t="shared" si="1"/>
        <v>4110.4521949177479</v>
      </c>
      <c r="I23" s="269">
        <f>Brood_Tab!I21</f>
        <v>0</v>
      </c>
      <c r="J23" s="269">
        <f>Brood_Tab!J21</f>
        <v>55953.220203770397</v>
      </c>
      <c r="K23" s="269">
        <f>Brood_Tab!K21</f>
        <v>84.356092213052349</v>
      </c>
      <c r="L23" s="39">
        <f t="shared" si="2"/>
        <v>56037.576295983446</v>
      </c>
      <c r="M23" s="269">
        <f>Brood_Tab!M21</f>
        <v>0</v>
      </c>
      <c r="N23" s="269">
        <f>Brood_Tab!N21</f>
        <v>35391.488291243433</v>
      </c>
      <c r="O23" s="269">
        <f>Brood_Tab!O21</f>
        <v>1397.4993065641358</v>
      </c>
      <c r="P23" s="269">
        <f>Brood_Tab!P21</f>
        <v>0</v>
      </c>
      <c r="Q23" s="39">
        <f t="shared" si="3"/>
        <v>36788.987597807572</v>
      </c>
      <c r="R23" s="269">
        <f>Brood_Tab!Q21</f>
        <v>77.14289893513282</v>
      </c>
      <c r="S23" s="269">
        <f>Brood_Tab!R21</f>
        <v>515.65216419681337</v>
      </c>
      <c r="T23" s="269">
        <f>Brood_Tab!S21</f>
        <v>0</v>
      </c>
      <c r="U23" s="39">
        <f t="shared" si="4"/>
        <v>592.79506313194622</v>
      </c>
      <c r="W23" s="556"/>
      <c r="X23" s="556"/>
      <c r="Y23" s="556"/>
      <c r="Z23" s="556"/>
      <c r="AA23" s="556"/>
      <c r="AB23" s="556"/>
      <c r="AC23" s="556"/>
    </row>
    <row r="24" spans="1:29">
      <c r="A24" s="324">
        <v>1991</v>
      </c>
      <c r="B24" s="269">
        <f>Brood_Tab!D22</f>
        <v>50.08081344694957</v>
      </c>
      <c r="C24" s="269">
        <f>Brood_Tab!E22</f>
        <v>23.507320597547761</v>
      </c>
      <c r="D24" s="39">
        <f t="shared" si="0"/>
        <v>73.588134044497338</v>
      </c>
      <c r="E24" s="269">
        <f>Brood_Tab!F22</f>
        <v>0</v>
      </c>
      <c r="F24" s="269">
        <f>Brood_Tab!G22</f>
        <v>7142.7400904797742</v>
      </c>
      <c r="G24" s="269">
        <f>Brood_Tab!H22</f>
        <v>0</v>
      </c>
      <c r="H24" s="39">
        <f t="shared" si="1"/>
        <v>7142.7400904797742</v>
      </c>
      <c r="I24" s="269">
        <f>Brood_Tab!I22</f>
        <v>0</v>
      </c>
      <c r="J24" s="269">
        <f>Brood_Tab!J22</f>
        <v>42451.662253200571</v>
      </c>
      <c r="K24" s="269">
        <f>Brood_Tab!K22</f>
        <v>794.46405323893805</v>
      </c>
      <c r="L24" s="39">
        <f t="shared" si="2"/>
        <v>43246.12630643951</v>
      </c>
      <c r="M24" s="269">
        <f>Brood_Tab!M22</f>
        <v>0</v>
      </c>
      <c r="N24" s="269">
        <f>Brood_Tab!N22</f>
        <v>26200.636613478768</v>
      </c>
      <c r="O24" s="269">
        <f>Brood_Tab!O22</f>
        <v>1417.3564223794169</v>
      </c>
      <c r="P24" s="269">
        <f>Brood_Tab!P22</f>
        <v>0</v>
      </c>
      <c r="Q24" s="39">
        <f t="shared" si="3"/>
        <v>27617.993035858184</v>
      </c>
      <c r="R24" s="269">
        <f>Brood_Tab!Q22</f>
        <v>0</v>
      </c>
      <c r="S24" s="269">
        <f>Brood_Tab!R22</f>
        <v>642.8345707353219</v>
      </c>
      <c r="T24" s="269">
        <f>Brood_Tab!S22</f>
        <v>0</v>
      </c>
      <c r="U24" s="39">
        <f t="shared" si="4"/>
        <v>642.8345707353219</v>
      </c>
      <c r="W24" s="556"/>
      <c r="X24" s="556"/>
      <c r="Y24" s="556"/>
      <c r="Z24" s="556"/>
      <c r="AA24" s="556"/>
      <c r="AB24" s="556"/>
      <c r="AC24" s="556"/>
    </row>
    <row r="25" spans="1:29">
      <c r="A25" s="324">
        <v>1992</v>
      </c>
      <c r="B25" s="269">
        <f>Brood_Tab!D23</f>
        <v>0</v>
      </c>
      <c r="C25" s="269">
        <f>Brood_Tab!E23</f>
        <v>189.28684106343454</v>
      </c>
      <c r="D25" s="39">
        <f t="shared" si="0"/>
        <v>189.28684106343454</v>
      </c>
      <c r="E25" s="269">
        <f>Brood_Tab!F23</f>
        <v>0</v>
      </c>
      <c r="F25" s="269">
        <f>Brood_Tab!G23</f>
        <v>5839.0273979033991</v>
      </c>
      <c r="G25" s="269">
        <f>Brood_Tab!H23</f>
        <v>85.77683930561048</v>
      </c>
      <c r="H25" s="39">
        <f t="shared" si="1"/>
        <v>5924.8042372090094</v>
      </c>
      <c r="I25" s="269">
        <f>Brood_Tab!I23</f>
        <v>0</v>
      </c>
      <c r="J25" s="269">
        <f>Brood_Tab!J23</f>
        <v>56034.420564336666</v>
      </c>
      <c r="K25" s="269">
        <f>Brood_Tab!K23</f>
        <v>0</v>
      </c>
      <c r="L25" s="39">
        <f t="shared" si="2"/>
        <v>56034.420564336666</v>
      </c>
      <c r="M25" s="269">
        <f>Brood_Tab!M23</f>
        <v>0</v>
      </c>
      <c r="N25" s="269">
        <f>Brood_Tab!N23</f>
        <v>29707.135747092529</v>
      </c>
      <c r="O25" s="269">
        <f>Brood_Tab!O23</f>
        <v>348.67347116683862</v>
      </c>
      <c r="P25" s="269">
        <f>Brood_Tab!P23</f>
        <v>0</v>
      </c>
      <c r="Q25" s="39">
        <f t="shared" si="3"/>
        <v>30055.809218259368</v>
      </c>
      <c r="R25" s="269">
        <f>Brood_Tab!Q23</f>
        <v>460.52121340455903</v>
      </c>
      <c r="S25" s="269">
        <f>Brood_Tab!R23</f>
        <v>175.18056691852354</v>
      </c>
      <c r="T25" s="269">
        <f>Brood_Tab!S23</f>
        <v>0</v>
      </c>
      <c r="U25" s="39">
        <f t="shared" si="4"/>
        <v>635.70178032308263</v>
      </c>
      <c r="W25" s="556"/>
      <c r="X25" s="556"/>
      <c r="Y25" s="556"/>
      <c r="Z25" s="556"/>
      <c r="AA25" s="556"/>
      <c r="AB25" s="556"/>
      <c r="AC25" s="556"/>
    </row>
    <row r="26" spans="1:29">
      <c r="A26" s="324">
        <v>1993</v>
      </c>
      <c r="B26" s="269">
        <f>Brood_Tab!D24</f>
        <v>0</v>
      </c>
      <c r="C26" s="269">
        <f>Brood_Tab!E24</f>
        <v>1359.8411819909409</v>
      </c>
      <c r="D26" s="39">
        <f t="shared" si="0"/>
        <v>1359.8411819909409</v>
      </c>
      <c r="E26" s="269">
        <f>Brood_Tab!F24</f>
        <v>272.9091755475954</v>
      </c>
      <c r="F26" s="269">
        <f>Brood_Tab!G24</f>
        <v>7114.2514069195649</v>
      </c>
      <c r="G26" s="269">
        <f>Brood_Tab!H24</f>
        <v>0</v>
      </c>
      <c r="H26" s="39">
        <f t="shared" si="1"/>
        <v>7387.1605824671606</v>
      </c>
      <c r="I26" s="269">
        <f>Brood_Tab!I24</f>
        <v>0</v>
      </c>
      <c r="J26" s="269">
        <f>Brood_Tab!J24</f>
        <v>68371.053617062018</v>
      </c>
      <c r="K26" s="269">
        <f>Brood_Tab!K24</f>
        <v>192.33610356400831</v>
      </c>
      <c r="L26" s="39">
        <f t="shared" si="2"/>
        <v>68563.38972062603</v>
      </c>
      <c r="M26" s="269">
        <f>Brood_Tab!M24</f>
        <v>0</v>
      </c>
      <c r="N26" s="269">
        <f>Brood_Tab!N24</f>
        <v>27830.432057365608</v>
      </c>
      <c r="O26" s="269">
        <f>Brood_Tab!O24</f>
        <v>964.06923271893095</v>
      </c>
      <c r="P26" s="269">
        <f>Brood_Tab!P24</f>
        <v>0</v>
      </c>
      <c r="Q26" s="39">
        <f t="shared" si="3"/>
        <v>28794.50129008454</v>
      </c>
      <c r="R26" s="269">
        <f>Brood_Tab!Q24</f>
        <v>77.188519999999983</v>
      </c>
      <c r="S26" s="269">
        <f>Brood_Tab!R24</f>
        <v>368.30258469135799</v>
      </c>
      <c r="T26" s="269">
        <f>Brood_Tab!S24</f>
        <v>0</v>
      </c>
      <c r="U26" s="39">
        <f t="shared" ref="U26:U39" si="5">SUM(R26:T26)</f>
        <v>445.49110469135798</v>
      </c>
      <c r="W26" s="556"/>
      <c r="X26" s="556"/>
      <c r="Y26" s="556"/>
      <c r="Z26" s="556"/>
      <c r="AA26" s="556"/>
      <c r="AB26" s="556"/>
      <c r="AC26" s="556"/>
    </row>
    <row r="27" spans="1:29">
      <c r="A27" s="324">
        <v>1994</v>
      </c>
      <c r="B27" s="269">
        <f>Brood_Tab!D25</f>
        <v>0</v>
      </c>
      <c r="C27" s="269">
        <f>Brood_Tab!E25</f>
        <v>132.68578616842842</v>
      </c>
      <c r="D27" s="39">
        <f t="shared" si="0"/>
        <v>132.68578616842842</v>
      </c>
      <c r="E27" s="269">
        <f>Brood_Tab!F25</f>
        <v>44.227018466590145</v>
      </c>
      <c r="F27" s="269">
        <f>Brood_Tab!G25</f>
        <v>6161.0748337952673</v>
      </c>
      <c r="G27" s="269">
        <f>Brood_Tab!H25</f>
        <v>44.227018466590145</v>
      </c>
      <c r="H27" s="39">
        <f t="shared" si="1"/>
        <v>6249.5288707284481</v>
      </c>
      <c r="I27" s="269">
        <f>Brood_Tab!I25</f>
        <v>0</v>
      </c>
      <c r="J27" s="269">
        <f>Brood_Tab!J25</f>
        <v>55667.160650015241</v>
      </c>
      <c r="K27" s="269">
        <f>Brood_Tab!K25</f>
        <v>253.0385966600895</v>
      </c>
      <c r="L27" s="39">
        <f t="shared" si="2"/>
        <v>55920.199246675329</v>
      </c>
      <c r="M27" s="269">
        <f>Brood_Tab!M25</f>
        <v>0</v>
      </c>
      <c r="N27" s="269">
        <f>Brood_Tab!N25</f>
        <v>16004.656581234569</v>
      </c>
      <c r="O27" s="269">
        <f>Brood_Tab!O25</f>
        <v>541.32261469135801</v>
      </c>
      <c r="P27" s="269">
        <f>Brood_Tab!P25</f>
        <v>0</v>
      </c>
      <c r="Q27" s="39">
        <f t="shared" ref="Q27:Q40" si="6">SUM(M27:P27)</f>
        <v>16545.979195925927</v>
      </c>
      <c r="R27" s="269">
        <f>Brood_Tab!Q25</f>
        <v>81.864116136101501</v>
      </c>
      <c r="S27" s="269">
        <f>Brood_Tab!R25</f>
        <v>135.60275227220299</v>
      </c>
      <c r="T27" s="269">
        <f>Brood_Tab!S25</f>
        <v>0</v>
      </c>
      <c r="U27" s="39">
        <f t="shared" si="5"/>
        <v>217.46686840830449</v>
      </c>
      <c r="W27" s="556"/>
      <c r="X27" s="556"/>
      <c r="Y27" s="556"/>
      <c r="Z27" s="556"/>
      <c r="AA27" s="556"/>
      <c r="AB27" s="556"/>
      <c r="AC27" s="556"/>
    </row>
    <row r="28" spans="1:29">
      <c r="A28" s="324">
        <v>1995</v>
      </c>
      <c r="B28" s="269">
        <f>Brood_Tab!D26</f>
        <v>44.227018466590145</v>
      </c>
      <c r="C28" s="269">
        <f>Brood_Tab!E26</f>
        <v>179.99367980589017</v>
      </c>
      <c r="D28" s="39">
        <f t="shared" si="0"/>
        <v>224.22069827248032</v>
      </c>
      <c r="E28" s="269">
        <f>Brood_Tab!F26</f>
        <v>0</v>
      </c>
      <c r="F28" s="269">
        <f>Brood_Tab!G26</f>
        <v>10515.024349583715</v>
      </c>
      <c r="G28" s="269">
        <f>Brood_Tab!H26</f>
        <v>0</v>
      </c>
      <c r="H28" s="39">
        <f t="shared" si="1"/>
        <v>10515.024349583715</v>
      </c>
      <c r="I28" s="269">
        <f>Brood_Tab!I26</f>
        <v>0</v>
      </c>
      <c r="J28" s="269">
        <f>Brood_Tab!J26</f>
        <v>48501.64199604938</v>
      </c>
      <c r="K28" s="269">
        <f>Brood_Tab!K26</f>
        <v>240.73440234567903</v>
      </c>
      <c r="L28" s="39">
        <f t="shared" ref="L28:L41" si="7">SUM(I28:K28)</f>
        <v>48742.376398395063</v>
      </c>
      <c r="M28" s="269">
        <f>Brood_Tab!M26</f>
        <v>0</v>
      </c>
      <c r="N28" s="269">
        <f>Brood_Tab!N26</f>
        <v>15064.974836101501</v>
      </c>
      <c r="O28" s="269">
        <f>Brood_Tab!O26</f>
        <v>762.45152908881187</v>
      </c>
      <c r="P28" s="269">
        <f>Brood_Tab!P26</f>
        <v>0</v>
      </c>
      <c r="Q28" s="39">
        <f t="shared" si="6"/>
        <v>15827.426365190313</v>
      </c>
      <c r="R28" s="269">
        <f>Brood_Tab!Q26</f>
        <v>28.155387956486891</v>
      </c>
      <c r="S28" s="269">
        <f>Brood_Tab!R26</f>
        <v>958.56158039450077</v>
      </c>
      <c r="T28" s="269">
        <f>Brood_Tab!S26</f>
        <v>0</v>
      </c>
      <c r="U28" s="39">
        <f t="shared" si="5"/>
        <v>986.7169683509876</v>
      </c>
      <c r="W28" s="556"/>
      <c r="X28" s="556"/>
      <c r="Y28" s="556"/>
      <c r="Z28" s="556"/>
      <c r="AA28" s="556"/>
      <c r="AB28" s="556"/>
      <c r="AC28" s="556"/>
    </row>
    <row r="29" spans="1:29">
      <c r="A29" s="324">
        <v>1996</v>
      </c>
      <c r="B29" s="269">
        <f>Brood_Tab!D27</f>
        <v>0</v>
      </c>
      <c r="C29" s="269">
        <f>Brood_Tab!E27</f>
        <v>85.573333333333323</v>
      </c>
      <c r="D29" s="39">
        <f t="shared" ref="D29:D39" si="8">SUM(B29:C29)</f>
        <v>85.573333333333323</v>
      </c>
      <c r="E29" s="269">
        <f>Brood_Tab!F27</f>
        <v>0</v>
      </c>
      <c r="F29" s="269">
        <f>Brood_Tab!G27</f>
        <v>4772.5395462962961</v>
      </c>
      <c r="G29" s="269">
        <f>Brood_Tab!H27</f>
        <v>0</v>
      </c>
      <c r="H29" s="39">
        <f t="shared" ref="H29:H38" si="9">SUM(E29:G29)</f>
        <v>4772.5395462962961</v>
      </c>
      <c r="I29" s="269">
        <f>Brood_Tab!I27</f>
        <v>0</v>
      </c>
      <c r="J29" s="269">
        <f>Brood_Tab!J27</f>
        <v>55980.71813096886</v>
      </c>
      <c r="K29" s="269">
        <f>Brood_Tab!K27</f>
        <v>112.50192000000001</v>
      </c>
      <c r="L29" s="39">
        <f t="shared" si="7"/>
        <v>56093.220050968863</v>
      </c>
      <c r="M29" s="269">
        <f>Brood_Tab!M27</f>
        <v>0</v>
      </c>
      <c r="N29" s="269">
        <f>Brood_Tab!N27</f>
        <v>14143.73042540695</v>
      </c>
      <c r="O29" s="269">
        <f>Brood_Tab!O27</f>
        <v>1411.3014534310739</v>
      </c>
      <c r="P29" s="269">
        <f>Brood_Tab!P27</f>
        <v>0</v>
      </c>
      <c r="Q29" s="39">
        <f t="shared" si="6"/>
        <v>15555.031878838023</v>
      </c>
      <c r="R29" s="269">
        <f>Brood_Tab!Q27</f>
        <v>112.08257197499094</v>
      </c>
      <c r="S29" s="269">
        <f>Brood_Tab!R27</f>
        <v>362.98889127351299</v>
      </c>
      <c r="T29" s="269">
        <f>Brood_Tab!S27</f>
        <v>0</v>
      </c>
      <c r="U29" s="39">
        <f t="shared" si="5"/>
        <v>475.07146324850396</v>
      </c>
      <c r="W29" s="556"/>
      <c r="X29" s="556"/>
      <c r="Y29" s="556"/>
      <c r="Z29" s="556"/>
      <c r="AA29" s="556"/>
      <c r="AB29" s="556"/>
      <c r="AC29" s="556"/>
    </row>
    <row r="30" spans="1:29">
      <c r="A30" s="324">
        <v>1997</v>
      </c>
      <c r="B30" s="269">
        <f>Brood_Tab!D28</f>
        <v>0</v>
      </c>
      <c r="C30" s="269">
        <f>Brood_Tab!E28</f>
        <v>246.63254469135802</v>
      </c>
      <c r="D30" s="39">
        <f t="shared" si="8"/>
        <v>246.63254469135802</v>
      </c>
      <c r="E30" s="269">
        <f>Brood_Tab!F28</f>
        <v>0</v>
      </c>
      <c r="F30" s="269">
        <f>Brood_Tab!G28</f>
        <v>8614.6976308881203</v>
      </c>
      <c r="G30" s="269">
        <f>Brood_Tab!H28</f>
        <v>98.439179999999993</v>
      </c>
      <c r="H30" s="39">
        <f t="shared" si="9"/>
        <v>8713.1368108881197</v>
      </c>
      <c r="I30" s="269">
        <f>Brood_Tab!I28</f>
        <v>0</v>
      </c>
      <c r="J30" s="269">
        <f>Brood_Tab!J28</f>
        <v>49173.65452896271</v>
      </c>
      <c r="K30" s="269">
        <f>Brood_Tab!K28</f>
        <v>452.40659741199954</v>
      </c>
      <c r="L30" s="39">
        <f t="shared" si="7"/>
        <v>49626.061126374712</v>
      </c>
      <c r="M30" s="269">
        <f>Brood_Tab!M28</f>
        <v>0</v>
      </c>
      <c r="N30" s="269">
        <f>Brood_Tab!N28</f>
        <v>24229.01563333267</v>
      </c>
      <c r="O30" s="269">
        <f>Brood_Tab!O28</f>
        <v>1276.3780348928658</v>
      </c>
      <c r="P30" s="269">
        <f>Brood_Tab!P28</f>
        <v>0</v>
      </c>
      <c r="Q30" s="39">
        <f t="shared" si="6"/>
        <v>25505.393668225537</v>
      </c>
      <c r="R30" s="269">
        <f>Brood_Tab!Q28</f>
        <v>0</v>
      </c>
      <c r="S30" s="269">
        <f>Brood_Tab!R28</f>
        <v>265.95476439843895</v>
      </c>
      <c r="T30" s="269">
        <f>Brood_Tab!S28</f>
        <v>0</v>
      </c>
      <c r="U30" s="39">
        <f t="shared" si="5"/>
        <v>265.95476439843895</v>
      </c>
      <c r="W30" s="556"/>
      <c r="X30" s="556"/>
      <c r="Y30" s="556"/>
      <c r="Z30" s="556"/>
      <c r="AA30" s="556"/>
      <c r="AB30" s="556"/>
      <c r="AC30" s="556"/>
    </row>
    <row r="31" spans="1:29">
      <c r="A31" s="324">
        <v>1998</v>
      </c>
      <c r="B31" s="269">
        <f>Brood_Tab!D29</f>
        <v>43.015439999999998</v>
      </c>
      <c r="C31" s="269">
        <f>Brood_Tab!E29</f>
        <v>243.080024544406</v>
      </c>
      <c r="D31" s="39">
        <f t="shared" si="8"/>
        <v>286.09546454440601</v>
      </c>
      <c r="E31" s="269">
        <f>Brood_Tab!F29</f>
        <v>0</v>
      </c>
      <c r="F31" s="269">
        <f>Brood_Tab!G29</f>
        <v>6610.6088326264853</v>
      </c>
      <c r="G31" s="269">
        <f>Brood_Tab!H29</f>
        <v>25.464136247746051</v>
      </c>
      <c r="H31" s="39">
        <f t="shared" si="9"/>
        <v>6636.0729688742313</v>
      </c>
      <c r="I31" s="269">
        <f>Brood_Tab!I29</f>
        <v>0</v>
      </c>
      <c r="J31" s="269">
        <f>Brood_Tab!J29</f>
        <v>61859.065856016823</v>
      </c>
      <c r="K31" s="269">
        <f>Brood_Tab!K29</f>
        <v>197.6335540838852</v>
      </c>
      <c r="L31" s="39">
        <f t="shared" si="7"/>
        <v>62056.699410100708</v>
      </c>
      <c r="M31" s="269">
        <f>Brood_Tab!M29</f>
        <v>0</v>
      </c>
      <c r="N31" s="269">
        <f>Brood_Tab!N29</f>
        <v>26018.25851101712</v>
      </c>
      <c r="O31" s="269">
        <f>Brood_Tab!O29</f>
        <v>1056.0433368575088</v>
      </c>
      <c r="P31" s="269">
        <f>Brood_Tab!P29</f>
        <v>0</v>
      </c>
      <c r="Q31" s="39">
        <f t="shared" si="6"/>
        <v>27074.301847874631</v>
      </c>
      <c r="R31" s="269">
        <f>Brood_Tab!Q29</f>
        <v>13.961484270083435</v>
      </c>
      <c r="S31" s="269">
        <f>Brood_Tab!R29</f>
        <v>449.76587132775728</v>
      </c>
      <c r="T31" s="269">
        <f>Brood_Tab!S29</f>
        <v>0</v>
      </c>
      <c r="U31" s="39">
        <f t="shared" si="5"/>
        <v>463.7273555978407</v>
      </c>
      <c r="W31" s="556"/>
      <c r="X31" s="556"/>
      <c r="Y31" s="556"/>
      <c r="Z31" s="556"/>
      <c r="AA31" s="556"/>
      <c r="AB31" s="556"/>
      <c r="AC31" s="556"/>
    </row>
    <row r="32" spans="1:29">
      <c r="A32" s="324">
        <v>1999</v>
      </c>
      <c r="B32" s="269">
        <f>Brood_Tab!D30</f>
        <v>10.246736121316594</v>
      </c>
      <c r="C32" s="269">
        <f>Brood_Tab!E30</f>
        <v>159.87032144073362</v>
      </c>
      <c r="D32" s="39">
        <f t="shared" si="8"/>
        <v>170.11705756205021</v>
      </c>
      <c r="E32" s="269">
        <f>Brood_Tab!F30</f>
        <v>75.781025655397059</v>
      </c>
      <c r="F32" s="269">
        <f>Brood_Tab!G30</f>
        <v>5977.1853932395461</v>
      </c>
      <c r="G32" s="269">
        <f>Brood_Tab!H30</f>
        <v>32.258563187442107</v>
      </c>
      <c r="H32" s="39">
        <f t="shared" si="9"/>
        <v>6085.2249820823845</v>
      </c>
      <c r="I32" s="269">
        <f>Brood_Tab!I30</f>
        <v>0</v>
      </c>
      <c r="J32" s="269">
        <f>Brood_Tab!J30</f>
        <v>47494.232967996417</v>
      </c>
      <c r="K32" s="269">
        <f>Brood_Tab!K30</f>
        <v>206.00630828558241</v>
      </c>
      <c r="L32" s="39">
        <f t="shared" si="7"/>
        <v>47700.239276282002</v>
      </c>
      <c r="M32" s="269">
        <f>Brood_Tab!M30</f>
        <v>0</v>
      </c>
      <c r="N32" s="269">
        <f>Brood_Tab!N30</f>
        <v>20304.918322954902</v>
      </c>
      <c r="O32" s="269">
        <f>Brood_Tab!O30</f>
        <v>1381.9537555538345</v>
      </c>
      <c r="P32" s="269">
        <f>Brood_Tab!P30</f>
        <v>0</v>
      </c>
      <c r="Q32" s="39">
        <f t="shared" si="6"/>
        <v>21686.872078508735</v>
      </c>
      <c r="R32" s="269">
        <f>Brood_Tab!Q30</f>
        <v>413.87159666615844</v>
      </c>
      <c r="S32" s="269">
        <f>Brood_Tab!R30</f>
        <v>555.64754098360663</v>
      </c>
      <c r="T32" s="269">
        <f>Brood_Tab!S30</f>
        <v>0</v>
      </c>
      <c r="U32" s="39">
        <f t="shared" si="5"/>
        <v>969.51913764976507</v>
      </c>
      <c r="W32" s="556"/>
      <c r="X32" s="556"/>
      <c r="Y32" s="556"/>
      <c r="Z32" s="556"/>
      <c r="AA32" s="556"/>
      <c r="AB32" s="556"/>
      <c r="AC32" s="556"/>
    </row>
    <row r="33" spans="1:29">
      <c r="A33" s="324">
        <v>2000</v>
      </c>
      <c r="B33" s="269">
        <f>Brood_Tab!D31</f>
        <v>37.890512827698544</v>
      </c>
      <c r="C33" s="269">
        <f>Brood_Tab!E31</f>
        <v>394.71996351516987</v>
      </c>
      <c r="D33" s="39">
        <f t="shared" si="8"/>
        <v>432.61047634286842</v>
      </c>
      <c r="E33" s="269">
        <f>Brood_Tab!F31</f>
        <v>115.23863636363636</v>
      </c>
      <c r="F33" s="269">
        <f>Brood_Tab!G31</f>
        <v>5019.5720853945559</v>
      </c>
      <c r="G33" s="269">
        <f>Brood_Tab!H31</f>
        <v>19.820400698513343</v>
      </c>
      <c r="H33" s="39">
        <f t="shared" si="9"/>
        <v>5154.6311224567053</v>
      </c>
      <c r="I33" s="269">
        <f>Brood_Tab!I31</f>
        <v>0</v>
      </c>
      <c r="J33" s="269">
        <f>Brood_Tab!J31</f>
        <v>37628.29584616753</v>
      </c>
      <c r="K33" s="269">
        <f>Brood_Tab!K31</f>
        <v>109.03859044184568</v>
      </c>
      <c r="L33" s="39">
        <f t="shared" si="7"/>
        <v>37737.334436609373</v>
      </c>
      <c r="M33" s="269">
        <f>Brood_Tab!M31</f>
        <v>0</v>
      </c>
      <c r="N33" s="269">
        <f>Brood_Tab!N31</f>
        <v>16359.593867404627</v>
      </c>
      <c r="O33" s="269">
        <f>Brood_Tab!O31</f>
        <v>3549.1644384477754</v>
      </c>
      <c r="P33" s="269">
        <f>Brood_Tab!P31</f>
        <v>0</v>
      </c>
      <c r="Q33" s="39">
        <f t="shared" si="6"/>
        <v>19908.758305852403</v>
      </c>
      <c r="R33" s="269">
        <f>Brood_Tab!Q31</f>
        <v>215.07656612529001</v>
      </c>
      <c r="S33" s="269">
        <f>Brood_Tab!R31</f>
        <v>379.02888039317679</v>
      </c>
      <c r="T33" s="269">
        <f>Brood_Tab!S31</f>
        <v>0</v>
      </c>
      <c r="U33" s="39">
        <f t="shared" si="5"/>
        <v>594.10544651846681</v>
      </c>
      <c r="W33" s="556"/>
      <c r="X33" s="556"/>
      <c r="Y33" s="556"/>
      <c r="Z33" s="556"/>
      <c r="AA33" s="556"/>
      <c r="AB33" s="556"/>
      <c r="AC33" s="556"/>
    </row>
    <row r="34" spans="1:29">
      <c r="A34" s="324">
        <v>2001</v>
      </c>
      <c r="B34" s="269">
        <f>Brood_Tab!D32</f>
        <v>0</v>
      </c>
      <c r="C34" s="269">
        <f>Brood_Tab!E32</f>
        <v>370.87298898823303</v>
      </c>
      <c r="D34" s="39">
        <f t="shared" si="8"/>
        <v>370.87298898823303</v>
      </c>
      <c r="E34" s="269">
        <f>Brood_Tab!F32</f>
        <v>73.112228386500249</v>
      </c>
      <c r="F34" s="269">
        <f>Brood_Tab!G32</f>
        <v>5891.6632712260234</v>
      </c>
      <c r="G34" s="269">
        <f>Brood_Tab!H32</f>
        <v>17.897595931576511</v>
      </c>
      <c r="H34" s="39">
        <f t="shared" si="9"/>
        <v>5982.6730955441008</v>
      </c>
      <c r="I34" s="269">
        <f>Brood_Tab!I32</f>
        <v>0</v>
      </c>
      <c r="J34" s="269">
        <f>Brood_Tab!J32</f>
        <v>68219.100697904621</v>
      </c>
      <c r="K34" s="269">
        <f>Brood_Tab!K32</f>
        <v>850.7367863423442</v>
      </c>
      <c r="L34" s="39">
        <f t="shared" si="7"/>
        <v>69069.837484246964</v>
      </c>
      <c r="M34" s="269">
        <f>Brood_Tab!M32</f>
        <v>0</v>
      </c>
      <c r="N34" s="269">
        <f>Brood_Tab!N32</f>
        <v>22479.559690778486</v>
      </c>
      <c r="O34" s="269">
        <f>Brood_Tab!O32</f>
        <v>830.49572317121533</v>
      </c>
      <c r="P34" s="269">
        <f>Brood_Tab!P32</f>
        <v>0</v>
      </c>
      <c r="Q34" s="39">
        <f t="shared" si="6"/>
        <v>23310.0554139497</v>
      </c>
      <c r="R34" s="269">
        <f>Brood_Tab!Q32</f>
        <v>21.564461623527386</v>
      </c>
      <c r="S34" s="269">
        <f>Brood_Tab!R32</f>
        <v>24.584285074459746</v>
      </c>
      <c r="T34" s="269">
        <f>Brood_Tab!S32</f>
        <v>0</v>
      </c>
      <c r="U34" s="39">
        <f t="shared" si="5"/>
        <v>46.148746697987136</v>
      </c>
      <c r="V34" s="23"/>
    </row>
    <row r="35" spans="1:29">
      <c r="A35" s="324">
        <v>2002</v>
      </c>
      <c r="B35" s="269">
        <f>Brood_Tab!D33</f>
        <v>17.008083435991534</v>
      </c>
      <c r="C35" s="269">
        <f>Brood_Tab!E33</f>
        <v>350.89666905394841</v>
      </c>
      <c r="D35" s="39">
        <f t="shared" si="8"/>
        <v>367.90475248993994</v>
      </c>
      <c r="E35" s="269">
        <f>Brood_Tab!F33</f>
        <v>0</v>
      </c>
      <c r="F35" s="269">
        <f>Brood_Tab!G33</f>
        <v>9564.4699599625565</v>
      </c>
      <c r="G35" s="269">
        <f>Brood_Tab!H33</f>
        <v>0</v>
      </c>
      <c r="H35" s="39">
        <f t="shared" si="9"/>
        <v>9564.4699599625565</v>
      </c>
      <c r="I35" s="269">
        <f>Brood_Tab!I33</f>
        <v>0</v>
      </c>
      <c r="J35" s="269">
        <f>Brood_Tab!J33</f>
        <v>57978.675515241623</v>
      </c>
      <c r="K35" s="269">
        <f>Brood_Tab!K33</f>
        <v>501.61568882727835</v>
      </c>
      <c r="L35" s="39">
        <f t="shared" si="7"/>
        <v>58480.291204068904</v>
      </c>
      <c r="M35" s="269">
        <f>Brood_Tab!M33</f>
        <v>0</v>
      </c>
      <c r="N35" s="269">
        <f>Brood_Tab!N33</f>
        <v>17049.005269657362</v>
      </c>
      <c r="O35" s="269">
        <f>Brood_Tab!O33</f>
        <v>395.68310076100681</v>
      </c>
      <c r="P35" s="269">
        <f>Brood_Tab!P33</f>
        <v>0</v>
      </c>
      <c r="Q35" s="39">
        <f t="shared" si="6"/>
        <v>17444.688370418367</v>
      </c>
      <c r="R35" s="269">
        <f>Brood_Tab!Q33</f>
        <v>35.687931143007823</v>
      </c>
      <c r="S35" s="269">
        <f>Brood_Tab!R33</f>
        <v>763.01004709440826</v>
      </c>
      <c r="T35" s="269">
        <f>Brood_Tab!S33</f>
        <v>0</v>
      </c>
      <c r="U35" s="39">
        <f t="shared" si="5"/>
        <v>798.69797823741612</v>
      </c>
      <c r="V35" s="23"/>
    </row>
    <row r="36" spans="1:29">
      <c r="A36" s="324">
        <v>2003</v>
      </c>
      <c r="B36" s="269">
        <f>Brood_Tab!D34</f>
        <v>0</v>
      </c>
      <c r="C36" s="269">
        <f>Brood_Tab!E34</f>
        <v>364.41511228830996</v>
      </c>
      <c r="D36" s="39">
        <f t="shared" si="8"/>
        <v>364.41511228830996</v>
      </c>
      <c r="E36" s="269">
        <f>Brood_Tab!F34</f>
        <v>25.883314953656669</v>
      </c>
      <c r="F36" s="269">
        <f>Brood_Tab!G34</f>
        <v>5160.4207337804701</v>
      </c>
      <c r="G36" s="269">
        <f>Brood_Tab!H34</f>
        <v>92.705603666156719</v>
      </c>
      <c r="H36" s="39">
        <f t="shared" si="9"/>
        <v>5279.0096524002838</v>
      </c>
      <c r="I36" s="269">
        <f>Brood_Tab!I34</f>
        <v>0</v>
      </c>
      <c r="J36" s="269">
        <f>Brood_Tab!J34</f>
        <v>32189.833456419547</v>
      </c>
      <c r="K36" s="269">
        <f>Brood_Tab!K34</f>
        <v>199.05914895749413</v>
      </c>
      <c r="L36" s="39">
        <f t="shared" si="7"/>
        <v>32388.892605377041</v>
      </c>
      <c r="M36" s="269">
        <f>Brood_Tab!M34</f>
        <v>0</v>
      </c>
      <c r="N36" s="269">
        <f>Brood_Tab!N34</f>
        <v>9624.6385284530425</v>
      </c>
      <c r="O36" s="269">
        <f>Brood_Tab!O34</f>
        <v>352.97030579027296</v>
      </c>
      <c r="P36" s="269">
        <f>Brood_Tab!P34</f>
        <v>0</v>
      </c>
      <c r="Q36" s="39">
        <f t="shared" si="6"/>
        <v>9977.6088342433159</v>
      </c>
      <c r="R36" s="269">
        <f>Brood_Tab!Q34</f>
        <v>0</v>
      </c>
      <c r="S36" s="269">
        <f>Brood_Tab!R34</f>
        <v>139.68343225782144</v>
      </c>
      <c r="T36" s="269">
        <f>Brood_Tab!S34</f>
        <v>0</v>
      </c>
      <c r="U36" s="39">
        <f t="shared" si="5"/>
        <v>139.68343225782144</v>
      </c>
      <c r="V36" s="23"/>
    </row>
    <row r="37" spans="1:29">
      <c r="A37" s="324">
        <v>2004</v>
      </c>
      <c r="B37" s="269">
        <f>Brood_Tab!D35</f>
        <v>0</v>
      </c>
      <c r="C37" s="269">
        <f>Brood_Tab!E35</f>
        <v>107.53828306264501</v>
      </c>
      <c r="D37" s="39">
        <f t="shared" si="8"/>
        <v>107.53828306264501</v>
      </c>
      <c r="E37" s="269">
        <f>Brood_Tab!F35</f>
        <v>0</v>
      </c>
      <c r="F37" s="269">
        <f>Brood_Tab!G35</f>
        <v>3974.232174502526</v>
      </c>
      <c r="G37" s="269">
        <f>Brood_Tab!H35</f>
        <v>15.858760917030567</v>
      </c>
      <c r="H37" s="39">
        <f t="shared" si="9"/>
        <v>3990.0909354195564</v>
      </c>
      <c r="I37" s="269">
        <f>Brood_Tab!I35</f>
        <v>0</v>
      </c>
      <c r="J37" s="269">
        <f>Brood_Tab!J35</f>
        <v>27036.937247060858</v>
      </c>
      <c r="K37" s="269">
        <f>Brood_Tab!K35</f>
        <v>358.03424332749523</v>
      </c>
      <c r="L37" s="39">
        <f t="shared" si="7"/>
        <v>27394.971490388354</v>
      </c>
      <c r="M37" s="269">
        <f>Brood_Tab!M35</f>
        <v>0</v>
      </c>
      <c r="N37" s="269">
        <f>Brood_Tab!N35</f>
        <v>6759.2925226127109</v>
      </c>
      <c r="O37" s="269">
        <f>Brood_Tab!O35</f>
        <v>452.34997717026795</v>
      </c>
      <c r="P37" s="269">
        <f>Brood_Tab!P35</f>
        <v>0</v>
      </c>
      <c r="Q37" s="39">
        <f t="shared" si="6"/>
        <v>7211.642499782979</v>
      </c>
      <c r="R37" s="269">
        <f>Brood_Tab!Q35</f>
        <v>0</v>
      </c>
      <c r="S37" s="269">
        <f>Brood_Tab!R35</f>
        <v>17.089948578827844</v>
      </c>
      <c r="T37" s="269">
        <f>Brood_Tab!S35</f>
        <v>0</v>
      </c>
      <c r="U37" s="39">
        <f t="shared" si="5"/>
        <v>17.089948578827844</v>
      </c>
    </row>
    <row r="38" spans="1:29">
      <c r="A38" s="324">
        <v>2005</v>
      </c>
      <c r="B38" s="269">
        <f>Brood_Tab!D36</f>
        <v>15.858760917030567</v>
      </c>
      <c r="C38" s="269">
        <f>Brood_Tab!E36</f>
        <v>7.3205811700199144</v>
      </c>
      <c r="D38" s="39">
        <f t="shared" si="8"/>
        <v>23.179342087050482</v>
      </c>
      <c r="E38" s="269">
        <f>Brood_Tab!F36</f>
        <v>0</v>
      </c>
      <c r="F38" s="269">
        <f>Brood_Tab!G36</f>
        <v>4590.7362311379366</v>
      </c>
      <c r="G38" s="269">
        <f>Brood_Tab!H36</f>
        <v>52.333564565996504</v>
      </c>
      <c r="H38" s="39">
        <f t="shared" si="9"/>
        <v>4643.0697957039329</v>
      </c>
      <c r="I38" s="269">
        <f>Brood_Tab!I36</f>
        <v>0</v>
      </c>
      <c r="J38" s="269">
        <f>Brood_Tab!J36</f>
        <v>19724.564662776269</v>
      </c>
      <c r="K38" s="269">
        <f>Brood_Tab!K36</f>
        <v>221.57497149536761</v>
      </c>
      <c r="L38" s="39">
        <f t="shared" si="7"/>
        <v>19946.139634271636</v>
      </c>
      <c r="M38" s="269">
        <f>Brood_Tab!M36</f>
        <v>0</v>
      </c>
      <c r="N38" s="269">
        <f>Brood_Tab!N36</f>
        <v>6002.9711144944513</v>
      </c>
      <c r="O38" s="269">
        <f>Brood_Tab!O36</f>
        <v>1169.1191063463928</v>
      </c>
      <c r="P38" s="269">
        <f>Brood_Tab!P36</f>
        <v>0</v>
      </c>
      <c r="Q38" s="39">
        <f t="shared" si="6"/>
        <v>7172.0902208408443</v>
      </c>
      <c r="R38" s="269">
        <f>Brood_Tab!Q36</f>
        <v>831.60874813937437</v>
      </c>
      <c r="S38" s="269">
        <f>Brood_Tab!R36</f>
        <v>31.344147845916613</v>
      </c>
      <c r="T38" s="269">
        <f>Brood_Tab!S36</f>
        <v>0</v>
      </c>
      <c r="U38" s="39">
        <f t="shared" si="5"/>
        <v>862.95289598529098</v>
      </c>
    </row>
    <row r="39" spans="1:29">
      <c r="A39" s="324">
        <v>2006</v>
      </c>
      <c r="B39" s="269">
        <f>Brood_Tab!D37</f>
        <v>0</v>
      </c>
      <c r="C39" s="269">
        <f>Brood_Tab!E37</f>
        <v>192.65190142698543</v>
      </c>
      <c r="D39" s="39">
        <f t="shared" si="8"/>
        <v>192.65190142698543</v>
      </c>
      <c r="E39" s="269">
        <f>Brood_Tab!F37</f>
        <v>0</v>
      </c>
      <c r="F39" s="269">
        <f>Brood_Tab!G37</f>
        <v>5400.9059432897675</v>
      </c>
      <c r="G39" s="269">
        <f>Brood_Tab!H37</f>
        <v>128.10768918285595</v>
      </c>
      <c r="H39" s="39">
        <f t="shared" ref="H39:H44" si="10">SUM(E39:G39)</f>
        <v>5529.0136324726236</v>
      </c>
      <c r="I39" s="269">
        <f>Brood_Tab!I37</f>
        <v>0</v>
      </c>
      <c r="J39" s="269">
        <f>Brood_Tab!J37</f>
        <v>41072.77581880783</v>
      </c>
      <c r="K39" s="269">
        <f>Brood_Tab!K37</f>
        <v>130.90607242499325</v>
      </c>
      <c r="L39" s="39">
        <f t="shared" si="7"/>
        <v>41203.681891232824</v>
      </c>
      <c r="M39" s="269">
        <f>Brood_Tab!M37</f>
        <v>0</v>
      </c>
      <c r="N39" s="269">
        <f>Brood_Tab!N37</f>
        <v>5328.7274734867533</v>
      </c>
      <c r="O39" s="269">
        <f>Brood_Tab!O37</f>
        <v>984.21491204150516</v>
      </c>
      <c r="P39" s="269">
        <f>Brood_Tab!P37</f>
        <v>0</v>
      </c>
      <c r="Q39" s="39">
        <f t="shared" si="6"/>
        <v>6312.9423855282585</v>
      </c>
      <c r="R39" s="269">
        <f>Brood_Tab!Q37</f>
        <v>0</v>
      </c>
      <c r="S39" s="269">
        <f>Brood_Tab!R37</f>
        <v>0</v>
      </c>
      <c r="T39" s="269">
        <f>Brood_Tab!S37</f>
        <v>6.2445207341944258</v>
      </c>
      <c r="U39" s="39">
        <f t="shared" si="5"/>
        <v>6.2445207341944258</v>
      </c>
    </row>
    <row r="40" spans="1:29">
      <c r="A40" s="324">
        <v>2007</v>
      </c>
      <c r="B40" s="269">
        <f>Brood_Tab!D38</f>
        <v>0</v>
      </c>
      <c r="C40" s="269">
        <f>Brood_Tab!E38</f>
        <v>357.52080121494441</v>
      </c>
      <c r="D40" s="39">
        <f t="shared" ref="D40:D45" si="11">SUM(B40:C40)</f>
        <v>357.52080121494441</v>
      </c>
      <c r="E40" s="269">
        <f>Brood_Tab!F38</f>
        <v>0</v>
      </c>
      <c r="F40" s="269">
        <f>Brood_Tab!G38</f>
        <v>5474.316891495072</v>
      </c>
      <c r="G40" s="269">
        <f>Brood_Tab!H38</f>
        <v>22.821047852435107</v>
      </c>
      <c r="H40" s="39">
        <f t="shared" si="10"/>
        <v>5497.1379393475072</v>
      </c>
      <c r="I40" s="269">
        <f>Brood_Tab!I38</f>
        <v>0</v>
      </c>
      <c r="J40" s="269">
        <f>Brood_Tab!J38</f>
        <v>35349.079570382564</v>
      </c>
      <c r="K40" s="269">
        <f>Brood_Tab!K38</f>
        <v>68.950880068917485</v>
      </c>
      <c r="L40" s="39">
        <f t="shared" si="7"/>
        <v>35418.030450451479</v>
      </c>
      <c r="M40" s="269">
        <f>Brood_Tab!M38</f>
        <v>0</v>
      </c>
      <c r="N40" s="269">
        <f>Brood_Tab!N38</f>
        <v>4735.5815357155097</v>
      </c>
      <c r="O40" s="269">
        <f>Brood_Tab!O38</f>
        <v>1303.8897608641912</v>
      </c>
      <c r="P40" s="269">
        <f>Brood_Tab!P38</f>
        <v>0</v>
      </c>
      <c r="Q40" s="39">
        <f t="shared" si="6"/>
        <v>6039.4712965797007</v>
      </c>
      <c r="R40" s="269">
        <f>Brood_Tab!Q38</f>
        <v>4.483364326492719</v>
      </c>
      <c r="S40" s="269">
        <f>Brood_Tab!R38</f>
        <v>119.600538584028</v>
      </c>
      <c r="T40" s="269">
        <f>Brood_Tab!S38</f>
        <v>0</v>
      </c>
      <c r="U40" s="39">
        <f>SUM(R40:T40)</f>
        <v>124.08390291052072</v>
      </c>
    </row>
    <row r="41" spans="1:29">
      <c r="A41" s="324">
        <v>2008</v>
      </c>
      <c r="B41" s="269">
        <f>Brood_Tab!D39</f>
        <v>0</v>
      </c>
      <c r="C41" s="269">
        <f>Brood_Tab!E39</f>
        <v>0</v>
      </c>
      <c r="D41" s="39">
        <f t="shared" si="11"/>
        <v>0</v>
      </c>
      <c r="E41" s="269">
        <f>Brood_Tab!F39</f>
        <v>0</v>
      </c>
      <c r="F41" s="269">
        <f>Brood_Tab!G39</f>
        <v>3822.0338773893727</v>
      </c>
      <c r="G41" s="269">
        <f>Brood_Tab!H39</f>
        <v>12.023296787949652</v>
      </c>
      <c r="H41" s="39">
        <f t="shared" si="10"/>
        <v>3834.0571741773224</v>
      </c>
      <c r="I41" s="269">
        <f>Brood_Tab!I39</f>
        <v>0</v>
      </c>
      <c r="J41" s="269">
        <f>Brood_Tab!J39</f>
        <v>26390.095675036351</v>
      </c>
      <c r="K41" s="269">
        <f>Brood_Tab!K39</f>
        <v>162.98326312609075</v>
      </c>
      <c r="L41" s="39">
        <f t="shared" si="7"/>
        <v>26553.078938162442</v>
      </c>
      <c r="M41" s="269">
        <f>Brood_Tab!M39</f>
        <v>0</v>
      </c>
      <c r="N41" s="269">
        <f>Brood_Tab!N39</f>
        <v>8847.9708801162087</v>
      </c>
      <c r="O41" s="269">
        <f>Brood_Tab!O39</f>
        <v>585.68404835473541</v>
      </c>
      <c r="P41" s="269">
        <f>Brood_Tab!P39</f>
        <v>0</v>
      </c>
      <c r="Q41" s="39">
        <f>SUM(M41:P41)</f>
        <v>9433.6549284709436</v>
      </c>
      <c r="R41" s="269">
        <f>Brood_Tab!Q39</f>
        <v>287.25283374166622</v>
      </c>
      <c r="S41" s="269">
        <f>Brood_Tab!R39</f>
        <v>40.506744128332237</v>
      </c>
      <c r="T41" s="269">
        <f>Brood_Tab!S39</f>
        <v>0</v>
      </c>
      <c r="U41" s="39">
        <f>SUM(R41:T41)</f>
        <v>327.75957786999845</v>
      </c>
    </row>
    <row r="42" spans="1:29">
      <c r="A42" s="324">
        <v>2009</v>
      </c>
      <c r="B42" s="269">
        <f>Brood_Tab!D40</f>
        <v>12.023296787949652</v>
      </c>
      <c r="C42" s="269">
        <f>Brood_Tab!E40</f>
        <v>2.9937970696973846</v>
      </c>
      <c r="D42" s="39">
        <f t="shared" si="11"/>
        <v>15.017093857647037</v>
      </c>
      <c r="E42" s="269">
        <f>Brood_Tab!F40</f>
        <v>0</v>
      </c>
      <c r="F42" s="269">
        <f>Brood_Tab!G40</f>
        <v>5820.9729508568271</v>
      </c>
      <c r="G42" s="269">
        <f>Brood_Tab!H40</f>
        <v>25.7470054583547</v>
      </c>
      <c r="H42" s="39">
        <f t="shared" si="10"/>
        <v>5846.7199563151817</v>
      </c>
      <c r="I42" s="269">
        <f>Brood_Tab!I40</f>
        <v>0</v>
      </c>
      <c r="J42" s="269">
        <f>Brood_Tab!J40</f>
        <v>15966.534037066889</v>
      </c>
      <c r="K42" s="269">
        <f>Brood_Tab!K40</f>
        <v>436.58050839455848</v>
      </c>
      <c r="L42" s="39">
        <f>SUM(I42:K42)</f>
        <v>16403.114545461449</v>
      </c>
      <c r="M42" s="269">
        <f>Brood_Tab!M40</f>
        <v>0</v>
      </c>
      <c r="N42" s="269">
        <f>Brood_Tab!N40</f>
        <v>11689.021396905018</v>
      </c>
      <c r="O42" s="269">
        <f>Brood_Tab!O40</f>
        <v>196.77063835740873</v>
      </c>
      <c r="P42" s="269">
        <f>Brood_Tab!P40</f>
        <v>0</v>
      </c>
      <c r="Q42" s="39">
        <f>SUM(M42:P42)</f>
        <v>11885.792035262428</v>
      </c>
      <c r="R42" s="45"/>
      <c r="S42" s="45"/>
      <c r="T42" s="45"/>
      <c r="U42" s="39"/>
    </row>
    <row r="43" spans="1:29">
      <c r="A43" s="324">
        <v>2010</v>
      </c>
      <c r="B43" s="269">
        <f>Brood_Tab!D41</f>
        <v>0</v>
      </c>
      <c r="C43" s="269">
        <f>Brood_Tab!E41</f>
        <v>4456.4852882084833</v>
      </c>
      <c r="D43" s="39">
        <f t="shared" si="11"/>
        <v>4456.4852882084833</v>
      </c>
      <c r="E43" s="269">
        <f>Brood_Tab!F41</f>
        <v>0</v>
      </c>
      <c r="F43" s="269">
        <f>Brood_Tab!G41</f>
        <v>8845.4023463963786</v>
      </c>
      <c r="G43" s="269">
        <f>Brood_Tab!H41</f>
        <v>25.148485880967588</v>
      </c>
      <c r="H43" s="39">
        <f t="shared" si="10"/>
        <v>8870.5508322773458</v>
      </c>
      <c r="I43" s="269">
        <f>Brood_Tab!I41</f>
        <v>0</v>
      </c>
      <c r="J43" s="269">
        <f>Brood_Tab!J41</f>
        <v>37214.22240730362</v>
      </c>
      <c r="K43" s="269">
        <f>Brood_Tab!K41</f>
        <v>142.08312168881176</v>
      </c>
      <c r="L43" s="39">
        <f>SUM(I43:K43)</f>
        <v>37356.30552899243</v>
      </c>
      <c r="M43" s="45"/>
      <c r="N43" s="45"/>
      <c r="O43" s="45"/>
      <c r="P43" s="45"/>
      <c r="Q43" s="39"/>
      <c r="R43" s="45"/>
      <c r="S43" s="45"/>
      <c r="T43" s="45"/>
      <c r="U43" s="39"/>
    </row>
    <row r="44" spans="1:29">
      <c r="A44" s="324">
        <v>2011</v>
      </c>
      <c r="B44" s="269">
        <f>Brood_Tab!D42</f>
        <v>0</v>
      </c>
      <c r="C44" s="269">
        <f>Brood_Tab!E42</f>
        <v>490.59579087974129</v>
      </c>
      <c r="D44" s="39">
        <f t="shared" si="11"/>
        <v>490.59579087974129</v>
      </c>
      <c r="E44" s="269">
        <f>Brood_Tab!F42</f>
        <v>25.948810289404083</v>
      </c>
      <c r="F44" s="269">
        <f>Brood_Tab!G42</f>
        <v>6464.9506057125072</v>
      </c>
      <c r="G44" s="269">
        <f>Brood_Tab!H42</f>
        <v>8.8650737877153905</v>
      </c>
      <c r="H44" s="39">
        <f t="shared" si="10"/>
        <v>6499.7644897896262</v>
      </c>
      <c r="I44" s="45"/>
      <c r="J44" s="45"/>
      <c r="K44" s="45"/>
      <c r="L44" s="39"/>
      <c r="M44" s="45"/>
      <c r="N44" s="45"/>
      <c r="O44" s="45"/>
      <c r="P44" s="45"/>
      <c r="Q44" s="39"/>
      <c r="R44" s="45"/>
      <c r="S44" s="45"/>
      <c r="T44" s="45"/>
      <c r="U44" s="39"/>
    </row>
    <row r="45" spans="1:29">
      <c r="A45" s="324">
        <v>2012</v>
      </c>
      <c r="B45" s="269">
        <f>Brood_Tab!D43</f>
        <v>25.948810289404083</v>
      </c>
      <c r="C45" s="269">
        <f>Brood_Tab!E43</f>
        <v>91.429557796111311</v>
      </c>
      <c r="D45" s="39">
        <f t="shared" si="11"/>
        <v>117.37836808551539</v>
      </c>
      <c r="E45" s="269"/>
      <c r="F45" s="269"/>
      <c r="G45" s="269"/>
      <c r="H45" s="39"/>
      <c r="I45" s="45"/>
      <c r="J45" s="45"/>
      <c r="K45" s="45"/>
      <c r="L45" s="39"/>
      <c r="M45" s="45"/>
      <c r="N45" s="45"/>
      <c r="O45" s="45"/>
      <c r="P45" s="45"/>
      <c r="Q45" s="39"/>
      <c r="R45" s="45"/>
      <c r="S45" s="45"/>
      <c r="T45" s="45"/>
      <c r="U45" s="39"/>
    </row>
    <row r="46" spans="1:29">
      <c r="A46" s="324">
        <v>2013</v>
      </c>
      <c r="B46" s="269"/>
      <c r="C46" s="269"/>
      <c r="D46" s="39"/>
      <c r="E46" s="45"/>
      <c r="F46" s="45"/>
      <c r="G46" s="45"/>
      <c r="H46" s="39"/>
      <c r="I46" s="45"/>
      <c r="J46" s="45"/>
      <c r="K46" s="45"/>
      <c r="L46" s="39"/>
      <c r="M46" s="45"/>
      <c r="N46" s="45"/>
      <c r="O46" s="45"/>
      <c r="P46" s="45"/>
      <c r="Q46" s="39"/>
      <c r="R46" s="45"/>
      <c r="S46" s="45"/>
      <c r="T46" s="45"/>
      <c r="U46" s="39"/>
    </row>
    <row r="47" spans="1:29">
      <c r="A47" s="324">
        <v>2014</v>
      </c>
      <c r="B47" s="45"/>
      <c r="C47" s="45"/>
      <c r="D47" s="39"/>
      <c r="E47" s="45"/>
      <c r="F47" s="45"/>
      <c r="G47" s="45"/>
      <c r="H47" s="39"/>
      <c r="I47" s="45"/>
      <c r="J47" s="45"/>
      <c r="K47" s="45"/>
      <c r="L47" s="39"/>
      <c r="M47" s="45"/>
      <c r="N47" s="45"/>
      <c r="O47" s="45"/>
      <c r="P47" s="45"/>
      <c r="Q47" s="39"/>
      <c r="R47" s="45"/>
      <c r="S47" s="45"/>
      <c r="T47" s="45"/>
      <c r="U47" s="39"/>
    </row>
    <row r="48" spans="1:29">
      <c r="A48" s="324">
        <v>2015</v>
      </c>
      <c r="B48" s="45"/>
      <c r="C48" s="45"/>
      <c r="D48" s="39"/>
      <c r="E48" s="45"/>
      <c r="F48" s="45"/>
      <c r="G48" s="45"/>
      <c r="H48" s="39"/>
      <c r="I48" s="45"/>
      <c r="J48" s="45"/>
      <c r="K48" s="45"/>
      <c r="L48" s="39"/>
      <c r="M48" s="45"/>
      <c r="N48" s="45"/>
      <c r="O48" s="45"/>
      <c r="P48" s="45"/>
      <c r="Q48" s="39"/>
      <c r="R48" s="45"/>
      <c r="S48" s="45"/>
      <c r="T48" s="45"/>
      <c r="U48" s="39"/>
    </row>
    <row r="49" spans="1:22" ht="16.5" thickBot="1">
      <c r="A49" s="52"/>
      <c r="B49" s="45"/>
      <c r="C49" s="45"/>
      <c r="D49" s="39"/>
      <c r="E49" s="45"/>
      <c r="F49" s="45"/>
      <c r="G49" s="45"/>
      <c r="H49" s="39"/>
      <c r="I49" s="45"/>
      <c r="J49" s="45"/>
      <c r="K49" s="45"/>
      <c r="L49" s="39"/>
      <c r="M49" s="45"/>
      <c r="N49" s="45"/>
      <c r="O49" s="45"/>
      <c r="P49" s="45"/>
      <c r="Q49" s="39"/>
      <c r="R49" s="45"/>
      <c r="S49" s="45"/>
      <c r="T49" s="45"/>
      <c r="U49" s="39"/>
    </row>
    <row r="50" spans="1:22" ht="16.5" thickBot="1">
      <c r="A50" s="52" t="s">
        <v>26</v>
      </c>
      <c r="B50" s="269">
        <f>AVERAGE(B8:B49)</f>
        <v>17.515227006224983</v>
      </c>
      <c r="C50" s="269">
        <f>AVERAGE(C8:C49)</f>
        <v>289.4460462407871</v>
      </c>
      <c r="D50" s="269">
        <f>AVERAGE(D8:D49)</f>
        <v>306.961273247012</v>
      </c>
      <c r="E50" s="269">
        <f t="shared" ref="E50:T50" si="12">AVERAGE(E8:E49)</f>
        <v>47.428484483540807</v>
      </c>
      <c r="F50" s="269">
        <f>AVERAGE(F8:F49)</f>
        <v>4396.6623790393842</v>
      </c>
      <c r="G50" s="269">
        <f>AVERAGE(G8:G49)</f>
        <v>24.268969920829321</v>
      </c>
      <c r="H50" s="269">
        <f>AVERAGE(H8:H49)</f>
        <v>4468.3598334437538</v>
      </c>
      <c r="I50" s="269">
        <f>AVERAGE(I8:I49)</f>
        <v>16.821900266287798</v>
      </c>
      <c r="J50" s="269">
        <f t="shared" si="12"/>
        <v>32803.235831429796</v>
      </c>
      <c r="K50" s="269">
        <f t="shared" si="12"/>
        <v>213.11145952606313</v>
      </c>
      <c r="L50" s="269">
        <f>AVERAGE(L8:L49)</f>
        <v>33033.16919122215</v>
      </c>
      <c r="M50" s="269">
        <f t="shared" si="12"/>
        <v>0.80446235581844572</v>
      </c>
      <c r="N50" s="269">
        <f>AVERAGE(N8:N49)</f>
        <v>18769.282804878592</v>
      </c>
      <c r="O50" s="269">
        <f t="shared" si="12"/>
        <v>992.49761818863396</v>
      </c>
      <c r="P50" s="269">
        <f t="shared" si="12"/>
        <v>2.4693291990439867</v>
      </c>
      <c r="Q50" s="269">
        <f>AVERAGE(Q8:Q49)</f>
        <v>19765.05421462208</v>
      </c>
      <c r="R50" s="269">
        <f>AVERAGE(R8:R49)</f>
        <v>223.24880911913323</v>
      </c>
      <c r="S50" s="269">
        <f t="shared" si="12"/>
        <v>681.5383274965626</v>
      </c>
      <c r="T50" s="269">
        <f t="shared" si="12"/>
        <v>3.0711598019842117</v>
      </c>
      <c r="U50" s="269">
        <f>AVERAGE(U8:U49)</f>
        <v>907.85829641768009</v>
      </c>
      <c r="V50" s="270">
        <f>SUM(R50:T50)+SUM(M50:P50)+SUM(I50:K50)+SUM(E50:G50)+SUM(B50:C50)</f>
        <v>58481.402808952684</v>
      </c>
    </row>
    <row r="51" spans="1:22" ht="16.5" thickBot="1">
      <c r="A51" s="52" t="s">
        <v>58</v>
      </c>
      <c r="B51" s="271">
        <f>B50/$V$50</f>
        <v>2.995008013649024E-4</v>
      </c>
      <c r="C51" s="271">
        <f t="shared" ref="C51:U51" si="13">C50/$V$50</f>
        <v>4.9493690701358645E-3</v>
      </c>
      <c r="D51" s="272">
        <f>D50/$V$50</f>
        <v>5.2488698715007663E-3</v>
      </c>
      <c r="E51" s="271">
        <f>E50/$V$50</f>
        <v>8.1100114233716993E-4</v>
      </c>
      <c r="F51" s="272">
        <f t="shared" si="13"/>
        <v>7.5180521804554201E-2</v>
      </c>
      <c r="G51" s="271">
        <f t="shared" si="13"/>
        <v>4.1498611105672865E-4</v>
      </c>
      <c r="H51" s="272">
        <f t="shared" si="13"/>
        <v>7.6406509057948088E-2</v>
      </c>
      <c r="I51" s="271">
        <f t="shared" si="13"/>
        <v>2.8764529334635936E-4</v>
      </c>
      <c r="J51" s="272">
        <f>J50/$V$50</f>
        <v>0.56091739007341457</v>
      </c>
      <c r="K51" s="271">
        <f t="shared" si="13"/>
        <v>3.6440893906436655E-3</v>
      </c>
      <c r="L51" s="272">
        <f>L50/$V$50</f>
        <v>0.56484912475740467</v>
      </c>
      <c r="M51" s="271">
        <f t="shared" si="13"/>
        <v>1.3755866261390258E-5</v>
      </c>
      <c r="N51" s="272">
        <f t="shared" si="13"/>
        <v>0.32094446958111061</v>
      </c>
      <c r="O51" s="271">
        <f t="shared" si="13"/>
        <v>1.6971166396793348E-2</v>
      </c>
      <c r="P51" s="271">
        <f t="shared" si="13"/>
        <v>4.2224178635228755E-5</v>
      </c>
      <c r="Q51" s="272">
        <f t="shared" si="13"/>
        <v>0.33797161602280046</v>
      </c>
      <c r="R51" s="271">
        <f t="shared" si="13"/>
        <v>3.8174325237792851E-3</v>
      </c>
      <c r="S51" s="271">
        <f t="shared" si="13"/>
        <v>1.1653932613809131E-2</v>
      </c>
      <c r="T51" s="271">
        <f t="shared" si="13"/>
        <v>5.2515152757485841E-5</v>
      </c>
      <c r="U51" s="272">
        <f t="shared" si="13"/>
        <v>1.5523880290345902E-2</v>
      </c>
      <c r="V51" s="273">
        <f>V50/$V$50</f>
        <v>1</v>
      </c>
    </row>
  </sheetData>
  <phoneticPr fontId="47" type="noConversion"/>
  <pageMargins left="0.75" right="0.75" top="1" bottom="1" header="0.5" footer="0.5"/>
  <pageSetup scale="5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D25"/>
  <sheetViews>
    <sheetView workbookViewId="0">
      <selection activeCell="D8" sqref="D8"/>
    </sheetView>
  </sheetViews>
  <sheetFormatPr defaultRowHeight="15.75"/>
  <cols>
    <col min="3" max="3" width="22.25" customWidth="1"/>
    <col min="4" max="4" width="17.75" customWidth="1"/>
  </cols>
  <sheetData>
    <row r="1" spans="1:4">
      <c r="A1" s="255" t="str">
        <f ca="1">CELL("filename",A1)</f>
        <v>C:\Projects\Shiny App\Aging Error\[Copprt Chinook brood.xlsx]Read_Me</v>
      </c>
    </row>
    <row r="2" spans="1:4">
      <c r="A2" s="255"/>
    </row>
    <row r="3" spans="1:4" ht="18.75">
      <c r="A3" s="493" t="s">
        <v>296</v>
      </c>
    </row>
    <row r="4" spans="1:4">
      <c r="A4" s="255"/>
      <c r="B4" s="331"/>
    </row>
    <row r="5" spans="1:4">
      <c r="A5" s="255"/>
      <c r="B5" s="331"/>
    </row>
    <row r="6" spans="1:4">
      <c r="A6" s="25"/>
      <c r="B6" s="331"/>
    </row>
    <row r="7" spans="1:4">
      <c r="A7" s="25"/>
      <c r="B7" s="331"/>
    </row>
    <row r="8" spans="1:4" ht="22.5">
      <c r="A8" s="239" t="s">
        <v>305</v>
      </c>
      <c r="B8" s="331"/>
      <c r="D8" s="977">
        <v>2018</v>
      </c>
    </row>
    <row r="9" spans="1:4">
      <c r="A9" s="255"/>
      <c r="B9" s="331"/>
    </row>
    <row r="10" spans="1:4">
      <c r="A10" s="239" t="s">
        <v>306</v>
      </c>
    </row>
    <row r="11" spans="1:4">
      <c r="A11" s="239"/>
    </row>
    <row r="14" spans="1:4">
      <c r="A14" s="239"/>
    </row>
    <row r="15" spans="1:4">
      <c r="A15" s="239"/>
    </row>
    <row r="17" spans="1:1">
      <c r="A17" s="239"/>
    </row>
    <row r="18" spans="1:1">
      <c r="A18" s="239"/>
    </row>
    <row r="19" spans="1:1">
      <c r="A19" s="292"/>
    </row>
    <row r="20" spans="1:1">
      <c r="A20" s="239"/>
    </row>
    <row r="21" spans="1:1">
      <c r="A21" s="239"/>
    </row>
    <row r="22" spans="1:1">
      <c r="A22" s="292"/>
    </row>
    <row r="23" spans="1:1">
      <c r="A23" s="239"/>
    </row>
    <row r="24" spans="1:1">
      <c r="A24" s="292"/>
    </row>
    <row r="25" spans="1:1">
      <c r="A25" s="292"/>
    </row>
  </sheetData>
  <phoneticPr fontId="47" type="noConversion"/>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tabColor theme="9"/>
  </sheetPr>
  <dimension ref="A1:P68"/>
  <sheetViews>
    <sheetView workbookViewId="0">
      <pane ySplit="7" topLeftCell="A20" activePane="bottomLeft" state="frozen"/>
      <selection activeCell="D8" sqref="A1:XFD1048576"/>
      <selection pane="bottomLeft" activeCell="C43" sqref="C43"/>
    </sheetView>
  </sheetViews>
  <sheetFormatPr defaultRowHeight="15.75"/>
  <cols>
    <col min="17" max="17" width="20.5" customWidth="1"/>
    <col min="18" max="18" width="10.25" customWidth="1"/>
  </cols>
  <sheetData>
    <row r="1" spans="1:16">
      <c r="A1" s="255" t="str">
        <f ca="1">CELL("filename",A1)</f>
        <v>C:\Projects\Shiny App\Aging Error\[Copprt Chinook brood.xlsx]FBrood</v>
      </c>
    </row>
    <row r="3" spans="1:16" ht="23.25">
      <c r="A3" s="51" t="s">
        <v>113</v>
      </c>
    </row>
    <row r="4" spans="1:16" ht="21" thickBot="1">
      <c r="A4" s="818" t="s">
        <v>376</v>
      </c>
      <c r="D4" s="23"/>
      <c r="E4" s="23"/>
      <c r="F4" s="23"/>
      <c r="G4" s="23"/>
      <c r="H4" s="23"/>
      <c r="I4" s="23"/>
      <c r="J4" s="23"/>
      <c r="K4" s="23"/>
      <c r="L4" s="23"/>
      <c r="M4" s="23"/>
      <c r="N4" s="45"/>
      <c r="O4" s="53"/>
      <c r="P4" s="23"/>
    </row>
    <row r="5" spans="1:16">
      <c r="A5" s="165"/>
      <c r="B5" s="166" t="s">
        <v>28</v>
      </c>
      <c r="C5" s="167" t="s">
        <v>59</v>
      </c>
      <c r="D5" s="167"/>
      <c r="E5" s="168"/>
      <c r="F5" s="166" t="s">
        <v>28</v>
      </c>
      <c r="G5" s="169" t="s">
        <v>62</v>
      </c>
      <c r="H5" s="167"/>
      <c r="I5" s="168"/>
      <c r="J5" s="166" t="s">
        <v>28</v>
      </c>
      <c r="K5" s="169" t="s">
        <v>63</v>
      </c>
      <c r="L5" s="167"/>
      <c r="M5" s="50"/>
      <c r="N5" s="45"/>
      <c r="O5" s="53"/>
      <c r="P5" s="23"/>
    </row>
    <row r="6" spans="1:16">
      <c r="A6" s="170" t="s">
        <v>27</v>
      </c>
      <c r="B6" s="54" t="s">
        <v>12</v>
      </c>
      <c r="C6" s="285" t="s">
        <v>60</v>
      </c>
      <c r="D6" s="285" t="s">
        <v>61</v>
      </c>
      <c r="E6" s="372" t="str">
        <f>"ln(R)^2"</f>
        <v>ln(R)^2</v>
      </c>
      <c r="F6" s="373" t="s">
        <v>12</v>
      </c>
      <c r="G6" s="285" t="s">
        <v>60</v>
      </c>
      <c r="H6" s="285" t="s">
        <v>61</v>
      </c>
      <c r="I6" s="372" t="str">
        <f>"ln(R)^2"</f>
        <v>ln(R)^2</v>
      </c>
      <c r="J6" s="373" t="s">
        <v>12</v>
      </c>
      <c r="K6" s="285" t="s">
        <v>60</v>
      </c>
      <c r="L6" s="285" t="s">
        <v>61</v>
      </c>
      <c r="M6" s="372" t="str">
        <f>"ln(R)^2"</f>
        <v>ln(R)^2</v>
      </c>
      <c r="N6" s="45"/>
      <c r="O6" s="53"/>
      <c r="P6" s="23"/>
    </row>
    <row r="7" spans="1:16" ht="16.5" thickBot="1">
      <c r="A7" s="171" t="s">
        <v>12</v>
      </c>
      <c r="B7" s="61">
        <v>2</v>
      </c>
      <c r="C7" s="62">
        <v>3</v>
      </c>
      <c r="D7" s="62">
        <v>4</v>
      </c>
      <c r="E7" s="63">
        <v>5</v>
      </c>
      <c r="F7" s="61">
        <v>6</v>
      </c>
      <c r="G7" s="62">
        <v>7</v>
      </c>
      <c r="H7" s="62">
        <v>8</v>
      </c>
      <c r="I7" s="63">
        <v>9</v>
      </c>
      <c r="J7" s="61">
        <v>10</v>
      </c>
      <c r="K7" s="62">
        <v>11</v>
      </c>
      <c r="L7" s="62">
        <v>12</v>
      </c>
      <c r="M7" s="172">
        <v>13</v>
      </c>
      <c r="N7" s="45"/>
      <c r="O7" s="53"/>
      <c r="P7" s="23"/>
    </row>
    <row r="8" spans="1:16" ht="16.5" thickTop="1">
      <c r="A8" s="173">
        <v>1975</v>
      </c>
      <c r="B8" s="55">
        <v>1979</v>
      </c>
      <c r="C8" s="53">
        <f>MAX(Brood_Tab!G6,1)</f>
        <v>1</v>
      </c>
      <c r="D8" s="83">
        <f>LN(C8)</f>
        <v>0</v>
      </c>
      <c r="E8" s="84">
        <f>D8^2</f>
        <v>0</v>
      </c>
      <c r="F8" s="55">
        <v>1980</v>
      </c>
      <c r="G8" s="53">
        <f>MAX(Brood_Tab!J6,1)</f>
        <v>2398.7488584474886</v>
      </c>
      <c r="H8" s="83">
        <f>LN(G8)</f>
        <v>7.7827025714270546</v>
      </c>
      <c r="I8" s="84">
        <f>H8^2</f>
        <v>60.570459315297285</v>
      </c>
      <c r="J8" s="55">
        <v>1981</v>
      </c>
      <c r="K8" s="53">
        <f>MAX(Brood_Tab!N6,1)</f>
        <v>8321.7037037037026</v>
      </c>
      <c r="L8" s="83">
        <f>LN(K8)</f>
        <v>9.0266222849320847</v>
      </c>
      <c r="M8" s="174">
        <f>L8^2</f>
        <v>81.479909874832529</v>
      </c>
      <c r="N8" s="45"/>
      <c r="O8" s="53"/>
      <c r="P8" s="23"/>
    </row>
    <row r="9" spans="1:16">
      <c r="A9" s="173">
        <v>1976</v>
      </c>
      <c r="B9" s="55">
        <v>1980</v>
      </c>
      <c r="C9" s="53">
        <f>MAX(Brood_Tab!G7,1)</f>
        <v>77.378995433789953</v>
      </c>
      <c r="D9" s="83">
        <f t="shared" ref="D9:D45" si="0">LN(C9)</f>
        <v>4.3487153669419083</v>
      </c>
      <c r="E9" s="84">
        <f t="shared" ref="E9:E45" si="1">D9^2</f>
        <v>18.911325342676697</v>
      </c>
      <c r="F9" s="55">
        <v>1981</v>
      </c>
      <c r="G9" s="53">
        <f>MAX(Brood_Tab!J7,1)</f>
        <v>8624.3111111111102</v>
      </c>
      <c r="H9" s="83">
        <f t="shared" ref="H9:H44" si="2">LN(G9)</f>
        <v>9.0623403675341656</v>
      </c>
      <c r="I9" s="84">
        <f t="shared" ref="I9:I44" si="3">H9^2</f>
        <v>82.126012937039278</v>
      </c>
      <c r="J9" s="55">
        <v>1982</v>
      </c>
      <c r="K9" s="53">
        <f>MAX(Brood_Tab!N7,1)</f>
        <v>12053.313616207641</v>
      </c>
      <c r="L9" s="83">
        <f t="shared" ref="L9:L43" si="4">LN(K9)</f>
        <v>9.3970948900131841</v>
      </c>
      <c r="M9" s="174">
        <f t="shared" ref="M9:M43" si="5">L9^2</f>
        <v>88.305392371911893</v>
      </c>
      <c r="O9" s="53"/>
      <c r="P9" s="23"/>
    </row>
    <row r="10" spans="1:16">
      <c r="A10" s="173">
        <v>1977</v>
      </c>
      <c r="B10" s="55">
        <v>1981</v>
      </c>
      <c r="C10" s="53">
        <f>MAX(Brood_Tab!G8,1)</f>
        <v>1059.1259259259259</v>
      </c>
      <c r="D10" s="83">
        <f t="shared" si="0"/>
        <v>6.9651992487549279</v>
      </c>
      <c r="E10" s="84">
        <f t="shared" si="1"/>
        <v>48.514000574856212</v>
      </c>
      <c r="F10" s="55">
        <v>1982</v>
      </c>
      <c r="G10" s="53">
        <f>MAX(Brood_Tab!J8,1)</f>
        <v>25211.19913754526</v>
      </c>
      <c r="H10" s="83">
        <f t="shared" si="2"/>
        <v>10.13504358499859</v>
      </c>
      <c r="I10" s="84">
        <f t="shared" si="3"/>
        <v>102.71910846982107</v>
      </c>
      <c r="J10" s="55">
        <v>1983</v>
      </c>
      <c r="K10" s="53">
        <f>MAX(Brood_Tab!N8,1)</f>
        <v>16990.664727519888</v>
      </c>
      <c r="L10" s="83">
        <f t="shared" si="4"/>
        <v>9.7404193385339362</v>
      </c>
      <c r="M10" s="174">
        <f t="shared" si="5"/>
        <v>94.875768890485887</v>
      </c>
      <c r="N10" s="328"/>
      <c r="O10" s="520"/>
      <c r="P10" s="23"/>
    </row>
    <row r="11" spans="1:16">
      <c r="A11" s="173">
        <v>1978</v>
      </c>
      <c r="B11" s="55">
        <v>1982</v>
      </c>
      <c r="C11" s="53">
        <f>MAX(Brood_Tab!G9,1)</f>
        <v>3576.5243073918882</v>
      </c>
      <c r="D11" s="83">
        <f t="shared" si="0"/>
        <v>8.1821467439441573</v>
      </c>
      <c r="E11" s="84">
        <f t="shared" si="1"/>
        <v>66.94752533943597</v>
      </c>
      <c r="F11" s="55">
        <v>1983</v>
      </c>
      <c r="G11" s="53">
        <f>MAX(Brood_Tab!J9,1)</f>
        <v>33917.530726480349</v>
      </c>
      <c r="H11" s="83">
        <f t="shared" si="2"/>
        <v>10.431687290277248</v>
      </c>
      <c r="I11" s="84">
        <f t="shared" si="3"/>
        <v>108.82009972213187</v>
      </c>
      <c r="J11" s="55">
        <v>1984</v>
      </c>
      <c r="K11" s="53">
        <f>MAX(Brood_Tab!N9,1)</f>
        <v>22116.792291994938</v>
      </c>
      <c r="L11" s="83">
        <f t="shared" si="4"/>
        <v>10.004092431196456</v>
      </c>
      <c r="M11" s="174">
        <f t="shared" si="5"/>
        <v>100.08186537192222</v>
      </c>
      <c r="N11" s="328"/>
      <c r="O11" s="520"/>
      <c r="P11" s="23"/>
    </row>
    <row r="12" spans="1:16">
      <c r="A12" s="173">
        <v>1979</v>
      </c>
      <c r="B12" s="55">
        <v>1983</v>
      </c>
      <c r="C12" s="53">
        <f>MAX(Brood_Tab!G10,1)</f>
        <v>2052.1924353284553</v>
      </c>
      <c r="D12" s="83">
        <f t="shared" si="0"/>
        <v>7.6266639812934791</v>
      </c>
      <c r="E12" s="84">
        <f t="shared" si="1"/>
        <v>58.166003483559301</v>
      </c>
      <c r="F12" s="55">
        <v>1984</v>
      </c>
      <c r="G12" s="53">
        <f>MAX(Brood_Tab!J10,1)</f>
        <v>13184.072404618604</v>
      </c>
      <c r="H12" s="83">
        <f t="shared" si="2"/>
        <v>9.4867647439893457</v>
      </c>
      <c r="I12" s="84">
        <f t="shared" si="3"/>
        <v>89.998705307799241</v>
      </c>
      <c r="J12" s="55">
        <v>1985</v>
      </c>
      <c r="K12" s="53">
        <f>MAX(Brood_Tab!N10,1)</f>
        <v>25990.591971268575</v>
      </c>
      <c r="L12" s="83">
        <f t="shared" si="4"/>
        <v>10.165489904262202</v>
      </c>
      <c r="M12" s="174">
        <f t="shared" si="5"/>
        <v>103.33718499365675</v>
      </c>
      <c r="N12" s="328"/>
      <c r="O12" s="520"/>
      <c r="P12" s="23"/>
    </row>
    <row r="13" spans="1:16">
      <c r="A13" s="173">
        <v>1980</v>
      </c>
      <c r="B13" s="55">
        <v>1984</v>
      </c>
      <c r="C13" s="53">
        <f>MAX(Brood_Tab!G11,1)</f>
        <v>899.67646527006423</v>
      </c>
      <c r="D13" s="83">
        <f t="shared" si="0"/>
        <v>6.802035215661534</v>
      </c>
      <c r="E13" s="84">
        <f t="shared" si="1"/>
        <v>46.267683075099654</v>
      </c>
      <c r="F13" s="55">
        <v>1985</v>
      </c>
      <c r="G13" s="53">
        <f>MAX(Brood_Tab!J11,1)</f>
        <v>12239.848971008672</v>
      </c>
      <c r="H13" s="83">
        <f t="shared" si="2"/>
        <v>9.4124522170203111</v>
      </c>
      <c r="I13" s="84">
        <f t="shared" si="3"/>
        <v>88.594256737690571</v>
      </c>
      <c r="J13" s="55">
        <v>1986</v>
      </c>
      <c r="K13" s="53">
        <f>MAX(Brood_Tab!N11,1)</f>
        <v>14046.524022621099</v>
      </c>
      <c r="L13" s="83">
        <f t="shared" si="4"/>
        <v>9.5501302436281446</v>
      </c>
      <c r="M13" s="174">
        <f t="shared" si="5"/>
        <v>91.204987670260962</v>
      </c>
      <c r="N13" s="328"/>
      <c r="O13" s="520"/>
      <c r="P13" s="23"/>
    </row>
    <row r="14" spans="1:16">
      <c r="A14" s="173">
        <v>1981</v>
      </c>
      <c r="B14" s="55">
        <v>1985</v>
      </c>
      <c r="C14" s="53">
        <f>MAX(Brood_Tab!G12,1)</f>
        <v>2828.907969661886</v>
      </c>
      <c r="D14" s="83">
        <f t="shared" si="0"/>
        <v>7.9476460397232467</v>
      </c>
      <c r="E14" s="84">
        <f t="shared" si="1"/>
        <v>63.165077572728606</v>
      </c>
      <c r="F14" s="55">
        <v>1986</v>
      </c>
      <c r="G14" s="53">
        <f>MAX(Brood_Tab!J12,1)</f>
        <v>21883.545512662899</v>
      </c>
      <c r="H14" s="83">
        <f t="shared" si="2"/>
        <v>9.9934902869486333</v>
      </c>
      <c r="I14" s="84">
        <f t="shared" si="3"/>
        <v>99.86984811533668</v>
      </c>
      <c r="J14" s="55">
        <v>1987</v>
      </c>
      <c r="K14" s="53">
        <f>MAX(Brood_Tab!N12,1)</f>
        <v>26330.256303849499</v>
      </c>
      <c r="L14" s="83">
        <f t="shared" si="4"/>
        <v>10.178473986732742</v>
      </c>
      <c r="M14" s="174">
        <f t="shared" si="5"/>
        <v>103.60133269859512</v>
      </c>
      <c r="N14" s="328"/>
      <c r="O14" s="520"/>
      <c r="P14" s="23"/>
    </row>
    <row r="15" spans="1:16">
      <c r="A15" s="173">
        <v>1982</v>
      </c>
      <c r="B15" s="55">
        <v>1986</v>
      </c>
      <c r="C15" s="53">
        <f>MAX(Brood_Tab!G13,1)</f>
        <v>2352.3127612490775</v>
      </c>
      <c r="D15" s="83">
        <f t="shared" si="0"/>
        <v>7.7631542768994439</v>
      </c>
      <c r="E15" s="84">
        <f t="shared" si="1"/>
        <v>60.266564326942131</v>
      </c>
      <c r="F15" s="55">
        <v>1987</v>
      </c>
      <c r="G15" s="53">
        <f>MAX(Brood_Tab!J13,1)</f>
        <v>9999.4706742550006</v>
      </c>
      <c r="H15" s="83">
        <f t="shared" si="2"/>
        <v>9.2102874380007052</v>
      </c>
      <c r="I15" s="84">
        <f t="shared" si="3"/>
        <v>84.829394690593588</v>
      </c>
      <c r="J15" s="55">
        <v>1988</v>
      </c>
      <c r="K15" s="53">
        <f>MAX(Brood_Tab!N13,1)</f>
        <v>19096.623109347878</v>
      </c>
      <c r="L15" s="83">
        <f t="shared" si="4"/>
        <v>9.8572667978459574</v>
      </c>
      <c r="M15" s="174">
        <f t="shared" si="5"/>
        <v>97.165708723916296</v>
      </c>
      <c r="N15" s="328"/>
      <c r="O15" s="520"/>
      <c r="P15" s="23"/>
    </row>
    <row r="16" spans="1:16">
      <c r="A16" s="173">
        <v>1983</v>
      </c>
      <c r="B16" s="55">
        <v>1987</v>
      </c>
      <c r="C16" s="53">
        <f>MAX(Brood_Tab!G14,1)</f>
        <v>829.0813769662476</v>
      </c>
      <c r="D16" s="83">
        <f t="shared" si="0"/>
        <v>6.7203183131237312</v>
      </c>
      <c r="E16" s="84">
        <f t="shared" si="1"/>
        <v>45.162678229706195</v>
      </c>
      <c r="F16" s="55">
        <v>1988</v>
      </c>
      <c r="G16" s="53">
        <f>MAX(Brood_Tab!J14,1)</f>
        <v>7774.8899436789352</v>
      </c>
      <c r="H16" s="83">
        <f t="shared" si="2"/>
        <v>8.9586545817934145</v>
      </c>
      <c r="I16" s="84">
        <f t="shared" si="3"/>
        <v>80.257491915888139</v>
      </c>
      <c r="J16" s="55">
        <v>1989</v>
      </c>
      <c r="K16" s="53">
        <f>MAX(Brood_Tab!N14,1)</f>
        <v>19097.45254528369</v>
      </c>
      <c r="L16" s="83">
        <f t="shared" si="4"/>
        <v>9.8573102305470623</v>
      </c>
      <c r="M16" s="174">
        <f t="shared" si="5"/>
        <v>97.166564981247774</v>
      </c>
      <c r="N16" s="328"/>
      <c r="O16" s="520"/>
      <c r="P16" s="23"/>
    </row>
    <row r="17" spans="1:16">
      <c r="A17" s="173">
        <v>1984</v>
      </c>
      <c r="B17" s="55">
        <v>1988</v>
      </c>
      <c r="C17" s="53">
        <f>MAX(Brood_Tab!G15,1)</f>
        <v>970.49665261591872</v>
      </c>
      <c r="D17" s="83">
        <f t="shared" si="0"/>
        <v>6.8778079534695964</v>
      </c>
      <c r="E17" s="84">
        <f t="shared" si="1"/>
        <v>47.304242244809636</v>
      </c>
      <c r="F17" s="55">
        <v>1989</v>
      </c>
      <c r="G17" s="53">
        <f>MAX(Brood_Tab!J15,1)</f>
        <v>7598.0514565308968</v>
      </c>
      <c r="H17" s="83">
        <f t="shared" si="2"/>
        <v>8.9356471061030138</v>
      </c>
      <c r="I17" s="84">
        <f t="shared" si="3"/>
        <v>79.845789204807161</v>
      </c>
      <c r="J17" s="55">
        <v>1990</v>
      </c>
      <c r="K17" s="53">
        <f>MAX(Brood_Tab!N15,1)</f>
        <v>11771.369585253457</v>
      </c>
      <c r="L17" s="83">
        <f t="shared" si="4"/>
        <v>9.3734255558682165</v>
      </c>
      <c r="M17" s="174">
        <f t="shared" si="5"/>
        <v>87.861106651403389</v>
      </c>
      <c r="N17" s="328"/>
      <c r="O17" s="520"/>
      <c r="P17" s="23"/>
    </row>
    <row r="18" spans="1:16">
      <c r="A18" s="173">
        <v>1985</v>
      </c>
      <c r="B18" s="55">
        <v>1989</v>
      </c>
      <c r="C18" s="53">
        <f>MAX(Brood_Tab!G16,1)</f>
        <v>792.5086678979942</v>
      </c>
      <c r="D18" s="83">
        <f t="shared" si="0"/>
        <v>6.6752034431023413</v>
      </c>
      <c r="E18" s="84">
        <f t="shared" si="1"/>
        <v>44.55834100680535</v>
      </c>
      <c r="F18" s="55">
        <v>1990</v>
      </c>
      <c r="G18" s="53">
        <f>MAX(Brood_Tab!J16,1)</f>
        <v>5597.4829838087717</v>
      </c>
      <c r="H18" s="83">
        <f t="shared" si="2"/>
        <v>8.6300723085055857</v>
      </c>
      <c r="I18" s="84">
        <f t="shared" si="3"/>
        <v>74.478148050034932</v>
      </c>
      <c r="J18" s="55">
        <v>1991</v>
      </c>
      <c r="K18" s="53">
        <f>MAX(Brood_Tab!N16,1)</f>
        <v>12019.484477406002</v>
      </c>
      <c r="L18" s="83">
        <f t="shared" si="4"/>
        <v>9.3942843184345097</v>
      </c>
      <c r="M18" s="174">
        <f t="shared" si="5"/>
        <v>88.252577855584548</v>
      </c>
      <c r="N18" s="328"/>
      <c r="O18" s="520"/>
      <c r="P18" s="23"/>
    </row>
    <row r="19" spans="1:16">
      <c r="A19" s="173">
        <v>1986</v>
      </c>
      <c r="B19" s="55">
        <v>1990</v>
      </c>
      <c r="C19" s="53">
        <f>MAX(Brood_Tab!G17,1)</f>
        <v>1269.4023041474654</v>
      </c>
      <c r="D19" s="83">
        <f t="shared" si="0"/>
        <v>7.1463014420176147</v>
      </c>
      <c r="E19" s="84">
        <f t="shared" si="1"/>
        <v>51.069624300183037</v>
      </c>
      <c r="F19" s="55">
        <v>1991</v>
      </c>
      <c r="G19" s="53">
        <f>MAX(Brood_Tab!J17,1)</f>
        <v>19786.664539496378</v>
      </c>
      <c r="H19" s="83">
        <f t="shared" si="2"/>
        <v>9.8927634816679095</v>
      </c>
      <c r="I19" s="84">
        <f t="shared" si="3"/>
        <v>97.866769304222174</v>
      </c>
      <c r="J19" s="55">
        <v>1992</v>
      </c>
      <c r="K19" s="53">
        <f>MAX(Brood_Tab!N17,1)</f>
        <v>43279.314721733841</v>
      </c>
      <c r="L19" s="83">
        <f t="shared" si="4"/>
        <v>10.675430079793667</v>
      </c>
      <c r="M19" s="174">
        <f t="shared" si="5"/>
        <v>113.96480738856343</v>
      </c>
      <c r="N19" s="328"/>
      <c r="O19" s="520"/>
      <c r="P19" s="23"/>
    </row>
    <row r="20" spans="1:16">
      <c r="A20" s="173">
        <v>1987</v>
      </c>
      <c r="B20" s="55">
        <v>1991</v>
      </c>
      <c r="C20" s="53">
        <f>MAX(Brood_Tab!G18,1)</f>
        <v>1146.4398068299413</v>
      </c>
      <c r="D20" s="83">
        <f t="shared" si="0"/>
        <v>7.0444165992449843</v>
      </c>
      <c r="E20" s="84">
        <f t="shared" si="1"/>
        <v>49.623805223718271</v>
      </c>
      <c r="F20" s="55">
        <v>1992</v>
      </c>
      <c r="G20" s="53">
        <f>MAX(Brood_Tab!J18,1)</f>
        <v>9375.3263410620893</v>
      </c>
      <c r="H20" s="83">
        <f t="shared" si="2"/>
        <v>9.1458366599460579</v>
      </c>
      <c r="I20" s="84">
        <f t="shared" si="3"/>
        <v>83.646328210413259</v>
      </c>
      <c r="J20" s="55">
        <v>1993</v>
      </c>
      <c r="K20" s="53">
        <f>MAX(Brood_Tab!N18,1)</f>
        <v>13878.379842417628</v>
      </c>
      <c r="L20" s="83">
        <f t="shared" si="4"/>
        <v>9.5380875011971771</v>
      </c>
      <c r="M20" s="174">
        <f t="shared" si="5"/>
        <v>90.975113180493807</v>
      </c>
      <c r="N20" s="328"/>
      <c r="O20" s="520"/>
      <c r="P20" s="23"/>
    </row>
    <row r="21" spans="1:16">
      <c r="A21" s="173">
        <v>1988</v>
      </c>
      <c r="B21" s="55">
        <v>1992</v>
      </c>
      <c r="C21" s="53">
        <f>MAX(Brood_Tab!G19,1)</f>
        <v>3824.0334757690807</v>
      </c>
      <c r="D21" s="83">
        <f t="shared" si="0"/>
        <v>8.2490610282566887</v>
      </c>
      <c r="E21" s="84">
        <f t="shared" si="1"/>
        <v>68.047007847903302</v>
      </c>
      <c r="F21" s="55">
        <v>1993</v>
      </c>
      <c r="G21" s="53">
        <f>MAX(Brood_Tab!J19,1)</f>
        <v>31347.880360364543</v>
      </c>
      <c r="H21" s="83">
        <f t="shared" si="2"/>
        <v>10.352901931665681</v>
      </c>
      <c r="I21" s="84">
        <f t="shared" si="3"/>
        <v>107.18257840668699</v>
      </c>
      <c r="J21" s="55">
        <v>1994</v>
      </c>
      <c r="K21" s="53">
        <f>MAX(Brood_Tab!N19,1)</f>
        <v>36211.645151829012</v>
      </c>
      <c r="L21" s="83">
        <f t="shared" si="4"/>
        <v>10.497136035360006</v>
      </c>
      <c r="M21" s="174">
        <f t="shared" si="5"/>
        <v>110.18986494485358</v>
      </c>
      <c r="N21" s="328"/>
      <c r="O21" s="520"/>
      <c r="P21" s="23"/>
    </row>
    <row r="22" spans="1:16">
      <c r="A22" s="173">
        <v>1989</v>
      </c>
      <c r="B22" s="55">
        <v>1993</v>
      </c>
      <c r="C22" s="53">
        <f>MAX(Brood_Tab!G20,1)</f>
        <v>4111.1481321755628</v>
      </c>
      <c r="D22" s="83">
        <f t="shared" si="0"/>
        <v>8.3214576193733816</v>
      </c>
      <c r="E22" s="84">
        <f t="shared" si="1"/>
        <v>69.246656911027301</v>
      </c>
      <c r="F22" s="55">
        <v>1994</v>
      </c>
      <c r="G22" s="53">
        <f>MAX(Brood_Tab!J20,1)</f>
        <v>31720.521207855119</v>
      </c>
      <c r="H22" s="83">
        <f t="shared" si="2"/>
        <v>10.364719107135071</v>
      </c>
      <c r="I22" s="84">
        <f t="shared" si="3"/>
        <v>107.42740216981083</v>
      </c>
      <c r="J22" s="55">
        <v>1995</v>
      </c>
      <c r="K22" s="53">
        <f>MAX(Brood_Tab!N20,1)</f>
        <v>31949.172801461413</v>
      </c>
      <c r="L22" s="83">
        <f t="shared" si="4"/>
        <v>10.371901569062425</v>
      </c>
      <c r="M22" s="174">
        <f t="shared" si="5"/>
        <v>107.57634215831959</v>
      </c>
      <c r="N22" s="328"/>
      <c r="O22" s="328"/>
      <c r="P22" s="23"/>
    </row>
    <row r="23" spans="1:16">
      <c r="A23" s="173">
        <v>1990</v>
      </c>
      <c r="B23" s="55">
        <v>1994</v>
      </c>
      <c r="C23" s="53">
        <f>MAX(Brood_Tab!G21,1)</f>
        <v>4110.4521949177479</v>
      </c>
      <c r="D23" s="83">
        <f t="shared" si="0"/>
        <v>8.3212883245325262</v>
      </c>
      <c r="E23" s="84">
        <f t="shared" si="1"/>
        <v>69.243839380001333</v>
      </c>
      <c r="F23" s="55">
        <v>1995</v>
      </c>
      <c r="G23" s="53">
        <f>MAX(Brood_Tab!J21,1)</f>
        <v>55953.220203770397</v>
      </c>
      <c r="H23" s="83">
        <f t="shared" si="2"/>
        <v>10.932271267111018</v>
      </c>
      <c r="I23" s="84">
        <f t="shared" si="3"/>
        <v>119.51455505770114</v>
      </c>
      <c r="J23" s="55">
        <v>1996</v>
      </c>
      <c r="K23" s="53">
        <f>MAX(Brood_Tab!N21,1)</f>
        <v>35391.488291243433</v>
      </c>
      <c r="L23" s="83">
        <f t="shared" si="4"/>
        <v>10.474226626460448</v>
      </c>
      <c r="M23" s="174">
        <f t="shared" si="5"/>
        <v>109.70942342245301</v>
      </c>
      <c r="N23" s="328"/>
      <c r="O23" s="328"/>
      <c r="P23" s="23"/>
    </row>
    <row r="24" spans="1:16">
      <c r="A24" s="173">
        <v>1991</v>
      </c>
      <c r="B24" s="55">
        <v>1995</v>
      </c>
      <c r="C24" s="53">
        <f>MAX(Brood_Tab!G22,1)</f>
        <v>7142.7400904797742</v>
      </c>
      <c r="D24" s="83">
        <f t="shared" si="0"/>
        <v>8.8738517478878638</v>
      </c>
      <c r="E24" s="84">
        <f t="shared" si="1"/>
        <v>78.7452448434925</v>
      </c>
      <c r="F24" s="55">
        <v>1996</v>
      </c>
      <c r="G24" s="53">
        <f>MAX(Brood_Tab!J22,1)</f>
        <v>42451.662253200571</v>
      </c>
      <c r="H24" s="83">
        <f t="shared" si="2"/>
        <v>10.656121348880983</v>
      </c>
      <c r="I24" s="84">
        <f t="shared" si="3"/>
        <v>113.55292220207707</v>
      </c>
      <c r="J24" s="55">
        <v>1997</v>
      </c>
      <c r="K24" s="53">
        <f>MAX(Brood_Tab!N22,1)</f>
        <v>26200.636613478768</v>
      </c>
      <c r="L24" s="83">
        <f t="shared" si="4"/>
        <v>10.173538987678372</v>
      </c>
      <c r="M24" s="174">
        <f t="shared" si="5"/>
        <v>103.50089553381187</v>
      </c>
      <c r="N24" s="328"/>
      <c r="O24" s="328"/>
      <c r="P24" s="23"/>
    </row>
    <row r="25" spans="1:16">
      <c r="A25" s="173">
        <v>1992</v>
      </c>
      <c r="B25" s="55">
        <v>1996</v>
      </c>
      <c r="C25" s="53">
        <f>MAX(Brood_Tab!G23,1)</f>
        <v>5839.0273979033991</v>
      </c>
      <c r="D25" s="83">
        <f t="shared" si="0"/>
        <v>8.6723195204978065</v>
      </c>
      <c r="E25" s="84">
        <f t="shared" si="1"/>
        <v>75.209125865607305</v>
      </c>
      <c r="F25" s="55">
        <v>1997</v>
      </c>
      <c r="G25" s="53">
        <f>MAX(Brood_Tab!J23,1)</f>
        <v>56034.420564336666</v>
      </c>
      <c r="H25" s="83">
        <f t="shared" si="2"/>
        <v>10.933721433830124</v>
      </c>
      <c r="I25" s="84">
        <f t="shared" si="3"/>
        <v>119.54626439259627</v>
      </c>
      <c r="J25" s="55">
        <v>1998</v>
      </c>
      <c r="K25" s="53">
        <f>MAX(Brood_Tab!N23,1)</f>
        <v>29707.135747092529</v>
      </c>
      <c r="L25" s="83">
        <f t="shared" si="4"/>
        <v>10.299142556777642</v>
      </c>
      <c r="M25" s="174">
        <f t="shared" si="5"/>
        <v>106.07233740482832</v>
      </c>
      <c r="N25" s="328"/>
      <c r="O25" s="328"/>
      <c r="P25" s="23"/>
    </row>
    <row r="26" spans="1:16">
      <c r="A26" s="173">
        <v>1993</v>
      </c>
      <c r="B26" s="55">
        <v>1997</v>
      </c>
      <c r="C26" s="53">
        <f>MAX(Brood_Tab!G24,1)</f>
        <v>7114.2514069195649</v>
      </c>
      <c r="D26" s="83">
        <f t="shared" si="0"/>
        <v>8.8698552916252602</v>
      </c>
      <c r="E26" s="84">
        <f t="shared" si="1"/>
        <v>78.674332894372625</v>
      </c>
      <c r="F26" s="55">
        <v>1998</v>
      </c>
      <c r="G26" s="53">
        <f>MAX(Brood_Tab!J24,1)</f>
        <v>68371.053617062018</v>
      </c>
      <c r="H26" s="83">
        <f t="shared" si="2"/>
        <v>11.132704821306314</v>
      </c>
      <c r="I26" s="84">
        <f t="shared" si="3"/>
        <v>123.93711663833685</v>
      </c>
      <c r="J26" s="55">
        <v>1999</v>
      </c>
      <c r="K26" s="53">
        <f>MAX(Brood_Tab!N24,1)</f>
        <v>27830.432057365608</v>
      </c>
      <c r="L26" s="83">
        <f t="shared" si="4"/>
        <v>10.233885379277817</v>
      </c>
      <c r="M26" s="174">
        <f t="shared" si="5"/>
        <v>104.73240995619626</v>
      </c>
      <c r="N26" s="328"/>
      <c r="O26" s="329"/>
    </row>
    <row r="27" spans="1:16">
      <c r="A27" s="173">
        <v>1994</v>
      </c>
      <c r="B27" s="55">
        <v>1998</v>
      </c>
      <c r="C27" s="53">
        <f>MAX(Brood_Tab!G25,1)</f>
        <v>6161.0748337952673</v>
      </c>
      <c r="D27" s="83">
        <f t="shared" si="0"/>
        <v>8.7260065273123786</v>
      </c>
      <c r="E27" s="84">
        <f t="shared" si="1"/>
        <v>76.14318991469824</v>
      </c>
      <c r="F27" s="55">
        <v>1999</v>
      </c>
      <c r="G27" s="53">
        <f>MAX(Brood_Tab!J25,1)</f>
        <v>55667.160650015241</v>
      </c>
      <c r="H27" s="83">
        <f t="shared" si="2"/>
        <v>10.927145676643779</v>
      </c>
      <c r="I27" s="84">
        <f t="shared" si="3"/>
        <v>119.40251263859483</v>
      </c>
      <c r="J27" s="55">
        <v>2000</v>
      </c>
      <c r="K27" s="53">
        <f>MAX(Brood_Tab!N25,1)</f>
        <v>16004.656581234569</v>
      </c>
      <c r="L27" s="83">
        <f t="shared" si="4"/>
        <v>9.6806349952062227</v>
      </c>
      <c r="M27" s="174">
        <f t="shared" si="5"/>
        <v>93.714693910411384</v>
      </c>
      <c r="N27" s="329"/>
      <c r="O27" s="329"/>
    </row>
    <row r="28" spans="1:16">
      <c r="A28" s="173">
        <v>1995</v>
      </c>
      <c r="B28" s="55">
        <v>1999</v>
      </c>
      <c r="C28" s="53">
        <f>MAX(Brood_Tab!G26,1)</f>
        <v>10515.024349583715</v>
      </c>
      <c r="D28" s="83">
        <f t="shared" si="0"/>
        <v>9.2605604038339493</v>
      </c>
      <c r="E28" s="84">
        <f t="shared" si="1"/>
        <v>85.757978993057193</v>
      </c>
      <c r="F28" s="55">
        <v>2000</v>
      </c>
      <c r="G28" s="53">
        <f>MAX(Brood_Tab!J26,1)</f>
        <v>48501.64199604938</v>
      </c>
      <c r="H28" s="83">
        <f t="shared" si="2"/>
        <v>10.789352931941133</v>
      </c>
      <c r="I28" s="84">
        <f t="shared" si="3"/>
        <v>116.41013668998673</v>
      </c>
      <c r="J28" s="55">
        <v>2001</v>
      </c>
      <c r="K28" s="53">
        <f>MAX(Brood_Tab!N26,1)</f>
        <v>15064.974836101501</v>
      </c>
      <c r="L28" s="83">
        <f t="shared" si="4"/>
        <v>9.6201277812079784</v>
      </c>
      <c r="M28" s="174">
        <f t="shared" si="5"/>
        <v>92.54685852676954</v>
      </c>
      <c r="N28" s="329"/>
      <c r="O28" s="329"/>
    </row>
    <row r="29" spans="1:16">
      <c r="A29" s="191">
        <v>1996</v>
      </c>
      <c r="B29" s="190">
        <v>2000</v>
      </c>
      <c r="C29" s="53">
        <f>MAX(Brood_Tab!G27,1)</f>
        <v>4772.5395462962961</v>
      </c>
      <c r="D29" s="83">
        <f t="shared" si="0"/>
        <v>8.4706338418508089</v>
      </c>
      <c r="E29" s="84">
        <f t="shared" si="1"/>
        <v>71.751637682708193</v>
      </c>
      <c r="F29" s="190">
        <v>2001</v>
      </c>
      <c r="G29" s="53">
        <f>MAX(Brood_Tab!J27,1)</f>
        <v>55980.71813096886</v>
      </c>
      <c r="H29" s="83">
        <f t="shared" si="2"/>
        <v>10.932762591336017</v>
      </c>
      <c r="I29" s="84">
        <f t="shared" si="3"/>
        <v>119.52529787851621</v>
      </c>
      <c r="J29" s="190">
        <v>2002</v>
      </c>
      <c r="K29" s="53">
        <f>MAX(Brood_Tab!N27,1)</f>
        <v>14143.73042540695</v>
      </c>
      <c r="L29" s="83">
        <f t="shared" si="4"/>
        <v>9.5570267254061267</v>
      </c>
      <c r="M29" s="174">
        <f t="shared" si="5"/>
        <v>91.336759830126951</v>
      </c>
      <c r="N29" s="329"/>
      <c r="O29" s="329"/>
    </row>
    <row r="30" spans="1:16">
      <c r="A30" s="192">
        <v>1997</v>
      </c>
      <c r="B30" s="193">
        <v>2001</v>
      </c>
      <c r="C30" s="53">
        <f>MAX(Brood_Tab!G28,1)</f>
        <v>8614.6976308881203</v>
      </c>
      <c r="D30" s="83">
        <f t="shared" si="0"/>
        <v>9.0612250503644347</v>
      </c>
      <c r="E30" s="84">
        <f t="shared" si="1"/>
        <v>82.105799413351946</v>
      </c>
      <c r="F30" s="193">
        <v>2002</v>
      </c>
      <c r="G30" s="53">
        <f>MAX(Brood_Tab!J28,1)</f>
        <v>49173.65452896271</v>
      </c>
      <c r="H30" s="83">
        <f t="shared" si="2"/>
        <v>10.803113282007757</v>
      </c>
      <c r="I30" s="84">
        <f t="shared" si="3"/>
        <v>116.70725658389242</v>
      </c>
      <c r="J30" s="55">
        <v>2003</v>
      </c>
      <c r="K30" s="53">
        <f>MAX(Brood_Tab!N28,1)</f>
        <v>24229.01563333267</v>
      </c>
      <c r="L30" s="83">
        <f t="shared" si="4"/>
        <v>10.09530618703949</v>
      </c>
      <c r="M30" s="174">
        <f t="shared" si="5"/>
        <v>101.91520701007782</v>
      </c>
      <c r="N30" s="329"/>
      <c r="O30" s="329"/>
    </row>
    <row r="31" spans="1:16">
      <c r="A31" s="192">
        <v>1998</v>
      </c>
      <c r="B31" s="193">
        <v>2002</v>
      </c>
      <c r="C31" s="53">
        <f>MAX(Brood_Tab!G29,1)</f>
        <v>6610.6088326264853</v>
      </c>
      <c r="D31" s="83">
        <f t="shared" si="0"/>
        <v>8.7964310364144289</v>
      </c>
      <c r="E31" s="84">
        <f t="shared" si="1"/>
        <v>77.377198978395029</v>
      </c>
      <c r="F31" s="190">
        <v>2003</v>
      </c>
      <c r="G31" s="53">
        <f>MAX(Brood_Tab!J29,1)</f>
        <v>61859.065856016823</v>
      </c>
      <c r="H31" s="83">
        <f t="shared" si="2"/>
        <v>11.032613945187711</v>
      </c>
      <c r="I31" s="84">
        <f t="shared" si="3"/>
        <v>121.71857046355035</v>
      </c>
      <c r="J31" s="190">
        <v>2004</v>
      </c>
      <c r="K31" s="53">
        <f>MAX(Brood_Tab!N29,1)</f>
        <v>26018.25851101712</v>
      </c>
      <c r="L31" s="83">
        <f t="shared" si="4"/>
        <v>10.166553820964905</v>
      </c>
      <c r="M31" s="174">
        <f t="shared" si="5"/>
        <v>103.35881659457611</v>
      </c>
      <c r="N31" s="329"/>
      <c r="O31" s="329"/>
    </row>
    <row r="32" spans="1:16">
      <c r="A32" s="173">
        <v>1999</v>
      </c>
      <c r="B32" s="193">
        <v>2003</v>
      </c>
      <c r="C32" s="53">
        <f>MAX(Brood_Tab!G30,1)</f>
        <v>5977.1853932395461</v>
      </c>
      <c r="D32" s="83">
        <f t="shared" si="0"/>
        <v>8.6957050661179398</v>
      </c>
      <c r="E32" s="84">
        <f t="shared" si="1"/>
        <v>75.615286596909201</v>
      </c>
      <c r="F32" s="193">
        <v>2004</v>
      </c>
      <c r="G32" s="53">
        <f>MAX(Brood_Tab!J30,1)</f>
        <v>47494.232967996417</v>
      </c>
      <c r="H32" s="83">
        <f t="shared" si="2"/>
        <v>10.768363571451721</v>
      </c>
      <c r="I32" s="84">
        <f t="shared" si="3"/>
        <v>115.95765400696845</v>
      </c>
      <c r="J32" s="55">
        <v>2005</v>
      </c>
      <c r="K32" s="53">
        <f>MAX(Brood_Tab!N30,1)</f>
        <v>20304.918322954902</v>
      </c>
      <c r="L32" s="83">
        <f t="shared" si="4"/>
        <v>9.9186184176033159</v>
      </c>
      <c r="M32" s="174">
        <f t="shared" si="5"/>
        <v>98.3789913140197</v>
      </c>
      <c r="N32" s="329"/>
      <c r="O32" s="329"/>
    </row>
    <row r="33" spans="1:15">
      <c r="A33" s="191">
        <v>2000</v>
      </c>
      <c r="B33" s="193">
        <v>2004</v>
      </c>
      <c r="C33" s="53">
        <f>MAX(Brood_Tab!G31,1)</f>
        <v>5019.5720853945559</v>
      </c>
      <c r="D33" s="83">
        <f t="shared" si="0"/>
        <v>8.5210999670991967</v>
      </c>
      <c r="E33" s="84">
        <f t="shared" si="1"/>
        <v>72.609144649297932</v>
      </c>
      <c r="F33" s="190">
        <v>2005</v>
      </c>
      <c r="G33" s="53">
        <f>MAX(Brood_Tab!J31,1)</f>
        <v>37628.29584616753</v>
      </c>
      <c r="H33" s="83">
        <f t="shared" si="2"/>
        <v>10.535511595455096</v>
      </c>
      <c r="I33" s="84">
        <f t="shared" si="3"/>
        <v>110.9970045779688</v>
      </c>
      <c r="J33" s="190">
        <v>2006</v>
      </c>
      <c r="K33" s="53">
        <f>MAX(Brood_Tab!N31,1)</f>
        <v>16359.593867404627</v>
      </c>
      <c r="L33" s="83">
        <f t="shared" si="4"/>
        <v>9.7025697851178307</v>
      </c>
      <c r="M33" s="174">
        <f t="shared" si="5"/>
        <v>94.139860435081474</v>
      </c>
      <c r="N33" s="329"/>
      <c r="O33" s="329"/>
    </row>
    <row r="34" spans="1:15">
      <c r="A34" s="192">
        <v>2001</v>
      </c>
      <c r="B34" s="193">
        <v>2005</v>
      </c>
      <c r="C34" s="53">
        <f>MAX(Brood_Tab!G32,1)</f>
        <v>5891.6632712260234</v>
      </c>
      <c r="D34" s="83">
        <f t="shared" si="0"/>
        <v>8.6812936257840825</v>
      </c>
      <c r="E34" s="84">
        <f t="shared" si="1"/>
        <v>75.36485901707934</v>
      </c>
      <c r="F34" s="193">
        <v>2006</v>
      </c>
      <c r="G34" s="53">
        <f>MAX(Brood_Tab!J32,1)</f>
        <v>68219.100697904621</v>
      </c>
      <c r="H34" s="83">
        <f t="shared" si="2"/>
        <v>11.130479873503816</v>
      </c>
      <c r="I34" s="84">
        <f t="shared" si="3"/>
        <v>123.88758221447353</v>
      </c>
      <c r="J34" s="55">
        <v>2007</v>
      </c>
      <c r="K34" s="53">
        <f>MAX(Brood_Tab!N32,1)</f>
        <v>22479.559690778486</v>
      </c>
      <c r="L34" s="83">
        <f t="shared" si="4"/>
        <v>10.020361717106663</v>
      </c>
      <c r="M34" s="174">
        <f t="shared" si="5"/>
        <v>100.4076489416568</v>
      </c>
      <c r="N34" s="329"/>
      <c r="O34" s="329"/>
    </row>
    <row r="35" spans="1:15">
      <c r="A35" s="173">
        <v>2002</v>
      </c>
      <c r="B35" s="55">
        <v>2006</v>
      </c>
      <c r="C35" s="53">
        <f>MAX(Brood_Tab!G33,1)</f>
        <v>9564.4699599625565</v>
      </c>
      <c r="D35" s="83">
        <f t="shared" si="0"/>
        <v>9.1658104658028474</v>
      </c>
      <c r="E35" s="84">
        <f t="shared" si="1"/>
        <v>84.012081495021008</v>
      </c>
      <c r="F35" s="190">
        <v>2007</v>
      </c>
      <c r="G35" s="53">
        <f>MAX(Brood_Tab!J33,1)</f>
        <v>57978.675515241623</v>
      </c>
      <c r="H35" s="83">
        <f t="shared" si="2"/>
        <v>10.967830558393432</v>
      </c>
      <c r="I35" s="84">
        <f t="shared" si="3"/>
        <v>120.29330715762879</v>
      </c>
      <c r="J35" s="55">
        <v>2008</v>
      </c>
      <c r="K35" s="53">
        <f>MAX(Brood_Tab!N33,1)</f>
        <v>17049.005269657362</v>
      </c>
      <c r="L35" s="83">
        <f t="shared" si="4"/>
        <v>9.7438471390541253</v>
      </c>
      <c r="M35" s="174">
        <f t="shared" si="5"/>
        <v>94.942557069253255</v>
      </c>
      <c r="N35" s="329"/>
      <c r="O35" s="329"/>
    </row>
    <row r="36" spans="1:15">
      <c r="A36" s="191">
        <v>2003</v>
      </c>
      <c r="B36" s="190">
        <v>2007</v>
      </c>
      <c r="C36" s="53">
        <f>MAX(Brood_Tab!G34,1)</f>
        <v>5160.4207337804701</v>
      </c>
      <c r="D36" s="83">
        <f t="shared" si="0"/>
        <v>8.5487733927059573</v>
      </c>
      <c r="E36" s="84">
        <f t="shared" si="1"/>
        <v>73.081526519837325</v>
      </c>
      <c r="F36" s="190">
        <v>2008</v>
      </c>
      <c r="G36" s="53">
        <f>MAX(Brood_Tab!J34,1)</f>
        <v>32189.833456419547</v>
      </c>
      <c r="H36" s="83">
        <f t="shared" si="2"/>
        <v>10.379405950511826</v>
      </c>
      <c r="I36" s="84">
        <f t="shared" si="3"/>
        <v>107.73206788552029</v>
      </c>
      <c r="J36" s="55">
        <v>2009</v>
      </c>
      <c r="K36" s="53">
        <f>MAX(Brood_Tab!N34,1)</f>
        <v>9624.6385284530425</v>
      </c>
      <c r="L36" s="83">
        <f t="shared" si="4"/>
        <v>9.1720816029653616</v>
      </c>
      <c r="M36" s="174">
        <f t="shared" si="5"/>
        <v>84.127080931455637</v>
      </c>
      <c r="N36" s="329"/>
      <c r="O36" s="329"/>
    </row>
    <row r="37" spans="1:15">
      <c r="A37" s="173">
        <v>2004</v>
      </c>
      <c r="B37" s="55">
        <v>2008</v>
      </c>
      <c r="C37" s="53">
        <f>MAX(Brood_Tab!G35,1)</f>
        <v>3974.232174502526</v>
      </c>
      <c r="D37" s="83">
        <f t="shared" si="0"/>
        <v>8.2875868447827692</v>
      </c>
      <c r="E37" s="84">
        <f t="shared" si="1"/>
        <v>68.684095709816418</v>
      </c>
      <c r="F37" s="193">
        <v>2009</v>
      </c>
      <c r="G37" s="53">
        <f>MAX(Brood_Tab!J35,1)</f>
        <v>27036.937247060858</v>
      </c>
      <c r="H37" s="83">
        <f t="shared" si="2"/>
        <v>10.204959256251302</v>
      </c>
      <c r="I37" s="84">
        <f t="shared" si="3"/>
        <v>104.14119342174912</v>
      </c>
      <c r="J37" s="336">
        <v>2010</v>
      </c>
      <c r="K37" s="53">
        <f>MAX(Brood_Tab!N35,1)</f>
        <v>6759.2925226127109</v>
      </c>
      <c r="L37" s="83">
        <f t="shared" si="4"/>
        <v>8.8186735071419058</v>
      </c>
      <c r="M37" s="174">
        <f t="shared" si="5"/>
        <v>77.769002425566526</v>
      </c>
      <c r="N37" s="329"/>
      <c r="O37" s="329"/>
    </row>
    <row r="38" spans="1:15">
      <c r="A38" s="173">
        <v>2005</v>
      </c>
      <c r="B38" s="55">
        <v>2009</v>
      </c>
      <c r="C38" s="53">
        <f>MAX(Brood_Tab!G36,1)</f>
        <v>4590.7362311379366</v>
      </c>
      <c r="D38" s="83">
        <f t="shared" si="0"/>
        <v>8.4317956891327839</v>
      </c>
      <c r="E38" s="84">
        <f t="shared" si="1"/>
        <v>71.095178543278195</v>
      </c>
      <c r="F38" s="336">
        <v>2010</v>
      </c>
      <c r="G38" s="53">
        <f>MAX(Brood_Tab!J36,1)</f>
        <v>19724.564662776269</v>
      </c>
      <c r="H38" s="83">
        <f t="shared" si="2"/>
        <v>9.8896200751423216</v>
      </c>
      <c r="I38" s="84">
        <f t="shared" si="3"/>
        <v>97.80458523065802</v>
      </c>
      <c r="J38" s="55">
        <v>2011</v>
      </c>
      <c r="K38" s="53">
        <f>MAX(Brood_Tab!N36,1)</f>
        <v>6002.9711144944513</v>
      </c>
      <c r="L38" s="83">
        <f t="shared" si="4"/>
        <v>8.7000098113952635</v>
      </c>
      <c r="M38" s="174">
        <f t="shared" si="5"/>
        <v>75.690170718373849</v>
      </c>
      <c r="N38" s="329"/>
      <c r="O38" s="329"/>
    </row>
    <row r="39" spans="1:15">
      <c r="A39" s="335">
        <v>2006</v>
      </c>
      <c r="B39" s="336">
        <v>2010</v>
      </c>
      <c r="C39" s="53">
        <f>MAX(Brood_Tab!G37,1)</f>
        <v>5400.9059432897675</v>
      </c>
      <c r="D39" s="83">
        <f t="shared" si="0"/>
        <v>8.5943219857568938</v>
      </c>
      <c r="E39" s="84">
        <f t="shared" si="1"/>
        <v>73.862370394864314</v>
      </c>
      <c r="F39" s="190">
        <v>2011</v>
      </c>
      <c r="G39" s="53">
        <f>MAX(Brood_Tab!J37,1)</f>
        <v>41072.77581880783</v>
      </c>
      <c r="H39" s="83">
        <f t="shared" si="2"/>
        <v>10.623100792171124</v>
      </c>
      <c r="I39" s="84">
        <f t="shared" si="3"/>
        <v>112.85027044062677</v>
      </c>
      <c r="J39" s="55">
        <v>2012</v>
      </c>
      <c r="K39" s="53">
        <f>MAX(Brood_Tab!N37,1)</f>
        <v>5328.7274734867533</v>
      </c>
      <c r="L39" s="83">
        <f t="shared" si="4"/>
        <v>8.5808677407163678</v>
      </c>
      <c r="M39" s="174">
        <f t="shared" si="5"/>
        <v>73.631291183666818</v>
      </c>
      <c r="N39" s="329"/>
      <c r="O39" s="329"/>
    </row>
    <row r="40" spans="1:15">
      <c r="A40" s="191">
        <v>2007</v>
      </c>
      <c r="B40" s="55">
        <v>2011</v>
      </c>
      <c r="C40" s="53">
        <f>MAX(Brood_Tab!G38,1)</f>
        <v>5474.316891495072</v>
      </c>
      <c r="D40" s="83">
        <f t="shared" si="0"/>
        <v>8.6078227782237438</v>
      </c>
      <c r="E40" s="84">
        <f t="shared" si="1"/>
        <v>74.094612981307534</v>
      </c>
      <c r="F40" s="193">
        <v>2012</v>
      </c>
      <c r="G40" s="53">
        <f>MAX(Brood_Tab!J38,1)</f>
        <v>35349.079570382564</v>
      </c>
      <c r="H40" s="83">
        <f t="shared" si="2"/>
        <v>10.473027633372794</v>
      </c>
      <c r="I40" s="84">
        <f t="shared" si="3"/>
        <v>109.68430780939015</v>
      </c>
      <c r="J40" s="55">
        <v>2013</v>
      </c>
      <c r="K40" s="53">
        <f>MAX(Brood_Tab!N38,1)</f>
        <v>4735.5815357155097</v>
      </c>
      <c r="L40" s="83">
        <f t="shared" si="4"/>
        <v>8.4628598144918517</v>
      </c>
      <c r="M40" s="174">
        <f t="shared" si="5"/>
        <v>71.619996239741056</v>
      </c>
      <c r="N40" s="329"/>
      <c r="O40" s="329"/>
    </row>
    <row r="41" spans="1:15">
      <c r="A41" s="173">
        <v>2008</v>
      </c>
      <c r="B41" s="55">
        <v>2012</v>
      </c>
      <c r="C41" s="53">
        <f>MAX(Brood_Tab!G39,1)</f>
        <v>3822.0338773893727</v>
      </c>
      <c r="D41" s="83">
        <f t="shared" si="0"/>
        <v>8.2485379885467474</v>
      </c>
      <c r="E41" s="84">
        <f t="shared" si="1"/>
        <v>68.038378948498817</v>
      </c>
      <c r="F41" s="336">
        <v>2013</v>
      </c>
      <c r="G41" s="53">
        <f>MAX(Brood_Tab!J39,1)</f>
        <v>26390.095675036351</v>
      </c>
      <c r="H41" s="83">
        <f t="shared" si="2"/>
        <v>10.180744054918474</v>
      </c>
      <c r="I41" s="84">
        <f t="shared" si="3"/>
        <v>103.64754951175786</v>
      </c>
      <c r="J41" s="55">
        <v>2014</v>
      </c>
      <c r="K41" s="53">
        <f>MAX(Brood_Tab!N39,1)</f>
        <v>8847.9708801162087</v>
      </c>
      <c r="L41" s="83">
        <f t="shared" si="4"/>
        <v>9.0879434326305937</v>
      </c>
      <c r="M41" s="174">
        <f t="shared" si="5"/>
        <v>82.59071583469354</v>
      </c>
    </row>
    <row r="42" spans="1:15">
      <c r="A42" s="173">
        <v>2009</v>
      </c>
      <c r="B42" s="55">
        <v>2013</v>
      </c>
      <c r="C42" s="53">
        <f>MAX(Brood_Tab!G40,1)</f>
        <v>5820.9729508568271</v>
      </c>
      <c r="D42" s="83">
        <f t="shared" si="0"/>
        <v>8.66922270044026</v>
      </c>
      <c r="E42" s="84">
        <f t="shared" si="1"/>
        <v>75.155422229828716</v>
      </c>
      <c r="F42" s="190">
        <v>2014</v>
      </c>
      <c r="G42" s="53">
        <f>MAX(Brood_Tab!J40,1)</f>
        <v>15966.534037066889</v>
      </c>
      <c r="H42" s="83">
        <f t="shared" si="2"/>
        <v>9.6782501880408773</v>
      </c>
      <c r="I42" s="84">
        <f t="shared" si="3"/>
        <v>93.668526702313272</v>
      </c>
      <c r="J42" s="55">
        <v>2015</v>
      </c>
      <c r="K42" s="53">
        <f>MAX(Brood_Tab!N40,1)</f>
        <v>11689.021396905018</v>
      </c>
      <c r="L42" s="83">
        <f t="shared" si="4"/>
        <v>9.3664053381223944</v>
      </c>
      <c r="M42" s="174">
        <f t="shared" si="5"/>
        <v>87.729548958007683</v>
      </c>
    </row>
    <row r="43" spans="1:15">
      <c r="A43" s="335">
        <v>2010</v>
      </c>
      <c r="B43" s="55">
        <v>2014</v>
      </c>
      <c r="C43" s="53">
        <f>MAX(Brood_Tab!G41,1)</f>
        <v>8845.4023463963786</v>
      </c>
      <c r="D43" s="83">
        <f t="shared" si="0"/>
        <v>9.0876530941287168</v>
      </c>
      <c r="E43" s="84">
        <f t="shared" si="1"/>
        <v>82.585438759227245</v>
      </c>
      <c r="F43" s="193">
        <v>2015</v>
      </c>
      <c r="G43" s="53">
        <f>MAX(Brood_Tab!J41,1)</f>
        <v>37214.22240730362</v>
      </c>
      <c r="H43" s="83">
        <f t="shared" si="2"/>
        <v>10.524446289971486</v>
      </c>
      <c r="I43" s="84">
        <f t="shared" si="3"/>
        <v>110.76396971049458</v>
      </c>
      <c r="J43" s="55">
        <v>2016</v>
      </c>
      <c r="K43" s="53">
        <f>MAX(Brood_Tab!N41,1)</f>
        <v>2622.4116843751758</v>
      </c>
      <c r="L43" s="83">
        <f t="shared" si="4"/>
        <v>7.8718496635833519</v>
      </c>
      <c r="M43" s="174">
        <f t="shared" si="5"/>
        <v>61.966017126057331</v>
      </c>
    </row>
    <row r="44" spans="1:15">
      <c r="A44" s="191">
        <v>2011</v>
      </c>
      <c r="B44" s="55">
        <v>2015</v>
      </c>
      <c r="C44" s="53">
        <f>MAX(Brood_Tab!G42,1)</f>
        <v>6464.9506057125072</v>
      </c>
      <c r="D44" s="83">
        <f t="shared" si="0"/>
        <v>8.7741506509157503</v>
      </c>
      <c r="E44" s="84">
        <f t="shared" si="1"/>
        <v>76.985719644965286</v>
      </c>
      <c r="F44" s="190">
        <v>2016</v>
      </c>
      <c r="G44" s="53">
        <f>MAX(Brood_Tab!J42,1)</f>
        <v>18145.948658012669</v>
      </c>
      <c r="H44" s="83">
        <f t="shared" si="2"/>
        <v>9.8062026003423828</v>
      </c>
      <c r="I44" s="84">
        <f t="shared" si="3"/>
        <v>96.161609438961705</v>
      </c>
      <c r="J44" s="1272">
        <v>2017</v>
      </c>
    </row>
    <row r="45" spans="1:15">
      <c r="A45" s="173">
        <v>2012</v>
      </c>
      <c r="B45" s="55">
        <v>2016</v>
      </c>
      <c r="C45" s="53">
        <f>MAX(Brood_Tab!G43,1)</f>
        <v>4129.0666291567468</v>
      </c>
      <c r="D45" s="83">
        <f t="shared" si="0"/>
        <v>8.3258066626308604</v>
      </c>
      <c r="E45" s="84">
        <f t="shared" si="1"/>
        <v>69.319056583508427</v>
      </c>
      <c r="F45" s="1272">
        <v>2017</v>
      </c>
    </row>
    <row r="46" spans="1:15">
      <c r="A46" s="191">
        <v>2013</v>
      </c>
      <c r="B46" s="1272">
        <v>2017</v>
      </c>
      <c r="C46" s="53">
        <f>MAX(Brood_Tab!G44,1)</f>
        <v>9379.8889999999992</v>
      </c>
      <c r="D46" s="83">
        <f t="shared" ref="D46" si="6">LN(C46)</f>
        <v>9.1463232082415526</v>
      </c>
      <c r="E46" s="84">
        <f t="shared" ref="E46" si="7">D46^2</f>
        <v>83.655228229618046</v>
      </c>
    </row>
    <row r="47" spans="1:15">
      <c r="A47" s="335">
        <v>2014</v>
      </c>
    </row>
    <row r="50" spans="1:13">
      <c r="A50" s="1168"/>
      <c r="B50" s="1168"/>
      <c r="C50" s="1168"/>
      <c r="D50" s="1169" t="s">
        <v>505</v>
      </c>
      <c r="E50" s="1168"/>
      <c r="F50" s="1168"/>
      <c r="G50" s="1168"/>
      <c r="H50" s="1169" t="s">
        <v>507</v>
      </c>
      <c r="I50" s="1168"/>
      <c r="J50" s="1168"/>
      <c r="K50" s="1168"/>
      <c r="L50" s="1169" t="s">
        <v>508</v>
      </c>
      <c r="M50" s="1168"/>
    </row>
    <row r="51" spans="1:13">
      <c r="A51" s="239" t="s">
        <v>506</v>
      </c>
    </row>
    <row r="52" spans="1:13">
      <c r="B52" t="s">
        <v>42</v>
      </c>
      <c r="D52" s="1170">
        <f>INTERCEPT($H$28:$H49,$D$28:$D49)</f>
        <v>5.278588149498364</v>
      </c>
      <c r="E52" s="1170"/>
      <c r="F52" s="1170"/>
      <c r="G52" s="1170"/>
      <c r="H52" s="1170">
        <f>INTERCEPT($L$28:$L49,$D$28:$D49)</f>
        <v>5.05293179377</v>
      </c>
      <c r="I52" s="1170"/>
      <c r="J52" s="1170"/>
      <c r="K52" s="1170"/>
      <c r="L52" s="1170">
        <f>INTERCEPT($L$28:$L49,$H$28:$H49)</f>
        <v>0.28805393032118864</v>
      </c>
    </row>
    <row r="53" spans="1:13">
      <c r="B53" t="s">
        <v>504</v>
      </c>
      <c r="D53" s="1170">
        <f>SLOPE($H$28:$H49,$D$28:$D49)</f>
        <v>0.60163764436277578</v>
      </c>
      <c r="E53" s="1170"/>
      <c r="F53" s="1170"/>
      <c r="G53" s="1170"/>
      <c r="H53" s="1170">
        <f>SLOPE($L$28:$L49,$D$28:$D49)</f>
        <v>0.48903141004750611</v>
      </c>
      <c r="I53" s="1170"/>
      <c r="J53" s="1170"/>
      <c r="K53" s="1170"/>
      <c r="L53" s="1170">
        <f>SLOPE($L$28:$L49,$H$28:$H49)</f>
        <v>0.85414232169771664</v>
      </c>
    </row>
    <row r="54" spans="1:13">
      <c r="B54" t="s">
        <v>510</v>
      </c>
      <c r="D54" s="1170">
        <f>RSQ($H$28:$H49,$D$28:$D49)</f>
        <v>0.1645189997508025</v>
      </c>
      <c r="E54" s="1170"/>
      <c r="F54" s="1170"/>
      <c r="G54" s="1170"/>
      <c r="H54" s="1170">
        <f>RSQ($L$28:$L49,$D$28:$D49)</f>
        <v>4.9601165022189649E-2</v>
      </c>
      <c r="I54" s="1170"/>
      <c r="J54" s="1170"/>
      <c r="K54" s="1170"/>
      <c r="L54" s="1170">
        <f>RSQ($L$28:$L49,$H$28:$H49)</f>
        <v>0.27675082482453089</v>
      </c>
    </row>
    <row r="56" spans="1:13">
      <c r="A56" s="239" t="s">
        <v>509</v>
      </c>
      <c r="D56" s="1170"/>
      <c r="E56" s="1170"/>
      <c r="F56" s="1170"/>
      <c r="G56" s="1170"/>
      <c r="H56" s="1170"/>
      <c r="I56" s="1170"/>
      <c r="J56" s="1170"/>
      <c r="K56" s="1170"/>
      <c r="L56" s="1170"/>
    </row>
    <row r="57" spans="1:13">
      <c r="B57" t="s">
        <v>42</v>
      </c>
      <c r="D57" s="1170">
        <f>INTERCEPT($H$8:$H49,$D$8:$D49)</f>
        <v>7.067579536613799</v>
      </c>
      <c r="E57" s="1170"/>
      <c r="F57" s="1170"/>
      <c r="G57" s="1170"/>
      <c r="H57" s="1170">
        <f>INTERCEPT($L$8:$L49,$D$8:$D49)</f>
        <v>9.3009718711727078</v>
      </c>
      <c r="I57" s="1170"/>
      <c r="J57" s="1170"/>
      <c r="K57" s="1170"/>
      <c r="L57" s="1170">
        <f>INTERCEPT($L$8:$L49,$H$8:$H49)</f>
        <v>7.9535321609188099</v>
      </c>
    </row>
    <row r="58" spans="1:13">
      <c r="B58" t="s">
        <v>504</v>
      </c>
      <c r="D58" s="1170">
        <f>SLOPE($H$8:$H49,$D$8:$D49)</f>
        <v>0.38898163945922543</v>
      </c>
      <c r="E58" s="1170"/>
      <c r="F58" s="1170"/>
      <c r="G58" s="1170"/>
      <c r="H58" s="1170">
        <f>SLOPE($L$8:$L49,$D$8:$D49)</f>
        <v>4.4265423038154207E-2</v>
      </c>
      <c r="I58" s="1170"/>
      <c r="J58" s="1170"/>
      <c r="K58" s="1170"/>
      <c r="L58" s="1170">
        <f>SLOPE($L$8:$L49,$H$8:$H49)</f>
        <v>0.16711759476350249</v>
      </c>
    </row>
    <row r="59" spans="1:13">
      <c r="B59" t="s">
        <v>510</v>
      </c>
      <c r="D59" s="1170">
        <f>RSQ($H$8:$H49,$D$8:$D49)</f>
        <v>0.63403187805152816</v>
      </c>
      <c r="E59" s="1170"/>
      <c r="F59" s="1170"/>
      <c r="G59" s="1170"/>
      <c r="H59" s="1170">
        <f>RSQ($L$8:$L49,$D$8:$D49)</f>
        <v>1.3649973762880676E-2</v>
      </c>
      <c r="I59" s="1170"/>
      <c r="J59" s="1170"/>
      <c r="K59" s="1170"/>
      <c r="L59" s="1170">
        <f>RSQ($L$8:$L49,$H$8:$H49)</f>
        <v>4.6583942669066507E-2</v>
      </c>
    </row>
    <row r="62" spans="1:13">
      <c r="A62" s="1167"/>
      <c r="B62" s="1168"/>
      <c r="C62" s="1173" t="s">
        <v>517</v>
      </c>
      <c r="D62" s="1172">
        <v>2017</v>
      </c>
      <c r="E62" s="1167" t="s">
        <v>515</v>
      </c>
      <c r="F62" s="1168"/>
      <c r="G62" s="1168"/>
      <c r="H62" s="1168"/>
      <c r="I62" s="1168"/>
      <c r="J62" s="1168"/>
      <c r="K62" s="1168"/>
      <c r="L62" s="1168"/>
      <c r="M62" s="1168"/>
    </row>
    <row r="64" spans="1:13">
      <c r="B64" s="209" t="s">
        <v>511</v>
      </c>
      <c r="C64" s="1">
        <f>D62-1</f>
        <v>2016</v>
      </c>
      <c r="D64" s="1" t="s">
        <v>512</v>
      </c>
      <c r="E64" s="1171">
        <f>VLOOKUP(C64,$B$8:$C49,2,FALSE)</f>
        <v>4129.0666291567468</v>
      </c>
    </row>
    <row r="65" spans="2:10">
      <c r="B65" s="209" t="s">
        <v>513</v>
      </c>
      <c r="C65" s="1">
        <f>1+C64</f>
        <v>2017</v>
      </c>
      <c r="D65" s="1" t="s">
        <v>514</v>
      </c>
      <c r="E65" s="1171">
        <f>EXP($D$52+(LN($E$64)*$D$53))</f>
        <v>29369.348969205181</v>
      </c>
    </row>
    <row r="66" spans="2:10">
      <c r="B66" s="209"/>
      <c r="C66" s="1"/>
      <c r="D66" s="1"/>
      <c r="E66" s="1171"/>
      <c r="G66" s="209"/>
      <c r="H66" s="1"/>
      <c r="I66" s="1"/>
      <c r="J66" s="1171"/>
    </row>
    <row r="67" spans="2:10">
      <c r="B67" s="209" t="s">
        <v>511</v>
      </c>
      <c r="C67" s="1">
        <f>D62-2</f>
        <v>2015</v>
      </c>
      <c r="D67" s="1" t="s">
        <v>512</v>
      </c>
      <c r="E67" s="1171">
        <f>VLOOKUP(C67,$B$8:$C49,2,FALSE)</f>
        <v>6464.9506057125072</v>
      </c>
      <c r="G67" s="209" t="s">
        <v>518</v>
      </c>
      <c r="H67" s="1">
        <f>D62-1</f>
        <v>2016</v>
      </c>
      <c r="I67" s="1" t="s">
        <v>512</v>
      </c>
      <c r="J67" s="1171">
        <f>VLOOKUP(H67,$F$8:$G49,2,FALSE)</f>
        <v>18145.948658012669</v>
      </c>
    </row>
    <row r="68" spans="2:10">
      <c r="B68" s="209" t="s">
        <v>516</v>
      </c>
      <c r="C68" s="1">
        <f>C67+2</f>
        <v>2017</v>
      </c>
      <c r="D68" s="1" t="s">
        <v>514</v>
      </c>
      <c r="E68" s="1171">
        <f>EXP($H$52+(LN($E$67)*$H$53))</f>
        <v>11427.374850712615</v>
      </c>
      <c r="G68" s="209" t="s">
        <v>516</v>
      </c>
      <c r="H68" s="1">
        <f>H67+1</f>
        <v>2017</v>
      </c>
      <c r="I68" s="1" t="s">
        <v>514</v>
      </c>
      <c r="J68" s="1171">
        <f>EXP($L$52+(LN($J$67)*$L$53))</f>
        <v>5790.341711847529</v>
      </c>
    </row>
  </sheetData>
  <phoneticPr fontId="47" type="noConversion"/>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6"/>
  <dimension ref="A1:AH54"/>
  <sheetViews>
    <sheetView workbookViewId="0">
      <pane ySplit="6" topLeftCell="A16" activePane="bottomLeft" state="frozen"/>
      <selection activeCell="D8" sqref="A1:XFD1048576"/>
      <selection pane="bottomLeft" activeCell="R12" sqref="R12"/>
    </sheetView>
  </sheetViews>
  <sheetFormatPr defaultRowHeight="15.75"/>
  <cols>
    <col min="1" max="1" width="10.75" customWidth="1"/>
    <col min="2" max="2" width="12.875" customWidth="1"/>
    <col min="7" max="7" width="4.75" customWidth="1"/>
    <col min="8" max="9" width="14.625" customWidth="1"/>
    <col min="10" max="10" width="19.25" customWidth="1"/>
    <col min="11" max="11" width="14.625" customWidth="1"/>
    <col min="12" max="12" width="18" customWidth="1"/>
    <col min="13" max="13" width="13" customWidth="1"/>
    <col min="14" max="14" width="20.875" customWidth="1"/>
    <col min="15" max="15" width="16.875" customWidth="1"/>
    <col min="16" max="16" width="11.5" customWidth="1"/>
    <col min="17" max="17" width="18.875" customWidth="1"/>
    <col min="18" max="18" width="15.5" customWidth="1"/>
    <col min="19" max="19" width="12.125" customWidth="1"/>
    <col min="20" max="26" width="15.625" customWidth="1"/>
  </cols>
  <sheetData>
    <row r="1" spans="1:34">
      <c r="A1" s="25" t="str">
        <f ca="1">CELL("filename",A1)</f>
        <v>C:\Projects\Shiny App\Aging Error\[Copprt Chinook brood.xlsx]Ln1.3=Ln1.2_3</v>
      </c>
      <c r="N1" s="523"/>
    </row>
    <row r="2" spans="1:34" ht="18.75">
      <c r="A2" s="493" t="s">
        <v>456</v>
      </c>
    </row>
    <row r="3" spans="1:34">
      <c r="A3" t="s">
        <v>457</v>
      </c>
    </row>
    <row r="5" spans="1:34">
      <c r="A5" s="283"/>
      <c r="B5" s="283"/>
      <c r="C5" s="283"/>
      <c r="D5" s="283"/>
      <c r="E5" s="283"/>
      <c r="F5" s="283"/>
      <c r="G5" s="283"/>
      <c r="H5" s="1322" t="s">
        <v>455</v>
      </c>
      <c r="I5" s="1322"/>
      <c r="J5" s="283"/>
      <c r="K5" s="1323" t="s">
        <v>454</v>
      </c>
      <c r="L5" s="1323"/>
      <c r="M5" s="1044"/>
    </row>
    <row r="6" spans="1:34" ht="34.5" customHeight="1">
      <c r="A6" s="2" t="s">
        <v>446</v>
      </c>
      <c r="B6" s="1042" t="s">
        <v>447</v>
      </c>
      <c r="C6" s="285" t="s">
        <v>444</v>
      </c>
      <c r="D6" s="285" t="s">
        <v>445</v>
      </c>
      <c r="E6" s="285" t="s">
        <v>440</v>
      </c>
      <c r="F6" s="285" t="s">
        <v>441</v>
      </c>
      <c r="G6" s="2"/>
      <c r="H6" s="1065" t="s">
        <v>434</v>
      </c>
      <c r="I6" s="285" t="s">
        <v>435</v>
      </c>
      <c r="J6" s="1042" t="s">
        <v>437</v>
      </c>
      <c r="K6" s="1066" t="s">
        <v>439</v>
      </c>
      <c r="L6" s="1066"/>
      <c r="M6" s="1043" t="s">
        <v>436</v>
      </c>
      <c r="N6" s="1041"/>
      <c r="O6" s="1047"/>
      <c r="P6" s="314"/>
      <c r="Q6" s="23"/>
      <c r="R6" s="23"/>
      <c r="S6" s="23"/>
      <c r="T6" s="23"/>
      <c r="U6" s="23"/>
      <c r="V6" s="23"/>
      <c r="W6" s="23"/>
      <c r="X6" s="23"/>
      <c r="Y6" s="23"/>
      <c r="Z6" s="23"/>
      <c r="AA6" s="23"/>
      <c r="AB6" s="23"/>
      <c r="AC6" s="23"/>
      <c r="AD6" s="23"/>
      <c r="AE6" s="23"/>
    </row>
    <row r="7" spans="1:34">
      <c r="A7" s="1011">
        <v>1976</v>
      </c>
      <c r="B7" s="1046">
        <f>A7+5</f>
        <v>1981</v>
      </c>
      <c r="C7" s="1053">
        <f>Brood_Tab!G7</f>
        <v>77.378995433789953</v>
      </c>
      <c r="D7" s="1053">
        <f>Brood_Tab!J7</f>
        <v>8624.3111111111102</v>
      </c>
      <c r="E7" s="1054">
        <f>LN(C7)</f>
        <v>4.3487153669419083</v>
      </c>
      <c r="F7" s="1054">
        <f>LN(D7)</f>
        <v>9.0623403675341656</v>
      </c>
      <c r="H7" s="753" t="s">
        <v>452</v>
      </c>
      <c r="O7" s="23"/>
      <c r="P7" s="23"/>
      <c r="Q7" s="1048"/>
      <c r="R7" s="1048"/>
      <c r="S7" s="23"/>
      <c r="T7" s="23"/>
      <c r="U7" s="23"/>
      <c r="V7" s="23"/>
      <c r="W7" s="23"/>
      <c r="X7" s="23"/>
      <c r="Y7" s="23"/>
      <c r="Z7" s="23"/>
      <c r="AA7" s="23"/>
      <c r="AB7" s="23"/>
      <c r="AC7" s="23"/>
      <c r="AD7" s="23"/>
      <c r="AE7" s="23"/>
    </row>
    <row r="8" spans="1:34">
      <c r="A8" s="1011">
        <v>1977</v>
      </c>
      <c r="B8" s="1046">
        <f t="shared" ref="B8:B43" si="0">A8+5</f>
        <v>1982</v>
      </c>
      <c r="C8" s="1038">
        <f>Brood_Tab!G8</f>
        <v>1059.1259259259259</v>
      </c>
      <c r="D8" s="1038">
        <f>Brood_Tab!J8</f>
        <v>25211.19913754526</v>
      </c>
      <c r="E8" s="1191">
        <f t="shared" ref="E8:E43" si="1">LN(C8)</f>
        <v>6.9651992487549279</v>
      </c>
      <c r="F8" s="1191">
        <f t="shared" ref="F8:F42" si="2">LN(D8)</f>
        <v>10.13504358499859</v>
      </c>
      <c r="O8" s="23"/>
      <c r="P8" s="23"/>
      <c r="Q8" s="1048"/>
      <c r="R8" s="1048"/>
      <c r="S8" s="23"/>
      <c r="T8" s="23"/>
      <c r="U8" s="23"/>
      <c r="V8" s="23"/>
      <c r="W8" s="23"/>
      <c r="X8" s="23"/>
      <c r="Y8" s="23"/>
      <c r="Z8" s="23"/>
      <c r="AA8" s="23"/>
      <c r="AB8" s="23"/>
      <c r="AC8" s="23"/>
      <c r="AD8" s="23"/>
      <c r="AE8" s="23"/>
    </row>
    <row r="9" spans="1:34">
      <c r="A9" s="1011">
        <v>1978</v>
      </c>
      <c r="B9" s="1046">
        <f t="shared" si="0"/>
        <v>1983</v>
      </c>
      <c r="C9" s="1038">
        <f>Brood_Tab!G9</f>
        <v>3576.5243073918882</v>
      </c>
      <c r="D9" s="1038">
        <f>Brood_Tab!J9</f>
        <v>33917.530726480349</v>
      </c>
      <c r="E9" s="1191">
        <f t="shared" si="1"/>
        <v>8.1821467439441573</v>
      </c>
      <c r="F9" s="1191">
        <f t="shared" si="2"/>
        <v>10.431687290277248</v>
      </c>
      <c r="O9" t="s">
        <v>32</v>
      </c>
      <c r="Y9" s="23"/>
      <c r="Z9" s="23"/>
      <c r="AA9" s="23"/>
      <c r="AB9" s="23"/>
      <c r="AC9" s="23"/>
      <c r="AD9" s="23"/>
      <c r="AE9" s="23"/>
    </row>
    <row r="10" spans="1:34" ht="16.5" thickBot="1">
      <c r="A10" s="1011">
        <v>1979</v>
      </c>
      <c r="B10" s="1046">
        <f t="shared" si="0"/>
        <v>1984</v>
      </c>
      <c r="C10" s="1038">
        <f>Brood_Tab!G10</f>
        <v>2052.1924353284553</v>
      </c>
      <c r="D10" s="1038">
        <f>Brood_Tab!J10</f>
        <v>13184.072404618604</v>
      </c>
      <c r="E10" s="1191">
        <f t="shared" si="1"/>
        <v>7.6266639812934791</v>
      </c>
      <c r="F10" s="1191">
        <f t="shared" si="2"/>
        <v>9.4867647439893457</v>
      </c>
      <c r="Y10" s="23"/>
      <c r="Z10" s="23"/>
      <c r="AA10" s="23"/>
      <c r="AB10" s="23"/>
      <c r="AC10" s="23"/>
      <c r="AD10" s="23"/>
      <c r="AE10" s="23"/>
    </row>
    <row r="11" spans="1:34">
      <c r="A11" s="1011">
        <v>1980</v>
      </c>
      <c r="B11" s="1046">
        <f t="shared" si="0"/>
        <v>1985</v>
      </c>
      <c r="C11" s="1038">
        <f>Brood_Tab!G11</f>
        <v>899.67646527006423</v>
      </c>
      <c r="D11" s="1038">
        <f>Brood_Tab!J11</f>
        <v>12239.848971008672</v>
      </c>
      <c r="E11" s="1191">
        <f t="shared" si="1"/>
        <v>6.802035215661534</v>
      </c>
      <c r="F11" s="1191">
        <f t="shared" si="2"/>
        <v>9.4124522170203111</v>
      </c>
      <c r="O11" s="997" t="s">
        <v>33</v>
      </c>
      <c r="P11" s="997"/>
      <c r="Y11" s="23"/>
      <c r="Z11" s="23"/>
      <c r="AA11" s="23"/>
      <c r="AB11" s="23"/>
      <c r="AC11" s="23"/>
      <c r="AD11" s="23"/>
      <c r="AE11" s="23"/>
      <c r="AF11" s="23"/>
      <c r="AG11" s="23"/>
      <c r="AH11" s="23"/>
    </row>
    <row r="12" spans="1:34">
      <c r="A12" s="1011">
        <v>1981</v>
      </c>
      <c r="B12" s="1046">
        <f t="shared" si="0"/>
        <v>1986</v>
      </c>
      <c r="C12" s="1038">
        <f>Brood_Tab!G12</f>
        <v>2828.907969661886</v>
      </c>
      <c r="D12" s="1038">
        <f>Brood_Tab!J12</f>
        <v>21883.545512662899</v>
      </c>
      <c r="E12" s="1191">
        <f t="shared" si="1"/>
        <v>7.9476460397232467</v>
      </c>
      <c r="F12" s="1191">
        <f t="shared" si="2"/>
        <v>9.9934902869486333</v>
      </c>
      <c r="O12" s="19" t="s">
        <v>34</v>
      </c>
      <c r="P12" s="19">
        <v>0.81737688958472621</v>
      </c>
      <c r="Y12" s="23"/>
      <c r="Z12" s="23"/>
      <c r="AA12" s="23"/>
      <c r="AB12" s="23"/>
      <c r="AC12" s="23"/>
      <c r="AD12" s="23"/>
      <c r="AE12" s="23"/>
      <c r="AF12" s="23"/>
      <c r="AG12" s="23"/>
      <c r="AH12" s="23"/>
    </row>
    <row r="13" spans="1:34">
      <c r="A13" s="1011">
        <v>1982</v>
      </c>
      <c r="B13" s="1046">
        <f t="shared" si="0"/>
        <v>1987</v>
      </c>
      <c r="C13" s="1038">
        <f>Brood_Tab!G13</f>
        <v>2352.3127612490775</v>
      </c>
      <c r="D13" s="1038">
        <f>Brood_Tab!J13</f>
        <v>9999.4706742550006</v>
      </c>
      <c r="E13" s="1191">
        <f t="shared" si="1"/>
        <v>7.7631542768994439</v>
      </c>
      <c r="F13" s="1191">
        <f t="shared" si="2"/>
        <v>9.2102874380007052</v>
      </c>
      <c r="O13" s="19" t="s">
        <v>35</v>
      </c>
      <c r="P13" s="19">
        <v>0.66810497962720172</v>
      </c>
      <c r="Y13" s="23"/>
      <c r="Z13" s="23"/>
      <c r="AA13" s="23"/>
      <c r="AB13" s="23"/>
      <c r="AC13" s="23"/>
      <c r="AD13" s="23"/>
      <c r="AE13" s="23"/>
      <c r="AF13" s="23"/>
      <c r="AG13" s="23"/>
      <c r="AH13" s="23"/>
    </row>
    <row r="14" spans="1:34">
      <c r="A14" s="1011">
        <v>1983</v>
      </c>
      <c r="B14" s="1046">
        <f t="shared" si="0"/>
        <v>1988</v>
      </c>
      <c r="C14" s="1038">
        <f>Brood_Tab!G14</f>
        <v>829.0813769662476</v>
      </c>
      <c r="D14" s="1038">
        <f>Brood_Tab!J14</f>
        <v>7774.8899436789352</v>
      </c>
      <c r="E14" s="1191">
        <f t="shared" si="1"/>
        <v>6.7203183131237312</v>
      </c>
      <c r="F14" s="1191">
        <f t="shared" si="2"/>
        <v>8.9586545817934145</v>
      </c>
      <c r="O14" s="19" t="s">
        <v>36</v>
      </c>
      <c r="P14" s="19">
        <v>0.65804755476741994</v>
      </c>
      <c r="Y14" s="23"/>
      <c r="Z14" s="23"/>
      <c r="AA14" s="23"/>
      <c r="AB14" s="23"/>
      <c r="AC14" s="23"/>
      <c r="AD14" s="23"/>
      <c r="AE14" s="23"/>
      <c r="AF14" s="23"/>
      <c r="AG14" s="23"/>
      <c r="AH14" s="23"/>
    </row>
    <row r="15" spans="1:34">
      <c r="A15" s="1011">
        <v>1984</v>
      </c>
      <c r="B15" s="1046">
        <f t="shared" si="0"/>
        <v>1989</v>
      </c>
      <c r="C15" s="1038">
        <f>Brood_Tab!G15</f>
        <v>970.49665261591872</v>
      </c>
      <c r="D15" s="1038">
        <f>Brood_Tab!J15</f>
        <v>7598.0514565308968</v>
      </c>
      <c r="E15" s="1191">
        <f t="shared" si="1"/>
        <v>6.8778079534695964</v>
      </c>
      <c r="F15" s="1191">
        <f t="shared" si="2"/>
        <v>8.9356471061030138</v>
      </c>
      <c r="O15" s="19" t="s">
        <v>37</v>
      </c>
      <c r="P15" s="19">
        <v>0.40679861462525885</v>
      </c>
      <c r="Y15" s="23"/>
      <c r="Z15" s="23"/>
      <c r="AA15" s="23"/>
      <c r="AB15" s="23"/>
      <c r="AC15" s="23"/>
      <c r="AD15" s="23"/>
      <c r="AE15" s="23"/>
      <c r="AF15" s="23"/>
      <c r="AG15" s="23"/>
      <c r="AH15" s="23"/>
    </row>
    <row r="16" spans="1:34" ht="16.5" thickBot="1">
      <c r="A16" s="1011">
        <v>1985</v>
      </c>
      <c r="B16" s="1046">
        <f t="shared" si="0"/>
        <v>1990</v>
      </c>
      <c r="C16" s="1038">
        <f>Brood_Tab!G16</f>
        <v>792.5086678979942</v>
      </c>
      <c r="D16" s="1038">
        <f>Brood_Tab!J16</f>
        <v>5597.4829838087717</v>
      </c>
      <c r="E16" s="1191">
        <f t="shared" si="1"/>
        <v>6.6752034431023413</v>
      </c>
      <c r="F16" s="1191">
        <f t="shared" si="2"/>
        <v>8.6300723085055857</v>
      </c>
      <c r="O16" s="20" t="s">
        <v>38</v>
      </c>
      <c r="P16" s="20">
        <v>35</v>
      </c>
      <c r="Y16" s="23"/>
      <c r="Z16" s="23"/>
      <c r="AA16" s="23"/>
      <c r="AB16" s="23"/>
      <c r="AC16" s="23"/>
      <c r="AD16" s="23"/>
      <c r="AE16" s="23"/>
      <c r="AF16" s="23"/>
      <c r="AG16" s="23"/>
      <c r="AH16" s="23"/>
    </row>
    <row r="17" spans="1:34">
      <c r="A17" s="1011">
        <v>1986</v>
      </c>
      <c r="B17" s="1046">
        <f t="shared" si="0"/>
        <v>1991</v>
      </c>
      <c r="C17" s="1038">
        <f>Brood_Tab!G17</f>
        <v>1269.4023041474654</v>
      </c>
      <c r="D17" s="1038">
        <f>Brood_Tab!J17</f>
        <v>19786.664539496378</v>
      </c>
      <c r="E17" s="1191">
        <f t="shared" si="1"/>
        <v>7.1463014420176147</v>
      </c>
      <c r="F17" s="1191">
        <f t="shared" si="2"/>
        <v>9.8927634816679095</v>
      </c>
      <c r="H17" s="1017">
        <f>TREND(D$8:D16,C$8:C16,C17)</f>
        <v>12428.39170850132</v>
      </c>
      <c r="I17" s="1039">
        <f>TREND(F$8:F16,E$8:E16,E17)</f>
        <v>9.3703976909581144</v>
      </c>
      <c r="J17" s="1192">
        <v>0.23323040329202899</v>
      </c>
      <c r="K17" s="1017">
        <f>EXP(I17)</f>
        <v>11735.781373680229</v>
      </c>
      <c r="L17" s="1050">
        <f>EXP(I17+(J17/2))</f>
        <v>13187.344419879249</v>
      </c>
      <c r="M17" s="1017">
        <f t="shared" ref="M17:M42" si="3">L17-K17</f>
        <v>1451.5630461990204</v>
      </c>
      <c r="N17" s="1064"/>
      <c r="Y17" s="23"/>
      <c r="Z17" s="23"/>
      <c r="AA17" s="23"/>
      <c r="AB17" s="23"/>
      <c r="AC17" s="23"/>
      <c r="AD17" s="23"/>
      <c r="AE17" s="23"/>
      <c r="AF17" s="23"/>
      <c r="AG17" s="23"/>
      <c r="AH17" s="23"/>
    </row>
    <row r="18" spans="1:34" ht="16.5" thickBot="1">
      <c r="A18" s="1011">
        <v>1987</v>
      </c>
      <c r="B18" s="1046">
        <f t="shared" si="0"/>
        <v>1992</v>
      </c>
      <c r="C18" s="1038">
        <f>Brood_Tab!G18</f>
        <v>1146.4398068299413</v>
      </c>
      <c r="D18" s="1038">
        <f>Brood_Tab!J18</f>
        <v>9375.3263410620893</v>
      </c>
      <c r="E18" s="1191">
        <f t="shared" si="1"/>
        <v>7.0444165992449843</v>
      </c>
      <c r="F18" s="1191">
        <f t="shared" si="2"/>
        <v>9.1458366599460579</v>
      </c>
      <c r="H18" s="1017">
        <f>TREND(D$8:D17,C$8:C17,C18)</f>
        <v>12538.373859083087</v>
      </c>
      <c r="I18" s="1039">
        <f>TREND(F$8:F17,E$8:E17,E18)</f>
        <v>9.3573770986612388</v>
      </c>
      <c r="J18" s="1192">
        <v>0.23461636892250601</v>
      </c>
      <c r="K18" s="1017">
        <f t="shared" ref="K18:K19" si="4">EXP(I18)</f>
        <v>11583.96506312271</v>
      </c>
      <c r="L18" s="1050">
        <f t="shared" ref="L18:L42" si="5">EXP(I18+(J18/2))</f>
        <v>13025.773922916203</v>
      </c>
      <c r="M18" s="1017">
        <f t="shared" si="3"/>
        <v>1441.808859793493</v>
      </c>
      <c r="N18" s="1064"/>
      <c r="O18" t="s">
        <v>39</v>
      </c>
      <c r="Y18" s="23"/>
      <c r="Z18" s="23"/>
      <c r="AA18" s="23"/>
      <c r="AB18" s="23"/>
      <c r="AC18" s="23"/>
      <c r="AD18" s="23"/>
      <c r="AE18" s="23"/>
      <c r="AF18" s="23"/>
      <c r="AG18" s="23"/>
      <c r="AH18" s="23"/>
    </row>
    <row r="19" spans="1:34">
      <c r="A19" s="1011">
        <v>1988</v>
      </c>
      <c r="B19" s="1046">
        <f t="shared" si="0"/>
        <v>1993</v>
      </c>
      <c r="C19" s="1038">
        <f>Brood_Tab!G19</f>
        <v>3824.0334757690807</v>
      </c>
      <c r="D19" s="1038">
        <f>Brood_Tab!J19</f>
        <v>31347.880360364543</v>
      </c>
      <c r="E19" s="1191">
        <f t="shared" si="1"/>
        <v>8.2490610282566887</v>
      </c>
      <c r="F19" s="1191">
        <f t="shared" si="2"/>
        <v>10.352901931665681</v>
      </c>
      <c r="H19" s="1017">
        <f>TREND(D$8:D18,C$8:C18,C19)</f>
        <v>29105.801279805997</v>
      </c>
      <c r="I19" s="1039">
        <f>TREND(F$8:F18,E$8:E18,E19)</f>
        <v>10.15911971450946</v>
      </c>
      <c r="J19" s="1192">
        <v>0.21298453824081701</v>
      </c>
      <c r="K19" s="1017">
        <f t="shared" si="4"/>
        <v>25825.553190895655</v>
      </c>
      <c r="L19" s="1050">
        <f t="shared" si="5"/>
        <v>28727.553217687891</v>
      </c>
      <c r="M19" s="1017">
        <f t="shared" si="3"/>
        <v>2902.0000267922369</v>
      </c>
      <c r="N19" s="1064"/>
      <c r="O19" s="996"/>
      <c r="P19" s="996" t="s">
        <v>43</v>
      </c>
      <c r="Q19" s="996" t="s">
        <v>44</v>
      </c>
      <c r="R19" s="996" t="s">
        <v>45</v>
      </c>
      <c r="S19" s="996" t="s">
        <v>46</v>
      </c>
      <c r="T19" s="996" t="s">
        <v>47</v>
      </c>
      <c r="Y19" s="23"/>
      <c r="Z19" s="23"/>
      <c r="AA19" s="23"/>
      <c r="AB19" s="23"/>
      <c r="AC19" s="23"/>
      <c r="AD19" s="23"/>
      <c r="AE19" s="23"/>
      <c r="AF19" s="23"/>
      <c r="AG19" s="23"/>
      <c r="AH19" s="23"/>
    </row>
    <row r="20" spans="1:34">
      <c r="A20" s="1011">
        <v>1989</v>
      </c>
      <c r="B20" s="1046">
        <f t="shared" si="0"/>
        <v>1994</v>
      </c>
      <c r="C20" s="1038">
        <f>Brood_Tab!G20</f>
        <v>4111.1481321755628</v>
      </c>
      <c r="D20" s="1038">
        <f>Brood_Tab!J20</f>
        <v>31720.521207855119</v>
      </c>
      <c r="E20" s="1191">
        <f t="shared" si="1"/>
        <v>8.3214576193733816</v>
      </c>
      <c r="F20" s="1191">
        <f t="shared" si="2"/>
        <v>10.364719107135071</v>
      </c>
      <c r="H20" s="1017">
        <f>TREND(D$8:D19,C$8:C19,C20)</f>
        <v>31891.359415118543</v>
      </c>
      <c r="I20" s="1039">
        <f>TREND(F$8:F19,E$8:E19,E20)</f>
        <v>10.271431895645955</v>
      </c>
      <c r="J20" s="1192">
        <v>0.19429002143037699</v>
      </c>
      <c r="K20" s="1017">
        <f t="shared" ref="K20:K42" si="6">EXP(I20)</f>
        <v>28895.232515939872</v>
      </c>
      <c r="L20" s="1050">
        <f t="shared" si="5"/>
        <v>31843.128955999029</v>
      </c>
      <c r="M20" s="1017">
        <f t="shared" si="3"/>
        <v>2947.8964400591576</v>
      </c>
      <c r="N20" s="1064"/>
      <c r="O20" s="19" t="s">
        <v>40</v>
      </c>
      <c r="P20" s="19">
        <v>1</v>
      </c>
      <c r="Q20" s="19">
        <v>10.993015557962874</v>
      </c>
      <c r="R20" s="19">
        <v>10.993015557962874</v>
      </c>
      <c r="S20" s="19">
        <v>66.429030188319871</v>
      </c>
      <c r="T20" s="19">
        <v>2.0773609743665077E-9</v>
      </c>
      <c r="Y20" s="23"/>
      <c r="Z20" s="23"/>
      <c r="AA20" s="23"/>
      <c r="AB20" s="23"/>
      <c r="AC20" s="23"/>
      <c r="AD20" s="23"/>
      <c r="AE20" s="23"/>
      <c r="AF20" s="23"/>
      <c r="AG20" s="23"/>
      <c r="AH20" s="23"/>
    </row>
    <row r="21" spans="1:34">
      <c r="A21" s="1011">
        <v>1990</v>
      </c>
      <c r="B21" s="1046">
        <f t="shared" si="0"/>
        <v>1995</v>
      </c>
      <c r="C21" s="1038">
        <f>Brood_Tab!G21</f>
        <v>4110.4521949177479</v>
      </c>
      <c r="D21" s="1038">
        <f>Brood_Tab!J21</f>
        <v>55953.220203770397</v>
      </c>
      <c r="E21" s="1191">
        <f t="shared" si="1"/>
        <v>8.3212883245325262</v>
      </c>
      <c r="F21" s="1191">
        <f t="shared" si="2"/>
        <v>10.932271267111018</v>
      </c>
      <c r="H21" s="1017">
        <f>TREND(D$8:D20,C$8:C20,C21)</f>
        <v>31831.165500549723</v>
      </c>
      <c r="I21" s="1039">
        <f>TREND(F$8:F20,E$8:E20,E21)</f>
        <v>10.295131484335361</v>
      </c>
      <c r="J21" s="1192">
        <v>0.17721646230981</v>
      </c>
      <c r="K21" s="1017">
        <f t="shared" si="6"/>
        <v>29588.216928992722</v>
      </c>
      <c r="L21" s="1050">
        <f t="shared" si="5"/>
        <v>32329.639353451115</v>
      </c>
      <c r="M21" s="1017">
        <f t="shared" si="3"/>
        <v>2741.4224244583929</v>
      </c>
      <c r="N21" s="1064"/>
      <c r="O21" s="19" t="s">
        <v>41</v>
      </c>
      <c r="P21" s="19">
        <v>33</v>
      </c>
      <c r="Q21" s="19">
        <v>5.4610087244139862</v>
      </c>
      <c r="R21" s="1058">
        <v>0.16548511286102988</v>
      </c>
      <c r="S21" s="19"/>
      <c r="T21" s="19"/>
      <c r="Y21" s="23"/>
      <c r="Z21" s="23"/>
      <c r="AA21" s="23"/>
      <c r="AB21" s="23"/>
      <c r="AC21" s="23"/>
      <c r="AD21" s="23"/>
      <c r="AE21" s="23"/>
      <c r="AF21" s="23"/>
      <c r="AG21" s="23"/>
      <c r="AH21" s="23"/>
    </row>
    <row r="22" spans="1:34" ht="16.5" thickBot="1">
      <c r="A22" s="1011">
        <v>1991</v>
      </c>
      <c r="B22" s="1046">
        <f t="shared" si="0"/>
        <v>1996</v>
      </c>
      <c r="C22" s="1038">
        <f>Brood_Tab!G22</f>
        <v>7142.7400904797742</v>
      </c>
      <c r="D22" s="1038">
        <f>Brood_Tab!J22</f>
        <v>42451.662253200571</v>
      </c>
      <c r="E22" s="1191">
        <f t="shared" si="1"/>
        <v>8.8738517478878638</v>
      </c>
      <c r="F22" s="1191">
        <f t="shared" si="2"/>
        <v>10.656121348880983</v>
      </c>
      <c r="H22" s="1017">
        <f>TREND(D$8:D21,C$8:C21,C22)</f>
        <v>64316.970640948537</v>
      </c>
      <c r="I22" s="1039">
        <f>TREND(F$8:F21,E$8:E21,E22)</f>
        <v>10.89378263542768</v>
      </c>
      <c r="J22" s="1192">
        <v>0.18940039830015401</v>
      </c>
      <c r="K22" s="1017">
        <f t="shared" si="6"/>
        <v>53840.574535577827</v>
      </c>
      <c r="L22" s="1050">
        <f t="shared" si="5"/>
        <v>59188.517125171275</v>
      </c>
      <c r="M22" s="1017">
        <f t="shared" si="3"/>
        <v>5347.9425895934473</v>
      </c>
      <c r="N22" s="1064"/>
      <c r="O22" s="20" t="s">
        <v>0</v>
      </c>
      <c r="P22" s="20">
        <v>34</v>
      </c>
      <c r="Q22" s="20">
        <v>16.45402428237686</v>
      </c>
      <c r="R22" s="20"/>
      <c r="S22" s="20"/>
      <c r="T22" s="20"/>
      <c r="Y22" s="23"/>
      <c r="Z22" s="23"/>
      <c r="AA22" s="23"/>
      <c r="AB22" s="23"/>
      <c r="AC22" s="23"/>
      <c r="AD22" s="23"/>
      <c r="AE22" s="23"/>
      <c r="AF22" s="23"/>
      <c r="AG22" s="23"/>
      <c r="AH22" s="23"/>
    </row>
    <row r="23" spans="1:34" ht="16.5" thickBot="1">
      <c r="A23" s="1011">
        <v>1992</v>
      </c>
      <c r="B23" s="1046">
        <f t="shared" si="0"/>
        <v>1997</v>
      </c>
      <c r="C23" s="1038">
        <f>Brood_Tab!G23</f>
        <v>5839.0273979033991</v>
      </c>
      <c r="D23" s="1038">
        <f>Brood_Tab!J23</f>
        <v>56034.420564336666</v>
      </c>
      <c r="E23" s="1191">
        <f t="shared" si="1"/>
        <v>8.6723195204978065</v>
      </c>
      <c r="F23" s="1191">
        <f t="shared" si="2"/>
        <v>10.933721433830124</v>
      </c>
      <c r="H23" s="1017">
        <f>TREND(D$8:D22,C$8:C22,C23)</f>
        <v>43931.891488296467</v>
      </c>
      <c r="I23" s="1039">
        <f>TREND(F$8:F22,E$8:E22,E23)</f>
        <v>10.659646000025635</v>
      </c>
      <c r="J23" s="1192">
        <v>0.177867470971143</v>
      </c>
      <c r="K23" s="1017">
        <f t="shared" si="6"/>
        <v>42601.553555251354</v>
      </c>
      <c r="L23" s="1050">
        <f t="shared" si="5"/>
        <v>46563.848487652656</v>
      </c>
      <c r="M23" s="1017">
        <f t="shared" si="3"/>
        <v>3962.2949324013025</v>
      </c>
      <c r="N23" s="1064"/>
      <c r="Y23" s="23"/>
      <c r="Z23" s="23"/>
      <c r="AA23" s="23"/>
      <c r="AB23" s="23"/>
      <c r="AC23" s="23"/>
      <c r="AD23" s="23"/>
      <c r="AE23" s="23"/>
      <c r="AF23" s="23"/>
      <c r="AG23" s="23"/>
      <c r="AH23" s="23"/>
    </row>
    <row r="24" spans="1:34">
      <c r="A24" s="1011">
        <v>1993</v>
      </c>
      <c r="B24" s="1046">
        <f t="shared" si="0"/>
        <v>1998</v>
      </c>
      <c r="C24" s="1038">
        <f>Brood_Tab!G24</f>
        <v>7114.2514069195649</v>
      </c>
      <c r="D24" s="1038">
        <f>Brood_Tab!J24</f>
        <v>68371.053617062018</v>
      </c>
      <c r="E24" s="1191">
        <f t="shared" si="1"/>
        <v>8.8698552916252602</v>
      </c>
      <c r="F24" s="1191">
        <f t="shared" si="2"/>
        <v>11.132704821306314</v>
      </c>
      <c r="H24" s="1017">
        <f>TREND(D$8:D23,C$8:C23,C24)</f>
        <v>56024.220166790197</v>
      </c>
      <c r="I24" s="1039">
        <f>TREND(F$8:F23,E$8:E23,E24)</f>
        <v>10.877649656658505</v>
      </c>
      <c r="J24" s="1192">
        <v>0.16950728897568701</v>
      </c>
      <c r="K24" s="1017">
        <f t="shared" si="6"/>
        <v>52978.934785951635</v>
      </c>
      <c r="L24" s="1050">
        <f t="shared" si="5"/>
        <v>57664.862670176582</v>
      </c>
      <c r="M24" s="1017">
        <f t="shared" si="3"/>
        <v>4685.9278842249478</v>
      </c>
      <c r="N24" s="1064"/>
      <c r="O24" s="996"/>
      <c r="P24" s="996" t="s">
        <v>48</v>
      </c>
      <c r="Q24" s="996" t="s">
        <v>37</v>
      </c>
      <c r="R24" s="996" t="s">
        <v>49</v>
      </c>
      <c r="S24" s="996" t="s">
        <v>50</v>
      </c>
      <c r="T24" s="996" t="s">
        <v>51</v>
      </c>
      <c r="U24" s="996" t="s">
        <v>52</v>
      </c>
      <c r="V24" s="996" t="s">
        <v>200</v>
      </c>
      <c r="W24" s="996" t="s">
        <v>201</v>
      </c>
      <c r="Y24" s="23"/>
      <c r="Z24" s="23"/>
      <c r="AA24" s="23"/>
      <c r="AB24" s="23"/>
      <c r="AC24" s="23"/>
      <c r="AD24" s="23"/>
      <c r="AE24" s="23"/>
      <c r="AF24" s="23"/>
      <c r="AG24" s="23"/>
      <c r="AH24" s="23"/>
    </row>
    <row r="25" spans="1:34">
      <c r="A25" s="1011">
        <v>1994</v>
      </c>
      <c r="B25" s="1046">
        <f t="shared" si="0"/>
        <v>1999</v>
      </c>
      <c r="C25" s="1038">
        <f>Brood_Tab!G25</f>
        <v>6161.0748337952673</v>
      </c>
      <c r="D25" s="1038">
        <f>Brood_Tab!J25</f>
        <v>55667.160650015241</v>
      </c>
      <c r="E25" s="1191">
        <f t="shared" si="1"/>
        <v>8.7260065273123786</v>
      </c>
      <c r="F25" s="1191">
        <f t="shared" si="2"/>
        <v>10.927145676643779</v>
      </c>
      <c r="H25" s="1017">
        <f>TREND(D$8:D24,C$8:C24,C25)</f>
        <v>52086.410562856094</v>
      </c>
      <c r="I25" s="1039">
        <f>TREND(F$8:F24,E$8:E24,E25)</f>
        <v>10.80243146612392</v>
      </c>
      <c r="J25" s="1192">
        <v>0.161694908194354</v>
      </c>
      <c r="K25" s="1017">
        <f t="shared" si="6"/>
        <v>49140.138577390979</v>
      </c>
      <c r="L25" s="1188">
        <f t="shared" si="5"/>
        <v>53278.00816479628</v>
      </c>
      <c r="M25" s="1017">
        <f t="shared" si="3"/>
        <v>4137.869587405301</v>
      </c>
      <c r="N25" s="1064"/>
      <c r="O25" s="19" t="s">
        <v>42</v>
      </c>
      <c r="P25" s="19">
        <v>4.1183497588629692</v>
      </c>
      <c r="Q25" s="19">
        <v>0.75370964627336101</v>
      </c>
      <c r="R25" s="19">
        <v>5.4641064755184194</v>
      </c>
      <c r="S25" s="19">
        <v>4.6874344635480477E-6</v>
      </c>
      <c r="T25" s="19">
        <v>2.5849159536846855</v>
      </c>
      <c r="U25" s="19">
        <v>5.6517835640412528</v>
      </c>
      <c r="V25" s="19">
        <v>2.5849159536846855</v>
      </c>
      <c r="W25" s="19">
        <v>5.6517835640412528</v>
      </c>
      <c r="Y25" s="23"/>
      <c r="Z25" s="23"/>
      <c r="AA25" s="23"/>
      <c r="AB25" s="23"/>
      <c r="AC25" s="23"/>
      <c r="AD25" s="23"/>
      <c r="AE25" s="23"/>
      <c r="AF25" s="23"/>
      <c r="AG25" s="23"/>
      <c r="AH25" s="23"/>
    </row>
    <row r="26" spans="1:34" ht="16.5" thickBot="1">
      <c r="A26" s="1011">
        <v>1995</v>
      </c>
      <c r="B26" s="1046">
        <f t="shared" si="0"/>
        <v>2000</v>
      </c>
      <c r="C26" s="1038">
        <f>Brood_Tab!G26</f>
        <v>10515.024349583715</v>
      </c>
      <c r="D26" s="1038">
        <f>Brood_Tab!J26</f>
        <v>48501.64199604938</v>
      </c>
      <c r="E26" s="1191">
        <f t="shared" si="1"/>
        <v>9.2605604038339493</v>
      </c>
      <c r="F26" s="1191">
        <f t="shared" si="2"/>
        <v>10.789352931941133</v>
      </c>
      <c r="H26" s="1017">
        <f>TREND(D$8:D25,C$8:C25,C26)</f>
        <v>87626.015433688721</v>
      </c>
      <c r="I26" s="1039">
        <f>TREND(F$8:F25,E$8:E25,E26)</f>
        <v>11.290966125344495</v>
      </c>
      <c r="J26" s="1192">
        <v>0.152423942888397</v>
      </c>
      <c r="K26" s="1017">
        <f t="shared" si="6"/>
        <v>80094.793051520086</v>
      </c>
      <c r="L26" s="1189">
        <f t="shared" si="5"/>
        <v>86437.604449545877</v>
      </c>
      <c r="M26" s="1017">
        <f t="shared" si="3"/>
        <v>6342.8113980257913</v>
      </c>
      <c r="N26" s="1064"/>
      <c r="O26" s="20" t="s">
        <v>53</v>
      </c>
      <c r="P26" s="20">
        <v>0.7442412039792633</v>
      </c>
      <c r="Q26" s="20">
        <v>9.1313450604001201E-2</v>
      </c>
      <c r="R26" s="20">
        <v>8.1504006152041306</v>
      </c>
      <c r="S26" s="20">
        <v>2.0773609743665077E-9</v>
      </c>
      <c r="T26" s="20">
        <v>0.55846259186253822</v>
      </c>
      <c r="U26" s="20">
        <v>0.93001981609598838</v>
      </c>
      <c r="V26" s="20">
        <v>0.55846259186253822</v>
      </c>
      <c r="W26" s="20">
        <v>0.93001981609598838</v>
      </c>
      <c r="Y26" s="23"/>
      <c r="Z26" s="23"/>
      <c r="AA26" s="1040"/>
      <c r="AB26" s="1040"/>
      <c r="AC26" s="1040"/>
      <c r="AD26" s="1040"/>
      <c r="AE26" s="1040"/>
      <c r="AF26" s="23"/>
      <c r="AG26" s="23"/>
      <c r="AH26" s="23"/>
    </row>
    <row r="27" spans="1:34">
      <c r="A27" s="1011">
        <v>1996</v>
      </c>
      <c r="B27" s="1046">
        <f t="shared" si="0"/>
        <v>2001</v>
      </c>
      <c r="C27" s="1038">
        <f>Brood_Tab!G27</f>
        <v>4772.5395462962961</v>
      </c>
      <c r="D27" s="1038">
        <f>Brood_Tab!J27</f>
        <v>55980.71813096886</v>
      </c>
      <c r="E27" s="1191">
        <f t="shared" si="1"/>
        <v>8.4706338418508089</v>
      </c>
      <c r="F27" s="1191">
        <f t="shared" si="2"/>
        <v>10.932762591336017</v>
      </c>
      <c r="H27" s="1017">
        <f>TREND(D$8:D26,C$8:C26,C27)</f>
        <v>36931.425761137521</v>
      </c>
      <c r="I27" s="1039">
        <f>TREND(F$8:F26,E$8:E26,E27)</f>
        <v>10.534195303170439</v>
      </c>
      <c r="J27" s="1192">
        <v>0.15518458662856599</v>
      </c>
      <c r="K27" s="1017">
        <f t="shared" si="6"/>
        <v>37578.798594232525</v>
      </c>
      <c r="L27" s="1189">
        <f t="shared" si="5"/>
        <v>40610.730003976947</v>
      </c>
      <c r="M27" s="1017">
        <f t="shared" si="3"/>
        <v>3031.9314097444221</v>
      </c>
      <c r="N27" s="1064"/>
      <c r="Y27" s="23"/>
      <c r="Z27" s="23"/>
      <c r="AA27" s="19"/>
      <c r="AB27" s="19"/>
      <c r="AC27" s="19"/>
      <c r="AD27" s="19"/>
      <c r="AE27" s="19"/>
      <c r="AF27" s="23"/>
      <c r="AG27" s="23"/>
      <c r="AH27" s="23"/>
    </row>
    <row r="28" spans="1:34">
      <c r="A28" s="1011">
        <v>1997</v>
      </c>
      <c r="B28" s="1046">
        <f t="shared" si="0"/>
        <v>2002</v>
      </c>
      <c r="C28" s="1038">
        <f>Brood_Tab!G28</f>
        <v>8614.6976308881203</v>
      </c>
      <c r="D28" s="1038">
        <f>Brood_Tab!J28</f>
        <v>49173.65452896271</v>
      </c>
      <c r="E28" s="1191">
        <f t="shared" si="1"/>
        <v>9.0612250503644347</v>
      </c>
      <c r="F28" s="1191">
        <f t="shared" si="2"/>
        <v>10.803113282007757</v>
      </c>
      <c r="H28" s="1017">
        <f>TREND(D$8:D27,C$8:C27,C28)</f>
        <v>61865.289855191761</v>
      </c>
      <c r="I28" s="1039">
        <f>TREND(F$8:F27,E$8:E27,E28)</f>
        <v>11.063148696201736</v>
      </c>
      <c r="J28" s="1192">
        <v>0.15470850993173099</v>
      </c>
      <c r="K28" s="1017">
        <f t="shared" si="6"/>
        <v>63777.050602768737</v>
      </c>
      <c r="L28" s="1189">
        <f t="shared" si="5"/>
        <v>68906.304236423181</v>
      </c>
      <c r="M28" s="1017">
        <f t="shared" si="3"/>
        <v>5129.2536336544435</v>
      </c>
      <c r="N28" s="1064"/>
      <c r="Y28" s="23"/>
      <c r="Z28" s="23"/>
      <c r="AA28" s="19"/>
      <c r="AB28" s="19"/>
      <c r="AC28" s="19"/>
      <c r="AD28" s="19"/>
      <c r="AE28" s="19"/>
      <c r="AF28" s="23"/>
      <c r="AG28" s="23"/>
      <c r="AH28" s="23"/>
    </row>
    <row r="29" spans="1:34">
      <c r="A29" s="1011">
        <v>1998</v>
      </c>
      <c r="B29" s="1046">
        <f t="shared" si="0"/>
        <v>2003</v>
      </c>
      <c r="C29" s="1038">
        <f>Brood_Tab!G29</f>
        <v>6610.6088326264853</v>
      </c>
      <c r="D29" s="1038">
        <f>Brood_Tab!J29</f>
        <v>61859.065856016823</v>
      </c>
      <c r="E29" s="1191">
        <f t="shared" si="1"/>
        <v>8.7964310364144289</v>
      </c>
      <c r="F29" s="1191">
        <f t="shared" si="2"/>
        <v>11.032613945187711</v>
      </c>
      <c r="H29" s="1017">
        <f>TREND(D$8:D28,C$8:C28,C29)</f>
        <v>47805.673193003604</v>
      </c>
      <c r="I29" s="1039">
        <f>TREND(F$8:F28,E$8:E28,E29)</f>
        <v>10.809966227990806</v>
      </c>
      <c r="J29" s="1192">
        <v>0.14964628955326201</v>
      </c>
      <c r="K29" s="1017">
        <f t="shared" si="6"/>
        <v>49511.796237328766</v>
      </c>
      <c r="L29" s="1189">
        <f t="shared" si="5"/>
        <v>53358.542874510029</v>
      </c>
      <c r="M29" s="1017">
        <f t="shared" si="3"/>
        <v>3846.7466371812625</v>
      </c>
      <c r="N29" s="1064"/>
      <c r="Y29" s="23"/>
      <c r="Z29" s="23"/>
      <c r="AA29" s="23"/>
      <c r="AB29" s="23"/>
      <c r="AC29" s="23"/>
      <c r="AD29" s="23"/>
      <c r="AE29" s="23"/>
    </row>
    <row r="30" spans="1:34">
      <c r="A30" s="1011">
        <v>1999</v>
      </c>
      <c r="B30" s="1046">
        <f t="shared" si="0"/>
        <v>2004</v>
      </c>
      <c r="C30" s="1038">
        <f>Brood_Tab!G30</f>
        <v>5977.1853932395461</v>
      </c>
      <c r="D30" s="1038">
        <f>Brood_Tab!J30</f>
        <v>47494.232967996417</v>
      </c>
      <c r="E30" s="1191">
        <f t="shared" si="1"/>
        <v>8.6957050661179398</v>
      </c>
      <c r="F30" s="1191">
        <f t="shared" si="2"/>
        <v>10.768363571451721</v>
      </c>
      <c r="H30" s="1017">
        <f>TREND(D$8:D29,C$8:C29,C30)</f>
        <v>45212.047838853447</v>
      </c>
      <c r="I30" s="1039">
        <f>TREND(F$8:F29,E$8:E29,E30)</f>
        <v>10.745763459312409</v>
      </c>
      <c r="J30" s="1192">
        <v>0.144418843774339</v>
      </c>
      <c r="K30" s="1017">
        <f t="shared" si="6"/>
        <v>46432.896314729282</v>
      </c>
      <c r="L30" s="1189">
        <f t="shared" si="5"/>
        <v>49909.811277466746</v>
      </c>
      <c r="M30" s="1017">
        <f t="shared" si="3"/>
        <v>3476.9149627374645</v>
      </c>
      <c r="N30" s="1064"/>
      <c r="AA30" s="23"/>
      <c r="AB30" s="23"/>
      <c r="AC30" s="23"/>
    </row>
    <row r="31" spans="1:34">
      <c r="A31" s="1011">
        <v>2000</v>
      </c>
      <c r="B31" s="1046">
        <f t="shared" si="0"/>
        <v>2005</v>
      </c>
      <c r="C31" s="1038">
        <f>Brood_Tab!G31</f>
        <v>5019.5720853945559</v>
      </c>
      <c r="D31" s="1038">
        <f>Brood_Tab!J31</f>
        <v>37628.29584616753</v>
      </c>
      <c r="E31" s="1191">
        <f t="shared" si="1"/>
        <v>8.5210999670991967</v>
      </c>
      <c r="F31" s="1191">
        <f t="shared" si="2"/>
        <v>10.535511595455096</v>
      </c>
      <c r="H31" s="1017">
        <f>TREND(D$8:D30,C$8:C30,C31)</f>
        <v>39556.900289055993</v>
      </c>
      <c r="I31" s="1039">
        <f>TREND(F$8:F30,E$8:E30,E31)</f>
        <v>10.601314352653395</v>
      </c>
      <c r="J31" s="1192">
        <v>0.13756431492410601</v>
      </c>
      <c r="K31" s="1017">
        <f t="shared" si="6"/>
        <v>40187.623443065138</v>
      </c>
      <c r="L31" s="1189">
        <f t="shared" si="5"/>
        <v>43049.095970666749</v>
      </c>
      <c r="M31" s="1017">
        <f t="shared" si="3"/>
        <v>2861.4725276016106</v>
      </c>
      <c r="N31" s="1064"/>
      <c r="AA31" s="23"/>
      <c r="AB31" s="23"/>
      <c r="AC31" s="23"/>
    </row>
    <row r="32" spans="1:34">
      <c r="A32" s="1011">
        <v>2001</v>
      </c>
      <c r="B32" s="1046">
        <f t="shared" si="0"/>
        <v>2006</v>
      </c>
      <c r="C32" s="1038">
        <f>Brood_Tab!G32</f>
        <v>5891.6632712260234</v>
      </c>
      <c r="D32" s="1038">
        <f>Brood_Tab!J32</f>
        <v>68219.100697904621</v>
      </c>
      <c r="E32" s="1191">
        <f t="shared" si="1"/>
        <v>8.6812936257840825</v>
      </c>
      <c r="F32" s="1191">
        <f t="shared" si="2"/>
        <v>11.130479873503816</v>
      </c>
      <c r="H32" s="1017">
        <f>TREND(D$8:D31,C$8:C31,C32)</f>
        <v>44743.327260518905</v>
      </c>
      <c r="I32" s="1039">
        <f>TREND(F$8:F31,E$8:E31,E32)</f>
        <v>10.73129660973472</v>
      </c>
      <c r="J32" s="1192">
        <v>0.13149749465904101</v>
      </c>
      <c r="K32" s="1017">
        <f t="shared" si="6"/>
        <v>45765.994205807416</v>
      </c>
      <c r="L32" s="1189">
        <f t="shared" si="5"/>
        <v>48876.175935726336</v>
      </c>
      <c r="M32" s="1017">
        <f t="shared" si="3"/>
        <v>3110.1817299189206</v>
      </c>
      <c r="N32" s="1064"/>
      <c r="AA32" s="23"/>
      <c r="AB32" s="23"/>
      <c r="AC32" s="23"/>
    </row>
    <row r="33" spans="1:29">
      <c r="A33" s="1011">
        <v>2002</v>
      </c>
      <c r="B33" s="1046">
        <f t="shared" si="0"/>
        <v>2007</v>
      </c>
      <c r="C33" s="1038">
        <f>Brood_Tab!G33</f>
        <v>9564.4699599625565</v>
      </c>
      <c r="D33" s="1038">
        <f>Brood_Tab!J33</f>
        <v>57978.675515241623</v>
      </c>
      <c r="E33" s="1191">
        <f t="shared" si="1"/>
        <v>9.1658104658028474</v>
      </c>
      <c r="F33" s="1191">
        <f t="shared" si="2"/>
        <v>10.967830558393432</v>
      </c>
      <c r="H33" s="1017">
        <f>TREND(D$8:D32,C$8:C32,C33)</f>
        <v>69157.202753621794</v>
      </c>
      <c r="I33" s="1039">
        <f>TREND(F$8:F32,E$8:E32,E33)</f>
        <v>11.168721198021291</v>
      </c>
      <c r="J33" s="1192">
        <v>0.132262933296002</v>
      </c>
      <c r="K33" s="1017">
        <f t="shared" si="6"/>
        <v>70878.413208938291</v>
      </c>
      <c r="L33" s="1189">
        <f t="shared" si="5"/>
        <v>75724.169208457504</v>
      </c>
      <c r="M33" s="1017">
        <f t="shared" si="3"/>
        <v>4845.7559995192132</v>
      </c>
      <c r="N33" s="1064"/>
      <c r="AA33" s="23"/>
      <c r="AB33" s="23"/>
      <c r="AC33" s="23"/>
    </row>
    <row r="34" spans="1:29">
      <c r="A34" s="1011">
        <v>2003</v>
      </c>
      <c r="B34" s="1046">
        <f t="shared" si="0"/>
        <v>2008</v>
      </c>
      <c r="C34" s="1038">
        <f>Brood_Tab!G34</f>
        <v>5160.4207337804701</v>
      </c>
      <c r="D34" s="1038">
        <f>Brood_Tab!J34</f>
        <v>32189.833456419547</v>
      </c>
      <c r="E34" s="1191">
        <f t="shared" si="1"/>
        <v>8.5487733927059573</v>
      </c>
      <c r="F34" s="1191">
        <f t="shared" si="2"/>
        <v>10.379405950511826</v>
      </c>
      <c r="H34" s="1017">
        <f>TREND(D$8:D33,C$8:C33,C34)</f>
        <v>40834.138871602227</v>
      </c>
      <c r="I34" s="1039">
        <f>TREND(F$8:F33,E$8:E33,E34)</f>
        <v>10.630960744779278</v>
      </c>
      <c r="J34" s="1192">
        <v>0.128258952097489</v>
      </c>
      <c r="K34" s="1017">
        <f t="shared" si="6"/>
        <v>41396.877935313911</v>
      </c>
      <c r="L34" s="1189">
        <f t="shared" si="5"/>
        <v>44138.611422345159</v>
      </c>
      <c r="M34" s="1017">
        <f t="shared" si="3"/>
        <v>2741.7334870312479</v>
      </c>
      <c r="N34" s="1064"/>
    </row>
    <row r="35" spans="1:29">
      <c r="A35" s="1011">
        <v>2004</v>
      </c>
      <c r="B35" s="1046">
        <f t="shared" si="0"/>
        <v>2009</v>
      </c>
      <c r="C35" s="1038">
        <f>Brood_Tab!G35</f>
        <v>3974.232174502526</v>
      </c>
      <c r="D35" s="1038">
        <f>Brood_Tab!J35</f>
        <v>27036.937247060858</v>
      </c>
      <c r="E35" s="1191">
        <f t="shared" si="1"/>
        <v>8.2875868447827692</v>
      </c>
      <c r="F35" s="1191">
        <f t="shared" si="2"/>
        <v>10.204959256251302</v>
      </c>
      <c r="H35" s="1017">
        <f>TREND(D$8:D34,C$8:C34,C35)</f>
        <v>33410.948792498799</v>
      </c>
      <c r="I35" s="1039">
        <f>TREND(F$8:F34,E$8:E34,E35)</f>
        <v>10.401711643238215</v>
      </c>
      <c r="J35" s="1192">
        <v>0.125537617071833</v>
      </c>
      <c r="K35" s="1017">
        <f t="shared" si="6"/>
        <v>32915.917792807784</v>
      </c>
      <c r="L35" s="1189">
        <f t="shared" si="5"/>
        <v>35048.232098451852</v>
      </c>
      <c r="M35" s="1017">
        <f t="shared" si="3"/>
        <v>2132.3143056440676</v>
      </c>
      <c r="N35" s="1064"/>
    </row>
    <row r="36" spans="1:29">
      <c r="A36" s="1011">
        <v>2005</v>
      </c>
      <c r="B36" s="1046">
        <f t="shared" si="0"/>
        <v>2010</v>
      </c>
      <c r="C36" s="1038">
        <f>Brood_Tab!G36</f>
        <v>4590.7362311379366</v>
      </c>
      <c r="D36" s="1038">
        <f>Brood_Tab!J36</f>
        <v>19724.564662776269</v>
      </c>
      <c r="E36" s="1191">
        <f t="shared" si="1"/>
        <v>8.4317956891327839</v>
      </c>
      <c r="F36" s="1191">
        <f t="shared" si="2"/>
        <v>9.8896200751423216</v>
      </c>
      <c r="H36" s="1017">
        <f>TREND(D$8:D35,C$8:C35,C36)</f>
        <v>36864.448220425576</v>
      </c>
      <c r="I36" s="1039">
        <f>TREND(F$8:F35,E$8:E35,E36)</f>
        <v>10.514038805459645</v>
      </c>
      <c r="J36" s="1192">
        <v>0.122141981049902</v>
      </c>
      <c r="K36" s="1017">
        <f t="shared" si="6"/>
        <v>36828.924433141758</v>
      </c>
      <c r="L36" s="1189">
        <f t="shared" si="5"/>
        <v>39148.202843495048</v>
      </c>
      <c r="M36" s="1017">
        <f t="shared" si="3"/>
        <v>2319.2784103532904</v>
      </c>
      <c r="N36" s="1064"/>
    </row>
    <row r="37" spans="1:29">
      <c r="A37" s="1011">
        <v>2006</v>
      </c>
      <c r="B37" s="1046">
        <f t="shared" si="0"/>
        <v>2011</v>
      </c>
      <c r="C37" s="1038">
        <f>Brood_Tab!G37</f>
        <v>5400.9059432897675</v>
      </c>
      <c r="D37" s="1038">
        <f>Brood_Tab!J37</f>
        <v>41072.77581880783</v>
      </c>
      <c r="E37" s="1191">
        <f t="shared" si="1"/>
        <v>8.5943219857568938</v>
      </c>
      <c r="F37" s="1191">
        <f t="shared" si="2"/>
        <v>10.623100792171124</v>
      </c>
      <c r="H37" s="1017">
        <f>TREND(D$8:D36,C$8:C36,C37)</f>
        <v>41098.402941447202</v>
      </c>
      <c r="I37" s="1039">
        <f>TREND(F$8:F36,E$8:E36,E37)</f>
        <v>10.622473589832596</v>
      </c>
      <c r="J37" s="1192">
        <v>0.13148859486592701</v>
      </c>
      <c r="K37" s="1017">
        <f t="shared" si="6"/>
        <v>41047.022954736989</v>
      </c>
      <c r="L37" s="1189">
        <f t="shared" si="5"/>
        <v>43836.316088607928</v>
      </c>
      <c r="M37" s="1017">
        <f t="shared" si="3"/>
        <v>2789.2931338709386</v>
      </c>
      <c r="N37" s="1064"/>
    </row>
    <row r="38" spans="1:29">
      <c r="A38" s="1011">
        <v>2007</v>
      </c>
      <c r="B38" s="1046">
        <f t="shared" si="0"/>
        <v>2012</v>
      </c>
      <c r="C38" s="1038">
        <f>Brood_Tab!G38</f>
        <v>5474.316891495072</v>
      </c>
      <c r="D38" s="1038">
        <f>Brood_Tab!J38</f>
        <v>35349.079570382564</v>
      </c>
      <c r="E38" s="1191">
        <f t="shared" si="1"/>
        <v>8.6078227782237438</v>
      </c>
      <c r="F38" s="1191">
        <f t="shared" si="2"/>
        <v>10.473027633372794</v>
      </c>
      <c r="H38" s="1017">
        <f>TREND(D$8:D37,C$8:C37,C38)</f>
        <v>41534.978797642951</v>
      </c>
      <c r="I38" s="1039">
        <f>TREND(F$8:F37,E$8:E37,E38)</f>
        <v>10.633563452532099</v>
      </c>
      <c r="J38" s="1192">
        <v>0.12679258636308699</v>
      </c>
      <c r="K38" s="1017">
        <f t="shared" si="6"/>
        <v>41504.762245222169</v>
      </c>
      <c r="L38" s="1189">
        <f t="shared" si="5"/>
        <v>44221.206837851569</v>
      </c>
      <c r="M38" s="1017">
        <f t="shared" si="3"/>
        <v>2716.4445926293993</v>
      </c>
      <c r="N38" s="1064"/>
    </row>
    <row r="39" spans="1:29">
      <c r="A39" s="1011">
        <v>2008</v>
      </c>
      <c r="B39" s="1046">
        <f t="shared" si="0"/>
        <v>2013</v>
      </c>
      <c r="C39" s="1038">
        <f>Brood_Tab!G39</f>
        <v>3822.0338773893727</v>
      </c>
      <c r="D39" s="1038">
        <f>Brood_Tab!J39</f>
        <v>26390.095675036351</v>
      </c>
      <c r="E39" s="1191">
        <f t="shared" si="1"/>
        <v>8.2485379885467474</v>
      </c>
      <c r="F39" s="1191">
        <f t="shared" si="2"/>
        <v>10.180744054918474</v>
      </c>
      <c r="H39" s="1017">
        <f>TREND(D$8:D38,C$8:C38,C39)</f>
        <v>31506.185433613577</v>
      </c>
      <c r="I39" s="1039">
        <f>TREND(F$8:F38,E$8:E38,E39)</f>
        <v>10.333649792328174</v>
      </c>
      <c r="J39" s="1192">
        <v>0.12327030961016</v>
      </c>
      <c r="K39" s="1017">
        <f t="shared" si="6"/>
        <v>30750.138962439429</v>
      </c>
      <c r="L39" s="1189">
        <f t="shared" si="5"/>
        <v>32705.055491861429</v>
      </c>
      <c r="M39" s="1017">
        <f t="shared" si="3"/>
        <v>1954.9165294220002</v>
      </c>
      <c r="N39" s="1064"/>
    </row>
    <row r="40" spans="1:29">
      <c r="A40" s="1011">
        <v>2009</v>
      </c>
      <c r="B40" s="1046">
        <f t="shared" si="0"/>
        <v>2014</v>
      </c>
      <c r="C40" s="1038">
        <f>Brood_Tab!G40</f>
        <v>5820.9729508568271</v>
      </c>
      <c r="D40" s="1038">
        <f>Brood_Tab!J40</f>
        <v>15966.534037066889</v>
      </c>
      <c r="E40" s="1191">
        <f t="shared" si="1"/>
        <v>8.66922270044026</v>
      </c>
      <c r="F40" s="1191">
        <f t="shared" si="2"/>
        <v>9.6782501880408773</v>
      </c>
      <c r="H40" s="1017">
        <f>TREND(D$8:D39,C$8:C39,C40)</f>
        <v>43220.019000593515</v>
      </c>
      <c r="I40" s="1039">
        <f>TREND(F$8:F39,E$8:E39,E40)</f>
        <v>10.671550808022506</v>
      </c>
      <c r="J40" s="1192">
        <v>0.119916043112655</v>
      </c>
      <c r="K40" s="1017">
        <f t="shared" si="6"/>
        <v>43111.747726954367</v>
      </c>
      <c r="L40" s="1189">
        <f t="shared" si="5"/>
        <v>45775.707688623937</v>
      </c>
      <c r="M40" s="1017">
        <f t="shared" si="3"/>
        <v>2663.9599616695705</v>
      </c>
      <c r="N40" s="1064"/>
    </row>
    <row r="41" spans="1:29">
      <c r="A41" s="1011">
        <v>2010</v>
      </c>
      <c r="B41" s="1046">
        <f t="shared" si="0"/>
        <v>2015</v>
      </c>
      <c r="C41" s="1038">
        <f>Brood_Tab!G41</f>
        <v>8845.4023463963786</v>
      </c>
      <c r="D41" s="1038">
        <f>Brood_Tab!J41</f>
        <v>37214.22240730362</v>
      </c>
      <c r="E41" s="1191">
        <f t="shared" si="1"/>
        <v>9.0876530941287168</v>
      </c>
      <c r="F41" s="1191">
        <f t="shared" si="2"/>
        <v>10.524446289971486</v>
      </c>
      <c r="H41" s="1017">
        <f>TREND(D$8:D40,C$8:C40,C41)</f>
        <v>59607.183258642544</v>
      </c>
      <c r="I41" s="1039">
        <f>TREND(F$8:F40,E$8:E40,E41)</f>
        <v>10.958541725177652</v>
      </c>
      <c r="J41" s="1192">
        <v>0.14649685492891701</v>
      </c>
      <c r="K41" s="1017">
        <f t="shared" si="6"/>
        <v>57442.614811921121</v>
      </c>
      <c r="L41" s="1189">
        <f t="shared" si="5"/>
        <v>61808.12780276173</v>
      </c>
      <c r="M41" s="1017">
        <f t="shared" si="3"/>
        <v>4365.5129908406088</v>
      </c>
      <c r="N41" s="1064"/>
    </row>
    <row r="42" spans="1:29">
      <c r="A42" s="1011">
        <v>2011</v>
      </c>
      <c r="B42" s="1046">
        <f t="shared" si="0"/>
        <v>2016</v>
      </c>
      <c r="C42" s="1038">
        <f>Brood_Tab!G42</f>
        <v>6464.9506057125072</v>
      </c>
      <c r="D42" s="1038">
        <f>Brood_Tab!J42</f>
        <v>18145.948658012669</v>
      </c>
      <c r="E42" s="1191">
        <f t="shared" si="1"/>
        <v>8.7741506509157503</v>
      </c>
      <c r="F42" s="1191">
        <f t="shared" si="2"/>
        <v>9.8062026003423828</v>
      </c>
      <c r="H42" s="1017">
        <f>TREND(D$8:D41,C$8:C41,C42)</f>
        <v>44440.182047097478</v>
      </c>
      <c r="I42" s="1039">
        <f>TREND(F$8:F41,E$8:E41,E42)</f>
        <v>10.687329521014092</v>
      </c>
      <c r="J42" s="1192">
        <v>0.14738569573306801</v>
      </c>
      <c r="K42" s="1017">
        <f t="shared" si="6"/>
        <v>43797.390677376934</v>
      </c>
      <c r="L42" s="1189">
        <f t="shared" si="5"/>
        <v>47146.844866187581</v>
      </c>
      <c r="M42" s="1017">
        <f t="shared" si="3"/>
        <v>3349.4541888106469</v>
      </c>
      <c r="N42" s="1064"/>
    </row>
    <row r="43" spans="1:29">
      <c r="A43" s="1011">
        <v>2012</v>
      </c>
      <c r="B43" s="1046">
        <f t="shared" si="0"/>
        <v>2017</v>
      </c>
      <c r="C43" s="1038">
        <f>Brood_Tab!G43</f>
        <v>4129.0666291567468</v>
      </c>
      <c r="E43" s="1022">
        <f t="shared" si="1"/>
        <v>8.3258066626308604</v>
      </c>
      <c r="H43" s="1017">
        <f>TREND(D$8:D42,C$8:C42,C43)</f>
        <v>31282.327672094856</v>
      </c>
      <c r="I43" s="1055">
        <f>TREND(F$8:F42,E$8:E42,E43)</f>
        <v>10.314795294517168</v>
      </c>
      <c r="J43" s="1192">
        <v>0.16548926515468301</v>
      </c>
      <c r="K43" s="1017">
        <f>EXP(I43)</f>
        <v>30175.792060434753</v>
      </c>
      <c r="L43" s="1190">
        <f>EXP(I43+(J43/2))</f>
        <v>32778.887950698823</v>
      </c>
      <c r="M43" s="1017">
        <f t="shared" ref="M43" si="7">L43-K43</f>
        <v>2603.0958902640705</v>
      </c>
      <c r="N43" s="1064"/>
    </row>
    <row r="44" spans="1:29">
      <c r="A44" s="1011"/>
      <c r="B44" s="1046"/>
      <c r="C44" s="1038"/>
      <c r="E44" s="1022"/>
      <c r="H44" s="1017"/>
      <c r="I44" s="1039"/>
      <c r="J44" s="1045"/>
      <c r="K44" s="1017"/>
      <c r="L44" s="1017"/>
      <c r="M44" s="1017"/>
      <c r="N44" s="1017"/>
    </row>
    <row r="45" spans="1:29">
      <c r="A45" s="1011"/>
      <c r="B45" s="1046"/>
      <c r="C45" s="1038"/>
      <c r="E45" s="1022"/>
      <c r="H45" s="1017"/>
      <c r="I45" s="1039"/>
      <c r="J45" s="1045"/>
      <c r="K45" s="1323" t="s">
        <v>438</v>
      </c>
      <c r="L45" s="1323"/>
      <c r="M45" s="1017"/>
      <c r="N45" s="1017"/>
    </row>
    <row r="46" spans="1:29" ht="22.15" customHeight="1">
      <c r="A46" s="1011"/>
      <c r="B46" s="1046"/>
      <c r="C46" s="1038"/>
      <c r="E46" s="1022"/>
      <c r="H46" s="1017"/>
      <c r="I46" s="1039"/>
      <c r="J46" s="1045"/>
      <c r="K46" s="1056" t="s">
        <v>439</v>
      </c>
      <c r="L46" s="1043"/>
      <c r="M46" s="1017"/>
      <c r="N46" s="1017"/>
    </row>
    <row r="47" spans="1:29">
      <c r="D47" s="283"/>
      <c r="E47" s="283"/>
      <c r="F47" s="283"/>
      <c r="G47" s="283"/>
      <c r="H47" s="1323" t="s">
        <v>450</v>
      </c>
      <c r="I47" s="1323"/>
      <c r="J47" s="283"/>
      <c r="K47" s="283"/>
      <c r="L47" s="283"/>
    </row>
    <row r="48" spans="1:29">
      <c r="D48" s="23"/>
      <c r="E48" s="23"/>
      <c r="F48" s="23"/>
      <c r="G48" s="314" t="s">
        <v>442</v>
      </c>
      <c r="H48" s="1193">
        <v>13676.167976434201</v>
      </c>
      <c r="I48" s="1194">
        <v>9.7743512275514206</v>
      </c>
      <c r="J48" s="314" t="s">
        <v>442</v>
      </c>
      <c r="K48" s="1050">
        <f>EXP(I48)</f>
        <v>17577.082952008946</v>
      </c>
      <c r="L48" s="1050">
        <f>EXP(I48+(J43/2))</f>
        <v>19093.35905517036</v>
      </c>
    </row>
    <row r="49" spans="4:13">
      <c r="D49" s="1051" t="s">
        <v>449</v>
      </c>
      <c r="E49" s="23"/>
      <c r="F49" s="23"/>
      <c r="G49" s="314" t="s">
        <v>448</v>
      </c>
      <c r="H49" s="1195">
        <v>31261.084610797701</v>
      </c>
      <c r="I49" s="1196">
        <v>10.314036058503399</v>
      </c>
      <c r="J49" s="314" t="s">
        <v>448</v>
      </c>
      <c r="K49" s="1050">
        <f>K43</f>
        <v>30175.792060434753</v>
      </c>
      <c r="L49" s="1050">
        <f>L43</f>
        <v>32778.887950698823</v>
      </c>
    </row>
    <row r="50" spans="4:13">
      <c r="D50" s="2"/>
      <c r="E50" s="2"/>
      <c r="F50" s="2"/>
      <c r="G50" s="285" t="s">
        <v>443</v>
      </c>
      <c r="H50" s="1197">
        <v>48846.001245161198</v>
      </c>
      <c r="I50" s="1198">
        <v>10.8537208894553</v>
      </c>
      <c r="J50" s="285" t="s">
        <v>443</v>
      </c>
      <c r="K50" s="1052">
        <f>EXP(I50)</f>
        <v>51726.261424760502</v>
      </c>
      <c r="L50" s="1052">
        <f>EXP(I50+(J43/2))</f>
        <v>56188.395120003726</v>
      </c>
    </row>
    <row r="51" spans="4:13">
      <c r="H51" s="23"/>
      <c r="I51" s="23"/>
      <c r="J51" s="23"/>
      <c r="K51" s="23"/>
    </row>
    <row r="52" spans="4:13" ht="20.25">
      <c r="D52" s="818" t="s">
        <v>451</v>
      </c>
      <c r="H52" s="23"/>
      <c r="I52" s="23"/>
      <c r="J52" s="23"/>
      <c r="K52" s="23"/>
      <c r="L52" s="23"/>
      <c r="M52" s="23"/>
    </row>
    <row r="53" spans="4:13">
      <c r="H53" s="1049"/>
      <c r="I53" s="1049"/>
      <c r="J53" s="1049"/>
      <c r="K53" s="1049"/>
      <c r="L53" s="1049"/>
      <c r="M53" s="1049"/>
    </row>
    <row r="54" spans="4:13">
      <c r="H54" s="23"/>
      <c r="I54" s="23"/>
      <c r="J54" s="23"/>
      <c r="K54" s="23"/>
      <c r="L54" s="23"/>
      <c r="M54" s="23"/>
    </row>
  </sheetData>
  <mergeCells count="4">
    <mergeCell ref="H5:I5"/>
    <mergeCell ref="K5:L5"/>
    <mergeCell ref="H47:I47"/>
    <mergeCell ref="K45:L45"/>
  </mergeCells>
  <pageMargins left="0.7" right="0.7" top="0.75" bottom="0.75" header="0.3" footer="0.3"/>
  <pageSetup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6"/>
  <dimension ref="A1:AF157"/>
  <sheetViews>
    <sheetView workbookViewId="0">
      <pane ySplit="9" topLeftCell="A31" activePane="bottomLeft" state="frozen"/>
      <selection activeCell="D8" sqref="A1:XFD1048576"/>
      <selection pane="bottomLeft" activeCell="B13" sqref="B13"/>
    </sheetView>
  </sheetViews>
  <sheetFormatPr defaultRowHeight="15.75"/>
  <cols>
    <col min="1" max="1" width="9.25" customWidth="1"/>
    <col min="2" max="2" width="10.75" customWidth="1"/>
    <col min="3" max="3" width="13.75" customWidth="1"/>
    <col min="4" max="4" width="13.5" customWidth="1"/>
    <col min="5" max="5" width="5.25" customWidth="1"/>
    <col min="6" max="6" width="6.25" customWidth="1"/>
    <col min="7" max="7" width="11.25" customWidth="1"/>
    <col min="8" max="8" width="11.75" customWidth="1"/>
    <col min="9" max="9" width="10.25" customWidth="1"/>
    <col min="10" max="10" width="9.25" customWidth="1"/>
    <col min="11" max="11" width="9.5" customWidth="1"/>
    <col min="12" max="12" width="9.25" customWidth="1"/>
    <col min="13" max="13" width="14.625" customWidth="1"/>
    <col min="14" max="14" width="13.25" customWidth="1"/>
    <col min="15" max="15" width="13.125" customWidth="1"/>
    <col min="16" max="16" width="15.75" customWidth="1"/>
    <col min="17" max="17" width="13.5" customWidth="1"/>
    <col min="18" max="18" width="18.5" customWidth="1"/>
    <col min="19" max="19" width="16.25" customWidth="1"/>
    <col min="20" max="20" width="18" customWidth="1"/>
    <col min="21" max="21" width="14" customWidth="1"/>
    <col min="22" max="22" width="10" customWidth="1"/>
    <col min="23" max="23" width="13.5" customWidth="1"/>
    <col min="24" max="24" width="12.25" customWidth="1"/>
    <col min="25" max="25" width="14.25" customWidth="1"/>
    <col min="27" max="27" width="12.625" customWidth="1"/>
    <col min="29" max="29" width="14" customWidth="1"/>
    <col min="30" max="30" width="9.75" customWidth="1"/>
    <col min="31" max="31" width="13.5" customWidth="1"/>
    <col min="32" max="32" width="11.625" customWidth="1"/>
  </cols>
  <sheetData>
    <row r="1" spans="1:32" s="6" customFormat="1" ht="24.75" customHeight="1">
      <c r="A1" s="210" t="s">
        <v>171</v>
      </c>
    </row>
    <row r="2" spans="1:32" s="6" customFormat="1" ht="12.75" customHeight="1">
      <c r="G2" s="95" t="s">
        <v>93</v>
      </c>
      <c r="H2" s="6" t="s">
        <v>94</v>
      </c>
    </row>
    <row r="3" spans="1:32" s="6" customFormat="1" ht="12.75" customHeight="1">
      <c r="G3" s="95" t="s">
        <v>95</v>
      </c>
      <c r="H3" s="6" t="s">
        <v>96</v>
      </c>
    </row>
    <row r="4" spans="1:32" s="6" customFormat="1" ht="12.75" customHeight="1">
      <c r="G4" s="96" t="s">
        <v>92</v>
      </c>
      <c r="H4" s="6">
        <v>5</v>
      </c>
    </row>
    <row r="5" spans="1:32" s="6" customFormat="1" ht="12.75" customHeight="1"/>
    <row r="6" spans="1:32" s="6" customFormat="1" ht="12.75" customHeight="1"/>
    <row r="7" spans="1:32" s="6" customFormat="1" ht="12.75" customHeight="1">
      <c r="A7" s="97"/>
      <c r="B7" s="97"/>
      <c r="C7" s="98" t="s">
        <v>64</v>
      </c>
      <c r="D7" s="99"/>
      <c r="E7" s="98"/>
      <c r="F7" s="100"/>
      <c r="G7" s="101"/>
      <c r="H7" s="100" t="s">
        <v>65</v>
      </c>
      <c r="I7" s="100"/>
      <c r="J7" s="100"/>
      <c r="K7" s="100"/>
      <c r="L7" s="100"/>
      <c r="M7" s="102"/>
      <c r="N7" s="98" t="s">
        <v>66</v>
      </c>
      <c r="O7" s="100"/>
      <c r="P7" s="100"/>
      <c r="Q7" s="100"/>
      <c r="R7" s="99"/>
      <c r="S7" s="98" t="s">
        <v>174</v>
      </c>
      <c r="T7" s="100"/>
      <c r="U7" s="100"/>
      <c r="V7" s="100"/>
      <c r="W7" s="99"/>
      <c r="X7" s="103" t="s">
        <v>67</v>
      </c>
      <c r="Y7" s="103" t="s">
        <v>253</v>
      </c>
      <c r="Z7" s="104" t="s">
        <v>68</v>
      </c>
      <c r="AA7" s="104" t="s">
        <v>69</v>
      </c>
      <c r="AB7" s="104" t="s">
        <v>70</v>
      </c>
      <c r="AC7" s="104" t="s">
        <v>71</v>
      </c>
      <c r="AD7" s="87" t="s">
        <v>72</v>
      </c>
      <c r="AE7" s="88"/>
    </row>
    <row r="8" spans="1:32" s="6" customFormat="1" ht="12.75" customHeight="1">
      <c r="A8" s="105" t="s">
        <v>27</v>
      </c>
      <c r="B8" s="683" t="s">
        <v>360</v>
      </c>
      <c r="C8" s="103" t="s">
        <v>73</v>
      </c>
      <c r="D8" s="103" t="s">
        <v>74</v>
      </c>
      <c r="E8" s="97"/>
      <c r="F8" s="97"/>
      <c r="G8" s="107"/>
      <c r="H8" s="97"/>
      <c r="I8" s="103" t="s">
        <v>75</v>
      </c>
      <c r="J8" s="103" t="s">
        <v>76</v>
      </c>
      <c r="K8" s="103" t="s">
        <v>75</v>
      </c>
      <c r="L8" s="97"/>
      <c r="M8" s="108" t="s">
        <v>77</v>
      </c>
      <c r="N8" s="97"/>
      <c r="O8" s="97"/>
      <c r="P8" s="103" t="s">
        <v>78</v>
      </c>
      <c r="Q8" s="103" t="s">
        <v>79</v>
      </c>
      <c r="R8" s="103" t="s">
        <v>80</v>
      </c>
      <c r="S8" s="97"/>
      <c r="T8" s="97"/>
      <c r="U8" s="103" t="s">
        <v>78</v>
      </c>
      <c r="V8" s="103" t="s">
        <v>79</v>
      </c>
      <c r="W8" s="103" t="s">
        <v>80</v>
      </c>
      <c r="X8" s="105" t="s">
        <v>81</v>
      </c>
      <c r="Y8" s="105" t="s">
        <v>254</v>
      </c>
      <c r="Z8" s="106"/>
      <c r="AA8" s="103" t="s">
        <v>82</v>
      </c>
      <c r="AB8" s="103" t="s">
        <v>83</v>
      </c>
      <c r="AC8" s="103" t="s">
        <v>28</v>
      </c>
      <c r="AD8" s="104" t="s">
        <v>84</v>
      </c>
      <c r="AE8" s="104" t="s">
        <v>85</v>
      </c>
    </row>
    <row r="9" spans="1:32" s="6" customFormat="1" ht="14.25" customHeight="1">
      <c r="A9" s="109" t="s">
        <v>12</v>
      </c>
      <c r="B9" s="109" t="s">
        <v>12</v>
      </c>
      <c r="C9" s="111" t="s">
        <v>68</v>
      </c>
      <c r="D9" s="112" t="s">
        <v>153</v>
      </c>
      <c r="E9" s="109" t="s">
        <v>31</v>
      </c>
      <c r="F9" s="109" t="s">
        <v>86</v>
      </c>
      <c r="G9" s="112" t="s">
        <v>87</v>
      </c>
      <c r="H9" s="113" t="s">
        <v>88</v>
      </c>
      <c r="I9" s="114" t="s">
        <v>88</v>
      </c>
      <c r="J9" s="112" t="s">
        <v>154</v>
      </c>
      <c r="K9" s="109" t="s">
        <v>76</v>
      </c>
      <c r="L9" s="109" t="s">
        <v>155</v>
      </c>
      <c r="M9" s="115" t="s">
        <v>89</v>
      </c>
      <c r="N9" s="109" t="s">
        <v>156</v>
      </c>
      <c r="O9" s="115" t="s">
        <v>157</v>
      </c>
      <c r="P9" s="112" t="s">
        <v>154</v>
      </c>
      <c r="Q9" s="109" t="s">
        <v>158</v>
      </c>
      <c r="R9" s="109" t="s">
        <v>158</v>
      </c>
      <c r="S9" s="109" t="s">
        <v>156</v>
      </c>
      <c r="T9" s="115" t="s">
        <v>157</v>
      </c>
      <c r="U9" s="112" t="s">
        <v>154</v>
      </c>
      <c r="V9" s="109" t="s">
        <v>158</v>
      </c>
      <c r="W9" s="109" t="s">
        <v>158</v>
      </c>
      <c r="X9" s="116" t="s">
        <v>159</v>
      </c>
      <c r="Y9" s="116" t="s">
        <v>255</v>
      </c>
      <c r="Z9" s="109" t="s">
        <v>110</v>
      </c>
      <c r="AA9" s="109" t="s">
        <v>90</v>
      </c>
      <c r="AB9" s="109" t="s">
        <v>90</v>
      </c>
      <c r="AC9" s="109" t="s">
        <v>12</v>
      </c>
      <c r="AD9" s="104" t="s">
        <v>79</v>
      </c>
      <c r="AE9" s="104" t="s">
        <v>80</v>
      </c>
      <c r="AF9" s="104" t="s">
        <v>91</v>
      </c>
    </row>
    <row r="10" spans="1:32" s="6" customFormat="1" ht="12.75" customHeight="1">
      <c r="A10" s="119"/>
      <c r="B10" s="94"/>
      <c r="C10" s="117"/>
      <c r="D10" s="118"/>
      <c r="E10" s="119"/>
      <c r="F10" s="119"/>
      <c r="G10" s="118"/>
      <c r="H10" s="120"/>
      <c r="I10" s="121"/>
      <c r="J10" s="118"/>
      <c r="K10" s="119"/>
      <c r="L10" s="119"/>
      <c r="M10" s="122"/>
      <c r="N10" s="119"/>
      <c r="O10" s="122"/>
      <c r="P10" s="118"/>
      <c r="Q10" s="119"/>
      <c r="R10" s="119"/>
      <c r="S10" s="119"/>
      <c r="T10" s="122"/>
      <c r="U10" s="118"/>
      <c r="V10" s="119"/>
      <c r="W10" s="119"/>
      <c r="X10" s="123"/>
      <c r="Y10" s="123"/>
      <c r="Z10" s="119"/>
      <c r="AA10" s="119"/>
      <c r="AB10" s="119"/>
      <c r="AC10" s="119"/>
      <c r="AD10" s="119"/>
      <c r="AE10" s="119"/>
      <c r="AF10" s="119"/>
    </row>
    <row r="11" spans="1:32" s="6" customFormat="1" ht="12.75" customHeight="1">
      <c r="A11" s="119">
        <v>1977</v>
      </c>
      <c r="B11" s="980">
        <f t="shared" ref="B11:B44" si="0">A11+$H$4</f>
        <v>1982</v>
      </c>
      <c r="C11" s="64">
        <f>VLOOKUP($A11,FBrood!$A$8:$M$50,4)</f>
        <v>6.9651992487549279</v>
      </c>
      <c r="D11" s="64">
        <f>VLOOKUP($A11,FBrood!$A$8:$M$50,8)</f>
        <v>10.13504358499859</v>
      </c>
      <c r="E11" s="340">
        <v>34</v>
      </c>
      <c r="F11" s="341">
        <v>32</v>
      </c>
      <c r="G11" s="124">
        <v>3.4874460328637547</v>
      </c>
      <c r="H11" s="124">
        <v>0.81820780469408827</v>
      </c>
      <c r="I11" s="124">
        <v>8.7640675192297984E-2</v>
      </c>
      <c r="J11" s="124">
        <v>9.1864264194444374</v>
      </c>
      <c r="K11" s="124">
        <v>0.37232912076109964</v>
      </c>
      <c r="L11" s="124">
        <v>0.73145286769199958</v>
      </c>
      <c r="M11" s="124">
        <v>0.142456952670305</v>
      </c>
      <c r="N11" s="354">
        <f t="shared" ref="N11:N46" si="1">D11-J11</f>
        <v>0.94861716555415221</v>
      </c>
      <c r="O11" s="65">
        <f t="shared" ref="O11:O46" si="2">N11^2</f>
        <v>0.89987452678399382</v>
      </c>
      <c r="P11" s="355">
        <f t="shared" ref="P11:P46" si="3">J11</f>
        <v>9.1864264194444374</v>
      </c>
      <c r="Q11" s="25" t="e">
        <f t="shared" ref="Q11:Q46" si="4">$P11-SQRT($O$52)*$Q$52</f>
        <v>#NUM!</v>
      </c>
      <c r="R11" s="25" t="e">
        <f t="shared" ref="R11:R46" si="5">$P11+SQRT($O$52)*$Q$52</f>
        <v>#NUM!</v>
      </c>
      <c r="S11" s="67">
        <f t="shared" ref="S11:S46" si="6">EXP(D11)-U11</f>
        <v>15447.501934686026</v>
      </c>
      <c r="T11" s="370">
        <f t="shared" ref="T11:T46" si="7">S11^2</f>
        <v>238625316.02212852</v>
      </c>
      <c r="U11" s="67">
        <f t="shared" ref="U11:U46" si="8">EXP(P11)</f>
        <v>9763.697202859219</v>
      </c>
      <c r="V11" s="68" t="e">
        <f t="shared" ref="V11:V46" si="9">EXP(Q11)</f>
        <v>#NUM!</v>
      </c>
      <c r="W11" s="68" t="e">
        <f t="shared" ref="W11:W46" si="10">EXP(R11)</f>
        <v>#NUM!</v>
      </c>
      <c r="X11" s="69">
        <f t="shared" ref="X11:X46" si="11">(+U11-EXP(D11))/(EXP(D11))</f>
        <v>-0.61272380779703417</v>
      </c>
      <c r="Y11" s="69">
        <f t="shared" ref="Y11:Y46" si="12">ABS(X11)</f>
        <v>0.61272380779703417</v>
      </c>
      <c r="Z11" s="339">
        <f t="shared" ref="Z11:Z46" si="13">C11</f>
        <v>6.9651992487549279</v>
      </c>
      <c r="AA11" s="71">
        <f t="shared" ref="AA11:AA46" si="14">(+$G$47+$H$47*C11)</f>
        <v>0</v>
      </c>
      <c r="AB11" s="70">
        <f t="shared" ref="AB11:AB46" si="15">D11</f>
        <v>10.13504358499859</v>
      </c>
      <c r="AC11" s="368" t="str">
        <f t="shared" ref="AC11:AC46" si="16">RIGHT(B11,2)</f>
        <v>82</v>
      </c>
      <c r="AD11" s="81" t="e">
        <f t="shared" ref="AD11:AD46" si="17">AA11-SQRT($O$51)*$Q$51</f>
        <v>#NUM!</v>
      </c>
      <c r="AE11" s="82" t="e">
        <f t="shared" ref="AE11:AE43" si="18">AA11+SQRT($O$51)*$Q$51</f>
        <v>#NUM!</v>
      </c>
      <c r="AF11" s="361" t="e">
        <f t="shared" ref="AF11:AF43" si="19">AB11+SQRT($O$51)*$Q$51</f>
        <v>#NUM!</v>
      </c>
    </row>
    <row r="12" spans="1:32" s="6" customFormat="1" ht="12.75" customHeight="1">
      <c r="A12" s="119">
        <v>1978</v>
      </c>
      <c r="B12" s="980">
        <f t="shared" si="0"/>
        <v>1983</v>
      </c>
      <c r="C12" s="64">
        <f>VLOOKUP($A12,FBrood!$A$8:$M$50,4)</f>
        <v>8.1821467439441573</v>
      </c>
      <c r="D12" s="64">
        <f>VLOOKUP($A12,FBrood!$A$8:$M$50,8)</f>
        <v>10.431687290277248</v>
      </c>
      <c r="E12" s="340">
        <v>34</v>
      </c>
      <c r="F12" s="341">
        <v>32</v>
      </c>
      <c r="G12" s="124">
        <v>3.9999950098128156</v>
      </c>
      <c r="H12" s="124">
        <v>0.75831480530869122</v>
      </c>
      <c r="I12" s="124">
        <v>9.0836619729703444E-2</v>
      </c>
      <c r="J12" s="124">
        <v>10.204638024953972</v>
      </c>
      <c r="K12" s="124">
        <v>0.40268091497026193</v>
      </c>
      <c r="L12" s="124">
        <v>0.68532143914544452</v>
      </c>
      <c r="M12" s="124">
        <v>0.16771999191902751</v>
      </c>
      <c r="N12" s="354">
        <f t="shared" si="1"/>
        <v>0.22704926532327541</v>
      </c>
      <c r="O12" s="65">
        <f t="shared" si="2"/>
        <v>5.1551368883839113E-2</v>
      </c>
      <c r="P12" s="355">
        <f t="shared" si="3"/>
        <v>10.204638024953972</v>
      </c>
      <c r="Q12" s="25" t="e">
        <f t="shared" si="4"/>
        <v>#NUM!</v>
      </c>
      <c r="R12" s="25" t="e">
        <f t="shared" si="5"/>
        <v>#NUM!</v>
      </c>
      <c r="S12" s="67">
        <f t="shared" si="6"/>
        <v>6889.2771950318747</v>
      </c>
      <c r="T12" s="25">
        <f t="shared" si="7"/>
        <v>47462140.269986257</v>
      </c>
      <c r="U12" s="67">
        <f t="shared" si="8"/>
        <v>27028.253531448481</v>
      </c>
      <c r="V12" s="68" t="e">
        <f t="shared" si="9"/>
        <v>#NUM!</v>
      </c>
      <c r="W12" s="68" t="e">
        <f t="shared" si="10"/>
        <v>#NUM!</v>
      </c>
      <c r="X12" s="69">
        <f t="shared" si="11"/>
        <v>-0.20311847730274848</v>
      </c>
      <c r="Y12" s="69">
        <f t="shared" si="12"/>
        <v>0.20311847730274848</v>
      </c>
      <c r="Z12" s="70">
        <f t="shared" si="13"/>
        <v>8.1821467439441573</v>
      </c>
      <c r="AA12" s="71">
        <f t="shared" si="14"/>
        <v>0</v>
      </c>
      <c r="AB12" s="70">
        <f t="shared" si="15"/>
        <v>10.431687290277248</v>
      </c>
      <c r="AC12" s="368" t="str">
        <f t="shared" si="16"/>
        <v>83</v>
      </c>
      <c r="AD12" s="81" t="e">
        <f t="shared" si="17"/>
        <v>#NUM!</v>
      </c>
      <c r="AE12" s="82" t="e">
        <f t="shared" si="18"/>
        <v>#NUM!</v>
      </c>
      <c r="AF12" s="361" t="e">
        <f t="shared" si="19"/>
        <v>#NUM!</v>
      </c>
    </row>
    <row r="13" spans="1:32" s="6" customFormat="1" ht="12.75" customHeight="1">
      <c r="A13" s="119">
        <v>1981</v>
      </c>
      <c r="B13" s="980">
        <f t="shared" si="0"/>
        <v>1986</v>
      </c>
      <c r="C13" s="64">
        <f>VLOOKUP($A13,FBrood!$A$8:$M$50,4)</f>
        <v>7.9476460397232467</v>
      </c>
      <c r="D13" s="64">
        <f>VLOOKUP($A13,FBrood!$A$8:$M$50,8)</f>
        <v>9.9934902869486333</v>
      </c>
      <c r="E13" s="340">
        <v>34</v>
      </c>
      <c r="F13" s="341">
        <v>32</v>
      </c>
      <c r="G13" s="124">
        <v>4.0152196378641722</v>
      </c>
      <c r="H13" s="124">
        <v>0.75739444047644366</v>
      </c>
      <c r="I13" s="124">
        <v>9.1426623598279189E-2</v>
      </c>
      <c r="J13" s="124">
        <v>10.034722563225184</v>
      </c>
      <c r="K13" s="124">
        <v>0.40455577086734401</v>
      </c>
      <c r="L13" s="124">
        <v>0.68199582015916171</v>
      </c>
      <c r="M13" s="124">
        <v>0.16880677426812915</v>
      </c>
      <c r="N13" s="354">
        <f t="shared" si="1"/>
        <v>-4.1232276276550905E-2</v>
      </c>
      <c r="O13" s="65">
        <f t="shared" si="2"/>
        <v>1.7001006069458226E-3</v>
      </c>
      <c r="P13" s="355">
        <f t="shared" si="3"/>
        <v>10.034722563225184</v>
      </c>
      <c r="Q13" s="25" t="e">
        <f t="shared" si="4"/>
        <v>#NUM!</v>
      </c>
      <c r="R13" s="25" t="e">
        <f t="shared" si="5"/>
        <v>#NUM!</v>
      </c>
      <c r="S13" s="67">
        <f t="shared" si="6"/>
        <v>-921.16883550646162</v>
      </c>
      <c r="T13" s="25">
        <f t="shared" si="7"/>
        <v>848552.02350833057</v>
      </c>
      <c r="U13" s="67">
        <f t="shared" si="8"/>
        <v>22804.714348169367</v>
      </c>
      <c r="V13" s="68" t="e">
        <f t="shared" si="9"/>
        <v>#NUM!</v>
      </c>
      <c r="W13" s="68" t="e">
        <f t="shared" si="10"/>
        <v>#NUM!</v>
      </c>
      <c r="X13" s="69">
        <f t="shared" si="11"/>
        <v>4.2094131180590806E-2</v>
      </c>
      <c r="Y13" s="69">
        <f t="shared" si="12"/>
        <v>4.2094131180590806E-2</v>
      </c>
      <c r="Z13" s="70">
        <f t="shared" si="13"/>
        <v>7.9476460397232467</v>
      </c>
      <c r="AA13" s="71">
        <f t="shared" si="14"/>
        <v>0</v>
      </c>
      <c r="AB13" s="70">
        <f t="shared" si="15"/>
        <v>9.9934902869486333</v>
      </c>
      <c r="AC13" s="368" t="str">
        <f t="shared" si="16"/>
        <v>86</v>
      </c>
      <c r="AD13" s="81" t="e">
        <f t="shared" si="17"/>
        <v>#NUM!</v>
      </c>
      <c r="AE13" s="82" t="e">
        <f t="shared" si="18"/>
        <v>#NUM!</v>
      </c>
      <c r="AF13" s="361" t="e">
        <f t="shared" si="19"/>
        <v>#NUM!</v>
      </c>
    </row>
    <row r="14" spans="1:32" s="6" customFormat="1" ht="12.75" customHeight="1">
      <c r="A14" s="119">
        <v>1982</v>
      </c>
      <c r="B14" s="980">
        <f t="shared" si="0"/>
        <v>1987</v>
      </c>
      <c r="C14" s="64">
        <f>VLOOKUP($A14,FBrood!$A$8:$M$50,4)</f>
        <v>7.7631542768994439</v>
      </c>
      <c r="D14" s="64">
        <f>VLOOKUP($A14,FBrood!$A$8:$M$50,8)</f>
        <v>9.2102874380007052</v>
      </c>
      <c r="E14" s="340">
        <v>34</v>
      </c>
      <c r="F14" s="341">
        <v>32</v>
      </c>
      <c r="G14" s="124">
        <v>4.1635857341716944</v>
      </c>
      <c r="H14" s="124">
        <v>0.74166038364285891</v>
      </c>
      <c r="I14" s="124">
        <v>8.7402820971419909E-2</v>
      </c>
      <c r="J14" s="124">
        <v>9.921209713455637</v>
      </c>
      <c r="K14" s="124">
        <v>0.38540495980811645</v>
      </c>
      <c r="L14" s="124">
        <v>0.69232082094481984</v>
      </c>
      <c r="M14" s="124">
        <v>0.15326616536153756</v>
      </c>
      <c r="N14" s="354">
        <f t="shared" si="1"/>
        <v>-0.71092227545493181</v>
      </c>
      <c r="O14" s="65">
        <f t="shared" si="2"/>
        <v>0.50541048173801795</v>
      </c>
      <c r="P14" s="355">
        <f t="shared" si="3"/>
        <v>9.921209713455637</v>
      </c>
      <c r="Q14" s="25" t="e">
        <f t="shared" si="4"/>
        <v>#NUM!</v>
      </c>
      <c r="R14" s="25" t="e">
        <f t="shared" si="5"/>
        <v>#NUM!</v>
      </c>
      <c r="S14" s="67">
        <f t="shared" si="6"/>
        <v>-10358.131930131456</v>
      </c>
      <c r="T14" s="25">
        <f t="shared" si="7"/>
        <v>107290897.08200881</v>
      </c>
      <c r="U14" s="67">
        <f t="shared" si="8"/>
        <v>20357.602604386462</v>
      </c>
      <c r="V14" s="68" t="e">
        <f t="shared" si="9"/>
        <v>#NUM!</v>
      </c>
      <c r="W14" s="68" t="e">
        <f t="shared" si="10"/>
        <v>#NUM!</v>
      </c>
      <c r="X14" s="69">
        <f t="shared" si="11"/>
        <v>1.0358680241745069</v>
      </c>
      <c r="Y14" s="69">
        <f t="shared" si="12"/>
        <v>1.0358680241745069</v>
      </c>
      <c r="Z14" s="70">
        <f t="shared" si="13"/>
        <v>7.7631542768994439</v>
      </c>
      <c r="AA14" s="71">
        <f t="shared" si="14"/>
        <v>0</v>
      </c>
      <c r="AB14" s="70">
        <f t="shared" si="15"/>
        <v>9.2102874380007052</v>
      </c>
      <c r="AC14" s="368" t="str">
        <f t="shared" si="16"/>
        <v>87</v>
      </c>
      <c r="AD14" s="81" t="e">
        <f t="shared" si="17"/>
        <v>#NUM!</v>
      </c>
      <c r="AE14" s="82" t="e">
        <f t="shared" si="18"/>
        <v>#NUM!</v>
      </c>
      <c r="AF14" s="361" t="e">
        <f t="shared" si="19"/>
        <v>#NUM!</v>
      </c>
    </row>
    <row r="15" spans="1:32" s="6" customFormat="1" ht="12.75" customHeight="1">
      <c r="A15" s="119">
        <v>1983</v>
      </c>
      <c r="B15" s="980">
        <f t="shared" si="0"/>
        <v>1988</v>
      </c>
      <c r="C15" s="64">
        <f>VLOOKUP($A15,FBrood!$A$8:$M$50,4)</f>
        <v>6.7203183131237312</v>
      </c>
      <c r="D15" s="64">
        <f>VLOOKUP($A15,FBrood!$A$8:$M$50,8)</f>
        <v>8.9586545817934145</v>
      </c>
      <c r="E15" s="340">
        <v>34</v>
      </c>
      <c r="F15" s="341">
        <v>32</v>
      </c>
      <c r="G15" s="124">
        <v>4.1193653594366095</v>
      </c>
      <c r="H15" s="124">
        <v>0.74515703396049648</v>
      </c>
      <c r="I15" s="124">
        <v>9.6893040062323244E-2</v>
      </c>
      <c r="J15" s="124">
        <v>9.1270578209142954</v>
      </c>
      <c r="K15" s="124">
        <v>0.40367860963300695</v>
      </c>
      <c r="L15" s="124">
        <v>0.64890709412103753</v>
      </c>
      <c r="M15" s="124">
        <v>0.16734082257495811</v>
      </c>
      <c r="N15" s="354">
        <f t="shared" si="1"/>
        <v>-0.16840323912088095</v>
      </c>
      <c r="O15" s="65">
        <f t="shared" si="2"/>
        <v>2.8359650946404611E-2</v>
      </c>
      <c r="P15" s="355">
        <f t="shared" si="3"/>
        <v>9.1270578209142954</v>
      </c>
      <c r="Q15" s="25" t="e">
        <f t="shared" si="4"/>
        <v>#NUM!</v>
      </c>
      <c r="R15" s="25" t="e">
        <f t="shared" si="5"/>
        <v>#NUM!</v>
      </c>
      <c r="S15" s="67">
        <f t="shared" si="6"/>
        <v>-1426.0214339297963</v>
      </c>
      <c r="T15" s="25">
        <f t="shared" si="7"/>
        <v>2033537.1300271924</v>
      </c>
      <c r="U15" s="67">
        <f t="shared" si="8"/>
        <v>9200.911377608727</v>
      </c>
      <c r="V15" s="68" t="e">
        <f t="shared" si="9"/>
        <v>#NUM!</v>
      </c>
      <c r="W15" s="68" t="e">
        <f t="shared" si="10"/>
        <v>#NUM!</v>
      </c>
      <c r="X15" s="69">
        <f t="shared" si="11"/>
        <v>0.18341371315347907</v>
      </c>
      <c r="Y15" s="69">
        <f t="shared" si="12"/>
        <v>0.18341371315347907</v>
      </c>
      <c r="Z15" s="70">
        <f t="shared" si="13"/>
        <v>6.7203183131237312</v>
      </c>
      <c r="AA15" s="71">
        <f t="shared" si="14"/>
        <v>0</v>
      </c>
      <c r="AB15" s="70">
        <f t="shared" si="15"/>
        <v>8.9586545817934145</v>
      </c>
      <c r="AC15" s="368" t="str">
        <f t="shared" si="16"/>
        <v>88</v>
      </c>
      <c r="AD15" s="81" t="e">
        <f t="shared" si="17"/>
        <v>#NUM!</v>
      </c>
      <c r="AE15" s="82" t="e">
        <f t="shared" si="18"/>
        <v>#NUM!</v>
      </c>
      <c r="AF15" s="361" t="e">
        <f t="shared" si="19"/>
        <v>#NUM!</v>
      </c>
    </row>
    <row r="16" spans="1:32" s="6" customFormat="1" ht="12.75" customHeight="1">
      <c r="A16" s="119">
        <v>1984</v>
      </c>
      <c r="B16" s="980">
        <f t="shared" si="0"/>
        <v>1989</v>
      </c>
      <c r="C16" s="64">
        <f>VLOOKUP($A16,FBrood!$A$8:$M$50,4)</f>
        <v>6.8778079534695964</v>
      </c>
      <c r="D16" s="64">
        <f>VLOOKUP($A16,FBrood!$A$8:$M$50,8)</f>
        <v>8.9356471061030138</v>
      </c>
      <c r="E16" s="340">
        <v>34</v>
      </c>
      <c r="F16" s="341">
        <v>32</v>
      </c>
      <c r="G16" s="124">
        <v>4.2006093316439816</v>
      </c>
      <c r="H16" s="124">
        <v>0.73581286459680151</v>
      </c>
      <c r="I16" s="124">
        <v>9.5001897801762061E-2</v>
      </c>
      <c r="J16" s="124">
        <v>9.2613889040331099</v>
      </c>
      <c r="K16" s="124">
        <v>0.40099462588499463</v>
      </c>
      <c r="L16" s="124">
        <v>0.65213157246917708</v>
      </c>
      <c r="M16" s="124">
        <v>0.16507177144046303</v>
      </c>
      <c r="N16" s="354">
        <f t="shared" si="1"/>
        <v>-0.32574179793009606</v>
      </c>
      <c r="O16" s="65">
        <f t="shared" si="2"/>
        <v>0.10610771891873153</v>
      </c>
      <c r="P16" s="355">
        <f t="shared" si="3"/>
        <v>9.2613889040331099</v>
      </c>
      <c r="Q16" s="25" t="e">
        <f t="shared" si="4"/>
        <v>#NUM!</v>
      </c>
      <c r="R16" s="25" t="e">
        <f t="shared" si="5"/>
        <v>#NUM!</v>
      </c>
      <c r="S16" s="67">
        <f t="shared" si="6"/>
        <v>-2925.688202639968</v>
      </c>
      <c r="T16" s="25">
        <f t="shared" si="7"/>
        <v>8559651.4590666872</v>
      </c>
      <c r="U16" s="67">
        <f t="shared" si="8"/>
        <v>10523.739659170864</v>
      </c>
      <c r="V16" s="68" t="e">
        <f t="shared" si="9"/>
        <v>#NUM!</v>
      </c>
      <c r="W16" s="68" t="e">
        <f t="shared" si="10"/>
        <v>#NUM!</v>
      </c>
      <c r="X16" s="69">
        <f t="shared" si="11"/>
        <v>0.38505769793454037</v>
      </c>
      <c r="Y16" s="69">
        <f t="shared" si="12"/>
        <v>0.38505769793454037</v>
      </c>
      <c r="Z16" s="70">
        <f t="shared" si="13"/>
        <v>6.8778079534695964</v>
      </c>
      <c r="AA16" s="71">
        <f t="shared" si="14"/>
        <v>0</v>
      </c>
      <c r="AB16" s="70">
        <f t="shared" si="15"/>
        <v>8.9356471061030138</v>
      </c>
      <c r="AC16" s="368" t="str">
        <f t="shared" si="16"/>
        <v>89</v>
      </c>
      <c r="AD16" s="81" t="e">
        <f t="shared" si="17"/>
        <v>#NUM!</v>
      </c>
      <c r="AE16" s="82" t="e">
        <f t="shared" si="18"/>
        <v>#NUM!</v>
      </c>
      <c r="AF16" s="361" t="e">
        <f t="shared" si="19"/>
        <v>#NUM!</v>
      </c>
    </row>
    <row r="17" spans="1:32" s="6" customFormat="1" ht="12.75" customHeight="1">
      <c r="A17" s="119">
        <v>1985</v>
      </c>
      <c r="B17" s="980">
        <f t="shared" si="0"/>
        <v>1990</v>
      </c>
      <c r="C17" s="64">
        <f>VLOOKUP($A17,FBrood!$A$8:$M$50,4)</f>
        <v>6.6752034431023413</v>
      </c>
      <c r="D17" s="64">
        <f>VLOOKUP($A17,FBrood!$A$8:$M$50,8)</f>
        <v>8.6300723085055857</v>
      </c>
      <c r="E17" s="340">
        <v>34</v>
      </c>
      <c r="F17" s="341">
        <v>32</v>
      </c>
      <c r="G17" s="124">
        <v>4.3748580733550471</v>
      </c>
      <c r="H17" s="124">
        <v>0.7153578062760122</v>
      </c>
      <c r="I17" s="124">
        <v>9.5140950232407734E-2</v>
      </c>
      <c r="J17" s="124">
        <v>9.1500169648588212</v>
      </c>
      <c r="K17" s="124">
        <v>0.39476817585435453</v>
      </c>
      <c r="L17" s="124">
        <v>0.63855797887551191</v>
      </c>
      <c r="M17" s="124">
        <v>0.15965948280445905</v>
      </c>
      <c r="N17" s="354">
        <f t="shared" si="1"/>
        <v>-0.5199446563532355</v>
      </c>
      <c r="O17" s="65">
        <f t="shared" si="2"/>
        <v>0.27034244567028415</v>
      </c>
      <c r="P17" s="355">
        <f t="shared" si="3"/>
        <v>9.1500169648588212</v>
      </c>
      <c r="Q17" s="25" t="e">
        <f t="shared" si="4"/>
        <v>#NUM!</v>
      </c>
      <c r="R17" s="25" t="e">
        <f t="shared" si="5"/>
        <v>#NUM!</v>
      </c>
      <c r="S17" s="67">
        <f t="shared" si="6"/>
        <v>-3817.1171109561828</v>
      </c>
      <c r="T17" s="25">
        <f t="shared" si="7"/>
        <v>14570383.038754476</v>
      </c>
      <c r="U17" s="67">
        <f t="shared" si="8"/>
        <v>9414.60009476495</v>
      </c>
      <c r="V17" s="68" t="e">
        <f t="shared" si="9"/>
        <v>#NUM!</v>
      </c>
      <c r="W17" s="68" t="e">
        <f t="shared" si="10"/>
        <v>#NUM!</v>
      </c>
      <c r="X17" s="69">
        <f t="shared" si="11"/>
        <v>0.68193456273070308</v>
      </c>
      <c r="Y17" s="69">
        <f t="shared" si="12"/>
        <v>0.68193456273070308</v>
      </c>
      <c r="Z17" s="70">
        <f t="shared" si="13"/>
        <v>6.6752034431023413</v>
      </c>
      <c r="AA17" s="71">
        <f t="shared" si="14"/>
        <v>0</v>
      </c>
      <c r="AB17" s="70">
        <f t="shared" si="15"/>
        <v>8.6300723085055857</v>
      </c>
      <c r="AC17" s="368" t="str">
        <f t="shared" si="16"/>
        <v>90</v>
      </c>
      <c r="AD17" s="81" t="e">
        <f t="shared" si="17"/>
        <v>#NUM!</v>
      </c>
      <c r="AE17" s="82" t="e">
        <f t="shared" si="18"/>
        <v>#NUM!</v>
      </c>
      <c r="AF17" s="361" t="e">
        <f t="shared" si="19"/>
        <v>#NUM!</v>
      </c>
    </row>
    <row r="18" spans="1:32" s="6" customFormat="1" ht="12.75" customHeight="1">
      <c r="A18" s="119">
        <v>1986</v>
      </c>
      <c r="B18" s="980">
        <f t="shared" si="0"/>
        <v>1991</v>
      </c>
      <c r="C18" s="64">
        <f>VLOOKUP($A18,FBrood!$A$8:$M$50,4)</f>
        <v>7.1463014420176147</v>
      </c>
      <c r="D18" s="64">
        <f>VLOOKUP($A18,FBrood!$A$8:$M$50,8)</f>
        <v>9.8927634816679095</v>
      </c>
      <c r="E18" s="340">
        <v>34</v>
      </c>
      <c r="F18" s="341">
        <v>32</v>
      </c>
      <c r="G18" s="124">
        <v>3.7669580756735854</v>
      </c>
      <c r="H18" s="124">
        <v>0.78569953482454569</v>
      </c>
      <c r="I18" s="124">
        <v>9.1955048641165965E-2</v>
      </c>
      <c r="J18" s="124">
        <v>9.3818037943828045</v>
      </c>
      <c r="K18" s="124">
        <v>0.39530240652914678</v>
      </c>
      <c r="L18" s="124">
        <v>0.69525710989715794</v>
      </c>
      <c r="M18" s="124">
        <v>0.16082995576159154</v>
      </c>
      <c r="N18" s="354">
        <f t="shared" si="1"/>
        <v>0.51095968728510499</v>
      </c>
      <c r="O18" s="65">
        <f t="shared" si="2"/>
        <v>0.2610798020304923</v>
      </c>
      <c r="P18" s="355">
        <f t="shared" si="3"/>
        <v>9.3818037943828045</v>
      </c>
      <c r="Q18" s="25" t="e">
        <f t="shared" si="4"/>
        <v>#NUM!</v>
      </c>
      <c r="R18" s="25" t="e">
        <f t="shared" si="5"/>
        <v>#NUM!</v>
      </c>
      <c r="S18" s="67">
        <f t="shared" si="6"/>
        <v>7916.2573110432586</v>
      </c>
      <c r="T18" s="25">
        <f t="shared" si="7"/>
        <v>62667129.814645842</v>
      </c>
      <c r="U18" s="67">
        <f t="shared" si="8"/>
        <v>11870.407228453116</v>
      </c>
      <c r="V18" s="68" t="e">
        <f t="shared" si="9"/>
        <v>#NUM!</v>
      </c>
      <c r="W18" s="68" t="e">
        <f t="shared" si="10"/>
        <v>#NUM!</v>
      </c>
      <c r="X18" s="69">
        <f t="shared" si="11"/>
        <v>-0.40008043271980137</v>
      </c>
      <c r="Y18" s="69">
        <f t="shared" si="12"/>
        <v>0.40008043271980137</v>
      </c>
      <c r="Z18" s="70">
        <f t="shared" si="13"/>
        <v>7.1463014420176147</v>
      </c>
      <c r="AA18" s="71">
        <f t="shared" si="14"/>
        <v>0</v>
      </c>
      <c r="AB18" s="70">
        <f t="shared" si="15"/>
        <v>9.8927634816679095</v>
      </c>
      <c r="AC18" s="368" t="str">
        <f t="shared" si="16"/>
        <v>91</v>
      </c>
      <c r="AD18" s="81" t="e">
        <f t="shared" si="17"/>
        <v>#NUM!</v>
      </c>
      <c r="AE18" s="82" t="e">
        <f t="shared" si="18"/>
        <v>#NUM!</v>
      </c>
      <c r="AF18" s="361" t="e">
        <f t="shared" si="19"/>
        <v>#NUM!</v>
      </c>
    </row>
    <row r="19" spans="1:32" s="6" customFormat="1" ht="12.75" customHeight="1">
      <c r="A19" s="119">
        <v>1987</v>
      </c>
      <c r="B19" s="980">
        <f t="shared" si="0"/>
        <v>1992</v>
      </c>
      <c r="C19" s="64">
        <f>VLOOKUP($A19,FBrood!$A$8:$M$50,4)</f>
        <v>7.0444165992449843</v>
      </c>
      <c r="D19" s="64">
        <f>VLOOKUP($A19,FBrood!$A$8:$M$50,8)</f>
        <v>9.1458366599460579</v>
      </c>
      <c r="E19" s="340">
        <v>34</v>
      </c>
      <c r="F19" s="341">
        <v>32</v>
      </c>
      <c r="G19" s="124">
        <v>4.1258438815908454</v>
      </c>
      <c r="H19" s="124">
        <v>0.74456527026044694</v>
      </c>
      <c r="I19" s="124">
        <v>9.4311585519569488E-2</v>
      </c>
      <c r="J19" s="124">
        <v>9.3708718306348651</v>
      </c>
      <c r="K19" s="124">
        <v>0.40285176232939257</v>
      </c>
      <c r="L19" s="124">
        <v>0.66075421383617616</v>
      </c>
      <c r="M19" s="124">
        <v>0.16698407023215864</v>
      </c>
      <c r="N19" s="354">
        <f t="shared" si="1"/>
        <v>-0.22503517068880718</v>
      </c>
      <c r="O19" s="65">
        <f t="shared" si="2"/>
        <v>5.0640828046940582E-2</v>
      </c>
      <c r="P19" s="355">
        <f t="shared" si="3"/>
        <v>9.3708718306348651</v>
      </c>
      <c r="Q19" s="25" t="e">
        <f t="shared" si="4"/>
        <v>#NUM!</v>
      </c>
      <c r="R19" s="25" t="e">
        <f t="shared" si="5"/>
        <v>#NUM!</v>
      </c>
      <c r="S19" s="67">
        <f t="shared" si="6"/>
        <v>-2366.020751564889</v>
      </c>
      <c r="T19" s="25">
        <f t="shared" si="7"/>
        <v>5598054.1968356818</v>
      </c>
      <c r="U19" s="67">
        <f t="shared" si="8"/>
        <v>11741.347092626986</v>
      </c>
      <c r="V19" s="68" t="e">
        <f t="shared" si="9"/>
        <v>#NUM!</v>
      </c>
      <c r="W19" s="68" t="e">
        <f t="shared" si="10"/>
        <v>#NUM!</v>
      </c>
      <c r="X19" s="69">
        <f t="shared" si="11"/>
        <v>0.2523667620189583</v>
      </c>
      <c r="Y19" s="69">
        <f t="shared" si="12"/>
        <v>0.2523667620189583</v>
      </c>
      <c r="Z19" s="70">
        <f t="shared" si="13"/>
        <v>7.0444165992449843</v>
      </c>
      <c r="AA19" s="71">
        <f t="shared" si="14"/>
        <v>0</v>
      </c>
      <c r="AB19" s="70">
        <f t="shared" si="15"/>
        <v>9.1458366599460579</v>
      </c>
      <c r="AC19" s="368" t="str">
        <f t="shared" si="16"/>
        <v>92</v>
      </c>
      <c r="AD19" s="81" t="e">
        <f t="shared" si="17"/>
        <v>#NUM!</v>
      </c>
      <c r="AE19" s="82" t="e">
        <f t="shared" si="18"/>
        <v>#NUM!</v>
      </c>
      <c r="AF19" s="361" t="e">
        <f t="shared" si="19"/>
        <v>#NUM!</v>
      </c>
    </row>
    <row r="20" spans="1:32" s="6" customFormat="1" ht="12.75" customHeight="1">
      <c r="A20" s="119">
        <v>1988</v>
      </c>
      <c r="B20" s="980">
        <f t="shared" si="0"/>
        <v>1993</v>
      </c>
      <c r="C20" s="64">
        <f>VLOOKUP($A20,FBrood!$A$8:$M$50,4)</f>
        <v>8.2490610282566887</v>
      </c>
      <c r="D20" s="64">
        <f>VLOOKUP($A20,FBrood!$A$8:$M$50,8)</f>
        <v>10.352901931665681</v>
      </c>
      <c r="E20" s="340">
        <v>34</v>
      </c>
      <c r="F20" s="341">
        <v>32</v>
      </c>
      <c r="G20" s="124">
        <v>4.0081737837418556</v>
      </c>
      <c r="H20" s="124">
        <v>0.75778279279080007</v>
      </c>
      <c r="I20" s="124">
        <v>9.1200176329439525E-2</v>
      </c>
      <c r="J20" s="124">
        <v>10.259170287635957</v>
      </c>
      <c r="K20" s="124">
        <v>0.40428962652751371</v>
      </c>
      <c r="L20" s="124">
        <v>0.68329241963493303</v>
      </c>
      <c r="M20" s="124">
        <v>0.16833923016565649</v>
      </c>
      <c r="N20" s="354">
        <f t="shared" si="1"/>
        <v>9.3731644029723782E-2</v>
      </c>
      <c r="O20" s="65">
        <f t="shared" si="2"/>
        <v>8.7856210925148538E-3</v>
      </c>
      <c r="P20" s="355">
        <f t="shared" si="3"/>
        <v>10.259170287635957</v>
      </c>
      <c r="Q20" s="25" t="e">
        <f t="shared" si="4"/>
        <v>#NUM!</v>
      </c>
      <c r="R20" s="25" t="e">
        <f t="shared" si="5"/>
        <v>#NUM!</v>
      </c>
      <c r="S20" s="67">
        <f t="shared" si="6"/>
        <v>2804.7865535780875</v>
      </c>
      <c r="T20" s="25">
        <f t="shared" si="7"/>
        <v>7866827.6111324457</v>
      </c>
      <c r="U20" s="67">
        <f t="shared" si="8"/>
        <v>28543.093806786444</v>
      </c>
      <c r="V20" s="68" t="e">
        <f t="shared" si="9"/>
        <v>#NUM!</v>
      </c>
      <c r="W20" s="68" t="e">
        <f t="shared" si="10"/>
        <v>#NUM!</v>
      </c>
      <c r="X20" s="69">
        <f t="shared" si="11"/>
        <v>-8.9472925165440809E-2</v>
      </c>
      <c r="Y20" s="69">
        <f t="shared" si="12"/>
        <v>8.9472925165440809E-2</v>
      </c>
      <c r="Z20" s="70">
        <f t="shared" si="13"/>
        <v>8.2490610282566887</v>
      </c>
      <c r="AA20" s="71">
        <f t="shared" si="14"/>
        <v>0</v>
      </c>
      <c r="AB20" s="70">
        <f t="shared" si="15"/>
        <v>10.352901931665681</v>
      </c>
      <c r="AC20" s="368" t="str">
        <f t="shared" si="16"/>
        <v>93</v>
      </c>
      <c r="AD20" s="81" t="e">
        <f t="shared" si="17"/>
        <v>#NUM!</v>
      </c>
      <c r="AE20" s="82" t="e">
        <f t="shared" si="18"/>
        <v>#NUM!</v>
      </c>
      <c r="AF20" s="361" t="e">
        <f t="shared" si="19"/>
        <v>#NUM!</v>
      </c>
    </row>
    <row r="21" spans="1:32" s="6" customFormat="1" ht="12.75" customHeight="1">
      <c r="A21" s="119">
        <v>1989</v>
      </c>
      <c r="B21" s="980">
        <f t="shared" si="0"/>
        <v>1994</v>
      </c>
      <c r="C21" s="64">
        <f>VLOOKUP($A21,FBrood!$A$8:$M$50,4)</f>
        <v>8.3214576193733816</v>
      </c>
      <c r="D21" s="64">
        <f>VLOOKUP($A21,FBrood!$A$8:$M$50,8)</f>
        <v>10.364719107135071</v>
      </c>
      <c r="E21" s="340">
        <v>34</v>
      </c>
      <c r="F21" s="341">
        <v>32</v>
      </c>
      <c r="G21" s="124">
        <v>4.0102772779040423</v>
      </c>
      <c r="H21" s="124">
        <v>0.7576807871156136</v>
      </c>
      <c r="I21" s="124">
        <v>9.1278714215974735E-2</v>
      </c>
      <c r="J21" s="124">
        <v>10.315285836900086</v>
      </c>
      <c r="K21" s="124">
        <v>0.40452769240100883</v>
      </c>
      <c r="L21" s="124">
        <v>0.68286144194966036</v>
      </c>
      <c r="M21" s="124">
        <v>0.1685836721401735</v>
      </c>
      <c r="N21" s="354">
        <f t="shared" si="1"/>
        <v>4.9433270234985116E-2</v>
      </c>
      <c r="O21" s="65">
        <f t="shared" si="2"/>
        <v>2.4436482061250655E-3</v>
      </c>
      <c r="P21" s="355">
        <f t="shared" si="3"/>
        <v>10.315285836900086</v>
      </c>
      <c r="Q21" s="25" t="e">
        <f t="shared" si="4"/>
        <v>#NUM!</v>
      </c>
      <c r="R21" s="25" t="e">
        <f t="shared" si="5"/>
        <v>#NUM!</v>
      </c>
      <c r="S21" s="67">
        <f t="shared" si="6"/>
        <v>1529.9230112548212</v>
      </c>
      <c r="T21" s="25">
        <f t="shared" si="7"/>
        <v>2340664.4203670197</v>
      </c>
      <c r="U21" s="67">
        <f t="shared" si="8"/>
        <v>30190.59819660028</v>
      </c>
      <c r="V21" s="68" t="e">
        <f t="shared" si="9"/>
        <v>#NUM!</v>
      </c>
      <c r="W21" s="68" t="e">
        <f t="shared" si="10"/>
        <v>#NUM!</v>
      </c>
      <c r="X21" s="69">
        <f t="shared" si="11"/>
        <v>-4.8231332683019067E-2</v>
      </c>
      <c r="Y21" s="69">
        <f t="shared" si="12"/>
        <v>4.8231332683019067E-2</v>
      </c>
      <c r="Z21" s="70">
        <f t="shared" si="13"/>
        <v>8.3214576193733816</v>
      </c>
      <c r="AA21" s="71">
        <f t="shared" si="14"/>
        <v>0</v>
      </c>
      <c r="AB21" s="70">
        <f t="shared" si="15"/>
        <v>10.364719107135071</v>
      </c>
      <c r="AC21" s="368" t="str">
        <f t="shared" si="16"/>
        <v>94</v>
      </c>
      <c r="AD21" s="81" t="e">
        <f t="shared" si="17"/>
        <v>#NUM!</v>
      </c>
      <c r="AE21" s="82" t="e">
        <f t="shared" si="18"/>
        <v>#NUM!</v>
      </c>
      <c r="AF21" s="361" t="e">
        <f t="shared" si="19"/>
        <v>#NUM!</v>
      </c>
    </row>
    <row r="22" spans="1:32" s="6" customFormat="1" ht="12.75" customHeight="1">
      <c r="A22" s="119">
        <v>1990</v>
      </c>
      <c r="B22" s="980">
        <f t="shared" si="0"/>
        <v>1995</v>
      </c>
      <c r="C22" s="64">
        <f>VLOOKUP($A22,FBrood!$A$8:$M$50,4)</f>
        <v>8.3212883245325262</v>
      </c>
      <c r="D22" s="64">
        <f>VLOOKUP($A22,FBrood!$A$8:$M$50,8)</f>
        <v>10.932271267111018</v>
      </c>
      <c r="E22" s="340">
        <v>34</v>
      </c>
      <c r="F22" s="341">
        <v>32</v>
      </c>
      <c r="G22" s="124">
        <v>4.0199018373425064</v>
      </c>
      <c r="H22" s="124">
        <v>0.75447495308734869</v>
      </c>
      <c r="I22" s="124">
        <v>8.7831340891324619E-2</v>
      </c>
      <c r="J22" s="124">
        <v>10.298105455620487</v>
      </c>
      <c r="K22" s="124">
        <v>0.38925004538418811</v>
      </c>
      <c r="L22" s="124">
        <v>0.69751059884289657</v>
      </c>
      <c r="M22" s="124">
        <v>0.15781520000229951</v>
      </c>
      <c r="N22" s="354">
        <f t="shared" si="1"/>
        <v>0.63416581149053108</v>
      </c>
      <c r="O22" s="65">
        <f t="shared" si="2"/>
        <v>0.40216627646344383</v>
      </c>
      <c r="P22" s="355">
        <f t="shared" si="3"/>
        <v>10.298105455620487</v>
      </c>
      <c r="Q22" s="25" t="e">
        <f t="shared" si="4"/>
        <v>#NUM!</v>
      </c>
      <c r="R22" s="25" t="e">
        <f t="shared" si="5"/>
        <v>#NUM!</v>
      </c>
      <c r="S22" s="67">
        <f t="shared" si="6"/>
        <v>26276.877790875613</v>
      </c>
      <c r="T22" s="25">
        <f t="shared" si="7"/>
        <v>690474306.43661201</v>
      </c>
      <c r="U22" s="67">
        <f t="shared" si="8"/>
        <v>29676.342412894748</v>
      </c>
      <c r="V22" s="68" t="e">
        <f t="shared" si="9"/>
        <v>#NUM!</v>
      </c>
      <c r="W22" s="68" t="e">
        <f t="shared" si="10"/>
        <v>#NUM!</v>
      </c>
      <c r="X22" s="69">
        <f t="shared" si="11"/>
        <v>-0.46962226115280792</v>
      </c>
      <c r="Y22" s="69">
        <f t="shared" si="12"/>
        <v>0.46962226115280792</v>
      </c>
      <c r="Z22" s="70">
        <f t="shared" si="13"/>
        <v>8.3212883245325262</v>
      </c>
      <c r="AA22" s="71">
        <f t="shared" si="14"/>
        <v>0</v>
      </c>
      <c r="AB22" s="70">
        <f t="shared" si="15"/>
        <v>10.932271267111018</v>
      </c>
      <c r="AC22" s="368" t="str">
        <f t="shared" si="16"/>
        <v>95</v>
      </c>
      <c r="AD22" s="81" t="e">
        <f t="shared" si="17"/>
        <v>#NUM!</v>
      </c>
      <c r="AE22" s="82" t="e">
        <f t="shared" si="18"/>
        <v>#NUM!</v>
      </c>
      <c r="AF22" s="361" t="e">
        <f t="shared" si="19"/>
        <v>#NUM!</v>
      </c>
    </row>
    <row r="23" spans="1:32" s="6" customFormat="1" ht="12.75" customHeight="1">
      <c r="A23" s="119">
        <v>1991</v>
      </c>
      <c r="B23" s="980">
        <f t="shared" si="0"/>
        <v>1996</v>
      </c>
      <c r="C23" s="64">
        <f>VLOOKUP($A23,FBrood!$A$8:$M$50,4)</f>
        <v>8.8738517478878638</v>
      </c>
      <c r="D23" s="64">
        <f>VLOOKUP($A23,FBrood!$A$8:$M$50,8)</f>
        <v>10.656121348880983</v>
      </c>
      <c r="E23" s="340">
        <v>34</v>
      </c>
      <c r="F23" s="341">
        <v>32</v>
      </c>
      <c r="G23" s="124">
        <v>3.9887933218441916</v>
      </c>
      <c r="H23" s="124">
        <v>0.76075900665553675</v>
      </c>
      <c r="I23" s="124">
        <v>9.2273628985043057E-2</v>
      </c>
      <c r="J23" s="124">
        <v>10.739655962775862</v>
      </c>
      <c r="K23" s="124">
        <v>0.40436344523036039</v>
      </c>
      <c r="L23" s="124">
        <v>0.67991486210365359</v>
      </c>
      <c r="M23" s="124">
        <v>0.16919712466956524</v>
      </c>
      <c r="N23" s="354">
        <f t="shared" si="1"/>
        <v>-8.3534613894878262E-2</v>
      </c>
      <c r="O23" s="65">
        <f t="shared" si="2"/>
        <v>6.9780317185663887E-3</v>
      </c>
      <c r="P23" s="355">
        <f t="shared" si="3"/>
        <v>10.739655962775862</v>
      </c>
      <c r="Q23" s="25" t="e">
        <f t="shared" si="4"/>
        <v>#NUM!</v>
      </c>
      <c r="R23" s="25" t="e">
        <f t="shared" si="5"/>
        <v>#NUM!</v>
      </c>
      <c r="S23" s="67">
        <f t="shared" si="6"/>
        <v>-3698.5095564096773</v>
      </c>
      <c r="T23" s="25">
        <f t="shared" si="7"/>
        <v>13678972.938853707</v>
      </c>
      <c r="U23" s="67">
        <f t="shared" si="8"/>
        <v>46150.171809610256</v>
      </c>
      <c r="V23" s="68" t="e">
        <f t="shared" si="9"/>
        <v>#NUM!</v>
      </c>
      <c r="W23" s="68" t="e">
        <f t="shared" si="10"/>
        <v>#NUM!</v>
      </c>
      <c r="X23" s="69">
        <f t="shared" si="11"/>
        <v>8.7122844197480953E-2</v>
      </c>
      <c r="Y23" s="69">
        <f t="shared" si="12"/>
        <v>8.7122844197480953E-2</v>
      </c>
      <c r="Z23" s="70">
        <f t="shared" si="13"/>
        <v>8.8738517478878638</v>
      </c>
      <c r="AA23" s="71">
        <f t="shared" si="14"/>
        <v>0</v>
      </c>
      <c r="AB23" s="70">
        <f t="shared" si="15"/>
        <v>10.656121348880983</v>
      </c>
      <c r="AC23" s="368" t="str">
        <f t="shared" si="16"/>
        <v>96</v>
      </c>
      <c r="AD23" s="81" t="e">
        <f t="shared" si="17"/>
        <v>#NUM!</v>
      </c>
      <c r="AE23" s="82" t="e">
        <f t="shared" si="18"/>
        <v>#NUM!</v>
      </c>
      <c r="AF23" s="361" t="e">
        <f t="shared" si="19"/>
        <v>#NUM!</v>
      </c>
    </row>
    <row r="24" spans="1:32" s="6" customFormat="1" ht="12.75" customHeight="1">
      <c r="A24" s="119">
        <v>1992</v>
      </c>
      <c r="B24" s="980">
        <f t="shared" si="0"/>
        <v>1997</v>
      </c>
      <c r="C24" s="64">
        <f>VLOOKUP($A24,FBrood!$A$8:$M$50,4)</f>
        <v>8.6723195204978065</v>
      </c>
      <c r="D24" s="64">
        <f>VLOOKUP($A24,FBrood!$A$8:$M$50,8)</f>
        <v>10.933721433830124</v>
      </c>
      <c r="E24" s="340">
        <v>34</v>
      </c>
      <c r="F24" s="341">
        <v>32</v>
      </c>
      <c r="G24" s="124">
        <v>4.0690852536065734</v>
      </c>
      <c r="H24" s="124">
        <v>0.74942173775185628</v>
      </c>
      <c r="I24" s="124">
        <v>9.0648277136005123E-2</v>
      </c>
      <c r="J24" s="124">
        <v>10.568310018997384</v>
      </c>
      <c r="K24" s="124">
        <v>0.39963487032811401</v>
      </c>
      <c r="L24" s="124">
        <v>0.68111356544137847</v>
      </c>
      <c r="M24" s="124">
        <v>0.16618140534081671</v>
      </c>
      <c r="N24" s="354">
        <f t="shared" si="1"/>
        <v>0.36541141483274053</v>
      </c>
      <c r="O24" s="65">
        <f t="shared" si="2"/>
        <v>0.1335255020900652</v>
      </c>
      <c r="P24" s="355">
        <f t="shared" si="3"/>
        <v>10.568310018997384</v>
      </c>
      <c r="Q24" s="25" t="e">
        <f t="shared" si="4"/>
        <v>#NUM!</v>
      </c>
      <c r="R24" s="25" t="e">
        <f t="shared" si="5"/>
        <v>#NUM!</v>
      </c>
      <c r="S24" s="67">
        <f t="shared" si="6"/>
        <v>17151.513770434904</v>
      </c>
      <c r="T24" s="25">
        <f t="shared" si="7"/>
        <v>294174424.61741811</v>
      </c>
      <c r="U24" s="67">
        <f t="shared" si="8"/>
        <v>38882.906793901777</v>
      </c>
      <c r="V24" s="68" t="e">
        <f t="shared" si="9"/>
        <v>#NUM!</v>
      </c>
      <c r="W24" s="68" t="e">
        <f t="shared" si="10"/>
        <v>#NUM!</v>
      </c>
      <c r="X24" s="69">
        <f t="shared" si="11"/>
        <v>-0.30608889317847343</v>
      </c>
      <c r="Y24" s="69">
        <f t="shared" si="12"/>
        <v>0.30608889317847343</v>
      </c>
      <c r="Z24" s="70">
        <f t="shared" si="13"/>
        <v>8.6723195204978065</v>
      </c>
      <c r="AA24" s="71">
        <f t="shared" si="14"/>
        <v>0</v>
      </c>
      <c r="AB24" s="70">
        <f t="shared" si="15"/>
        <v>10.933721433830124</v>
      </c>
      <c r="AC24" s="368" t="str">
        <f t="shared" si="16"/>
        <v>97</v>
      </c>
      <c r="AD24" s="81" t="e">
        <f t="shared" si="17"/>
        <v>#NUM!</v>
      </c>
      <c r="AE24" s="82" t="e">
        <f t="shared" si="18"/>
        <v>#NUM!</v>
      </c>
      <c r="AF24" s="361" t="e">
        <f t="shared" si="19"/>
        <v>#NUM!</v>
      </c>
    </row>
    <row r="25" spans="1:32" s="6" customFormat="1" ht="12.75" customHeight="1">
      <c r="A25" s="119">
        <v>1993</v>
      </c>
      <c r="B25" s="980">
        <f t="shared" si="0"/>
        <v>1998</v>
      </c>
      <c r="C25" s="64">
        <f>VLOOKUP($A25,FBrood!$A$8:$M$50,4)</f>
        <v>8.8698552916252602</v>
      </c>
      <c r="D25" s="64">
        <f>VLOOKUP($A25,FBrood!$A$8:$M$50,8)</f>
        <v>11.132704821306314</v>
      </c>
      <c r="E25" s="340">
        <v>34</v>
      </c>
      <c r="F25" s="341">
        <v>32</v>
      </c>
      <c r="G25" s="124">
        <v>4.1130609252308643</v>
      </c>
      <c r="H25" s="124">
        <v>0.74387220884439431</v>
      </c>
      <c r="I25" s="124">
        <v>9.0819763527843517E-2</v>
      </c>
      <c r="J25" s="124">
        <v>10.711099773142287</v>
      </c>
      <c r="K25" s="124">
        <v>0.39804841095020382</v>
      </c>
      <c r="L25" s="124">
        <v>0.67705025275365893</v>
      </c>
      <c r="M25" s="124">
        <v>0.16579622772359559</v>
      </c>
      <c r="N25" s="354">
        <f t="shared" si="1"/>
        <v>0.421605048164027</v>
      </c>
      <c r="O25" s="65">
        <f t="shared" si="2"/>
        <v>0.17775081663739153</v>
      </c>
      <c r="P25" s="355">
        <f t="shared" si="3"/>
        <v>10.711099773142287</v>
      </c>
      <c r="Q25" s="25" t="e">
        <f t="shared" si="4"/>
        <v>#NUM!</v>
      </c>
      <c r="R25" s="25" t="e">
        <f t="shared" si="5"/>
        <v>#NUM!</v>
      </c>
      <c r="S25" s="67">
        <f t="shared" si="6"/>
        <v>23520.115988618956</v>
      </c>
      <c r="T25" s="25">
        <f t="shared" si="7"/>
        <v>553195856.11808908</v>
      </c>
      <c r="U25" s="67">
        <f t="shared" si="8"/>
        <v>44850.937628443047</v>
      </c>
      <c r="V25" s="68" t="e">
        <f t="shared" si="9"/>
        <v>#NUM!</v>
      </c>
      <c r="W25" s="68" t="e">
        <f t="shared" si="10"/>
        <v>#NUM!</v>
      </c>
      <c r="X25" s="69">
        <f t="shared" si="11"/>
        <v>-0.3440069260940789</v>
      </c>
      <c r="Y25" s="69">
        <f t="shared" si="12"/>
        <v>0.3440069260940789</v>
      </c>
      <c r="Z25" s="70">
        <f t="shared" si="13"/>
        <v>8.8698552916252602</v>
      </c>
      <c r="AA25" s="71">
        <f t="shared" si="14"/>
        <v>0</v>
      </c>
      <c r="AB25" s="70">
        <f t="shared" si="15"/>
        <v>11.132704821306314</v>
      </c>
      <c r="AC25" s="368" t="str">
        <f t="shared" si="16"/>
        <v>98</v>
      </c>
      <c r="AD25" s="81" t="e">
        <f t="shared" si="17"/>
        <v>#NUM!</v>
      </c>
      <c r="AE25" s="82" t="e">
        <f t="shared" si="18"/>
        <v>#NUM!</v>
      </c>
      <c r="AF25" s="361" t="e">
        <f t="shared" si="19"/>
        <v>#NUM!</v>
      </c>
    </row>
    <row r="26" spans="1:32" s="6" customFormat="1" ht="12.75" customHeight="1">
      <c r="A26" s="344">
        <v>1994</v>
      </c>
      <c r="B26" s="980">
        <f t="shared" si="0"/>
        <v>1999</v>
      </c>
      <c r="C26" s="64">
        <f>VLOOKUP($A26,FBrood!$A$8:$M$50,4)</f>
        <v>8.7260065273123786</v>
      </c>
      <c r="D26" s="64">
        <f>VLOOKUP($A26,FBrood!$A$8:$M$50,8)</f>
        <v>10.927145676643779</v>
      </c>
      <c r="E26" s="340">
        <v>34</v>
      </c>
      <c r="F26" s="981">
        <v>32</v>
      </c>
      <c r="G26" s="124">
        <v>4.068314570643583</v>
      </c>
      <c r="H26" s="982">
        <v>0.74968367088663235</v>
      </c>
      <c r="I26" s="982">
        <v>9.1057038594767492E-2</v>
      </c>
      <c r="J26" s="982">
        <v>10.610059176219842</v>
      </c>
      <c r="K26" s="982">
        <v>0.40088222203391477</v>
      </c>
      <c r="L26" s="982">
        <v>0.67930823967794596</v>
      </c>
      <c r="M26" s="982">
        <v>0.16869550693845711</v>
      </c>
      <c r="N26" s="983">
        <f t="shared" si="1"/>
        <v>0.31708650042393671</v>
      </c>
      <c r="O26" s="984">
        <f t="shared" si="2"/>
        <v>0.10054384875109922</v>
      </c>
      <c r="P26" s="985">
        <f t="shared" si="3"/>
        <v>10.610059176219842</v>
      </c>
      <c r="Q26" s="986" t="e">
        <f t="shared" si="4"/>
        <v>#NUM!</v>
      </c>
      <c r="R26" s="986" t="e">
        <f t="shared" si="5"/>
        <v>#NUM!</v>
      </c>
      <c r="S26" s="987">
        <f t="shared" si="6"/>
        <v>15126.562428691985</v>
      </c>
      <c r="T26" s="986">
        <f t="shared" si="7"/>
        <v>228812890.90911594</v>
      </c>
      <c r="U26" s="987">
        <f t="shared" si="8"/>
        <v>40540.598221323249</v>
      </c>
      <c r="V26" s="988" t="e">
        <f t="shared" si="9"/>
        <v>#NUM!</v>
      </c>
      <c r="W26" s="988" t="e">
        <f t="shared" si="10"/>
        <v>#NUM!</v>
      </c>
      <c r="X26" s="327">
        <f t="shared" si="11"/>
        <v>-0.27173224306865823</v>
      </c>
      <c r="Y26" s="327">
        <f t="shared" si="12"/>
        <v>0.27173224306865823</v>
      </c>
      <c r="Z26" s="989">
        <f t="shared" si="13"/>
        <v>8.7260065273123786</v>
      </c>
      <c r="AA26" s="990">
        <f t="shared" si="14"/>
        <v>0</v>
      </c>
      <c r="AB26" s="989">
        <f t="shared" si="15"/>
        <v>10.927145676643779</v>
      </c>
      <c r="AC26" s="991" t="str">
        <f t="shared" si="16"/>
        <v>99</v>
      </c>
      <c r="AD26" s="992" t="e">
        <f t="shared" si="17"/>
        <v>#NUM!</v>
      </c>
      <c r="AE26" s="993" t="e">
        <f t="shared" si="18"/>
        <v>#NUM!</v>
      </c>
      <c r="AF26" s="994" t="e">
        <f t="shared" si="19"/>
        <v>#NUM!</v>
      </c>
    </row>
    <row r="27" spans="1:32" s="6" customFormat="1" ht="12.75" customHeight="1">
      <c r="A27" s="119">
        <v>1995</v>
      </c>
      <c r="B27" s="980">
        <f t="shared" si="0"/>
        <v>2000</v>
      </c>
      <c r="C27" s="64">
        <f>VLOOKUP($A27,FBrood!$A$8:$M$50,4)</f>
        <v>9.2605604038339493</v>
      </c>
      <c r="D27" s="64">
        <f>VLOOKUP($A27,FBrood!$A$8:$M$50,8)</f>
        <v>10.789352931941133</v>
      </c>
      <c r="E27" s="340">
        <v>34</v>
      </c>
      <c r="F27" s="341">
        <v>32</v>
      </c>
      <c r="G27" s="124">
        <v>3.9026227608356931</v>
      </c>
      <c r="H27" s="124">
        <v>0.77186834005223892</v>
      </c>
      <c r="I27" s="124">
        <v>9.3448434036441833E-2</v>
      </c>
      <c r="J27" s="124">
        <v>11.050556147696495</v>
      </c>
      <c r="K27" s="124">
        <v>0.40219963245073859</v>
      </c>
      <c r="L27" s="124">
        <v>0.68071781058813374</v>
      </c>
      <c r="M27" s="124">
        <v>0.16880818499751468</v>
      </c>
      <c r="N27" s="354">
        <f t="shared" si="1"/>
        <v>-0.26120321575536209</v>
      </c>
      <c r="O27" s="65">
        <f t="shared" si="2"/>
        <v>6.8227119920942242E-2</v>
      </c>
      <c r="P27" s="355">
        <f t="shared" si="3"/>
        <v>11.050556147696495</v>
      </c>
      <c r="Q27" s="25" t="e">
        <f t="shared" si="4"/>
        <v>#NUM!</v>
      </c>
      <c r="R27" s="25" t="e">
        <f t="shared" si="5"/>
        <v>#NUM!</v>
      </c>
      <c r="S27" s="67">
        <f t="shared" si="6"/>
        <v>-14477.328480917859</v>
      </c>
      <c r="T27" s="25">
        <f t="shared" si="7"/>
        <v>209593039.94439539</v>
      </c>
      <c r="U27" s="67">
        <f t="shared" si="8"/>
        <v>62978.970476967195</v>
      </c>
      <c r="V27" s="68" t="e">
        <f t="shared" si="9"/>
        <v>#NUM!</v>
      </c>
      <c r="W27" s="68" t="e">
        <f t="shared" si="10"/>
        <v>#NUM!</v>
      </c>
      <c r="X27" s="69">
        <f t="shared" si="11"/>
        <v>0.29849151255739131</v>
      </c>
      <c r="Y27" s="69">
        <f t="shared" si="12"/>
        <v>0.29849151255739131</v>
      </c>
      <c r="Z27" s="70">
        <f t="shared" si="13"/>
        <v>9.2605604038339493</v>
      </c>
      <c r="AA27" s="71">
        <f t="shared" si="14"/>
        <v>0</v>
      </c>
      <c r="AB27" s="70">
        <f t="shared" si="15"/>
        <v>10.789352931941133</v>
      </c>
      <c r="AC27" s="368" t="str">
        <f t="shared" si="16"/>
        <v>00</v>
      </c>
      <c r="AD27" s="81" t="e">
        <f t="shared" si="17"/>
        <v>#NUM!</v>
      </c>
      <c r="AE27" s="82" t="e">
        <f t="shared" si="18"/>
        <v>#NUM!</v>
      </c>
      <c r="AF27" s="361" t="e">
        <f t="shared" si="19"/>
        <v>#NUM!</v>
      </c>
    </row>
    <row r="28" spans="1:32" s="607" customFormat="1" ht="12.75" customHeight="1">
      <c r="A28" s="119">
        <v>1996</v>
      </c>
      <c r="B28" s="980">
        <f t="shared" si="0"/>
        <v>2001</v>
      </c>
      <c r="C28" s="64">
        <f>VLOOKUP($A28,FBrood!$A$8:$M$50,4)</f>
        <v>8.4706338418508089</v>
      </c>
      <c r="D28" s="64">
        <f>VLOOKUP($A28,FBrood!$A$8:$M$50,8)</f>
        <v>10.932762591336017</v>
      </c>
      <c r="E28" s="340">
        <v>34</v>
      </c>
      <c r="F28" s="341">
        <v>32</v>
      </c>
      <c r="G28" s="124">
        <v>4.050443776782088</v>
      </c>
      <c r="H28" s="124">
        <v>0.75115513046318461</v>
      </c>
      <c r="I28" s="124">
        <v>8.912050422238707E-2</v>
      </c>
      <c r="J28" s="124">
        <v>10.413203845363398</v>
      </c>
      <c r="K28" s="124">
        <v>0.39439893356947359</v>
      </c>
      <c r="L28" s="124">
        <v>0.68944151293905276</v>
      </c>
      <c r="M28" s="124">
        <v>0.16376955124831827</v>
      </c>
      <c r="N28" s="354">
        <f t="shared" si="1"/>
        <v>0.51955874597261875</v>
      </c>
      <c r="O28" s="65">
        <f t="shared" si="2"/>
        <v>0.26994129051664018</v>
      </c>
      <c r="P28" s="355">
        <f t="shared" si="3"/>
        <v>10.413203845363398</v>
      </c>
      <c r="Q28" s="25" t="e">
        <f t="shared" si="4"/>
        <v>#NUM!</v>
      </c>
      <c r="R28" s="25" t="e">
        <f t="shared" si="5"/>
        <v>#NUM!</v>
      </c>
      <c r="S28" s="67">
        <f t="shared" si="6"/>
        <v>22684.341992922848</v>
      </c>
      <c r="T28" s="25">
        <f t="shared" si="7"/>
        <v>514579371.65188289</v>
      </c>
      <c r="U28" s="67">
        <f t="shared" si="8"/>
        <v>33296.376138046056</v>
      </c>
      <c r="V28" s="68" t="e">
        <f t="shared" si="9"/>
        <v>#NUM!</v>
      </c>
      <c r="W28" s="68" t="e">
        <f t="shared" si="10"/>
        <v>#NUM!</v>
      </c>
      <c r="X28" s="69">
        <f t="shared" si="11"/>
        <v>-0.40521705955704274</v>
      </c>
      <c r="Y28" s="69">
        <f t="shared" si="12"/>
        <v>0.40521705955704274</v>
      </c>
      <c r="Z28" s="70">
        <f t="shared" si="13"/>
        <v>8.4706338418508089</v>
      </c>
      <c r="AA28" s="71">
        <f t="shared" si="14"/>
        <v>0</v>
      </c>
      <c r="AB28" s="70">
        <f t="shared" si="15"/>
        <v>10.932762591336017</v>
      </c>
      <c r="AC28" s="368" t="str">
        <f t="shared" si="16"/>
        <v>01</v>
      </c>
      <c r="AD28" s="81" t="e">
        <f t="shared" si="17"/>
        <v>#NUM!</v>
      </c>
      <c r="AE28" s="82" t="e">
        <f t="shared" si="18"/>
        <v>#NUM!</v>
      </c>
      <c r="AF28" s="361" t="e">
        <f t="shared" si="19"/>
        <v>#NUM!</v>
      </c>
    </row>
    <row r="29" spans="1:32" s="6" customFormat="1" ht="12.75" customHeight="1">
      <c r="A29" s="119">
        <v>1997</v>
      </c>
      <c r="B29" s="980">
        <f t="shared" si="0"/>
        <v>2002</v>
      </c>
      <c r="C29" s="64">
        <f>VLOOKUP($A29,FBrood!$A$8:$M$50,4)</f>
        <v>9.0612250503644347</v>
      </c>
      <c r="D29" s="64">
        <f>VLOOKUP($A29,FBrood!$A$8:$M$50,8)</f>
        <v>10.803113282007757</v>
      </c>
      <c r="E29" s="340">
        <v>34</v>
      </c>
      <c r="F29" s="341">
        <v>32</v>
      </c>
      <c r="G29" s="124">
        <v>3.9835655462594852</v>
      </c>
      <c r="H29" s="124">
        <v>0.76138145911179822</v>
      </c>
      <c r="I29" s="124">
        <v>9.2986840582414132E-2</v>
      </c>
      <c r="J29" s="124">
        <v>10.882614296446336</v>
      </c>
      <c r="K29" s="124">
        <v>0.40439107701570087</v>
      </c>
      <c r="L29" s="124">
        <v>0.67691212401600109</v>
      </c>
      <c r="M29" s="124">
        <v>0.17125917412330938</v>
      </c>
      <c r="N29" s="354">
        <f t="shared" si="1"/>
        <v>-7.9501014438578821E-2</v>
      </c>
      <c r="O29" s="65">
        <f t="shared" si="2"/>
        <v>6.3204112967631182E-3</v>
      </c>
      <c r="P29" s="355">
        <f t="shared" si="3"/>
        <v>10.882614296446336</v>
      </c>
      <c r="Q29" s="25" t="e">
        <f t="shared" si="4"/>
        <v>#NUM!</v>
      </c>
      <c r="R29" s="25" t="e">
        <f t="shared" si="5"/>
        <v>#NUM!</v>
      </c>
      <c r="S29" s="67">
        <f t="shared" si="6"/>
        <v>-4068.9555694366718</v>
      </c>
      <c r="T29" s="25">
        <f t="shared" si="7"/>
        <v>16556399.426049709</v>
      </c>
      <c r="U29" s="67">
        <f t="shared" si="8"/>
        <v>53242.610098399353</v>
      </c>
      <c r="V29" s="68" t="e">
        <f t="shared" si="9"/>
        <v>#NUM!</v>
      </c>
      <c r="W29" s="68" t="e">
        <f t="shared" si="10"/>
        <v>#NUM!</v>
      </c>
      <c r="X29" s="69">
        <f t="shared" si="11"/>
        <v>8.2746657908862695E-2</v>
      </c>
      <c r="Y29" s="69">
        <f t="shared" si="12"/>
        <v>8.2746657908862695E-2</v>
      </c>
      <c r="Z29" s="70">
        <f t="shared" si="13"/>
        <v>9.0612250503644347</v>
      </c>
      <c r="AA29" s="71">
        <f t="shared" si="14"/>
        <v>0</v>
      </c>
      <c r="AB29" s="70">
        <f t="shared" si="15"/>
        <v>10.803113282007757</v>
      </c>
      <c r="AC29" s="368" t="str">
        <f t="shared" si="16"/>
        <v>02</v>
      </c>
      <c r="AD29" s="81" t="e">
        <f t="shared" si="17"/>
        <v>#NUM!</v>
      </c>
      <c r="AE29" s="82" t="e">
        <f t="shared" si="18"/>
        <v>#NUM!</v>
      </c>
      <c r="AF29" s="361" t="e">
        <f t="shared" si="19"/>
        <v>#NUM!</v>
      </c>
    </row>
    <row r="30" spans="1:32" s="6" customFormat="1" ht="12.75" customHeight="1">
      <c r="A30" s="119">
        <v>1998</v>
      </c>
      <c r="B30" s="980">
        <f t="shared" si="0"/>
        <v>2003</v>
      </c>
      <c r="C30" s="64">
        <f>VLOOKUP($A30,FBrood!$A$8:$M$50,4)</f>
        <v>8.7964310364144289</v>
      </c>
      <c r="D30" s="64">
        <f>VLOOKUP($A30,FBrood!$A$8:$M$50,8)</f>
        <v>11.032613945187711</v>
      </c>
      <c r="E30" s="340">
        <v>34</v>
      </c>
      <c r="F30" s="341">
        <v>32</v>
      </c>
      <c r="G30" s="124">
        <v>4.0896678186826252</v>
      </c>
      <c r="H30" s="124">
        <v>0.74688945900326009</v>
      </c>
      <c r="I30" s="124">
        <v>9.0920566755186991E-2</v>
      </c>
      <c r="J30" s="124">
        <v>10.659629436629684</v>
      </c>
      <c r="K30" s="124">
        <v>0.39946056830540888</v>
      </c>
      <c r="L30" s="124">
        <v>0.67833399319399057</v>
      </c>
      <c r="M30" s="124">
        <v>0.1681278562158256</v>
      </c>
      <c r="N30" s="354">
        <f t="shared" si="1"/>
        <v>0.37298450855802656</v>
      </c>
      <c r="O30" s="65">
        <f t="shared" si="2"/>
        <v>0.13911744362427259</v>
      </c>
      <c r="P30" s="355">
        <f t="shared" si="3"/>
        <v>10.659629436629684</v>
      </c>
      <c r="Q30" s="25" t="e">
        <f t="shared" si="4"/>
        <v>#NUM!</v>
      </c>
      <c r="R30" s="25" t="e">
        <f t="shared" si="5"/>
        <v>#NUM!</v>
      </c>
      <c r="S30" s="67">
        <f t="shared" si="6"/>
        <v>19258.217921321346</v>
      </c>
      <c r="T30" s="25">
        <f t="shared" si="7"/>
        <v>370878957.50510263</v>
      </c>
      <c r="U30" s="67">
        <f t="shared" si="8"/>
        <v>42600.847934695448</v>
      </c>
      <c r="V30" s="68" t="e">
        <f t="shared" si="9"/>
        <v>#NUM!</v>
      </c>
      <c r="W30" s="68" t="e">
        <f t="shared" si="10"/>
        <v>#NUM!</v>
      </c>
      <c r="X30" s="69">
        <f t="shared" si="11"/>
        <v>-0.31132409865591548</v>
      </c>
      <c r="Y30" s="69">
        <f t="shared" si="12"/>
        <v>0.31132409865591548</v>
      </c>
      <c r="Z30" s="70">
        <f t="shared" si="13"/>
        <v>8.7964310364144289</v>
      </c>
      <c r="AA30" s="71">
        <f t="shared" si="14"/>
        <v>0</v>
      </c>
      <c r="AB30" s="70">
        <f t="shared" si="15"/>
        <v>11.032613945187711</v>
      </c>
      <c r="AC30" s="368" t="str">
        <f t="shared" si="16"/>
        <v>03</v>
      </c>
      <c r="AD30" s="81" t="e">
        <f t="shared" si="17"/>
        <v>#NUM!</v>
      </c>
      <c r="AE30" s="82" t="e">
        <f t="shared" si="18"/>
        <v>#NUM!</v>
      </c>
      <c r="AF30" s="361" t="e">
        <f t="shared" si="19"/>
        <v>#NUM!</v>
      </c>
    </row>
    <row r="31" spans="1:32" s="6" customFormat="1" ht="12.75" customHeight="1">
      <c r="A31" s="119">
        <v>1999</v>
      </c>
      <c r="B31" s="980">
        <f t="shared" si="0"/>
        <v>2004</v>
      </c>
      <c r="C31" s="64">
        <f>VLOOKUP($A31,FBrood!$A$8:$M$50,4)</f>
        <v>8.6957050661179398</v>
      </c>
      <c r="D31" s="64">
        <f>VLOOKUP($A31,FBrood!$A$8:$M$50,8)</f>
        <v>10.768363571451721</v>
      </c>
      <c r="E31" s="340">
        <v>34</v>
      </c>
      <c r="F31" s="341">
        <v>32</v>
      </c>
      <c r="G31" s="124">
        <v>4.0397335982847862</v>
      </c>
      <c r="H31" s="124">
        <v>0.75365751289039296</v>
      </c>
      <c r="I31" s="124">
        <v>9.157435229637495E-2</v>
      </c>
      <c r="J31" s="124">
        <v>10.593317051243623</v>
      </c>
      <c r="K31" s="124">
        <v>0.40348226342698801</v>
      </c>
      <c r="L31" s="124">
        <v>0.67914333412544348</v>
      </c>
      <c r="M31" s="124">
        <v>0.17164487366797565</v>
      </c>
      <c r="N31" s="354">
        <f t="shared" si="1"/>
        <v>0.17504652020809708</v>
      </c>
      <c r="O31" s="65">
        <f t="shared" si="2"/>
        <v>3.0641284236963738E-2</v>
      </c>
      <c r="P31" s="355">
        <f t="shared" si="3"/>
        <v>10.593317051243623</v>
      </c>
      <c r="Q31" s="25" t="e">
        <f t="shared" si="4"/>
        <v>#NUM!</v>
      </c>
      <c r="R31" s="25" t="e">
        <f t="shared" si="5"/>
        <v>#NUM!</v>
      </c>
      <c r="S31" s="67">
        <f t="shared" si="6"/>
        <v>7626.7203450869056</v>
      </c>
      <c r="T31" s="25">
        <f t="shared" si="7"/>
        <v>58166863.22216253</v>
      </c>
      <c r="U31" s="67">
        <f t="shared" si="8"/>
        <v>39867.512622909497</v>
      </c>
      <c r="V31" s="68" t="e">
        <f t="shared" si="9"/>
        <v>#NUM!</v>
      </c>
      <c r="W31" s="68" t="e">
        <f t="shared" si="10"/>
        <v>#NUM!</v>
      </c>
      <c r="X31" s="69">
        <f t="shared" si="11"/>
        <v>-0.16058203003775445</v>
      </c>
      <c r="Y31" s="69">
        <f t="shared" si="12"/>
        <v>0.16058203003775445</v>
      </c>
      <c r="Z31" s="70">
        <f t="shared" si="13"/>
        <v>8.6957050661179398</v>
      </c>
      <c r="AA31" s="71">
        <f t="shared" si="14"/>
        <v>0</v>
      </c>
      <c r="AB31" s="70">
        <f t="shared" si="15"/>
        <v>10.768363571451721</v>
      </c>
      <c r="AC31" s="368" t="str">
        <f t="shared" si="16"/>
        <v>04</v>
      </c>
      <c r="AD31" s="81" t="e">
        <f t="shared" si="17"/>
        <v>#NUM!</v>
      </c>
      <c r="AE31" s="82" t="e">
        <f t="shared" si="18"/>
        <v>#NUM!</v>
      </c>
      <c r="AF31" s="361" t="e">
        <f t="shared" si="19"/>
        <v>#NUM!</v>
      </c>
    </row>
    <row r="32" spans="1:32" s="6" customFormat="1" ht="12.75" customHeight="1">
      <c r="A32" s="119">
        <v>2000</v>
      </c>
      <c r="B32" s="980">
        <f t="shared" si="0"/>
        <v>2005</v>
      </c>
      <c r="C32" s="64">
        <f>VLOOKUP($A32,FBrood!$A$8:$M$50,4)</f>
        <v>8.5210999670991967</v>
      </c>
      <c r="D32" s="64">
        <f>VLOOKUP($A32,FBrood!$A$8:$M$50,8)</f>
        <v>10.535511595455096</v>
      </c>
      <c r="E32" s="340">
        <v>34</v>
      </c>
      <c r="F32" s="341">
        <v>32</v>
      </c>
      <c r="G32" s="124">
        <v>4.0164374710321473</v>
      </c>
      <c r="H32" s="124">
        <v>0.75685995196071476</v>
      </c>
      <c r="I32" s="124">
        <v>9.1457381076341451E-2</v>
      </c>
      <c r="J32" s="124">
        <v>10.465716782783293</v>
      </c>
      <c r="K32" s="124">
        <v>0.4044374418570385</v>
      </c>
      <c r="L32" s="124">
        <v>0.68154354439231657</v>
      </c>
      <c r="M32" s="124">
        <v>0.17250341395923119</v>
      </c>
      <c r="N32" s="354">
        <f t="shared" si="1"/>
        <v>6.9794812671803541E-2</v>
      </c>
      <c r="O32" s="65">
        <f t="shared" si="2"/>
        <v>4.8713158758921481E-3</v>
      </c>
      <c r="P32" s="355">
        <f t="shared" si="3"/>
        <v>10.465716782783293</v>
      </c>
      <c r="Q32" s="25" t="e">
        <f t="shared" si="4"/>
        <v>#NUM!</v>
      </c>
      <c r="R32" s="25" t="e">
        <f t="shared" si="5"/>
        <v>#NUM!</v>
      </c>
      <c r="S32" s="67">
        <f t="shared" si="6"/>
        <v>2536.7057346508445</v>
      </c>
      <c r="T32" s="25">
        <f t="shared" si="7"/>
        <v>6434875.9842104809</v>
      </c>
      <c r="U32" s="67">
        <f t="shared" si="8"/>
        <v>35091.590111516714</v>
      </c>
      <c r="V32" s="68" t="e">
        <f t="shared" si="9"/>
        <v>#NUM!</v>
      </c>
      <c r="W32" s="68" t="e">
        <f t="shared" si="10"/>
        <v>#NUM!</v>
      </c>
      <c r="X32" s="69">
        <f t="shared" si="11"/>
        <v>-6.7414845068228299E-2</v>
      </c>
      <c r="Y32" s="69">
        <f t="shared" si="12"/>
        <v>6.7414845068228299E-2</v>
      </c>
      <c r="Z32" s="70">
        <f t="shared" si="13"/>
        <v>8.5210999670991967</v>
      </c>
      <c r="AA32" s="71">
        <f t="shared" si="14"/>
        <v>0</v>
      </c>
      <c r="AB32" s="70">
        <f t="shared" si="15"/>
        <v>10.535511595455096</v>
      </c>
      <c r="AC32" s="368" t="str">
        <f t="shared" si="16"/>
        <v>05</v>
      </c>
      <c r="AD32" s="81" t="e">
        <f t="shared" si="17"/>
        <v>#NUM!</v>
      </c>
      <c r="AE32" s="82" t="e">
        <f t="shared" si="18"/>
        <v>#NUM!</v>
      </c>
      <c r="AF32" s="361" t="e">
        <f t="shared" si="19"/>
        <v>#NUM!</v>
      </c>
    </row>
    <row r="33" spans="1:32" s="6" customFormat="1" ht="12.75" customHeight="1">
      <c r="A33" s="119">
        <v>2001</v>
      </c>
      <c r="B33" s="980">
        <f t="shared" si="0"/>
        <v>2006</v>
      </c>
      <c r="C33" s="64">
        <f>VLOOKUP($A33,FBrood!$A$8:$M$50,4)</f>
        <v>8.6812936257840825</v>
      </c>
      <c r="D33" s="64">
        <f>VLOOKUP($A33,FBrood!$A$8:$M$50,8)</f>
        <v>11.130479873503816</v>
      </c>
      <c r="E33" s="340">
        <v>34</v>
      </c>
      <c r="F33" s="341">
        <v>32</v>
      </c>
      <c r="G33" s="124">
        <v>4.103501963579359</v>
      </c>
      <c r="H33" s="124">
        <v>0.74454282983053444</v>
      </c>
      <c r="I33" s="124">
        <v>8.908868438732534E-2</v>
      </c>
      <c r="J33" s="124">
        <v>10.56709688631042</v>
      </c>
      <c r="K33" s="124">
        <v>0.3926727054108024</v>
      </c>
      <c r="L33" s="124">
        <v>0.68579652772351607</v>
      </c>
      <c r="M33" s="124">
        <v>0.16441613962130361</v>
      </c>
      <c r="N33" s="354">
        <f t="shared" si="1"/>
        <v>0.56338298719339619</v>
      </c>
      <c r="O33" s="65">
        <f t="shared" si="2"/>
        <v>0.31740039025895439</v>
      </c>
      <c r="P33" s="355">
        <f t="shared" si="3"/>
        <v>10.56709688631042</v>
      </c>
      <c r="Q33" s="25" t="e">
        <f t="shared" si="4"/>
        <v>#NUM!</v>
      </c>
      <c r="R33" s="25" t="e">
        <f t="shared" si="5"/>
        <v>#NUM!</v>
      </c>
      <c r="S33" s="67">
        <f t="shared" si="6"/>
        <v>29383.335428954764</v>
      </c>
      <c r="T33" s="25">
        <f t="shared" si="7"/>
        <v>863380400.9304682</v>
      </c>
      <c r="U33" s="67">
        <f t="shared" si="8"/>
        <v>38835.765268949828</v>
      </c>
      <c r="V33" s="68" t="e">
        <f t="shared" si="9"/>
        <v>#NUM!</v>
      </c>
      <c r="W33" s="68" t="e">
        <f t="shared" si="10"/>
        <v>#NUM!</v>
      </c>
      <c r="X33" s="69">
        <f t="shared" si="11"/>
        <v>-0.43072006415143638</v>
      </c>
      <c r="Y33" s="69">
        <f t="shared" si="12"/>
        <v>0.43072006415143638</v>
      </c>
      <c r="Z33" s="70">
        <f t="shared" si="13"/>
        <v>8.6812936257840825</v>
      </c>
      <c r="AA33" s="71">
        <f t="shared" si="14"/>
        <v>0</v>
      </c>
      <c r="AB33" s="70">
        <f t="shared" si="15"/>
        <v>11.130479873503816</v>
      </c>
      <c r="AC33" s="368" t="str">
        <f t="shared" si="16"/>
        <v>06</v>
      </c>
      <c r="AD33" s="81" t="e">
        <f t="shared" si="17"/>
        <v>#NUM!</v>
      </c>
      <c r="AE33" s="82" t="e">
        <f t="shared" si="18"/>
        <v>#NUM!</v>
      </c>
      <c r="AF33" s="361" t="e">
        <f t="shared" si="19"/>
        <v>#NUM!</v>
      </c>
    </row>
    <row r="34" spans="1:32" s="6" customFormat="1" ht="12.75" customHeight="1">
      <c r="A34" s="119">
        <v>2002</v>
      </c>
      <c r="B34" s="980">
        <f t="shared" si="0"/>
        <v>2007</v>
      </c>
      <c r="C34" s="64">
        <f>VLOOKUP($A34,FBrood!$A$8:$M$50,4)</f>
        <v>9.1658104658028474</v>
      </c>
      <c r="D34" s="64">
        <f>VLOOKUP($A34,FBrood!$A$8:$M$50,8)</f>
        <v>10.967830558393432</v>
      </c>
      <c r="E34" s="340">
        <v>34</v>
      </c>
      <c r="F34" s="341">
        <v>32</v>
      </c>
      <c r="G34" s="124">
        <v>4.0139010318450419</v>
      </c>
      <c r="H34" s="124">
        <v>0.75736973147719966</v>
      </c>
      <c r="I34" s="124">
        <v>9.3518479143429437E-2</v>
      </c>
      <c r="J34" s="124">
        <v>10.955808443101052</v>
      </c>
      <c r="K34" s="124">
        <v>0.40461415161623721</v>
      </c>
      <c r="L34" s="124">
        <v>0.67208912069123816</v>
      </c>
      <c r="M34" s="124">
        <v>0.17371625824566908</v>
      </c>
      <c r="N34" s="354">
        <f t="shared" si="1"/>
        <v>1.2022115292380064E-2</v>
      </c>
      <c r="O34" s="65">
        <f t="shared" si="2"/>
        <v>1.445312561032786E-4</v>
      </c>
      <c r="P34" s="355">
        <f t="shared" si="3"/>
        <v>10.955808443101052</v>
      </c>
      <c r="Q34" s="25" t="e">
        <f t="shared" si="4"/>
        <v>#NUM!</v>
      </c>
      <c r="R34" s="25" t="e">
        <f t="shared" si="5"/>
        <v>#NUM!</v>
      </c>
      <c r="S34" s="67">
        <f t="shared" si="6"/>
        <v>692.85319614953187</v>
      </c>
      <c r="T34" s="25">
        <f t="shared" si="7"/>
        <v>480045.5514146217</v>
      </c>
      <c r="U34" s="67">
        <f t="shared" si="8"/>
        <v>57285.822319092054</v>
      </c>
      <c r="V34" s="68" t="e">
        <f t="shared" si="9"/>
        <v>#NUM!</v>
      </c>
      <c r="W34" s="68" t="e">
        <f t="shared" si="10"/>
        <v>#NUM!</v>
      </c>
      <c r="X34" s="69">
        <f t="shared" si="11"/>
        <v>-1.1950138391267542E-2</v>
      </c>
      <c r="Y34" s="69">
        <f t="shared" si="12"/>
        <v>1.1950138391267542E-2</v>
      </c>
      <c r="Z34" s="70">
        <f t="shared" si="13"/>
        <v>9.1658104658028474</v>
      </c>
      <c r="AA34" s="71">
        <f t="shared" si="14"/>
        <v>0</v>
      </c>
      <c r="AB34" s="70">
        <f t="shared" si="15"/>
        <v>10.967830558393432</v>
      </c>
      <c r="AC34" s="368" t="str">
        <f t="shared" si="16"/>
        <v>07</v>
      </c>
      <c r="AD34" s="81" t="e">
        <f t="shared" si="17"/>
        <v>#NUM!</v>
      </c>
      <c r="AE34" s="82" t="e">
        <f t="shared" si="18"/>
        <v>#NUM!</v>
      </c>
      <c r="AF34" s="361" t="e">
        <f t="shared" si="19"/>
        <v>#NUM!</v>
      </c>
    </row>
    <row r="35" spans="1:32" s="6" customFormat="1" ht="12.75" customHeight="1">
      <c r="A35" s="119">
        <v>2003</v>
      </c>
      <c r="B35" s="980">
        <f t="shared" si="0"/>
        <v>2008</v>
      </c>
      <c r="C35" s="64">
        <f>VLOOKUP($A35,FBrood!$A$8:$M$50,4)</f>
        <v>8.5487733927059573</v>
      </c>
      <c r="D35" s="64">
        <f>VLOOKUP($A35,FBrood!$A$8:$M$50,8)</f>
        <v>10.379405950511826</v>
      </c>
      <c r="E35" s="340">
        <v>34</v>
      </c>
      <c r="F35" s="341">
        <v>32</v>
      </c>
      <c r="G35" s="124">
        <v>3.9967991814519515</v>
      </c>
      <c r="H35" s="124">
        <v>0.75988855614365569</v>
      </c>
      <c r="I35" s="124">
        <v>9.1432611538490569E-2</v>
      </c>
      <c r="J35" s="124">
        <v>10.492914251634582</v>
      </c>
      <c r="K35" s="124">
        <v>0.40413855035964635</v>
      </c>
      <c r="L35" s="124">
        <v>0.68339178819130064</v>
      </c>
      <c r="M35" s="124">
        <v>0.17309335331013162</v>
      </c>
      <c r="N35" s="354">
        <f t="shared" si="1"/>
        <v>-0.11350830112275645</v>
      </c>
      <c r="O35" s="65">
        <f t="shared" si="2"/>
        <v>1.2884134423774353E-2</v>
      </c>
      <c r="P35" s="355">
        <f t="shared" si="3"/>
        <v>10.492914251634582</v>
      </c>
      <c r="Q35" s="25" t="e">
        <f t="shared" si="4"/>
        <v>#NUM!</v>
      </c>
      <c r="R35" s="25" t="e">
        <f t="shared" si="5"/>
        <v>#NUM!</v>
      </c>
      <c r="S35" s="67">
        <f t="shared" si="6"/>
        <v>-3869.2562159456793</v>
      </c>
      <c r="T35" s="25">
        <f t="shared" si="7"/>
        <v>14971143.664634278</v>
      </c>
      <c r="U35" s="67">
        <f t="shared" si="8"/>
        <v>36059.089672365219</v>
      </c>
      <c r="V35" s="68" t="e">
        <f t="shared" si="9"/>
        <v>#NUM!</v>
      </c>
      <c r="W35" s="68" t="e">
        <f t="shared" si="10"/>
        <v>#NUM!</v>
      </c>
      <c r="X35" s="69">
        <f t="shared" si="11"/>
        <v>0.12020118778135658</v>
      </c>
      <c r="Y35" s="69">
        <f t="shared" si="12"/>
        <v>0.12020118778135658</v>
      </c>
      <c r="Z35" s="70">
        <f t="shared" si="13"/>
        <v>8.5487733927059573</v>
      </c>
      <c r="AA35" s="71">
        <f t="shared" si="14"/>
        <v>0</v>
      </c>
      <c r="AB35" s="70">
        <f t="shared" si="15"/>
        <v>10.379405950511826</v>
      </c>
      <c r="AC35" s="368" t="str">
        <f t="shared" si="16"/>
        <v>08</v>
      </c>
      <c r="AD35" s="81" t="e">
        <f t="shared" si="17"/>
        <v>#NUM!</v>
      </c>
      <c r="AE35" s="82" t="e">
        <f t="shared" si="18"/>
        <v>#NUM!</v>
      </c>
      <c r="AF35" s="361" t="e">
        <f t="shared" si="19"/>
        <v>#NUM!</v>
      </c>
    </row>
    <row r="36" spans="1:32" s="6" customFormat="1" ht="12.75" customHeight="1">
      <c r="A36" s="119">
        <v>2004</v>
      </c>
      <c r="B36" s="980">
        <f t="shared" si="0"/>
        <v>2009</v>
      </c>
      <c r="C36" s="64">
        <f>VLOOKUP($A36,FBrood!$A$8:$M$50,4)</f>
        <v>8.2875868447827692</v>
      </c>
      <c r="D36" s="64">
        <f>VLOOKUP($A36,FBrood!$A$8:$M$50,8)</f>
        <v>10.204959256251302</v>
      </c>
      <c r="E36" s="340">
        <v>34</v>
      </c>
      <c r="F36" s="341">
        <v>32</v>
      </c>
      <c r="G36" s="124">
        <v>4.0092487609827865</v>
      </c>
      <c r="H36" s="124">
        <v>0.75828635574273595</v>
      </c>
      <c r="I36" s="124">
        <v>9.1218122246445849E-2</v>
      </c>
      <c r="J36" s="124">
        <v>10.293612787414553</v>
      </c>
      <c r="K36" s="124">
        <v>0.40432446002672334</v>
      </c>
      <c r="L36" s="124">
        <v>0.68349474211080596</v>
      </c>
      <c r="M36" s="124">
        <v>0.17307819900612556</v>
      </c>
      <c r="N36" s="354">
        <f t="shared" si="1"/>
        <v>-8.8653531163251031E-2</v>
      </c>
      <c r="O36" s="65">
        <f t="shared" si="2"/>
        <v>7.8594485877135217E-3</v>
      </c>
      <c r="P36" s="355">
        <f t="shared" si="3"/>
        <v>10.293612787414553</v>
      </c>
      <c r="Q36" s="25" t="e">
        <f t="shared" si="4"/>
        <v>#NUM!</v>
      </c>
      <c r="R36" s="25" t="e">
        <f t="shared" si="5"/>
        <v>#NUM!</v>
      </c>
      <c r="S36" s="67">
        <f t="shared" si="6"/>
        <v>-2506.3782524511298</v>
      </c>
      <c r="T36" s="25">
        <f t="shared" si="7"/>
        <v>6281931.9443599796</v>
      </c>
      <c r="U36" s="67">
        <f t="shared" si="8"/>
        <v>29543.315499512009</v>
      </c>
      <c r="V36" s="68" t="e">
        <f t="shared" si="9"/>
        <v>#NUM!</v>
      </c>
      <c r="W36" s="68" t="e">
        <f t="shared" si="10"/>
        <v>#NUM!</v>
      </c>
      <c r="X36" s="69">
        <f t="shared" si="11"/>
        <v>9.2702003542342509E-2</v>
      </c>
      <c r="Y36" s="69">
        <f t="shared" si="12"/>
        <v>9.2702003542342509E-2</v>
      </c>
      <c r="Z36" s="70">
        <f t="shared" si="13"/>
        <v>8.2875868447827692</v>
      </c>
      <c r="AA36" s="71">
        <f t="shared" si="14"/>
        <v>0</v>
      </c>
      <c r="AB36" s="70">
        <f t="shared" si="15"/>
        <v>10.204959256251302</v>
      </c>
      <c r="AC36" s="368" t="str">
        <f t="shared" si="16"/>
        <v>09</v>
      </c>
      <c r="AD36" s="81" t="e">
        <f t="shared" si="17"/>
        <v>#NUM!</v>
      </c>
      <c r="AE36" s="82" t="e">
        <f t="shared" si="18"/>
        <v>#NUM!</v>
      </c>
      <c r="AF36" s="361" t="e">
        <f t="shared" si="19"/>
        <v>#NUM!</v>
      </c>
    </row>
    <row r="37" spans="1:32" s="6" customFormat="1" ht="12.75" customHeight="1">
      <c r="A37" s="119">
        <v>2005</v>
      </c>
      <c r="B37" s="980">
        <f t="shared" si="0"/>
        <v>2010</v>
      </c>
      <c r="C37" s="64">
        <f>VLOOKUP($A37,FBrood!$A$8:$M$50,4)</f>
        <v>8.4317956891327839</v>
      </c>
      <c r="D37" s="64">
        <f>VLOOKUP($A37,FBrood!$A$8:$M$50,8)</f>
        <v>9.8896200751423216</v>
      </c>
      <c r="E37" s="6">
        <v>34</v>
      </c>
      <c r="F37" s="6">
        <v>32</v>
      </c>
      <c r="G37" s="124">
        <v>3.976438301815918</v>
      </c>
      <c r="H37" s="124">
        <v>0.76380612832265027</v>
      </c>
      <c r="I37" s="124">
        <v>8.9006783148509308E-2</v>
      </c>
      <c r="J37" s="124">
        <v>10.416695521940042</v>
      </c>
      <c r="K37" s="124">
        <v>0.39408674564587887</v>
      </c>
      <c r="L37" s="124">
        <v>0.69708749444975149</v>
      </c>
      <c r="M37" s="124">
        <v>0.16416446957548333</v>
      </c>
      <c r="N37" s="354">
        <f t="shared" si="1"/>
        <v>-0.52707544679772056</v>
      </c>
      <c r="O37" s="65">
        <f t="shared" si="2"/>
        <v>0.27780852661701677</v>
      </c>
      <c r="P37" s="355">
        <f t="shared" si="3"/>
        <v>10.416695521940042</v>
      </c>
      <c r="Q37" s="25" t="e">
        <f t="shared" si="4"/>
        <v>#NUM!</v>
      </c>
      <c r="R37" s="25" t="e">
        <f t="shared" si="5"/>
        <v>#NUM!</v>
      </c>
      <c r="S37" s="67">
        <f t="shared" si="6"/>
        <v>-13688.274859829213</v>
      </c>
      <c r="T37" s="25">
        <f t="shared" si="7"/>
        <v>187368868.63823247</v>
      </c>
      <c r="U37" s="67">
        <f t="shared" si="8"/>
        <v>33412.839522605464</v>
      </c>
      <c r="V37" s="68" t="e">
        <f t="shared" si="9"/>
        <v>#NUM!</v>
      </c>
      <c r="W37" s="68" t="e">
        <f t="shared" si="10"/>
        <v>#NUM!</v>
      </c>
      <c r="X37" s="69">
        <f t="shared" si="11"/>
        <v>0.69397094911105506</v>
      </c>
      <c r="Y37" s="69">
        <f t="shared" si="12"/>
        <v>0.69397094911105506</v>
      </c>
      <c r="Z37" s="70">
        <f t="shared" si="13"/>
        <v>8.4317956891327839</v>
      </c>
      <c r="AA37" s="71">
        <f t="shared" si="14"/>
        <v>0</v>
      </c>
      <c r="AB37" s="70">
        <f t="shared" si="15"/>
        <v>9.8896200751423216</v>
      </c>
      <c r="AC37" s="368" t="str">
        <f t="shared" si="16"/>
        <v>10</v>
      </c>
      <c r="AD37" s="81" t="e">
        <f t="shared" si="17"/>
        <v>#NUM!</v>
      </c>
      <c r="AE37" s="82" t="e">
        <f t="shared" si="18"/>
        <v>#NUM!</v>
      </c>
      <c r="AF37" s="361" t="e">
        <f t="shared" si="19"/>
        <v>#NUM!</v>
      </c>
    </row>
    <row r="38" spans="1:32" s="6" customFormat="1" ht="12.75" customHeight="1">
      <c r="A38" s="119">
        <v>2006</v>
      </c>
      <c r="B38" s="980">
        <f t="shared" si="0"/>
        <v>2011</v>
      </c>
      <c r="C38" s="64">
        <f>VLOOKUP($A38,FBrood!$A$8:$M$50,4)</f>
        <v>8.5943219857568938</v>
      </c>
      <c r="D38" s="64">
        <f>VLOOKUP($A38,FBrood!$A$8:$M$50,8)</f>
        <v>10.623100792171124</v>
      </c>
      <c r="E38" s="6">
        <v>34</v>
      </c>
      <c r="F38" s="6">
        <v>32</v>
      </c>
      <c r="G38" s="124">
        <v>4.0229440519157285</v>
      </c>
      <c r="H38" s="124">
        <v>0.75595133557104521</v>
      </c>
      <c r="I38" s="124">
        <v>9.1530196654133283E-2</v>
      </c>
      <c r="J38" s="124">
        <v>10.51983323537625</v>
      </c>
      <c r="K38" s="124">
        <v>0.40422211150655663</v>
      </c>
      <c r="L38" s="124">
        <v>0.68067601543615974</v>
      </c>
      <c r="M38" s="124">
        <v>0.17219090569571857</v>
      </c>
      <c r="N38" s="354">
        <f t="shared" si="1"/>
        <v>0.10326755679487398</v>
      </c>
      <c r="O38" s="65">
        <f t="shared" si="2"/>
        <v>1.0664188286382523E-2</v>
      </c>
      <c r="P38" s="355">
        <f t="shared" si="3"/>
        <v>10.51983323537625</v>
      </c>
      <c r="Q38" s="25" t="e">
        <f t="shared" si="4"/>
        <v>#NUM!</v>
      </c>
      <c r="R38" s="25" t="e">
        <f t="shared" si="5"/>
        <v>#NUM!</v>
      </c>
      <c r="S38" s="67">
        <f t="shared" si="6"/>
        <v>4029.8292949547904</v>
      </c>
      <c r="T38" s="25">
        <f t="shared" si="7"/>
        <v>16239524.146475824</v>
      </c>
      <c r="U38" s="67">
        <f t="shared" si="8"/>
        <v>37042.946523853068</v>
      </c>
      <c r="V38" s="68" t="e">
        <f t="shared" si="9"/>
        <v>#NUM!</v>
      </c>
      <c r="W38" s="68" t="e">
        <f t="shared" si="10"/>
        <v>#NUM!</v>
      </c>
      <c r="X38" s="69">
        <f t="shared" si="11"/>
        <v>-9.8114364432838483E-2</v>
      </c>
      <c r="Y38" s="69">
        <f t="shared" si="12"/>
        <v>9.8114364432838483E-2</v>
      </c>
      <c r="Z38" s="70">
        <f t="shared" si="13"/>
        <v>8.5943219857568938</v>
      </c>
      <c r="AA38" s="71">
        <f t="shared" si="14"/>
        <v>0</v>
      </c>
      <c r="AB38" s="70">
        <f t="shared" si="15"/>
        <v>10.623100792171124</v>
      </c>
      <c r="AC38" s="368" t="str">
        <f t="shared" si="16"/>
        <v>11</v>
      </c>
      <c r="AD38" s="81" t="e">
        <f t="shared" si="17"/>
        <v>#NUM!</v>
      </c>
      <c r="AE38" s="82" t="e">
        <f t="shared" si="18"/>
        <v>#NUM!</v>
      </c>
      <c r="AF38" s="361" t="e">
        <f t="shared" si="19"/>
        <v>#NUM!</v>
      </c>
    </row>
    <row r="39" spans="1:32" s="6" customFormat="1" ht="12.75" customHeight="1">
      <c r="A39" s="119">
        <v>2007</v>
      </c>
      <c r="B39" s="980">
        <f t="shared" si="0"/>
        <v>2012</v>
      </c>
      <c r="C39" s="64">
        <f>VLOOKUP($A39,FBrood!$A$8:$M$50,4)</f>
        <v>8.6078227782237438</v>
      </c>
      <c r="D39" s="64">
        <f>VLOOKUP($A39,FBrood!$A$8:$M$50,8)</f>
        <v>10.473027633372794</v>
      </c>
      <c r="E39" s="6">
        <v>34</v>
      </c>
      <c r="F39" s="6">
        <v>32</v>
      </c>
      <c r="G39" s="124">
        <v>4.0008711037636715</v>
      </c>
      <c r="H39" s="124">
        <v>0.75921727908170145</v>
      </c>
      <c r="I39" s="124">
        <v>9.161194083071636E-2</v>
      </c>
      <c r="J39" s="124">
        <v>10.536078892264193</v>
      </c>
      <c r="K39" s="124">
        <v>0.40447137102078473</v>
      </c>
      <c r="L39" s="124">
        <v>0.68216016138449354</v>
      </c>
      <c r="M39" s="124">
        <v>0.17222918077213034</v>
      </c>
      <c r="N39" s="354">
        <f t="shared" si="1"/>
        <v>-6.3051258891398732E-2</v>
      </c>
      <c r="O39" s="65">
        <f t="shared" si="2"/>
        <v>3.9754612477901873E-3</v>
      </c>
      <c r="P39" s="355">
        <f t="shared" si="3"/>
        <v>10.536078892264193</v>
      </c>
      <c r="Q39" s="25" t="e">
        <f t="shared" si="4"/>
        <v>#NUM!</v>
      </c>
      <c r="R39" s="25" t="e">
        <f t="shared" si="5"/>
        <v>#NUM!</v>
      </c>
      <c r="S39" s="67">
        <f t="shared" si="6"/>
        <v>-2300.5687439711473</v>
      </c>
      <c r="T39" s="25">
        <f t="shared" si="7"/>
        <v>5292616.5457369825</v>
      </c>
      <c r="U39" s="67">
        <f t="shared" si="8"/>
        <v>37649.648314353719</v>
      </c>
      <c r="V39" s="68" t="e">
        <f t="shared" si="9"/>
        <v>#NUM!</v>
      </c>
      <c r="W39" s="68" t="e">
        <f t="shared" si="10"/>
        <v>#NUM!</v>
      </c>
      <c r="X39" s="69">
        <f t="shared" si="11"/>
        <v>6.508143272558338E-2</v>
      </c>
      <c r="Y39" s="69">
        <f t="shared" si="12"/>
        <v>6.508143272558338E-2</v>
      </c>
      <c r="Z39" s="70">
        <f t="shared" si="13"/>
        <v>8.6078227782237438</v>
      </c>
      <c r="AA39" s="71">
        <f t="shared" si="14"/>
        <v>0</v>
      </c>
      <c r="AB39" s="70">
        <f t="shared" si="15"/>
        <v>10.473027633372794</v>
      </c>
      <c r="AC39" s="368" t="str">
        <f t="shared" si="16"/>
        <v>12</v>
      </c>
      <c r="AD39" s="81" t="e">
        <f t="shared" si="17"/>
        <v>#NUM!</v>
      </c>
      <c r="AE39" s="82" t="e">
        <f t="shared" si="18"/>
        <v>#NUM!</v>
      </c>
      <c r="AF39" s="361" t="e">
        <f t="shared" si="19"/>
        <v>#NUM!</v>
      </c>
    </row>
    <row r="40" spans="1:32" s="6" customFormat="1" ht="12.75" customHeight="1">
      <c r="A40" s="119">
        <v>2008</v>
      </c>
      <c r="B40" s="980">
        <f t="shared" si="0"/>
        <v>2013</v>
      </c>
      <c r="C40" s="64">
        <f>VLOOKUP($A40,FBrood!$A$8:$M$50,4)</f>
        <v>8.2485379885467474</v>
      </c>
      <c r="D40" s="64">
        <f>VLOOKUP($A40,FBrood!$A$8:$M$50,8)</f>
        <v>10.180744054918474</v>
      </c>
      <c r="E40" s="6">
        <v>34</v>
      </c>
      <c r="F40" s="6">
        <v>32</v>
      </c>
      <c r="G40" s="124">
        <v>4.0106180642122107</v>
      </c>
      <c r="H40" s="124">
        <v>0.75810030025903707</v>
      </c>
      <c r="I40" s="124">
        <v>9.1216017433318308E-2</v>
      </c>
      <c r="J40" s="124">
        <v>10.263837190027573</v>
      </c>
      <c r="K40" s="124">
        <v>0.40436024079446975</v>
      </c>
      <c r="L40" s="124">
        <v>0.6833985461168175</v>
      </c>
      <c r="M40" s="124">
        <v>0.17199404676064048</v>
      </c>
      <c r="N40" s="354">
        <f t="shared" si="1"/>
        <v>-8.3093135109098881E-2</v>
      </c>
      <c r="O40" s="65">
        <f t="shared" si="2"/>
        <v>6.9044691022589607E-3</v>
      </c>
      <c r="P40" s="355">
        <f t="shared" si="3"/>
        <v>10.263837190027573</v>
      </c>
      <c r="Q40" s="25" t="e">
        <f t="shared" si="4"/>
        <v>#NUM!</v>
      </c>
      <c r="R40" s="25" t="e">
        <f t="shared" si="5"/>
        <v>#NUM!</v>
      </c>
      <c r="S40" s="67">
        <f t="shared" si="6"/>
        <v>-2286.5172825863374</v>
      </c>
      <c r="T40" s="25">
        <f t="shared" si="7"/>
        <v>5228161.2835660083</v>
      </c>
      <c r="U40" s="67">
        <f t="shared" si="8"/>
        <v>28676.61295762271</v>
      </c>
      <c r="V40" s="68" t="e">
        <f t="shared" si="9"/>
        <v>#NUM!</v>
      </c>
      <c r="W40" s="68" t="e">
        <f t="shared" si="10"/>
        <v>#NUM!</v>
      </c>
      <c r="X40" s="69">
        <f t="shared" si="11"/>
        <v>8.664300845067649E-2</v>
      </c>
      <c r="Y40" s="69">
        <f t="shared" si="12"/>
        <v>8.664300845067649E-2</v>
      </c>
      <c r="Z40" s="70">
        <f t="shared" si="13"/>
        <v>8.2485379885467474</v>
      </c>
      <c r="AA40" s="71">
        <f t="shared" si="14"/>
        <v>0</v>
      </c>
      <c r="AB40" s="70">
        <f t="shared" si="15"/>
        <v>10.180744054918474</v>
      </c>
      <c r="AC40" s="368" t="str">
        <f t="shared" si="16"/>
        <v>13</v>
      </c>
      <c r="AD40" s="81" t="e">
        <f t="shared" si="17"/>
        <v>#NUM!</v>
      </c>
      <c r="AE40" s="82" t="e">
        <f t="shared" si="18"/>
        <v>#NUM!</v>
      </c>
      <c r="AF40" s="361" t="e">
        <f t="shared" si="19"/>
        <v>#NUM!</v>
      </c>
    </row>
    <row r="41" spans="1:32" s="6" customFormat="1" ht="12.75" customHeight="1">
      <c r="A41" s="119">
        <v>2009</v>
      </c>
      <c r="B41" s="980">
        <f t="shared" si="0"/>
        <v>2014</v>
      </c>
      <c r="C41" s="64">
        <f>VLOOKUP($A41,FBrood!$A$8:$M$50,4)</f>
        <v>8.66922270044026</v>
      </c>
      <c r="D41" s="64">
        <f>VLOOKUP($A41,FBrood!$A$8:$M$50,8)</f>
        <v>9.6782501880408773</v>
      </c>
      <c r="E41" s="6">
        <v>34</v>
      </c>
      <c r="F41" s="6">
        <v>32</v>
      </c>
      <c r="G41" s="124">
        <v>3.8574861147590589</v>
      </c>
      <c r="H41" s="124">
        <v>0.77972085360413979</v>
      </c>
      <c r="I41" s="124">
        <v>8.4027834094340254E-2</v>
      </c>
      <c r="J41" s="124">
        <v>10.617059838830723</v>
      </c>
      <c r="K41" s="124">
        <v>0.37047555666059645</v>
      </c>
      <c r="L41" s="124">
        <v>0.72905628738490136</v>
      </c>
      <c r="M41" s="124">
        <v>0.14423090117854689</v>
      </c>
      <c r="N41" s="354">
        <f t="shared" si="1"/>
        <v>-0.93880965078984602</v>
      </c>
      <c r="O41" s="65">
        <f t="shared" si="2"/>
        <v>0.8813635604161526</v>
      </c>
      <c r="P41" s="355">
        <f t="shared" si="3"/>
        <v>10.617059838830723</v>
      </c>
      <c r="Q41" s="25" t="e">
        <f t="shared" si="4"/>
        <v>#NUM!</v>
      </c>
      <c r="R41" s="25" t="e">
        <f t="shared" si="5"/>
        <v>#NUM!</v>
      </c>
      <c r="S41" s="67">
        <f t="shared" si="6"/>
        <v>-24858.870989442999</v>
      </c>
      <c r="T41" s="25">
        <f t="shared" si="7"/>
        <v>617963466.86977077</v>
      </c>
      <c r="U41" s="67">
        <f t="shared" si="8"/>
        <v>40825.405026509878</v>
      </c>
      <c r="V41" s="68" t="e">
        <f t="shared" si="9"/>
        <v>#NUM!</v>
      </c>
      <c r="W41" s="68" t="e">
        <f t="shared" si="10"/>
        <v>#NUM!</v>
      </c>
      <c r="X41" s="69">
        <f t="shared" si="11"/>
        <v>1.5569359594093648</v>
      </c>
      <c r="Y41" s="69">
        <f t="shared" si="12"/>
        <v>1.5569359594093648</v>
      </c>
      <c r="Z41" s="70">
        <f t="shared" si="13"/>
        <v>8.66922270044026</v>
      </c>
      <c r="AA41" s="71">
        <f t="shared" si="14"/>
        <v>0</v>
      </c>
      <c r="AB41" s="70">
        <f t="shared" si="15"/>
        <v>9.6782501880408773</v>
      </c>
      <c r="AC41" s="368" t="str">
        <f t="shared" si="16"/>
        <v>14</v>
      </c>
      <c r="AD41" s="81" t="e">
        <f t="shared" si="17"/>
        <v>#NUM!</v>
      </c>
      <c r="AE41" s="82" t="e">
        <f t="shared" si="18"/>
        <v>#NUM!</v>
      </c>
      <c r="AF41" s="361" t="e">
        <f t="shared" si="19"/>
        <v>#NUM!</v>
      </c>
    </row>
    <row r="42" spans="1:32" s="6" customFormat="1" ht="12.75" customHeight="1">
      <c r="A42" s="119">
        <v>2010</v>
      </c>
      <c r="B42" s="980">
        <f t="shared" si="0"/>
        <v>2015</v>
      </c>
      <c r="C42" s="64">
        <f>VLOOKUP($A42,FBrood!$A$8:$M$50,4)</f>
        <v>9.0876530941287168</v>
      </c>
      <c r="D42" s="64">
        <f>VLOOKUP($A42,FBrood!$A$8:$M$50,8)</f>
        <v>10.524446289971486</v>
      </c>
      <c r="E42" s="6">
        <v>34</v>
      </c>
      <c r="F42" s="6">
        <v>32</v>
      </c>
      <c r="G42" s="124">
        <v>3.872978288100219</v>
      </c>
      <c r="H42" s="124">
        <v>0.77597876316778513</v>
      </c>
      <c r="I42" s="124">
        <v>9.1782823489400214E-2</v>
      </c>
      <c r="J42" s="124">
        <v>10.924804096180116</v>
      </c>
      <c r="K42" s="124">
        <v>0.39866030844847339</v>
      </c>
      <c r="L42" s="124">
        <v>0.69075771268011954</v>
      </c>
      <c r="M42" s="124">
        <v>0.16962645184504038</v>
      </c>
      <c r="N42" s="354">
        <f t="shared" si="1"/>
        <v>-0.40035780620863015</v>
      </c>
      <c r="O42" s="65">
        <f t="shared" si="2"/>
        <v>0.16028637299218707</v>
      </c>
      <c r="P42" s="355">
        <f t="shared" si="3"/>
        <v>10.924804096180116</v>
      </c>
      <c r="Q42" s="25" t="e">
        <f t="shared" si="4"/>
        <v>#NUM!</v>
      </c>
      <c r="R42" s="25" t="e">
        <f t="shared" si="5"/>
        <v>#NUM!</v>
      </c>
      <c r="S42" s="67">
        <f t="shared" si="6"/>
        <v>-18322.741599313318</v>
      </c>
      <c r="T42" s="25">
        <f t="shared" si="7"/>
        <v>335722859.71520674</v>
      </c>
      <c r="U42" s="67">
        <f t="shared" si="8"/>
        <v>55536.964006616909</v>
      </c>
      <c r="V42" s="68" t="e">
        <f t="shared" si="9"/>
        <v>#NUM!</v>
      </c>
      <c r="W42" s="68" t="e">
        <f t="shared" si="10"/>
        <v>#NUM!</v>
      </c>
      <c r="X42" s="69">
        <f t="shared" si="11"/>
        <v>0.49235857728730437</v>
      </c>
      <c r="Y42" s="69">
        <f t="shared" si="12"/>
        <v>0.49235857728730437</v>
      </c>
      <c r="Z42" s="70">
        <f t="shared" si="13"/>
        <v>9.0876530941287168</v>
      </c>
      <c r="AA42" s="71">
        <f t="shared" si="14"/>
        <v>0</v>
      </c>
      <c r="AB42" s="70">
        <f t="shared" si="15"/>
        <v>10.524446289971486</v>
      </c>
      <c r="AC42" s="368" t="str">
        <f t="shared" si="16"/>
        <v>15</v>
      </c>
      <c r="AD42" s="81" t="e">
        <f t="shared" si="17"/>
        <v>#NUM!</v>
      </c>
      <c r="AE42" s="82" t="e">
        <f t="shared" si="18"/>
        <v>#NUM!</v>
      </c>
      <c r="AF42" s="361" t="e">
        <f t="shared" si="19"/>
        <v>#NUM!</v>
      </c>
    </row>
    <row r="43" spans="1:32" s="6" customFormat="1" ht="12.75" customHeight="1">
      <c r="A43" s="119">
        <v>2011</v>
      </c>
      <c r="B43" s="980">
        <f t="shared" si="0"/>
        <v>2016</v>
      </c>
      <c r="C43" s="64">
        <f>VLOOKUP($A43,FBrood!$A$8:$M$50,4)</f>
        <v>8.7741506509157503</v>
      </c>
      <c r="D43" s="64">
        <f>VLOOKUP($A43,FBrood!$A$8:$M$50,8)</f>
        <v>9.8062026003423828</v>
      </c>
      <c r="E43" s="6">
        <v>34</v>
      </c>
      <c r="F43" s="6">
        <v>32</v>
      </c>
      <c r="G43" s="124">
        <v>3.9260460032589508</v>
      </c>
      <c r="H43" s="124">
        <v>0.77060230440153965</v>
      </c>
      <c r="I43" s="124">
        <v>8.7115027482561599E-2</v>
      </c>
      <c r="J43" s="124">
        <v>10.522577585513623</v>
      </c>
      <c r="K43" s="124">
        <v>0.38497527483102528</v>
      </c>
      <c r="L43" s="124">
        <v>0.70974587306512449</v>
      </c>
      <c r="M43" s="124">
        <v>0.15375003618434727</v>
      </c>
      <c r="N43" s="354">
        <f t="shared" si="1"/>
        <v>-0.71637498517124065</v>
      </c>
      <c r="O43" s="65">
        <f t="shared" si="2"/>
        <v>0.51319311937909529</v>
      </c>
      <c r="P43" s="355">
        <f t="shared" si="3"/>
        <v>10.522577585513623</v>
      </c>
      <c r="Q43" s="25" t="e">
        <f t="shared" si="4"/>
        <v>#NUM!</v>
      </c>
      <c r="R43" s="25" t="e">
        <f t="shared" si="5"/>
        <v>#NUM!</v>
      </c>
      <c r="S43" s="67">
        <f t="shared" si="6"/>
        <v>-18998.796302607941</v>
      </c>
      <c r="T43" s="25">
        <f t="shared" si="7"/>
        <v>360954260.94798917</v>
      </c>
      <c r="U43" s="67">
        <f t="shared" si="8"/>
        <v>37144.744960620599</v>
      </c>
      <c r="V43" s="68" t="e">
        <f t="shared" si="9"/>
        <v>#NUM!</v>
      </c>
      <c r="W43" s="68" t="e">
        <f t="shared" si="10"/>
        <v>#NUM!</v>
      </c>
      <c r="X43" s="69">
        <f t="shared" si="11"/>
        <v>1.04699934187341</v>
      </c>
      <c r="Y43" s="69">
        <f t="shared" si="12"/>
        <v>1.04699934187341</v>
      </c>
      <c r="Z43" s="70">
        <f t="shared" si="13"/>
        <v>8.7741506509157503</v>
      </c>
      <c r="AA43" s="71">
        <f t="shared" si="14"/>
        <v>0</v>
      </c>
      <c r="AB43" s="70">
        <f t="shared" si="15"/>
        <v>9.8062026003423828</v>
      </c>
      <c r="AC43" s="368" t="str">
        <f t="shared" si="16"/>
        <v>16</v>
      </c>
      <c r="AD43" s="81" t="e">
        <f t="shared" si="17"/>
        <v>#NUM!</v>
      </c>
      <c r="AE43" s="82" t="e">
        <f t="shared" si="18"/>
        <v>#NUM!</v>
      </c>
      <c r="AF43" s="361" t="e">
        <f t="shared" si="19"/>
        <v>#NUM!</v>
      </c>
    </row>
    <row r="44" spans="1:32" s="6" customFormat="1" ht="12.75" customHeight="1">
      <c r="A44" s="119">
        <v>2012</v>
      </c>
      <c r="B44" s="980">
        <f t="shared" si="0"/>
        <v>2017</v>
      </c>
      <c r="C44" s="64">
        <f>VLOOKUP($A44,FBrood!$A$8:$M$50,4)</f>
        <v>8.3258066626308604</v>
      </c>
      <c r="D44" s="64">
        <f>VLOOKUP($A44,FBrood!$A$8:$M$50,8)</f>
        <v>0</v>
      </c>
      <c r="E44" s="6">
        <v>0</v>
      </c>
      <c r="F44" s="6">
        <v>0</v>
      </c>
      <c r="G44" s="124">
        <v>0</v>
      </c>
      <c r="H44" s="124">
        <v>0</v>
      </c>
      <c r="I44" s="124">
        <v>0</v>
      </c>
      <c r="J44" s="124">
        <v>0</v>
      </c>
      <c r="K44" s="124">
        <v>0</v>
      </c>
      <c r="L44" s="124">
        <v>0</v>
      </c>
      <c r="M44" s="124"/>
      <c r="N44" s="354">
        <f t="shared" si="1"/>
        <v>0</v>
      </c>
      <c r="O44" s="65">
        <f t="shared" si="2"/>
        <v>0</v>
      </c>
      <c r="P44" s="355">
        <f t="shared" si="3"/>
        <v>0</v>
      </c>
      <c r="Q44" s="25" t="e">
        <f t="shared" si="4"/>
        <v>#NUM!</v>
      </c>
      <c r="R44" s="25" t="e">
        <f t="shared" si="5"/>
        <v>#NUM!</v>
      </c>
      <c r="S44" s="67">
        <f t="shared" si="6"/>
        <v>0</v>
      </c>
      <c r="T44" s="25">
        <f t="shared" si="7"/>
        <v>0</v>
      </c>
      <c r="U44" s="67">
        <f t="shared" si="8"/>
        <v>1</v>
      </c>
      <c r="V44" s="68" t="e">
        <f t="shared" si="9"/>
        <v>#NUM!</v>
      </c>
      <c r="W44" s="68" t="e">
        <f t="shared" si="10"/>
        <v>#NUM!</v>
      </c>
      <c r="X44" s="69">
        <f t="shared" si="11"/>
        <v>0</v>
      </c>
      <c r="Y44" s="69">
        <f t="shared" si="12"/>
        <v>0</v>
      </c>
      <c r="Z44" s="70">
        <f t="shared" si="13"/>
        <v>8.3258066626308604</v>
      </c>
      <c r="AA44" s="71">
        <f t="shared" si="14"/>
        <v>0</v>
      </c>
      <c r="AB44" s="70">
        <f t="shared" si="15"/>
        <v>0</v>
      </c>
      <c r="AC44" s="368" t="str">
        <f t="shared" si="16"/>
        <v>17</v>
      </c>
      <c r="AD44" s="81" t="e">
        <f t="shared" si="17"/>
        <v>#NUM!</v>
      </c>
      <c r="AE44" s="361"/>
      <c r="AF44" s="361"/>
    </row>
    <row r="45" spans="1:32" s="6" customFormat="1" ht="12.75" customHeight="1">
      <c r="A45" s="119">
        <v>1979</v>
      </c>
      <c r="B45" s="980">
        <f>A45+$H$4+9000</f>
        <v>10984</v>
      </c>
      <c r="C45" s="64">
        <f>VLOOKUP($A45,FBrood!$A$8:$M$50,4)</f>
        <v>7.6266639812934791</v>
      </c>
      <c r="D45" s="64">
        <f>VLOOKUP($A45,FBrood!$A$8:$M$50,8)</f>
        <v>9.4867647439893457</v>
      </c>
      <c r="E45" s="340">
        <v>0</v>
      </c>
      <c r="F45" s="341">
        <v>0</v>
      </c>
      <c r="G45" s="124">
        <v>0</v>
      </c>
      <c r="H45" s="124">
        <v>0</v>
      </c>
      <c r="I45" s="124">
        <v>0</v>
      </c>
      <c r="J45" s="124">
        <v>0</v>
      </c>
      <c r="K45" s="124">
        <v>0</v>
      </c>
      <c r="L45" s="124">
        <v>0</v>
      </c>
      <c r="M45" s="124"/>
      <c r="N45" s="354">
        <f t="shared" si="1"/>
        <v>9.4867647439893457</v>
      </c>
      <c r="O45" s="65">
        <f t="shared" si="2"/>
        <v>89.998705307799241</v>
      </c>
      <c r="P45" s="355">
        <f t="shared" si="3"/>
        <v>0</v>
      </c>
      <c r="Q45" s="25" t="e">
        <f t="shared" si="4"/>
        <v>#NUM!</v>
      </c>
      <c r="R45" s="25" t="e">
        <f t="shared" si="5"/>
        <v>#NUM!</v>
      </c>
      <c r="S45" s="67">
        <f t="shared" si="6"/>
        <v>13183.072404618599</v>
      </c>
      <c r="T45" s="25">
        <f t="shared" si="7"/>
        <v>173793398.0254164</v>
      </c>
      <c r="U45" s="67">
        <f t="shared" si="8"/>
        <v>1</v>
      </c>
      <c r="V45" s="68" t="e">
        <f t="shared" si="9"/>
        <v>#NUM!</v>
      </c>
      <c r="W45" s="68" t="e">
        <f t="shared" si="10"/>
        <v>#NUM!</v>
      </c>
      <c r="X45" s="69">
        <f t="shared" si="11"/>
        <v>-0.99992415090198916</v>
      </c>
      <c r="Y45" s="69">
        <f t="shared" si="12"/>
        <v>0.99992415090198916</v>
      </c>
      <c r="Z45" s="70">
        <f t="shared" si="13"/>
        <v>7.6266639812934791</v>
      </c>
      <c r="AA45" s="71">
        <f t="shared" si="14"/>
        <v>0</v>
      </c>
      <c r="AB45" s="70">
        <f t="shared" si="15"/>
        <v>9.4867647439893457</v>
      </c>
      <c r="AC45" s="368" t="str">
        <f t="shared" si="16"/>
        <v>84</v>
      </c>
      <c r="AD45" s="81" t="e">
        <f t="shared" si="17"/>
        <v>#NUM!</v>
      </c>
      <c r="AE45" s="82" t="e">
        <f>AA45+SQRT($O$51)*$Q$51</f>
        <v>#NUM!</v>
      </c>
      <c r="AF45" s="361" t="e">
        <f>AB45+SQRT($O$51)*$Q$51</f>
        <v>#NUM!</v>
      </c>
    </row>
    <row r="46" spans="1:32" s="6" customFormat="1" ht="12.75" customHeight="1">
      <c r="A46" s="119">
        <v>1980</v>
      </c>
      <c r="B46" s="980">
        <f>A46+$H$4+9000</f>
        <v>10985</v>
      </c>
      <c r="C46" s="64">
        <f>VLOOKUP($A46,FBrood!$A$8:$M$50,4)</f>
        <v>6.802035215661534</v>
      </c>
      <c r="D46" s="64">
        <f>VLOOKUP($A46,FBrood!$A$8:$M$50,8)</f>
        <v>9.4124522170203111</v>
      </c>
      <c r="E46" s="340">
        <v>34</v>
      </c>
      <c r="F46" s="341">
        <v>32</v>
      </c>
      <c r="G46" s="124">
        <v>3.8336126666009918</v>
      </c>
      <c r="H46" s="124">
        <v>0.77837269411673193</v>
      </c>
      <c r="I46" s="124">
        <v>9.5792820333305703E-2</v>
      </c>
      <c r="J46" s="124">
        <v>9.1281311428923466</v>
      </c>
      <c r="K46" s="124">
        <v>0.40189409219789846</v>
      </c>
      <c r="L46" s="124">
        <v>0.67355309778200823</v>
      </c>
      <c r="M46" s="124">
        <v>0.16654084530821542</v>
      </c>
      <c r="N46" s="354">
        <f t="shared" si="1"/>
        <v>0.28432107412796448</v>
      </c>
      <c r="O46" s="65">
        <f t="shared" si="2"/>
        <v>8.083847319327947E-2</v>
      </c>
      <c r="P46" s="355">
        <f t="shared" si="3"/>
        <v>9.1281311428923466</v>
      </c>
      <c r="Q46" s="25" t="e">
        <f t="shared" si="4"/>
        <v>#NUM!</v>
      </c>
      <c r="R46" s="25" t="e">
        <f t="shared" si="5"/>
        <v>#NUM!</v>
      </c>
      <c r="S46" s="67">
        <f t="shared" si="6"/>
        <v>3029.0567512863254</v>
      </c>
      <c r="T46" s="25">
        <f t="shared" si="7"/>
        <v>9175184.8025132678</v>
      </c>
      <c r="U46" s="67">
        <f t="shared" si="8"/>
        <v>9210.7922197223397</v>
      </c>
      <c r="V46" s="68" t="e">
        <f t="shared" si="9"/>
        <v>#NUM!</v>
      </c>
      <c r="W46" s="68" t="e">
        <f t="shared" si="10"/>
        <v>#NUM!</v>
      </c>
      <c r="X46" s="69">
        <f t="shared" si="11"/>
        <v>-0.2474750103911377</v>
      </c>
      <c r="Y46" s="69">
        <f t="shared" si="12"/>
        <v>0.2474750103911377</v>
      </c>
      <c r="Z46" s="70">
        <f t="shared" si="13"/>
        <v>6.802035215661534</v>
      </c>
      <c r="AA46" s="71">
        <f t="shared" si="14"/>
        <v>0</v>
      </c>
      <c r="AB46" s="70">
        <f t="shared" si="15"/>
        <v>9.4124522170203111</v>
      </c>
      <c r="AC46" s="368" t="str">
        <f t="shared" si="16"/>
        <v>85</v>
      </c>
      <c r="AD46" s="81" t="e">
        <f t="shared" si="17"/>
        <v>#NUM!</v>
      </c>
      <c r="AE46" s="212" t="e">
        <f>AA46+SQRT($O$51)*$Q$51</f>
        <v>#NUM!</v>
      </c>
      <c r="AF46" s="363" t="e">
        <f>AB46+SQRT($O$51)*$Q$51</f>
        <v>#NUM!</v>
      </c>
    </row>
    <row r="47" spans="1:32" s="6" customFormat="1" ht="12.75" customHeight="1">
      <c r="A47" s="521"/>
      <c r="B47" s="980"/>
      <c r="C47" s="537"/>
      <c r="D47" s="64"/>
      <c r="G47" s="124"/>
      <c r="H47" s="124"/>
      <c r="I47" s="124"/>
      <c r="J47" s="124"/>
      <c r="K47" s="124"/>
      <c r="L47" s="124"/>
      <c r="M47" s="124"/>
      <c r="N47" s="354"/>
      <c r="O47" s="65"/>
      <c r="P47" s="355"/>
      <c r="Q47" s="25"/>
      <c r="R47" s="25"/>
      <c r="S47" s="67"/>
      <c r="T47" s="370"/>
      <c r="U47" s="1001"/>
      <c r="V47" s="365"/>
      <c r="W47" s="365"/>
      <c r="X47" s="69"/>
      <c r="Y47" s="69"/>
      <c r="Z47" s="339"/>
      <c r="AA47" s="71"/>
      <c r="AB47" s="339"/>
      <c r="AC47" s="368"/>
      <c r="AD47" s="81"/>
      <c r="AE47" s="82"/>
      <c r="AF47" s="361"/>
    </row>
    <row r="48" spans="1:32" s="6" customFormat="1" ht="12.75" customHeight="1">
      <c r="A48" s="521">
        <v>2013</v>
      </c>
      <c r="B48" s="980"/>
      <c r="C48" s="537"/>
      <c r="D48" s="64"/>
      <c r="G48" s="124"/>
      <c r="H48" s="124"/>
      <c r="I48" s="124"/>
      <c r="J48" s="124"/>
      <c r="K48" s="124"/>
      <c r="L48" s="124"/>
      <c r="M48" s="124"/>
      <c r="N48" s="354"/>
      <c r="O48" s="65"/>
      <c r="P48" s="355"/>
      <c r="Q48" s="25"/>
      <c r="R48" s="25"/>
      <c r="S48" s="67"/>
      <c r="T48" s="370"/>
      <c r="U48" s="1001"/>
      <c r="V48" s="365"/>
      <c r="W48" s="365"/>
      <c r="X48" s="69"/>
      <c r="Y48" s="69"/>
      <c r="Z48" s="339"/>
      <c r="AA48" s="211"/>
      <c r="AB48" s="339"/>
      <c r="AC48" s="368"/>
      <c r="AD48" s="212"/>
      <c r="AE48" s="82"/>
      <c r="AF48" s="363"/>
    </row>
    <row r="49" spans="1:32" s="6" customFormat="1" ht="12.75" customHeight="1">
      <c r="A49" s="521"/>
      <c r="B49" s="980"/>
      <c r="C49" s="537"/>
      <c r="D49" s="64"/>
      <c r="G49" s="124"/>
      <c r="H49" s="124"/>
      <c r="I49" s="124"/>
      <c r="J49" s="124"/>
      <c r="K49" s="124"/>
      <c r="L49" s="124"/>
      <c r="M49" s="124"/>
      <c r="N49" s="354"/>
      <c r="O49" s="65"/>
      <c r="P49" s="355"/>
      <c r="Q49" s="25"/>
      <c r="R49" s="25"/>
      <c r="S49" s="67"/>
      <c r="T49" s="370"/>
      <c r="U49" s="1001"/>
      <c r="V49" s="365"/>
      <c r="W49" s="365"/>
      <c r="X49" s="69"/>
      <c r="Y49" s="69"/>
      <c r="Z49" s="339"/>
      <c r="AA49" s="211"/>
      <c r="AB49" s="339"/>
      <c r="AC49" s="368"/>
      <c r="AD49" s="212"/>
      <c r="AE49" s="82"/>
      <c r="AF49" s="363"/>
    </row>
    <row r="50" spans="1:32" s="6" customFormat="1" ht="12.75" customHeight="1">
      <c r="A50" s="126"/>
      <c r="B50" s="127"/>
      <c r="C50" s="128"/>
      <c r="D50" s="127"/>
      <c r="E50" s="127"/>
      <c r="F50" s="127"/>
      <c r="G50" s="127"/>
      <c r="H50" s="127"/>
      <c r="I50" s="127"/>
      <c r="J50" s="127"/>
      <c r="K50" s="127"/>
      <c r="L50" s="127"/>
      <c r="M50" s="129"/>
      <c r="N50" s="128"/>
      <c r="O50" s="127"/>
      <c r="P50" s="127"/>
      <c r="Q50" s="127"/>
      <c r="R50" s="127"/>
      <c r="S50" s="127"/>
      <c r="T50" s="127"/>
      <c r="U50" s="127"/>
      <c r="V50" s="127"/>
      <c r="W50" s="127"/>
      <c r="X50" s="130"/>
      <c r="Y50" s="130"/>
      <c r="Z50" s="110"/>
      <c r="AA50" s="130"/>
      <c r="AB50" s="130"/>
      <c r="AC50" s="130"/>
      <c r="AD50" s="127"/>
      <c r="AE50" s="130"/>
    </row>
    <row r="51" spans="1:32" s="6" customFormat="1" ht="12.75" customHeight="1">
      <c r="A51" s="131"/>
      <c r="C51" s="132"/>
      <c r="E51" s="95" t="s">
        <v>103</v>
      </c>
      <c r="F51" s="6">
        <f>F45</f>
        <v>0</v>
      </c>
      <c r="M51" s="133" t="s">
        <v>104</v>
      </c>
      <c r="N51" s="132"/>
      <c r="O51" s="65">
        <f>AVERAGE(INDEX(O$11:O$45,COUNT(O$11:O$45)-1,0):INDEX(O$11:O$45,(COUNT(O$11:O$45)-(COUNT(O$11:O$45)-1)),0))</f>
        <v>0.16820187460658115</v>
      </c>
      <c r="P51" s="95" t="s">
        <v>105</v>
      </c>
      <c r="Q51" s="995" t="e">
        <f>_xlfn.T.INV.2T(0.2,F51-1)</f>
        <v>#NUM!</v>
      </c>
      <c r="X51" s="134"/>
      <c r="Y51" s="94"/>
      <c r="Z51" s="131"/>
    </row>
    <row r="52" spans="1:32" s="6" customFormat="1" ht="12.75" customHeight="1">
      <c r="A52" s="131"/>
      <c r="E52" s="95" t="s">
        <v>103</v>
      </c>
      <c r="F52" s="6">
        <f>F47</f>
        <v>0</v>
      </c>
      <c r="M52" s="133" t="s">
        <v>106</v>
      </c>
      <c r="N52" s="132"/>
      <c r="O52" s="65">
        <f>AVERAGEA(O11:O45)</f>
        <v>2.7347876869835144</v>
      </c>
      <c r="P52" s="95" t="s">
        <v>105</v>
      </c>
      <c r="Q52" s="995" t="e">
        <f>_xlfn.T.INV.2T(0.2,F52-1)</f>
        <v>#NUM!</v>
      </c>
      <c r="S52" s="95" t="s">
        <v>107</v>
      </c>
      <c r="T52" s="33">
        <f>AVERAGE(T11:T46)</f>
        <v>168090582.63578165</v>
      </c>
      <c r="W52" s="95" t="s">
        <v>256</v>
      </c>
      <c r="X52" s="498">
        <f>AVERAGE(X11:X46)</f>
        <v>4.7949702924664848E-2</v>
      </c>
      <c r="Y52" s="498">
        <f>AVERAGE(Y11:Y46)</f>
        <v>0.35227187296631335</v>
      </c>
      <c r="Z52" s="131"/>
    </row>
    <row r="53" spans="1:32" s="6" customFormat="1" ht="12.75" customHeight="1">
      <c r="A53" s="127"/>
      <c r="B53" s="127"/>
      <c r="C53" s="127"/>
      <c r="D53" s="127"/>
      <c r="E53" s="127"/>
      <c r="F53" s="127"/>
      <c r="G53" s="127"/>
      <c r="H53" s="127"/>
      <c r="I53" s="127"/>
      <c r="J53" s="127"/>
      <c r="K53" s="127"/>
      <c r="L53" s="127"/>
      <c r="M53" s="129"/>
      <c r="N53" s="128"/>
      <c r="O53" s="127"/>
      <c r="P53" s="127"/>
      <c r="Q53" s="127"/>
      <c r="R53" s="127"/>
      <c r="S53" s="127"/>
      <c r="T53" s="127"/>
      <c r="U53" s="127"/>
      <c r="V53" s="127"/>
      <c r="W53" s="127"/>
      <c r="X53" s="130"/>
      <c r="Y53" s="94"/>
    </row>
    <row r="54" spans="1:32" s="6" customFormat="1" ht="12.75" customHeight="1">
      <c r="M54" s="135"/>
      <c r="N54" s="132"/>
      <c r="P54" s="594">
        <f>EXP(P47)</f>
        <v>1</v>
      </c>
      <c r="Q54" s="594">
        <f>EXP(Q47)</f>
        <v>1</v>
      </c>
      <c r="R54" s="594">
        <f>EXP(R47)</f>
        <v>1</v>
      </c>
    </row>
    <row r="55" spans="1:32" s="6" customFormat="1" ht="12.75" customHeight="1">
      <c r="G55" s="95"/>
      <c r="H55" s="95"/>
      <c r="I55" s="95"/>
      <c r="J55" s="95"/>
      <c r="K55" s="95"/>
      <c r="M55"/>
      <c r="N55"/>
      <c r="O55"/>
      <c r="P55"/>
      <c r="Q55"/>
      <c r="R55"/>
      <c r="S55"/>
      <c r="T55"/>
      <c r="U55"/>
      <c r="W55" s="331" t="s">
        <v>370</v>
      </c>
      <c r="X55" s="499">
        <f>AVERAGE(X28:X46)</f>
        <v>7.9206176658018212E-2</v>
      </c>
      <c r="Y55" s="499">
        <f>AVERAGE(Y28:Y46)</f>
        <v>0.36686109893039826</v>
      </c>
    </row>
    <row r="56" spans="1:32" s="6" customFormat="1" ht="12.75" customHeight="1">
      <c r="G56" s="95"/>
      <c r="H56" s="95"/>
      <c r="I56" s="95"/>
      <c r="J56" s="95"/>
      <c r="K56" s="318"/>
      <c r="M56" s="23"/>
      <c r="N56" s="23"/>
      <c r="O56" s="23"/>
      <c r="P56" s="23"/>
      <c r="Q56" s="23"/>
      <c r="R56" s="23"/>
      <c r="S56" s="23"/>
      <c r="T56" s="23"/>
      <c r="U56" s="23"/>
      <c r="V56" s="94"/>
    </row>
    <row r="57" spans="1:32" s="6" customFormat="1" ht="12.75" customHeight="1">
      <c r="G57" s="95"/>
      <c r="H57" s="95"/>
      <c r="I57" s="95"/>
      <c r="J57" s="95"/>
      <c r="K57" s="318"/>
      <c r="M57" s="606"/>
      <c r="N57" s="606"/>
      <c r="O57" s="23"/>
      <c r="P57" s="23"/>
      <c r="Q57" s="23"/>
      <c r="R57" s="23"/>
      <c r="S57" s="23"/>
      <c r="T57" s="23"/>
      <c r="U57" s="23"/>
      <c r="V57" s="94"/>
      <c r="W57" s="331" t="s">
        <v>327</v>
      </c>
      <c r="Y57" s="499">
        <f>STDEV(Y28:Y46)</f>
        <v>0.42665255862956097</v>
      </c>
    </row>
    <row r="58" spans="1:32" s="6" customFormat="1" ht="12.75" customHeight="1">
      <c r="G58" s="95"/>
      <c r="H58" s="95"/>
      <c r="I58" s="95"/>
      <c r="J58" s="95"/>
      <c r="K58" s="95"/>
      <c r="M58" s="19"/>
      <c r="N58" s="19"/>
      <c r="O58" s="23"/>
      <c r="P58" s="23"/>
      <c r="Q58" s="23"/>
      <c r="R58" s="23"/>
      <c r="S58" s="23"/>
      <c r="T58" s="23"/>
      <c r="U58" s="23"/>
      <c r="V58" s="94"/>
    </row>
    <row r="59" spans="1:32" s="6" customFormat="1" ht="12.75" customHeight="1">
      <c r="G59" s="95"/>
      <c r="H59" s="95"/>
      <c r="I59" s="95"/>
      <c r="J59" s="95"/>
      <c r="K59" s="95"/>
      <c r="M59" s="19"/>
      <c r="N59" s="19"/>
      <c r="O59" s="23"/>
      <c r="P59" s="23"/>
      <c r="Q59" s="23"/>
      <c r="R59" s="23"/>
      <c r="S59" s="23"/>
      <c r="T59" s="23"/>
      <c r="U59" s="23"/>
      <c r="V59" s="94"/>
    </row>
    <row r="60" spans="1:32" s="6" customFormat="1" ht="12.75" customHeight="1">
      <c r="G60" s="95"/>
      <c r="H60" s="95"/>
      <c r="I60" s="95"/>
      <c r="J60" s="95"/>
      <c r="K60" s="95"/>
      <c r="M60" s="19"/>
      <c r="N60" s="19"/>
      <c r="O60" s="23"/>
      <c r="P60" s="23"/>
      <c r="Q60" s="23"/>
      <c r="R60" s="23"/>
      <c r="S60" s="23"/>
      <c r="T60" s="23"/>
      <c r="U60" s="23"/>
      <c r="V60" s="94"/>
    </row>
    <row r="61" spans="1:32" s="6" customFormat="1" ht="12.75" customHeight="1">
      <c r="G61" s="95"/>
      <c r="H61" s="95"/>
      <c r="I61" s="95"/>
      <c r="J61" s="95"/>
      <c r="K61" s="95"/>
      <c r="M61" s="19"/>
      <c r="N61" s="19"/>
      <c r="O61" s="23"/>
      <c r="P61" s="23"/>
      <c r="Q61" s="23"/>
      <c r="R61" s="23"/>
      <c r="S61" s="23"/>
      <c r="T61" s="23"/>
      <c r="U61" s="23"/>
      <c r="V61" s="94"/>
    </row>
    <row r="62" spans="1:32" s="6" customFormat="1" ht="12.75" customHeight="1">
      <c r="G62" s="95"/>
      <c r="H62" s="321"/>
      <c r="I62" s="95"/>
      <c r="J62" s="95"/>
      <c r="K62" s="95"/>
      <c r="M62" s="19"/>
      <c r="N62" s="19"/>
      <c r="O62" s="23"/>
      <c r="P62" s="23"/>
      <c r="Q62" s="23"/>
      <c r="R62" s="23"/>
      <c r="S62" s="23"/>
      <c r="T62" s="23"/>
      <c r="U62" s="23"/>
      <c r="V62" s="94"/>
    </row>
    <row r="63" spans="1:32" s="6" customFormat="1" ht="12.75" customHeight="1">
      <c r="M63" s="23"/>
      <c r="N63" s="23"/>
      <c r="O63" s="23"/>
      <c r="P63" s="23"/>
      <c r="Q63" s="23"/>
      <c r="R63" s="23"/>
      <c r="S63" s="23"/>
      <c r="T63" s="23"/>
      <c r="U63" s="23"/>
      <c r="V63" s="94"/>
    </row>
    <row r="64" spans="1:32" s="6" customFormat="1" ht="12.75" customHeight="1">
      <c r="G64" s="95"/>
      <c r="H64" s="95"/>
      <c r="I64" s="95"/>
      <c r="J64" s="95"/>
      <c r="K64" s="95"/>
      <c r="M64" s="23"/>
      <c r="N64" s="23"/>
      <c r="O64" s="23"/>
      <c r="P64" s="23"/>
      <c r="Q64" s="23"/>
      <c r="R64" s="23"/>
      <c r="S64" s="23"/>
      <c r="T64" s="23"/>
      <c r="U64" s="23"/>
      <c r="V64" s="94"/>
    </row>
    <row r="65" spans="7:22" s="6" customFormat="1" ht="12.75" customHeight="1">
      <c r="G65" s="95"/>
      <c r="H65" s="95"/>
      <c r="I65" s="95"/>
      <c r="J65" s="95"/>
      <c r="K65" s="95"/>
      <c r="M65" s="313"/>
      <c r="N65" s="313"/>
      <c r="O65" s="313"/>
      <c r="P65" s="313"/>
      <c r="Q65" s="313"/>
      <c r="R65" s="313"/>
      <c r="S65" s="23"/>
      <c r="T65" s="23"/>
      <c r="U65" s="23"/>
      <c r="V65" s="94"/>
    </row>
    <row r="66" spans="7:22" s="6" customFormat="1" ht="12.75" customHeight="1">
      <c r="G66" s="95"/>
      <c r="H66" s="95"/>
      <c r="I66" s="95"/>
      <c r="J66" s="95"/>
      <c r="K66" s="95"/>
      <c r="M66" s="19"/>
      <c r="N66" s="19"/>
      <c r="O66" s="19"/>
      <c r="P66" s="19"/>
      <c r="Q66" s="19"/>
      <c r="R66" s="374"/>
      <c r="S66" s="23"/>
      <c r="T66" s="23"/>
      <c r="U66" s="23"/>
      <c r="V66" s="94"/>
    </row>
    <row r="67" spans="7:22" s="6" customFormat="1" ht="12.75" customHeight="1">
      <c r="G67" s="95"/>
      <c r="H67" s="95"/>
      <c r="I67" s="95"/>
      <c r="J67" s="95"/>
      <c r="K67" s="95"/>
      <c r="M67" s="19"/>
      <c r="N67" s="19"/>
      <c r="O67" s="19"/>
      <c r="P67" s="19"/>
      <c r="Q67" s="19"/>
      <c r="R67" s="19"/>
      <c r="S67" s="23"/>
      <c r="T67" s="23"/>
      <c r="U67" s="23"/>
      <c r="V67" s="94"/>
    </row>
    <row r="68" spans="7:22">
      <c r="G68" s="209"/>
      <c r="H68" s="209"/>
      <c r="I68" s="209"/>
      <c r="J68" s="209"/>
      <c r="K68" s="209"/>
      <c r="M68" s="19"/>
      <c r="N68" s="19"/>
      <c r="O68" s="19"/>
      <c r="P68" s="19"/>
      <c r="Q68" s="19"/>
      <c r="R68" s="19"/>
      <c r="S68" s="23"/>
      <c r="T68" s="23"/>
      <c r="U68" s="23"/>
      <c r="V68" s="23"/>
    </row>
    <row r="69" spans="7:22">
      <c r="G69" s="209"/>
      <c r="H69" s="209"/>
      <c r="I69" s="209"/>
      <c r="J69" s="209"/>
      <c r="K69" s="209"/>
      <c r="M69" s="23"/>
      <c r="N69" s="23"/>
      <c r="O69" s="23"/>
      <c r="P69" s="23"/>
      <c r="Q69" s="23"/>
      <c r="R69" s="23"/>
      <c r="S69" s="23"/>
      <c r="T69" s="23"/>
      <c r="U69" s="23"/>
      <c r="V69" s="23"/>
    </row>
    <row r="70" spans="7:22">
      <c r="G70" s="209"/>
      <c r="H70" s="209"/>
      <c r="I70" s="209"/>
      <c r="J70" s="209"/>
      <c r="K70" s="209"/>
      <c r="M70" s="313"/>
      <c r="N70" s="313"/>
      <c r="O70" s="313"/>
      <c r="P70" s="313"/>
      <c r="Q70" s="313"/>
      <c r="R70" s="313"/>
      <c r="S70" s="313"/>
      <c r="T70" s="313"/>
      <c r="U70" s="313"/>
      <c r="V70" s="23"/>
    </row>
    <row r="71" spans="7:22">
      <c r="G71" s="209"/>
      <c r="H71" s="209"/>
      <c r="I71" s="209"/>
      <c r="J71" s="209"/>
      <c r="K71" s="209"/>
      <c r="M71" s="19"/>
      <c r="N71" s="19"/>
      <c r="O71" s="19"/>
      <c r="P71" s="19"/>
      <c r="Q71" s="19"/>
      <c r="R71" s="19"/>
      <c r="S71" s="19"/>
      <c r="T71" s="19"/>
      <c r="U71" s="19"/>
      <c r="V71" s="23"/>
    </row>
    <row r="72" spans="7:22">
      <c r="M72" s="19"/>
      <c r="N72" s="19"/>
      <c r="O72" s="19"/>
      <c r="P72" s="19"/>
      <c r="Q72" s="19"/>
      <c r="R72" s="19"/>
      <c r="S72" s="19"/>
      <c r="T72" s="19"/>
      <c r="U72" s="19"/>
      <c r="V72" s="23"/>
    </row>
    <row r="73" spans="7:22">
      <c r="M73" s="23"/>
      <c r="N73" s="23"/>
      <c r="O73" s="23"/>
      <c r="P73" s="23"/>
      <c r="Q73" s="23"/>
      <c r="R73" s="23"/>
      <c r="S73" s="23"/>
      <c r="T73" s="23"/>
      <c r="U73" s="23"/>
      <c r="V73" s="23"/>
    </row>
    <row r="74" spans="7:22">
      <c r="M74" s="23"/>
      <c r="N74" s="23"/>
      <c r="O74" s="23"/>
      <c r="P74" s="23"/>
      <c r="Q74" s="23"/>
      <c r="R74" s="23"/>
      <c r="S74" s="23"/>
      <c r="T74" s="23"/>
      <c r="U74" s="23"/>
      <c r="V74" s="23"/>
    </row>
    <row r="75" spans="7:22">
      <c r="M75" s="23"/>
      <c r="N75" s="23"/>
      <c r="O75" s="23"/>
      <c r="P75" s="23"/>
      <c r="Q75" s="23"/>
      <c r="R75" s="23"/>
      <c r="S75" s="23"/>
      <c r="T75" s="23"/>
      <c r="U75" s="23"/>
      <c r="V75" s="23"/>
    </row>
    <row r="76" spans="7:22">
      <c r="M76" s="23"/>
      <c r="N76" s="23"/>
      <c r="O76" s="23"/>
      <c r="P76" s="23"/>
      <c r="Q76" s="23"/>
      <c r="R76" s="23"/>
      <c r="S76" s="23"/>
      <c r="T76" s="23"/>
      <c r="U76" s="23"/>
      <c r="V76" s="23"/>
    </row>
    <row r="77" spans="7:22">
      <c r="M77" s="23"/>
      <c r="N77" s="23"/>
      <c r="O77" s="23"/>
      <c r="P77" s="23"/>
      <c r="Q77" s="23"/>
      <c r="R77" s="23"/>
      <c r="S77" s="23"/>
      <c r="T77" s="23"/>
      <c r="U77" s="23"/>
      <c r="V77" s="23"/>
    </row>
    <row r="78" spans="7:22">
      <c r="M78" s="606"/>
      <c r="N78" s="606"/>
      <c r="O78" s="23"/>
      <c r="P78" s="23"/>
      <c r="Q78" s="23"/>
      <c r="R78" s="23"/>
      <c r="S78" s="23"/>
      <c r="T78" s="23"/>
      <c r="U78" s="23"/>
      <c r="V78" s="23"/>
    </row>
    <row r="79" spans="7:22">
      <c r="M79" s="19"/>
      <c r="N79" s="19"/>
      <c r="O79" s="23"/>
      <c r="P79" s="23"/>
      <c r="Q79" s="23"/>
      <c r="R79" s="23"/>
      <c r="S79" s="23"/>
      <c r="T79" s="23"/>
      <c r="U79" s="23"/>
      <c r="V79" s="23"/>
    </row>
    <row r="80" spans="7:22">
      <c r="M80" s="19"/>
      <c r="N80" s="19"/>
      <c r="O80" s="23"/>
      <c r="P80" s="23"/>
      <c r="Q80" s="23"/>
      <c r="R80" s="23"/>
      <c r="S80" s="23"/>
      <c r="T80" s="23"/>
      <c r="U80" s="23"/>
      <c r="V80" s="23"/>
    </row>
    <row r="81" spans="13:22">
      <c r="M81" s="19"/>
      <c r="N81" s="19"/>
      <c r="O81" s="23"/>
      <c r="P81" s="23"/>
      <c r="Q81" s="23"/>
      <c r="R81" s="23"/>
      <c r="S81" s="23"/>
      <c r="T81" s="23"/>
      <c r="U81" s="23"/>
      <c r="V81" s="23"/>
    </row>
    <row r="82" spans="13:22">
      <c r="M82" s="19"/>
      <c r="N82" s="19"/>
      <c r="O82" s="23"/>
      <c r="P82" s="23"/>
      <c r="Q82" s="23"/>
      <c r="R82" s="23"/>
      <c r="S82" s="23"/>
      <c r="T82" s="23"/>
      <c r="U82" s="23"/>
      <c r="V82" s="23"/>
    </row>
    <row r="83" spans="13:22">
      <c r="M83" s="19"/>
      <c r="N83" s="19"/>
      <c r="O83" s="23"/>
      <c r="P83" s="23"/>
      <c r="Q83" s="23"/>
      <c r="R83" s="23"/>
      <c r="S83" s="23"/>
      <c r="T83" s="23"/>
      <c r="U83" s="23"/>
      <c r="V83" s="23"/>
    </row>
    <row r="84" spans="13:22">
      <c r="M84" s="23"/>
      <c r="N84" s="23"/>
      <c r="O84" s="23"/>
      <c r="P84" s="23"/>
      <c r="Q84" s="23"/>
      <c r="R84" s="23"/>
      <c r="S84" s="23"/>
      <c r="T84" s="23"/>
      <c r="U84" s="23"/>
      <c r="V84" s="23"/>
    </row>
    <row r="85" spans="13:22">
      <c r="M85" s="23"/>
      <c r="N85" s="23"/>
      <c r="O85" s="23"/>
      <c r="P85" s="23"/>
      <c r="Q85" s="23"/>
      <c r="R85" s="23"/>
      <c r="S85" s="23"/>
      <c r="T85" s="23"/>
      <c r="U85" s="23"/>
      <c r="V85" s="23"/>
    </row>
    <row r="86" spans="13:22">
      <c r="M86" s="313"/>
      <c r="N86" s="313"/>
      <c r="O86" s="313"/>
      <c r="P86" s="313"/>
      <c r="Q86" s="313"/>
      <c r="R86" s="313"/>
      <c r="S86" s="23"/>
      <c r="T86" s="23"/>
      <c r="U86" s="23"/>
      <c r="V86" s="23"/>
    </row>
    <row r="87" spans="13:22">
      <c r="M87" s="19"/>
      <c r="N87" s="19"/>
      <c r="O87" s="19"/>
      <c r="P87" s="19"/>
      <c r="Q87" s="19"/>
      <c r="R87" s="19"/>
      <c r="S87" s="23"/>
      <c r="T87" s="23"/>
      <c r="U87" s="23"/>
      <c r="V87" s="23"/>
    </row>
    <row r="88" spans="13:22">
      <c r="M88" s="19"/>
      <c r="N88" s="19"/>
      <c r="O88" s="19"/>
      <c r="P88" s="19"/>
      <c r="Q88" s="19"/>
      <c r="R88" s="19"/>
      <c r="S88" s="23"/>
      <c r="T88" s="23"/>
      <c r="U88" s="23"/>
      <c r="V88" s="23"/>
    </row>
    <row r="89" spans="13:22">
      <c r="M89" s="19"/>
      <c r="N89" s="19"/>
      <c r="O89" s="19"/>
      <c r="P89" s="19"/>
      <c r="Q89" s="19"/>
      <c r="R89" s="19"/>
      <c r="S89" s="23"/>
      <c r="T89" s="23"/>
      <c r="U89" s="23"/>
      <c r="V89" s="23"/>
    </row>
    <row r="90" spans="13:22">
      <c r="M90" s="23"/>
      <c r="N90" s="23"/>
      <c r="O90" s="23"/>
      <c r="P90" s="23"/>
      <c r="Q90" s="23"/>
      <c r="R90" s="23"/>
      <c r="S90" s="23"/>
      <c r="T90" s="23"/>
      <c r="U90" s="23"/>
      <c r="V90" s="23"/>
    </row>
    <row r="91" spans="13:22">
      <c r="M91" s="313"/>
      <c r="N91" s="313"/>
      <c r="O91" s="313"/>
      <c r="P91" s="313"/>
      <c r="Q91" s="313"/>
      <c r="R91" s="313"/>
      <c r="S91" s="313"/>
      <c r="T91" s="313"/>
      <c r="U91" s="313"/>
      <c r="V91" s="23"/>
    </row>
    <row r="92" spans="13:22">
      <c r="M92" s="19"/>
      <c r="N92" s="19"/>
      <c r="O92" s="19"/>
      <c r="P92" s="19"/>
      <c r="Q92" s="19"/>
      <c r="R92" s="19"/>
      <c r="S92" s="19"/>
      <c r="T92" s="19"/>
      <c r="U92" s="19"/>
      <c r="V92" s="23"/>
    </row>
    <row r="93" spans="13:22">
      <c r="M93" s="19"/>
      <c r="N93" s="19"/>
      <c r="O93" s="19"/>
      <c r="P93" s="19"/>
      <c r="Q93" s="19"/>
      <c r="R93" s="19"/>
      <c r="S93" s="19"/>
      <c r="T93" s="19"/>
      <c r="U93" s="19"/>
      <c r="V93" s="23"/>
    </row>
    <row r="94" spans="13:22">
      <c r="M94" s="23"/>
      <c r="N94" s="23"/>
      <c r="O94" s="23"/>
      <c r="P94" s="23"/>
      <c r="Q94" s="23"/>
      <c r="R94" s="23"/>
      <c r="S94" s="23"/>
      <c r="T94" s="23"/>
      <c r="U94" s="23"/>
      <c r="V94" s="23"/>
    </row>
    <row r="95" spans="13:22">
      <c r="M95" s="23"/>
      <c r="N95" s="23"/>
      <c r="O95" s="23"/>
      <c r="P95" s="23"/>
      <c r="Q95" s="23"/>
      <c r="R95" s="23"/>
      <c r="S95" s="23"/>
      <c r="T95" s="23"/>
      <c r="U95" s="23"/>
      <c r="V95" s="23"/>
    </row>
    <row r="96" spans="13:22">
      <c r="M96" s="23"/>
      <c r="N96" s="23"/>
      <c r="O96" s="23"/>
      <c r="P96" s="23"/>
      <c r="Q96" s="23"/>
      <c r="R96" s="23"/>
      <c r="S96" s="23"/>
      <c r="T96" s="23"/>
      <c r="U96" s="23"/>
      <c r="V96" s="23"/>
    </row>
    <row r="97" spans="13:22">
      <c r="M97" s="23"/>
      <c r="N97" s="23"/>
      <c r="O97" s="23"/>
      <c r="P97" s="23"/>
      <c r="Q97" s="23"/>
      <c r="R97" s="23"/>
      <c r="S97" s="23"/>
      <c r="T97" s="23"/>
      <c r="U97" s="23"/>
      <c r="V97" s="23"/>
    </row>
    <row r="98" spans="13:22">
      <c r="M98" s="23"/>
      <c r="N98" s="23"/>
      <c r="O98" s="23"/>
      <c r="P98" s="23"/>
      <c r="Q98" s="23"/>
      <c r="R98" s="23"/>
      <c r="S98" s="23"/>
      <c r="T98" s="23"/>
      <c r="U98" s="23"/>
      <c r="V98" s="23"/>
    </row>
    <row r="99" spans="13:22">
      <c r="M99" s="313"/>
      <c r="N99" s="313"/>
      <c r="O99" s="313"/>
      <c r="P99" s="23"/>
      <c r="Q99" s="23"/>
      <c r="R99" s="23"/>
      <c r="S99" s="23"/>
      <c r="T99" s="23"/>
      <c r="U99" s="23"/>
      <c r="V99" s="23"/>
    </row>
    <row r="100" spans="13:22">
      <c r="M100" s="19"/>
      <c r="N100" s="19"/>
      <c r="O100" s="19"/>
      <c r="P100" s="23"/>
      <c r="Q100" s="23"/>
      <c r="R100" s="23"/>
      <c r="S100" s="23"/>
      <c r="T100" s="23"/>
      <c r="U100" s="23"/>
      <c r="V100" s="23"/>
    </row>
    <row r="101" spans="13:22">
      <c r="M101" s="19"/>
      <c r="N101" s="19"/>
      <c r="O101" s="19"/>
      <c r="P101" s="23"/>
      <c r="Q101" s="23"/>
      <c r="R101" s="23"/>
      <c r="S101" s="23"/>
      <c r="T101" s="23"/>
      <c r="U101" s="23"/>
      <c r="V101" s="23"/>
    </row>
    <row r="102" spans="13:22">
      <c r="M102" s="19"/>
      <c r="N102" s="19"/>
      <c r="O102" s="19"/>
      <c r="P102" s="23"/>
      <c r="Q102" s="23"/>
      <c r="R102" s="23"/>
      <c r="S102" s="23"/>
      <c r="T102" s="23"/>
      <c r="U102" s="23"/>
      <c r="V102" s="23"/>
    </row>
    <row r="103" spans="13:22">
      <c r="M103" s="19"/>
      <c r="N103" s="19"/>
      <c r="O103" s="19"/>
      <c r="P103" s="23"/>
      <c r="Q103" s="23"/>
      <c r="R103" s="23"/>
      <c r="S103" s="23"/>
      <c r="T103" s="23"/>
      <c r="U103" s="23"/>
      <c r="V103" s="23"/>
    </row>
    <row r="104" spans="13:22">
      <c r="M104" s="19"/>
      <c r="N104" s="19"/>
      <c r="O104" s="19"/>
      <c r="P104" s="23"/>
      <c r="Q104" s="23"/>
      <c r="R104" s="23"/>
      <c r="S104" s="23"/>
      <c r="T104" s="23"/>
      <c r="U104" s="23"/>
      <c r="V104" s="23"/>
    </row>
    <row r="105" spans="13:22">
      <c r="M105" s="19"/>
      <c r="N105" s="19"/>
      <c r="O105" s="19"/>
      <c r="P105" s="23"/>
      <c r="Q105" s="23"/>
      <c r="R105" s="23"/>
      <c r="S105" s="23"/>
      <c r="T105" s="23"/>
      <c r="U105" s="23"/>
      <c r="V105" s="23"/>
    </row>
    <row r="106" spans="13:22">
      <c r="M106" s="19"/>
      <c r="N106" s="19"/>
      <c r="O106" s="19"/>
      <c r="P106" s="23"/>
      <c r="Q106" s="23"/>
      <c r="R106" s="23"/>
      <c r="S106" s="23"/>
      <c r="T106" s="23"/>
      <c r="U106" s="23"/>
      <c r="V106" s="23"/>
    </row>
    <row r="107" spans="13:22">
      <c r="M107" s="19"/>
      <c r="N107" s="19"/>
      <c r="O107" s="19"/>
      <c r="P107" s="23"/>
      <c r="Q107" s="23"/>
      <c r="R107" s="23"/>
      <c r="S107" s="23"/>
      <c r="T107" s="23"/>
      <c r="U107" s="23"/>
      <c r="V107" s="23"/>
    </row>
    <row r="108" spans="13:22">
      <c r="M108" s="19"/>
      <c r="N108" s="19"/>
      <c r="O108" s="19"/>
      <c r="P108" s="23"/>
      <c r="Q108" s="23"/>
      <c r="R108" s="23"/>
      <c r="S108" s="23"/>
      <c r="T108" s="23"/>
      <c r="U108" s="23"/>
      <c r="V108" s="23"/>
    </row>
    <row r="109" spans="13:22">
      <c r="M109" s="19"/>
      <c r="N109" s="19"/>
      <c r="O109" s="19"/>
      <c r="P109" s="23"/>
      <c r="Q109" s="23"/>
      <c r="R109" s="23"/>
      <c r="S109" s="23"/>
      <c r="T109" s="23"/>
      <c r="U109" s="23"/>
      <c r="V109" s="23"/>
    </row>
    <row r="110" spans="13:22">
      <c r="M110" s="19"/>
      <c r="N110" s="19"/>
      <c r="O110" s="19"/>
      <c r="P110" s="23"/>
      <c r="Q110" s="23"/>
      <c r="R110" s="23"/>
      <c r="S110" s="23"/>
      <c r="T110" s="23"/>
      <c r="U110" s="23"/>
      <c r="V110" s="23"/>
    </row>
    <row r="111" spans="13:22">
      <c r="M111" s="23"/>
      <c r="N111" s="23"/>
      <c r="O111" s="23"/>
      <c r="P111" s="23"/>
      <c r="Q111" s="23"/>
      <c r="R111" s="23"/>
      <c r="S111" s="23"/>
      <c r="T111" s="23"/>
      <c r="U111" s="23"/>
      <c r="V111" s="23"/>
    </row>
    <row r="112" spans="13:22">
      <c r="M112" s="23"/>
      <c r="N112" s="23"/>
      <c r="O112" s="23"/>
      <c r="P112" s="23"/>
      <c r="Q112" s="23"/>
      <c r="R112" s="23"/>
      <c r="S112" s="23"/>
      <c r="T112" s="23"/>
      <c r="U112" s="23"/>
      <c r="V112" s="23"/>
    </row>
    <row r="113" spans="13:22">
      <c r="M113" s="23"/>
      <c r="N113" s="23"/>
      <c r="O113" s="23"/>
      <c r="P113" s="23"/>
      <c r="Q113" s="23"/>
      <c r="R113" s="23"/>
      <c r="S113" s="23"/>
      <c r="T113" s="23"/>
      <c r="U113" s="23"/>
      <c r="V113" s="23"/>
    </row>
    <row r="114" spans="13:22">
      <c r="M114" s="23"/>
      <c r="N114" s="23"/>
      <c r="O114" s="23"/>
      <c r="P114" s="23"/>
      <c r="Q114" s="23"/>
      <c r="R114" s="23"/>
      <c r="S114" s="23"/>
      <c r="T114" s="23"/>
      <c r="U114" s="23"/>
      <c r="V114" s="23"/>
    </row>
    <row r="115" spans="13:22">
      <c r="M115" s="23"/>
      <c r="N115" s="23"/>
      <c r="O115" s="23"/>
      <c r="P115" s="23"/>
      <c r="Q115" s="23"/>
      <c r="R115" s="23"/>
      <c r="S115" s="23"/>
      <c r="T115" s="23"/>
      <c r="U115" s="23"/>
      <c r="V115" s="23"/>
    </row>
    <row r="116" spans="13:22">
      <c r="M116" s="23"/>
      <c r="N116" s="23"/>
      <c r="O116" s="23"/>
      <c r="P116" s="23"/>
      <c r="Q116" s="23"/>
      <c r="R116" s="23"/>
      <c r="S116" s="23"/>
      <c r="T116" s="23"/>
      <c r="U116" s="23"/>
      <c r="V116" s="23"/>
    </row>
    <row r="117" spans="13:22">
      <c r="M117" s="23"/>
      <c r="N117" s="23"/>
      <c r="O117" s="23"/>
      <c r="P117" s="23"/>
      <c r="Q117" s="23"/>
      <c r="R117" s="23"/>
      <c r="S117" s="23"/>
      <c r="T117" s="23"/>
      <c r="U117" s="23"/>
      <c r="V117" s="23"/>
    </row>
    <row r="118" spans="13:22">
      <c r="M118" s="23"/>
      <c r="N118" s="23"/>
      <c r="O118" s="23"/>
      <c r="P118" s="23"/>
      <c r="Q118" s="23"/>
      <c r="R118" s="23"/>
      <c r="S118" s="23"/>
      <c r="T118" s="23"/>
      <c r="U118" s="23"/>
      <c r="V118" s="23"/>
    </row>
    <row r="119" spans="13:22">
      <c r="M119" s="23"/>
      <c r="N119" s="23"/>
      <c r="O119" s="23"/>
      <c r="P119" s="23"/>
      <c r="Q119" s="23"/>
      <c r="R119" s="23"/>
      <c r="S119" s="23"/>
      <c r="T119" s="23"/>
      <c r="U119" s="23"/>
      <c r="V119" s="23"/>
    </row>
    <row r="120" spans="13:22">
      <c r="M120" s="23"/>
      <c r="N120" s="23"/>
      <c r="O120" s="23"/>
      <c r="P120" s="23"/>
      <c r="Q120" s="23"/>
      <c r="R120" s="23"/>
      <c r="S120" s="23"/>
      <c r="T120" s="23"/>
      <c r="U120" s="23"/>
      <c r="V120" s="23"/>
    </row>
    <row r="121" spans="13:22">
      <c r="M121" s="23"/>
      <c r="N121" s="23"/>
      <c r="O121" s="23"/>
      <c r="P121" s="23"/>
      <c r="Q121" s="23"/>
      <c r="R121" s="23"/>
      <c r="S121" s="23"/>
      <c r="T121" s="23"/>
      <c r="U121" s="23"/>
      <c r="V121" s="23"/>
    </row>
    <row r="122" spans="13:22">
      <c r="M122" s="23"/>
      <c r="N122" s="23"/>
      <c r="O122" s="23"/>
      <c r="P122" s="23"/>
      <c r="Q122" s="23"/>
      <c r="R122" s="23"/>
      <c r="S122" s="23"/>
      <c r="T122" s="23"/>
      <c r="U122" s="23"/>
      <c r="V122" s="23"/>
    </row>
    <row r="123" spans="13:22">
      <c r="M123" s="23"/>
      <c r="N123" s="23"/>
      <c r="O123" s="23"/>
      <c r="P123" s="23"/>
      <c r="Q123" s="23"/>
      <c r="R123" s="23"/>
      <c r="S123" s="23"/>
      <c r="T123" s="23"/>
      <c r="U123" s="23"/>
      <c r="V123" s="23"/>
    </row>
    <row r="124" spans="13:22">
      <c r="M124" s="23"/>
      <c r="N124" s="23"/>
      <c r="O124" s="23"/>
      <c r="P124" s="23"/>
      <c r="Q124" s="23"/>
      <c r="R124" s="23"/>
      <c r="S124" s="23"/>
      <c r="T124" s="23"/>
      <c r="U124" s="23"/>
      <c r="V124" s="23"/>
    </row>
    <row r="125" spans="13:22">
      <c r="M125" s="23"/>
      <c r="N125" s="23"/>
      <c r="O125" s="23"/>
      <c r="P125" s="23"/>
      <c r="Q125" s="23"/>
      <c r="R125" s="23"/>
      <c r="S125" s="23"/>
      <c r="T125" s="23"/>
      <c r="U125" s="23"/>
      <c r="V125" s="23"/>
    </row>
    <row r="126" spans="13:22">
      <c r="M126" s="23"/>
      <c r="N126" s="23"/>
      <c r="O126" s="23"/>
      <c r="P126" s="23"/>
      <c r="Q126" s="23"/>
      <c r="R126" s="23"/>
      <c r="S126" s="23"/>
      <c r="T126" s="23"/>
      <c r="U126" s="23"/>
      <c r="V126" s="23"/>
    </row>
    <row r="127" spans="13:22">
      <c r="M127" s="23"/>
      <c r="N127" s="23"/>
      <c r="O127" s="23"/>
      <c r="P127" s="23"/>
      <c r="Q127" s="23"/>
      <c r="R127" s="23"/>
      <c r="S127" s="23"/>
      <c r="T127" s="23"/>
      <c r="U127" s="23"/>
      <c r="V127" s="23"/>
    </row>
    <row r="128" spans="13:22">
      <c r="M128" s="23"/>
      <c r="N128" s="23"/>
      <c r="O128" s="23"/>
      <c r="P128" s="23"/>
      <c r="Q128" s="23"/>
      <c r="R128" s="23"/>
      <c r="S128" s="23"/>
      <c r="T128" s="23"/>
      <c r="U128" s="23"/>
      <c r="V128" s="23"/>
    </row>
    <row r="129" spans="13:22">
      <c r="M129" s="23"/>
      <c r="N129" s="23"/>
      <c r="O129" s="23"/>
      <c r="P129" s="23"/>
      <c r="Q129" s="23"/>
      <c r="R129" s="23"/>
      <c r="S129" s="23"/>
      <c r="T129" s="23"/>
      <c r="U129" s="23"/>
      <c r="V129" s="23"/>
    </row>
    <row r="130" spans="13:22">
      <c r="M130" s="23"/>
      <c r="N130" s="23"/>
      <c r="O130" s="23"/>
      <c r="P130" s="23"/>
      <c r="Q130" s="23"/>
      <c r="R130" s="23"/>
      <c r="S130" s="23"/>
      <c r="T130" s="23"/>
      <c r="U130" s="23"/>
      <c r="V130" s="23"/>
    </row>
    <row r="131" spans="13:22">
      <c r="M131" s="23"/>
      <c r="N131" s="23"/>
      <c r="O131" s="23"/>
      <c r="P131" s="23"/>
      <c r="Q131" s="23"/>
      <c r="R131" s="23"/>
      <c r="S131" s="23"/>
      <c r="T131" s="23"/>
      <c r="U131" s="23"/>
      <c r="V131" s="23"/>
    </row>
    <row r="132" spans="13:22">
      <c r="M132" s="23"/>
      <c r="N132" s="23"/>
      <c r="O132" s="23"/>
      <c r="P132" s="23"/>
      <c r="Q132" s="23"/>
      <c r="R132" s="23"/>
      <c r="S132" s="23"/>
      <c r="T132" s="23"/>
      <c r="U132" s="23"/>
      <c r="V132" s="23"/>
    </row>
    <row r="133" spans="13:22">
      <c r="M133" s="23"/>
      <c r="N133" s="23"/>
      <c r="O133" s="23"/>
      <c r="P133" s="23"/>
      <c r="Q133" s="23"/>
      <c r="R133" s="23"/>
      <c r="S133" s="23"/>
      <c r="T133" s="23"/>
      <c r="U133" s="23"/>
      <c r="V133" s="23"/>
    </row>
    <row r="134" spans="13:22">
      <c r="M134" s="23"/>
      <c r="N134" s="23"/>
      <c r="O134" s="23"/>
      <c r="P134" s="23"/>
      <c r="Q134" s="23"/>
      <c r="R134" s="23"/>
      <c r="S134" s="23"/>
      <c r="T134" s="23"/>
      <c r="U134" s="23"/>
      <c r="V134" s="23"/>
    </row>
    <row r="135" spans="13:22">
      <c r="M135" s="23"/>
      <c r="N135" s="23"/>
      <c r="O135" s="23"/>
      <c r="P135" s="23"/>
      <c r="Q135" s="23"/>
      <c r="R135" s="23"/>
      <c r="S135" s="23"/>
      <c r="T135" s="23"/>
      <c r="U135" s="23"/>
      <c r="V135" s="23"/>
    </row>
    <row r="136" spans="13:22">
      <c r="M136" s="23"/>
      <c r="N136" s="23"/>
      <c r="O136" s="23"/>
      <c r="P136" s="23"/>
      <c r="Q136" s="23"/>
      <c r="R136" s="23"/>
      <c r="S136" s="23"/>
      <c r="T136" s="23"/>
      <c r="U136" s="23"/>
      <c r="V136" s="23"/>
    </row>
    <row r="137" spans="13:22">
      <c r="M137" s="23"/>
      <c r="N137" s="23"/>
      <c r="O137" s="23"/>
      <c r="P137" s="23"/>
      <c r="Q137" s="23"/>
      <c r="R137" s="23"/>
      <c r="S137" s="23"/>
      <c r="T137" s="23"/>
      <c r="U137" s="23"/>
      <c r="V137" s="23"/>
    </row>
    <row r="138" spans="13:22">
      <c r="M138" s="23"/>
      <c r="N138" s="23"/>
      <c r="O138" s="23"/>
      <c r="P138" s="23"/>
      <c r="Q138" s="23"/>
      <c r="R138" s="23"/>
      <c r="S138" s="23"/>
      <c r="T138" s="23"/>
      <c r="U138" s="23"/>
      <c r="V138" s="23"/>
    </row>
    <row r="139" spans="13:22">
      <c r="M139" s="23"/>
      <c r="N139" s="23"/>
      <c r="O139" s="23"/>
      <c r="P139" s="23"/>
      <c r="Q139" s="23"/>
      <c r="R139" s="23"/>
      <c r="S139" s="23"/>
      <c r="T139" s="23"/>
      <c r="U139" s="23"/>
      <c r="V139" s="23"/>
    </row>
    <row r="140" spans="13:22">
      <c r="M140" s="23"/>
      <c r="N140" s="23"/>
      <c r="O140" s="23"/>
      <c r="P140" s="23"/>
      <c r="Q140" s="23"/>
      <c r="R140" s="23"/>
      <c r="S140" s="23"/>
      <c r="T140" s="23"/>
      <c r="U140" s="23"/>
      <c r="V140" s="23"/>
    </row>
    <row r="141" spans="13:22">
      <c r="M141" s="23"/>
      <c r="N141" s="23"/>
      <c r="O141" s="23"/>
      <c r="P141" s="23"/>
      <c r="Q141" s="23"/>
      <c r="R141" s="23"/>
      <c r="S141" s="23"/>
      <c r="T141" s="23"/>
      <c r="U141" s="23"/>
      <c r="V141" s="23"/>
    </row>
    <row r="142" spans="13:22">
      <c r="M142" s="23"/>
      <c r="N142" s="23"/>
      <c r="O142" s="23"/>
      <c r="P142" s="23"/>
      <c r="Q142" s="23"/>
      <c r="R142" s="23"/>
      <c r="S142" s="23"/>
      <c r="T142" s="23"/>
      <c r="U142" s="23"/>
      <c r="V142" s="23"/>
    </row>
    <row r="143" spans="13:22">
      <c r="M143" s="23"/>
      <c r="N143" s="23"/>
      <c r="O143" s="23"/>
      <c r="P143" s="23"/>
      <c r="Q143" s="23"/>
      <c r="R143" s="23"/>
      <c r="S143" s="23"/>
      <c r="T143" s="23"/>
      <c r="U143" s="23"/>
      <c r="V143" s="23"/>
    </row>
    <row r="144" spans="13:22">
      <c r="M144" s="23"/>
      <c r="N144" s="23"/>
      <c r="O144" s="23"/>
      <c r="P144" s="23"/>
      <c r="Q144" s="23"/>
      <c r="R144" s="23"/>
      <c r="S144" s="23"/>
      <c r="T144" s="23"/>
      <c r="U144" s="23"/>
      <c r="V144" s="23"/>
    </row>
    <row r="145" spans="13:22">
      <c r="M145" s="23"/>
      <c r="N145" s="23"/>
      <c r="O145" s="23"/>
      <c r="P145" s="23"/>
      <c r="Q145" s="23"/>
      <c r="R145" s="23"/>
      <c r="S145" s="23"/>
      <c r="T145" s="23"/>
      <c r="U145" s="23"/>
      <c r="V145" s="23"/>
    </row>
    <row r="146" spans="13:22">
      <c r="M146" s="23"/>
      <c r="N146" s="23"/>
      <c r="O146" s="23"/>
      <c r="P146" s="23"/>
      <c r="Q146" s="23"/>
      <c r="R146" s="23"/>
      <c r="S146" s="23"/>
      <c r="T146" s="23"/>
      <c r="U146" s="23"/>
      <c r="V146" s="23"/>
    </row>
    <row r="147" spans="13:22">
      <c r="M147" s="23"/>
      <c r="N147" s="23"/>
      <c r="O147" s="23"/>
      <c r="P147" s="23"/>
      <c r="Q147" s="23"/>
      <c r="R147" s="23"/>
      <c r="S147" s="23"/>
      <c r="T147" s="23"/>
      <c r="U147" s="23"/>
      <c r="V147" s="23"/>
    </row>
    <row r="148" spans="13:22">
      <c r="M148" s="23"/>
      <c r="N148" s="23"/>
      <c r="O148" s="23"/>
      <c r="P148" s="23"/>
      <c r="Q148" s="23"/>
      <c r="R148" s="23"/>
      <c r="S148" s="23"/>
      <c r="T148" s="23"/>
      <c r="U148" s="23"/>
      <c r="V148" s="23"/>
    </row>
    <row r="149" spans="13:22">
      <c r="M149" s="23"/>
      <c r="N149" s="23"/>
      <c r="O149" s="23"/>
      <c r="P149" s="23"/>
      <c r="Q149" s="23"/>
      <c r="R149" s="23"/>
      <c r="S149" s="23"/>
      <c r="T149" s="23"/>
      <c r="U149" s="23"/>
      <c r="V149" s="23"/>
    </row>
    <row r="150" spans="13:22">
      <c r="M150" s="23"/>
      <c r="N150" s="23"/>
      <c r="O150" s="23"/>
      <c r="P150" s="23"/>
      <c r="Q150" s="23"/>
      <c r="R150" s="23"/>
      <c r="S150" s="23"/>
      <c r="T150" s="23"/>
      <c r="U150" s="23"/>
      <c r="V150" s="23"/>
    </row>
    <row r="151" spans="13:22">
      <c r="M151" s="23"/>
      <c r="N151" s="23"/>
      <c r="O151" s="23"/>
      <c r="P151" s="23"/>
      <c r="Q151" s="23"/>
      <c r="R151" s="23"/>
      <c r="S151" s="23"/>
      <c r="T151" s="23"/>
      <c r="U151" s="23"/>
      <c r="V151" s="23"/>
    </row>
    <row r="152" spans="13:22">
      <c r="M152" s="23"/>
      <c r="N152" s="23"/>
      <c r="O152" s="23"/>
      <c r="P152" s="23"/>
      <c r="Q152" s="23"/>
      <c r="R152" s="23"/>
      <c r="S152" s="23"/>
      <c r="T152" s="23"/>
      <c r="U152" s="23"/>
      <c r="V152" s="23"/>
    </row>
    <row r="153" spans="13:22">
      <c r="M153" s="23"/>
      <c r="N153" s="23"/>
      <c r="O153" s="23"/>
      <c r="P153" s="23"/>
      <c r="Q153" s="23"/>
      <c r="R153" s="23"/>
      <c r="S153" s="23"/>
      <c r="T153" s="23"/>
      <c r="U153" s="23"/>
      <c r="V153" s="23"/>
    </row>
    <row r="154" spans="13:22">
      <c r="M154" s="23"/>
      <c r="N154" s="23"/>
      <c r="O154" s="23"/>
      <c r="P154" s="23"/>
      <c r="Q154" s="23"/>
      <c r="R154" s="23"/>
      <c r="S154" s="23"/>
      <c r="T154" s="23"/>
      <c r="U154" s="23"/>
      <c r="V154" s="23"/>
    </row>
    <row r="155" spans="13:22">
      <c r="M155" s="23"/>
      <c r="N155" s="23"/>
      <c r="O155" s="23"/>
      <c r="P155" s="23"/>
      <c r="Q155" s="23"/>
      <c r="R155" s="23"/>
      <c r="S155" s="23"/>
      <c r="T155" s="23"/>
      <c r="U155" s="23"/>
      <c r="V155" s="23"/>
    </row>
    <row r="156" spans="13:22">
      <c r="M156" s="23"/>
      <c r="N156" s="23"/>
      <c r="O156" s="23"/>
      <c r="P156" s="23"/>
      <c r="Q156" s="23"/>
      <c r="R156" s="23"/>
      <c r="S156" s="23"/>
      <c r="T156" s="23"/>
      <c r="U156" s="23"/>
      <c r="V156" s="23"/>
    </row>
    <row r="157" spans="13:22">
      <c r="M157" s="23"/>
      <c r="N157" s="23"/>
      <c r="O157" s="23"/>
      <c r="P157" s="23"/>
      <c r="Q157" s="23"/>
      <c r="R157" s="23"/>
      <c r="S157" s="23"/>
      <c r="T157" s="23"/>
      <c r="U157" s="23"/>
      <c r="V157" s="23"/>
    </row>
  </sheetData>
  <sortState xmlns:xlrd2="http://schemas.microsoft.com/office/spreadsheetml/2017/richdata2" ref="A11:AF47">
    <sortCondition ref="B13"/>
  </sortState>
  <phoneticPr fontId="47" type="noConversion"/>
  <pageMargins left="0.75" right="0.75" top="1" bottom="1" header="0.5" footer="0.5"/>
  <headerFooter alignWithMargins="0"/>
  <drawing r:id="rId1"/>
  <legacyDrawing r:id="rId2"/>
  <controls>
    <mc:AlternateContent xmlns:mc="http://schemas.openxmlformats.org/markup-compatibility/2006">
      <mc:Choice Requires="x14">
        <control shapeId="6146" r:id="rId3" name="CommandButton1">
          <controlPr defaultSize="0" autoLine="0" r:id="rId4">
            <anchor moveWithCells="1">
              <from>
                <xdr:col>13</xdr:col>
                <xdr:colOff>28575</xdr:colOff>
                <xdr:row>1</xdr:row>
                <xdr:rowOff>28575</xdr:rowOff>
              </from>
              <to>
                <xdr:col>15</xdr:col>
                <xdr:colOff>733425</xdr:colOff>
                <xdr:row>5</xdr:row>
                <xdr:rowOff>28575</xdr:rowOff>
              </to>
            </anchor>
          </controlPr>
        </control>
      </mc:Choice>
      <mc:Fallback>
        <control shapeId="6146" r:id="rId3" name="CommandButton1"/>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
  <dimension ref="A1:AF92"/>
  <sheetViews>
    <sheetView workbookViewId="0">
      <pane ySplit="9" topLeftCell="A10" activePane="bottomLeft" state="frozen"/>
      <selection activeCell="D8" sqref="A1:XFD1048576"/>
      <selection pane="bottomLeft" activeCell="K4" sqref="K4"/>
    </sheetView>
  </sheetViews>
  <sheetFormatPr defaultRowHeight="15.75"/>
  <cols>
    <col min="1" max="1" width="9.25" customWidth="1"/>
    <col min="2" max="2" width="10.75" customWidth="1"/>
    <col min="3" max="3" width="13.75" customWidth="1"/>
    <col min="4" max="4" width="13.5" customWidth="1"/>
    <col min="5" max="5" width="5.25" customWidth="1"/>
    <col min="6" max="6" width="6.25" customWidth="1"/>
    <col min="7" max="7" width="11.25" customWidth="1"/>
    <col min="8" max="8" width="11.75" customWidth="1"/>
    <col min="9" max="9" width="10.25" customWidth="1"/>
    <col min="10" max="10" width="9.25" customWidth="1"/>
    <col min="11" max="11" width="9.5" customWidth="1"/>
    <col min="12" max="12" width="9.25" customWidth="1"/>
    <col min="13" max="13" width="14.625" customWidth="1"/>
    <col min="14" max="14" width="13.25" customWidth="1"/>
    <col min="15" max="15" width="13.125" customWidth="1"/>
    <col min="16" max="16" width="15.75" customWidth="1"/>
    <col min="17" max="17" width="13.5" customWidth="1"/>
    <col min="18" max="18" width="18.5" customWidth="1"/>
    <col min="19" max="19" width="16.25" customWidth="1"/>
    <col min="20" max="20" width="18.5" customWidth="1"/>
    <col min="21" max="21" width="14" customWidth="1"/>
    <col min="22" max="22" width="10" customWidth="1"/>
    <col min="23" max="23" width="13.5" customWidth="1"/>
    <col min="24" max="24" width="12.25" customWidth="1"/>
    <col min="25" max="25" width="14.25" customWidth="1"/>
    <col min="27" max="27" width="12.625" customWidth="1"/>
    <col min="29" max="29" width="14" customWidth="1"/>
    <col min="30" max="30" width="9.75" customWidth="1"/>
    <col min="31" max="31" width="13.5" customWidth="1"/>
    <col min="32" max="32" width="11.625" customWidth="1"/>
  </cols>
  <sheetData>
    <row r="1" spans="1:32" s="6" customFormat="1" ht="24.75" customHeight="1">
      <c r="A1" s="210" t="s">
        <v>171</v>
      </c>
    </row>
    <row r="2" spans="1:32" s="6" customFormat="1" ht="12.75" customHeight="1">
      <c r="G2" s="95" t="s">
        <v>93</v>
      </c>
      <c r="H2" s="6" t="s">
        <v>94</v>
      </c>
    </row>
    <row r="3" spans="1:32" s="6" customFormat="1" ht="12.75" customHeight="1">
      <c r="G3" s="95" t="s">
        <v>95</v>
      </c>
      <c r="H3" s="6" t="s">
        <v>96</v>
      </c>
    </row>
    <row r="4" spans="1:32" s="6" customFormat="1" ht="12.75" customHeight="1">
      <c r="G4" s="96" t="s">
        <v>92</v>
      </c>
      <c r="H4" s="979">
        <v>5</v>
      </c>
    </row>
    <row r="5" spans="1:32" s="6" customFormat="1" ht="12.75" customHeight="1"/>
    <row r="6" spans="1:32" s="6" customFormat="1" ht="12.75" customHeight="1"/>
    <row r="7" spans="1:32" s="6" customFormat="1" ht="12.75" customHeight="1">
      <c r="A7" s="97"/>
      <c r="B7" s="97"/>
      <c r="C7" s="98" t="s">
        <v>64</v>
      </c>
      <c r="D7" s="99"/>
      <c r="E7" s="98"/>
      <c r="F7" s="100"/>
      <c r="G7" s="101"/>
      <c r="H7" s="100" t="s">
        <v>65</v>
      </c>
      <c r="I7" s="100"/>
      <c r="J7" s="100"/>
      <c r="K7" s="100"/>
      <c r="L7" s="100"/>
      <c r="M7" s="102"/>
      <c r="N7" s="98" t="s">
        <v>66</v>
      </c>
      <c r="O7" s="100"/>
      <c r="P7" s="100"/>
      <c r="Q7" s="100"/>
      <c r="R7" s="99"/>
      <c r="S7" s="98" t="s">
        <v>174</v>
      </c>
      <c r="T7" s="100"/>
      <c r="U7" s="100"/>
      <c r="V7" s="100"/>
      <c r="W7" s="99"/>
      <c r="X7" s="103" t="s">
        <v>67</v>
      </c>
      <c r="Y7" s="103" t="s">
        <v>253</v>
      </c>
      <c r="Z7" s="104" t="s">
        <v>68</v>
      </c>
      <c r="AA7" s="104" t="s">
        <v>69</v>
      </c>
      <c r="AB7" s="104" t="s">
        <v>70</v>
      </c>
      <c r="AC7" s="104" t="s">
        <v>71</v>
      </c>
      <c r="AD7" s="87" t="s">
        <v>72</v>
      </c>
      <c r="AE7" s="88"/>
    </row>
    <row r="8" spans="1:32" s="6" customFormat="1" ht="12.75" customHeight="1">
      <c r="A8" s="105" t="s">
        <v>27</v>
      </c>
      <c r="B8" s="105" t="s">
        <v>28</v>
      </c>
      <c r="C8" s="103" t="s">
        <v>73</v>
      </c>
      <c r="D8" s="103" t="s">
        <v>74</v>
      </c>
      <c r="E8" s="97"/>
      <c r="F8" s="97"/>
      <c r="G8" s="107"/>
      <c r="H8" s="97"/>
      <c r="I8" s="103" t="s">
        <v>75</v>
      </c>
      <c r="J8" s="103" t="s">
        <v>76</v>
      </c>
      <c r="K8" s="103" t="s">
        <v>75</v>
      </c>
      <c r="L8" s="97"/>
      <c r="M8" s="108" t="s">
        <v>77</v>
      </c>
      <c r="N8" s="97"/>
      <c r="O8" s="97"/>
      <c r="P8" s="103" t="s">
        <v>78</v>
      </c>
      <c r="Q8" s="103" t="s">
        <v>79</v>
      </c>
      <c r="R8" s="103" t="s">
        <v>80</v>
      </c>
      <c r="S8" s="97"/>
      <c r="T8" s="97"/>
      <c r="U8" s="103" t="s">
        <v>78</v>
      </c>
      <c r="V8" s="103" t="s">
        <v>79</v>
      </c>
      <c r="W8" s="103" t="s">
        <v>80</v>
      </c>
      <c r="X8" s="105" t="s">
        <v>81</v>
      </c>
      <c r="Y8" s="105" t="s">
        <v>254</v>
      </c>
      <c r="Z8" s="106"/>
      <c r="AA8" s="103" t="s">
        <v>82</v>
      </c>
      <c r="AB8" s="103" t="s">
        <v>83</v>
      </c>
      <c r="AC8" s="103" t="s">
        <v>28</v>
      </c>
      <c r="AD8" s="104" t="s">
        <v>84</v>
      </c>
      <c r="AE8" s="104" t="s">
        <v>85</v>
      </c>
    </row>
    <row r="9" spans="1:32" s="6" customFormat="1" ht="14.25" customHeight="1">
      <c r="A9" s="109" t="s">
        <v>12</v>
      </c>
      <c r="B9" s="109" t="s">
        <v>12</v>
      </c>
      <c r="C9" s="111" t="s">
        <v>68</v>
      </c>
      <c r="D9" s="112" t="s">
        <v>153</v>
      </c>
      <c r="E9" s="109" t="s">
        <v>31</v>
      </c>
      <c r="F9" s="109" t="s">
        <v>86</v>
      </c>
      <c r="G9" s="112" t="s">
        <v>87</v>
      </c>
      <c r="H9" s="113" t="s">
        <v>88</v>
      </c>
      <c r="I9" s="114" t="s">
        <v>88</v>
      </c>
      <c r="J9" s="112" t="s">
        <v>154</v>
      </c>
      <c r="K9" s="109" t="s">
        <v>76</v>
      </c>
      <c r="L9" s="109" t="s">
        <v>155</v>
      </c>
      <c r="M9" s="115" t="s">
        <v>89</v>
      </c>
      <c r="N9" s="109" t="s">
        <v>156</v>
      </c>
      <c r="O9" s="115" t="s">
        <v>157</v>
      </c>
      <c r="P9" s="112" t="s">
        <v>154</v>
      </c>
      <c r="Q9" s="109" t="s">
        <v>158</v>
      </c>
      <c r="R9" s="109" t="s">
        <v>158</v>
      </c>
      <c r="S9" s="109" t="s">
        <v>156</v>
      </c>
      <c r="T9" s="115" t="s">
        <v>157</v>
      </c>
      <c r="U9" s="112" t="s">
        <v>154</v>
      </c>
      <c r="V9" s="109" t="s">
        <v>158</v>
      </c>
      <c r="W9" s="109" t="s">
        <v>158</v>
      </c>
      <c r="X9" s="116" t="s">
        <v>159</v>
      </c>
      <c r="Y9" s="116" t="s">
        <v>255</v>
      </c>
      <c r="Z9" s="109" t="s">
        <v>110</v>
      </c>
      <c r="AA9" s="109" t="s">
        <v>90</v>
      </c>
      <c r="AB9" s="109" t="s">
        <v>90</v>
      </c>
      <c r="AC9" s="109" t="s">
        <v>12</v>
      </c>
      <c r="AD9" s="104" t="s">
        <v>79</v>
      </c>
      <c r="AE9" s="104" t="s">
        <v>80</v>
      </c>
      <c r="AF9" s="104" t="s">
        <v>91</v>
      </c>
    </row>
    <row r="10" spans="1:32" s="6" customFormat="1" ht="12.75" customHeight="1">
      <c r="A10" s="119"/>
      <c r="B10" s="94"/>
      <c r="C10" s="117"/>
      <c r="D10" s="118"/>
      <c r="E10" s="119"/>
      <c r="F10" s="119"/>
      <c r="G10" s="118"/>
      <c r="H10" s="120"/>
      <c r="I10" s="121"/>
      <c r="J10" s="118"/>
      <c r="K10" s="119"/>
      <c r="L10" s="119"/>
      <c r="M10" s="122"/>
      <c r="N10" s="119"/>
      <c r="O10" s="122"/>
      <c r="P10" s="118"/>
      <c r="Q10" s="119"/>
      <c r="R10" s="119"/>
      <c r="S10" s="119"/>
      <c r="T10" s="122"/>
      <c r="U10" s="118"/>
      <c r="V10" s="119"/>
      <c r="W10" s="119"/>
      <c r="X10" s="123"/>
      <c r="Y10" s="123"/>
      <c r="Z10" s="119"/>
      <c r="AA10" s="119"/>
      <c r="AB10" s="119"/>
      <c r="AC10" s="119"/>
      <c r="AD10" s="119"/>
      <c r="AE10" s="119"/>
      <c r="AF10" s="119"/>
    </row>
    <row r="11" spans="1:32" s="6" customFormat="1" ht="12.75" customHeight="1">
      <c r="A11" s="119">
        <v>1994</v>
      </c>
      <c r="B11" s="980">
        <f t="shared" ref="B11:B28" si="0">A11+$H$4</f>
        <v>1999</v>
      </c>
      <c r="C11" s="64">
        <f>VLOOKUP($A11,FBrood!$A$8:$M$50,4)</f>
        <v>8.7260065273123786</v>
      </c>
      <c r="D11" s="64">
        <f>VLOOKUP($A11,FBrood!$A$8:$M$50,8)</f>
        <v>10.927145676643779</v>
      </c>
      <c r="E11" s="340">
        <v>17</v>
      </c>
      <c r="F11" s="341">
        <v>15</v>
      </c>
      <c r="G11" s="124">
        <v>4.4097634650100508</v>
      </c>
      <c r="H11" s="124">
        <v>0.70247885158236445</v>
      </c>
      <c r="I11" s="124">
        <v>0.33561210709175082</v>
      </c>
      <c r="J11" s="124">
        <v>10.539598509216667</v>
      </c>
      <c r="K11" s="124">
        <v>0.39886681928875872</v>
      </c>
      <c r="L11" s="124">
        <v>0.22605338530408875</v>
      </c>
      <c r="M11" s="124">
        <v>0.15892954194851266</v>
      </c>
      <c r="N11" s="354">
        <f t="shared" ref="N11:N28" si="1">D11-J11</f>
        <v>0.38754716742711182</v>
      </c>
      <c r="O11" s="65">
        <f t="shared" ref="O11:O28" si="2">N11^2</f>
        <v>0.15019280698077783</v>
      </c>
      <c r="P11" s="355">
        <f t="shared" ref="P11:P28" si="3">J11</f>
        <v>10.539598509216667</v>
      </c>
      <c r="Q11" s="25">
        <f t="shared" ref="Q11:Q28" si="4">$P11-SQRT($O$33)*$Q$33</f>
        <v>9.9965940776228948</v>
      </c>
      <c r="R11" s="25">
        <f t="shared" ref="R11:R28" si="5">$P11+SQRT($O$33)*$Q$33</f>
        <v>11.082602940810439</v>
      </c>
      <c r="S11" s="67">
        <f t="shared" ref="S11:S28" si="6">EXP(D11)-U11</f>
        <v>17884.766525031526</v>
      </c>
      <c r="T11" s="25">
        <f t="shared" ref="T11:T28" si="7">S11^2</f>
        <v>319864873.65488821</v>
      </c>
      <c r="U11" s="1037">
        <f t="shared" ref="U11:U28" si="8">EXP(P11)</f>
        <v>37782.394124983708</v>
      </c>
      <c r="V11" s="68">
        <f t="shared" ref="V11:V28" si="9">EXP(Q11)</f>
        <v>21951.572974033017</v>
      </c>
      <c r="W11" s="68">
        <f t="shared" ref="W11:W28" si="10">EXP(R11)</f>
        <v>65029.932365404282</v>
      </c>
      <c r="X11" s="69">
        <f t="shared" ref="X11:X28" si="11">(+U11-EXP(D11))/(EXP(D11))</f>
        <v>-0.32128037996180125</v>
      </c>
      <c r="Y11" s="69">
        <f t="shared" ref="Y11:Y28" si="12">ABS(X11)</f>
        <v>0.32128037996180125</v>
      </c>
      <c r="Z11" s="70">
        <f t="shared" ref="Z11:Z28" si="13">C11</f>
        <v>8.7260065273123786</v>
      </c>
      <c r="AA11" s="71">
        <f t="shared" ref="AA11:AA28" si="14">(+$G$30+$H$30*C11)</f>
        <v>10.561490101123365</v>
      </c>
      <c r="AB11" s="70">
        <f t="shared" ref="AB11:AB28" si="15">D11</f>
        <v>10.927145676643779</v>
      </c>
      <c r="AC11" s="368" t="str">
        <f t="shared" ref="AC11:AC28" si="16">RIGHT(B11,2)</f>
        <v>99</v>
      </c>
      <c r="AD11" s="81">
        <f t="shared" ref="AD11:AD28" si="17">AA11-SQRT($O$32)*$Q$32</f>
        <v>10.047119394665328</v>
      </c>
      <c r="AE11" s="82">
        <f t="shared" ref="AE11:AE28" si="18">AA11+SQRT($O$32)*$Q$32</f>
        <v>11.075860807581401</v>
      </c>
      <c r="AF11" s="361">
        <f t="shared" ref="AF11:AF28" si="19">AB11+SQRT($O$32)*$Q$32</f>
        <v>11.441516383101815</v>
      </c>
    </row>
    <row r="12" spans="1:32" s="6" customFormat="1" ht="12.75" customHeight="1">
      <c r="A12" s="119">
        <v>1995</v>
      </c>
      <c r="B12" s="980">
        <f t="shared" si="0"/>
        <v>2000</v>
      </c>
      <c r="C12" s="64">
        <f>VLOOKUP($A12,FBrood!$A$8:$M$50,4)</f>
        <v>9.2605604038339493</v>
      </c>
      <c r="D12" s="64">
        <f>VLOOKUP($A12,FBrood!$A$8:$M$50,8)</f>
        <v>10.789352931941133</v>
      </c>
      <c r="E12" s="340">
        <v>17</v>
      </c>
      <c r="F12" s="341">
        <v>15</v>
      </c>
      <c r="G12" s="124">
        <v>3.6050239263587791</v>
      </c>
      <c r="H12" s="124">
        <v>0.79893469644156034</v>
      </c>
      <c r="I12" s="124">
        <v>0.39451828130245736</v>
      </c>
      <c r="J12" s="124">
        <v>11.003606941474589</v>
      </c>
      <c r="K12" s="124">
        <v>0.40786890788739472</v>
      </c>
      <c r="L12" s="124">
        <v>0.21470023043477721</v>
      </c>
      <c r="M12" s="124">
        <v>0.16375542180979516</v>
      </c>
      <c r="N12" s="354">
        <f t="shared" si="1"/>
        <v>-0.2142540095334553</v>
      </c>
      <c r="O12" s="65">
        <f t="shared" si="2"/>
        <v>4.5904780601161953E-2</v>
      </c>
      <c r="P12" s="355">
        <f t="shared" si="3"/>
        <v>11.003606941474589</v>
      </c>
      <c r="Q12" s="25">
        <f t="shared" si="4"/>
        <v>10.460602509880816</v>
      </c>
      <c r="R12" s="25">
        <f t="shared" si="5"/>
        <v>11.546611373068361</v>
      </c>
      <c r="S12" s="67">
        <f t="shared" si="6"/>
        <v>-11588.852194952895</v>
      </c>
      <c r="T12" s="25">
        <f t="shared" si="7"/>
        <v>134301495.19646454</v>
      </c>
      <c r="U12" s="1037">
        <f t="shared" si="8"/>
        <v>60090.494191002232</v>
      </c>
      <c r="V12" s="68">
        <f t="shared" si="9"/>
        <v>34912.580285833363</v>
      </c>
      <c r="W12" s="68">
        <f t="shared" si="10"/>
        <v>103425.97031088165</v>
      </c>
      <c r="X12" s="69">
        <f t="shared" si="11"/>
        <v>0.23893731671799598</v>
      </c>
      <c r="Y12" s="69">
        <f t="shared" si="12"/>
        <v>0.23893731671799598</v>
      </c>
      <c r="Z12" s="70">
        <f t="shared" si="13"/>
        <v>9.2605604038339493</v>
      </c>
      <c r="AA12" s="71">
        <f t="shared" si="14"/>
        <v>10.942321761987131</v>
      </c>
      <c r="AB12" s="70">
        <f t="shared" si="15"/>
        <v>10.789352931941133</v>
      </c>
      <c r="AC12" s="368" t="str">
        <f t="shared" si="16"/>
        <v>00</v>
      </c>
      <c r="AD12" s="81">
        <f t="shared" si="17"/>
        <v>10.427951055529094</v>
      </c>
      <c r="AE12" s="82">
        <f t="shared" si="18"/>
        <v>11.456692468445167</v>
      </c>
      <c r="AF12" s="361">
        <f t="shared" si="19"/>
        <v>11.30372363839917</v>
      </c>
    </row>
    <row r="13" spans="1:32" s="6" customFormat="1" ht="12.75" customHeight="1">
      <c r="A13" s="119">
        <v>1996</v>
      </c>
      <c r="B13" s="980">
        <f t="shared" si="0"/>
        <v>2001</v>
      </c>
      <c r="C13" s="64">
        <f>VLOOKUP($A13,FBrood!$A$8:$M$50,4)</f>
        <v>8.4706338418508089</v>
      </c>
      <c r="D13" s="64">
        <f>VLOOKUP($A13,FBrood!$A$8:$M$50,8)</f>
        <v>10.932762591336017</v>
      </c>
      <c r="E13" s="340">
        <v>17</v>
      </c>
      <c r="F13" s="341">
        <v>15</v>
      </c>
      <c r="G13" s="124">
        <v>3.4930048255439949</v>
      </c>
      <c r="H13" s="124">
        <v>0.80657146944377955</v>
      </c>
      <c r="I13" s="124">
        <v>0.32743039589183548</v>
      </c>
      <c r="J13" s="124">
        <v>10.32517641048581</v>
      </c>
      <c r="K13" s="124">
        <v>0.38227465802037086</v>
      </c>
      <c r="L13" s="124">
        <v>0.28802076222617773</v>
      </c>
      <c r="M13" s="124">
        <v>0.14832083674213684</v>
      </c>
      <c r="N13" s="354">
        <f t="shared" si="1"/>
        <v>0.60758618085020721</v>
      </c>
      <c r="O13" s="65">
        <f t="shared" si="2"/>
        <v>0.36916096716014069</v>
      </c>
      <c r="P13" s="355">
        <f t="shared" si="3"/>
        <v>10.32517641048581</v>
      </c>
      <c r="Q13" s="25">
        <f t="shared" si="4"/>
        <v>9.7821719788920376</v>
      </c>
      <c r="R13" s="25">
        <f t="shared" si="5"/>
        <v>10.868180842079582</v>
      </c>
      <c r="S13" s="67">
        <f t="shared" si="6"/>
        <v>25490.036046687652</v>
      </c>
      <c r="T13" s="25">
        <f t="shared" si="7"/>
        <v>649741937.66143584</v>
      </c>
      <c r="U13" s="1037">
        <f t="shared" si="8"/>
        <v>30490.682084281252</v>
      </c>
      <c r="V13" s="68">
        <f t="shared" si="9"/>
        <v>17715.087894828572</v>
      </c>
      <c r="W13" s="68">
        <f t="shared" si="10"/>
        <v>52479.654602001981</v>
      </c>
      <c r="X13" s="69">
        <f t="shared" si="11"/>
        <v>-0.45533599599513525</v>
      </c>
      <c r="Y13" s="69">
        <f t="shared" si="12"/>
        <v>0.45533599599513525</v>
      </c>
      <c r="Z13" s="70">
        <f t="shared" si="13"/>
        <v>8.4706338418508089</v>
      </c>
      <c r="AA13" s="71">
        <f t="shared" si="14"/>
        <v>10.379555205100504</v>
      </c>
      <c r="AB13" s="70">
        <f t="shared" si="15"/>
        <v>10.932762591336017</v>
      </c>
      <c r="AC13" s="368" t="str">
        <f t="shared" si="16"/>
        <v>01</v>
      </c>
      <c r="AD13" s="81">
        <f t="shared" si="17"/>
        <v>9.865184498642467</v>
      </c>
      <c r="AE13" s="82">
        <f t="shared" si="18"/>
        <v>10.89392591155854</v>
      </c>
      <c r="AF13" s="361">
        <f t="shared" si="19"/>
        <v>11.447133297794053</v>
      </c>
    </row>
    <row r="14" spans="1:32" s="6" customFormat="1" ht="12.75" customHeight="1">
      <c r="A14" s="119">
        <v>1997</v>
      </c>
      <c r="B14" s="980">
        <f t="shared" si="0"/>
        <v>2002</v>
      </c>
      <c r="C14" s="64">
        <f>VLOOKUP($A14,FBrood!$A$8:$M$50,4)</f>
        <v>9.0612250503644347</v>
      </c>
      <c r="D14" s="64">
        <f>VLOOKUP($A14,FBrood!$A$8:$M$50,8)</f>
        <v>10.803113282007757</v>
      </c>
      <c r="E14" s="340">
        <v>17</v>
      </c>
      <c r="F14" s="341">
        <v>15</v>
      </c>
      <c r="G14" s="124">
        <v>4.3522065995808132</v>
      </c>
      <c r="H14" s="124">
        <v>0.71155894251211371</v>
      </c>
      <c r="I14" s="124">
        <v>0.36462034613981598</v>
      </c>
      <c r="J14" s="124">
        <v>10.799802314282406</v>
      </c>
      <c r="K14" s="124">
        <v>0.41053790667083012</v>
      </c>
      <c r="L14" s="124">
        <v>0.20248303254853856</v>
      </c>
      <c r="M14" s="124">
        <v>0.16993520866277323</v>
      </c>
      <c r="N14" s="354">
        <f t="shared" si="1"/>
        <v>3.3109677253513325E-3</v>
      </c>
      <c r="O14" s="65">
        <f t="shared" si="2"/>
        <v>1.0962507278318177E-5</v>
      </c>
      <c r="P14" s="355">
        <f t="shared" si="3"/>
        <v>10.799802314282406</v>
      </c>
      <c r="Q14" s="25">
        <f t="shared" si="4"/>
        <v>10.256797882688634</v>
      </c>
      <c r="R14" s="25">
        <f t="shared" si="5"/>
        <v>11.342806745876178</v>
      </c>
      <c r="S14" s="67">
        <f t="shared" si="6"/>
        <v>162.54314703605633</v>
      </c>
      <c r="T14" s="25">
        <f t="shared" si="7"/>
        <v>26420.274648385028</v>
      </c>
      <c r="U14" s="1037">
        <f t="shared" si="8"/>
        <v>49011.111381926625</v>
      </c>
      <c r="V14" s="68">
        <f t="shared" si="9"/>
        <v>28475.458290966264</v>
      </c>
      <c r="W14" s="68">
        <f t="shared" si="10"/>
        <v>84356.466341884006</v>
      </c>
      <c r="X14" s="69">
        <f t="shared" si="11"/>
        <v>-3.3054925161260977E-3</v>
      </c>
      <c r="Y14" s="69">
        <f t="shared" si="12"/>
        <v>3.3054925161260977E-3</v>
      </c>
      <c r="Z14" s="70">
        <f t="shared" si="13"/>
        <v>9.0612250503644347</v>
      </c>
      <c r="AA14" s="71">
        <f t="shared" si="14"/>
        <v>10.80030948396449</v>
      </c>
      <c r="AB14" s="70">
        <f t="shared" si="15"/>
        <v>10.803113282007757</v>
      </c>
      <c r="AC14" s="368" t="str">
        <f t="shared" si="16"/>
        <v>02</v>
      </c>
      <c r="AD14" s="81">
        <f t="shared" si="17"/>
        <v>10.285938777506454</v>
      </c>
      <c r="AE14" s="82">
        <f t="shared" si="18"/>
        <v>11.314680190422527</v>
      </c>
      <c r="AF14" s="361">
        <f t="shared" si="19"/>
        <v>11.317483988465794</v>
      </c>
    </row>
    <row r="15" spans="1:32" s="6" customFormat="1" ht="12.75" customHeight="1">
      <c r="A15" s="119">
        <v>1998</v>
      </c>
      <c r="B15" s="980">
        <f t="shared" si="0"/>
        <v>2003</v>
      </c>
      <c r="C15" s="64">
        <f>VLOOKUP($A15,FBrood!$A$8:$M$50,4)</f>
        <v>8.7964310364144289</v>
      </c>
      <c r="D15" s="64">
        <f>VLOOKUP($A15,FBrood!$A$8:$M$50,8)</f>
        <v>11.032613945187711</v>
      </c>
      <c r="E15" s="340">
        <v>17</v>
      </c>
      <c r="F15" s="341">
        <v>15</v>
      </c>
      <c r="G15" s="124">
        <v>4.614730390366792</v>
      </c>
      <c r="H15" s="124">
        <v>0.67849513948242957</v>
      </c>
      <c r="I15" s="124">
        <v>0.33351470010495798</v>
      </c>
      <c r="J15" s="124">
        <v>10.583066093366373</v>
      </c>
      <c r="K15" s="124">
        <v>0.39487483965402026</v>
      </c>
      <c r="L15" s="124">
        <v>0.21624754093312151</v>
      </c>
      <c r="M15" s="124">
        <v>0.16034645012259674</v>
      </c>
      <c r="N15" s="354">
        <f t="shared" si="1"/>
        <v>0.44954785182133783</v>
      </c>
      <c r="O15" s="65">
        <f t="shared" si="2"/>
        <v>0.2020932710771795</v>
      </c>
      <c r="P15" s="355">
        <f t="shared" si="3"/>
        <v>10.583066093366373</v>
      </c>
      <c r="Q15" s="25">
        <f t="shared" si="4"/>
        <v>10.040061661772601</v>
      </c>
      <c r="R15" s="25">
        <f t="shared" si="5"/>
        <v>11.126070524960145</v>
      </c>
      <c r="S15" s="67">
        <f t="shared" si="6"/>
        <v>22398.145883148616</v>
      </c>
      <c r="T15" s="25">
        <f t="shared" si="7"/>
        <v>501676939.00280732</v>
      </c>
      <c r="U15" s="1037">
        <f t="shared" si="8"/>
        <v>39460.919972868178</v>
      </c>
      <c r="V15" s="68">
        <f t="shared" si="9"/>
        <v>22926.796579947175</v>
      </c>
      <c r="W15" s="68">
        <f t="shared" si="10"/>
        <v>67918.961101921828</v>
      </c>
      <c r="X15" s="69">
        <f t="shared" si="11"/>
        <v>-0.36208348078327851</v>
      </c>
      <c r="Y15" s="69">
        <f t="shared" si="12"/>
        <v>0.36208348078327851</v>
      </c>
      <c r="Z15" s="70">
        <f t="shared" si="13"/>
        <v>8.7964310364144289</v>
      </c>
      <c r="AA15" s="71">
        <f t="shared" si="14"/>
        <v>10.611662560710357</v>
      </c>
      <c r="AB15" s="70">
        <f t="shared" si="15"/>
        <v>11.032613945187711</v>
      </c>
      <c r="AC15" s="368" t="str">
        <f t="shared" si="16"/>
        <v>03</v>
      </c>
      <c r="AD15" s="81">
        <f t="shared" si="17"/>
        <v>10.097291854252321</v>
      </c>
      <c r="AE15" s="82">
        <f t="shared" si="18"/>
        <v>11.126033267168394</v>
      </c>
      <c r="AF15" s="361">
        <f t="shared" si="19"/>
        <v>11.546984651645747</v>
      </c>
    </row>
    <row r="16" spans="1:32" s="6" customFormat="1" ht="12.75" customHeight="1">
      <c r="A16" s="119">
        <v>1999</v>
      </c>
      <c r="B16" s="980">
        <f t="shared" si="0"/>
        <v>2004</v>
      </c>
      <c r="C16" s="64">
        <f>VLOOKUP($A16,FBrood!$A$8:$M$50,4)</f>
        <v>8.6957050661179398</v>
      </c>
      <c r="D16" s="64">
        <f>VLOOKUP($A16,FBrood!$A$8:$M$50,8)</f>
        <v>10.768363571451721</v>
      </c>
      <c r="E16" s="340">
        <v>17</v>
      </c>
      <c r="F16" s="341">
        <v>15</v>
      </c>
      <c r="G16" s="124">
        <v>4.3403102849831345</v>
      </c>
      <c r="H16" s="124">
        <v>0.71140255129515384</v>
      </c>
      <c r="I16" s="124">
        <v>0.3414724146452362</v>
      </c>
      <c r="J16" s="124">
        <v>10.526457054329631</v>
      </c>
      <c r="K16" s="124">
        <v>0.40602657091860217</v>
      </c>
      <c r="L16" s="124">
        <v>0.22441734277066178</v>
      </c>
      <c r="M16" s="124">
        <v>0.17002434784275691</v>
      </c>
      <c r="N16" s="354">
        <f t="shared" si="1"/>
        <v>0.24190651712208933</v>
      </c>
      <c r="O16" s="65">
        <f t="shared" si="2"/>
        <v>5.8518763026139696E-2</v>
      </c>
      <c r="P16" s="355">
        <f t="shared" si="3"/>
        <v>10.526457054329631</v>
      </c>
      <c r="Q16" s="25">
        <f t="shared" si="4"/>
        <v>9.9834526227358591</v>
      </c>
      <c r="R16" s="25">
        <f t="shared" si="5"/>
        <v>11.069461485923403</v>
      </c>
      <c r="S16" s="67">
        <f t="shared" si="6"/>
        <v>10205.106246435018</v>
      </c>
      <c r="T16" s="25">
        <f t="shared" si="7"/>
        <v>104144193.50102702</v>
      </c>
      <c r="U16" s="1037">
        <f t="shared" si="8"/>
        <v>37289.126721561384</v>
      </c>
      <c r="V16" s="68">
        <f t="shared" si="9"/>
        <v>21664.984586697949</v>
      </c>
      <c r="W16" s="68">
        <f t="shared" si="10"/>
        <v>64180.935190251701</v>
      </c>
      <c r="X16" s="69">
        <f t="shared" si="11"/>
        <v>-0.21487042970694242</v>
      </c>
      <c r="Y16" s="69">
        <f t="shared" si="12"/>
        <v>0.21487042970694242</v>
      </c>
      <c r="Z16" s="70">
        <f t="shared" si="13"/>
        <v>8.6957050661179398</v>
      </c>
      <c r="AA16" s="71">
        <f t="shared" si="14"/>
        <v>10.539902462720351</v>
      </c>
      <c r="AB16" s="70">
        <f t="shared" si="15"/>
        <v>10.768363571451721</v>
      </c>
      <c r="AC16" s="368" t="str">
        <f t="shared" si="16"/>
        <v>04</v>
      </c>
      <c r="AD16" s="81">
        <f t="shared" si="17"/>
        <v>10.025531756262314</v>
      </c>
      <c r="AE16" s="82">
        <f t="shared" si="18"/>
        <v>11.054273169178387</v>
      </c>
      <c r="AF16" s="361">
        <f t="shared" si="19"/>
        <v>11.282734277909757</v>
      </c>
    </row>
    <row r="17" spans="1:32" s="6" customFormat="1" ht="12.75" customHeight="1">
      <c r="A17" s="119">
        <v>2000</v>
      </c>
      <c r="B17" s="980">
        <f t="shared" si="0"/>
        <v>2005</v>
      </c>
      <c r="C17" s="64">
        <f>VLOOKUP($A17,FBrood!$A$8:$M$50,4)</f>
        <v>8.5210999670991967</v>
      </c>
      <c r="D17" s="64">
        <f>VLOOKUP($A17,FBrood!$A$8:$M$50,8)</f>
        <v>10.535511595455096</v>
      </c>
      <c r="E17" s="340">
        <v>17</v>
      </c>
      <c r="F17" s="341">
        <v>15</v>
      </c>
      <c r="G17" s="124">
        <v>4.2030845394521732</v>
      </c>
      <c r="H17" s="124">
        <v>0.72791087209825056</v>
      </c>
      <c r="I17" s="124">
        <v>0.34792040824626208</v>
      </c>
      <c r="J17" s="124">
        <v>10.405685847739724</v>
      </c>
      <c r="K17" s="124">
        <v>0.40927174462982135</v>
      </c>
      <c r="L17" s="124">
        <v>0.22589443585171176</v>
      </c>
      <c r="M17" s="124">
        <v>0.17312465144096364</v>
      </c>
      <c r="N17" s="354">
        <f t="shared" si="1"/>
        <v>0.12982574771537259</v>
      </c>
      <c r="O17" s="65">
        <f t="shared" si="2"/>
        <v>1.685472476985557E-2</v>
      </c>
      <c r="P17" s="355">
        <f t="shared" si="3"/>
        <v>10.405685847739724</v>
      </c>
      <c r="Q17" s="25">
        <f t="shared" si="4"/>
        <v>9.8626814161459517</v>
      </c>
      <c r="R17" s="25">
        <f t="shared" si="5"/>
        <v>10.948690279333496</v>
      </c>
      <c r="S17" s="67">
        <f t="shared" si="6"/>
        <v>4581.3031780361707</v>
      </c>
      <c r="T17" s="25">
        <f t="shared" si="7"/>
        <v>20988338.809084319</v>
      </c>
      <c r="U17" s="1037">
        <f t="shared" si="8"/>
        <v>33046.992668131388</v>
      </c>
      <c r="V17" s="68">
        <f t="shared" si="9"/>
        <v>19200.304478511738</v>
      </c>
      <c r="W17" s="68">
        <f t="shared" si="10"/>
        <v>56879.500303225475</v>
      </c>
      <c r="X17" s="69">
        <f t="shared" si="11"/>
        <v>-0.12175154561252277</v>
      </c>
      <c r="Y17" s="69">
        <f t="shared" si="12"/>
        <v>0.12175154561252277</v>
      </c>
      <c r="Z17" s="70">
        <f t="shared" si="13"/>
        <v>8.5210999670991967</v>
      </c>
      <c r="AA17" s="71">
        <f t="shared" si="14"/>
        <v>10.415508734089507</v>
      </c>
      <c r="AB17" s="70">
        <f t="shared" si="15"/>
        <v>10.535511595455096</v>
      </c>
      <c r="AC17" s="368" t="str">
        <f t="shared" si="16"/>
        <v>05</v>
      </c>
      <c r="AD17" s="81">
        <f t="shared" si="17"/>
        <v>9.90113802763147</v>
      </c>
      <c r="AE17" s="82">
        <f t="shared" si="18"/>
        <v>10.929879440547543</v>
      </c>
      <c r="AF17" s="361">
        <f t="shared" si="19"/>
        <v>11.049882301913133</v>
      </c>
    </row>
    <row r="18" spans="1:32" s="6" customFormat="1" ht="12.75" customHeight="1">
      <c r="A18" s="119">
        <v>2001</v>
      </c>
      <c r="B18" s="980">
        <f t="shared" si="0"/>
        <v>2006</v>
      </c>
      <c r="C18" s="64">
        <f>VLOOKUP($A18,FBrood!$A$8:$M$50,4)</f>
        <v>8.6812936257840825</v>
      </c>
      <c r="D18" s="64">
        <f>VLOOKUP($A18,FBrood!$A$8:$M$50,8)</f>
        <v>11.130479873503816</v>
      </c>
      <c r="E18" s="340">
        <v>17</v>
      </c>
      <c r="F18" s="341">
        <v>15</v>
      </c>
      <c r="G18" s="124">
        <v>4.2765900757427326</v>
      </c>
      <c r="H18" s="124">
        <v>0.7162144276023853</v>
      </c>
      <c r="I18" s="124">
        <v>0.31809864653567133</v>
      </c>
      <c r="J18" s="124">
        <v>10.494257820781915</v>
      </c>
      <c r="K18" s="124">
        <v>0.378229148359705</v>
      </c>
      <c r="L18" s="124">
        <v>0.25259607732201594</v>
      </c>
      <c r="M18" s="124">
        <v>0.15369114977935694</v>
      </c>
      <c r="N18" s="354">
        <f t="shared" si="1"/>
        <v>0.63622205272190158</v>
      </c>
      <c r="O18" s="65">
        <f t="shared" si="2"/>
        <v>0.40477850036967011</v>
      </c>
      <c r="P18" s="355">
        <f t="shared" si="3"/>
        <v>10.494257820781915</v>
      </c>
      <c r="Q18" s="25">
        <f t="shared" si="4"/>
        <v>9.9512533891881425</v>
      </c>
      <c r="R18" s="25">
        <f t="shared" si="5"/>
        <v>11.037262252375687</v>
      </c>
      <c r="S18" s="67">
        <f t="shared" si="6"/>
        <v>32111.53058405497</v>
      </c>
      <c r="T18" s="25">
        <f t="shared" si="7"/>
        <v>1031150396.4506977</v>
      </c>
      <c r="U18" s="1037">
        <f t="shared" si="8"/>
        <v>36107.570113849622</v>
      </c>
      <c r="V18" s="68">
        <f t="shared" si="9"/>
        <v>20978.500135465551</v>
      </c>
      <c r="W18" s="68">
        <f t="shared" si="10"/>
        <v>62147.275120134975</v>
      </c>
      <c r="X18" s="69">
        <f t="shared" si="11"/>
        <v>-0.47071172524326904</v>
      </c>
      <c r="Y18" s="69">
        <f t="shared" si="12"/>
        <v>0.47071172524326904</v>
      </c>
      <c r="Z18" s="70">
        <f t="shared" si="13"/>
        <v>8.6812936257840825</v>
      </c>
      <c r="AA18" s="71">
        <f t="shared" si="14"/>
        <v>10.529635335310303</v>
      </c>
      <c r="AB18" s="70">
        <f t="shared" si="15"/>
        <v>11.130479873503816</v>
      </c>
      <c r="AC18" s="368" t="str">
        <f t="shared" si="16"/>
        <v>06</v>
      </c>
      <c r="AD18" s="81">
        <f t="shared" si="17"/>
        <v>10.015264628852266</v>
      </c>
      <c r="AE18" s="82">
        <f t="shared" si="18"/>
        <v>11.044006041768339</v>
      </c>
      <c r="AF18" s="361">
        <f t="shared" si="19"/>
        <v>11.644850579961853</v>
      </c>
    </row>
    <row r="19" spans="1:32" s="6" customFormat="1" ht="12.75" customHeight="1">
      <c r="A19" s="119">
        <v>2002</v>
      </c>
      <c r="B19" s="980">
        <f t="shared" si="0"/>
        <v>2007</v>
      </c>
      <c r="C19" s="64">
        <f>VLOOKUP($A19,FBrood!$A$8:$M$50,4)</f>
        <v>9.1658104658028474</v>
      </c>
      <c r="D19" s="64">
        <f>VLOOKUP($A19,FBrood!$A$8:$M$50,8)</f>
        <v>10.967830558393432</v>
      </c>
      <c r="E19" s="340">
        <v>17</v>
      </c>
      <c r="F19" s="341">
        <v>15</v>
      </c>
      <c r="G19" s="124">
        <v>4.6853372569313656</v>
      </c>
      <c r="H19" s="124">
        <v>0.67248551083215702</v>
      </c>
      <c r="I19" s="124">
        <v>0.3780908171954937</v>
      </c>
      <c r="J19" s="124">
        <v>10.849211990217524</v>
      </c>
      <c r="K19" s="124">
        <v>0.40964187586044215</v>
      </c>
      <c r="L19" s="124">
        <v>0.1741698835792769</v>
      </c>
      <c r="M19" s="124">
        <v>0.17718544123193547</v>
      </c>
      <c r="N19" s="354">
        <f t="shared" si="1"/>
        <v>0.11861856817590777</v>
      </c>
      <c r="O19" s="65">
        <f t="shared" si="2"/>
        <v>1.407036471610248E-2</v>
      </c>
      <c r="P19" s="355">
        <f t="shared" si="3"/>
        <v>10.849211990217524</v>
      </c>
      <c r="Q19" s="25">
        <f t="shared" si="4"/>
        <v>10.306207558623752</v>
      </c>
      <c r="R19" s="25">
        <f t="shared" si="5"/>
        <v>11.392216421811296</v>
      </c>
      <c r="S19" s="67">
        <f t="shared" si="6"/>
        <v>6485.117578660218</v>
      </c>
      <c r="T19" s="25">
        <f t="shared" si="7"/>
        <v>42056750.009047769</v>
      </c>
      <c r="U19" s="1037">
        <f t="shared" si="8"/>
        <v>51493.557936581368</v>
      </c>
      <c r="V19" s="68">
        <f t="shared" si="9"/>
        <v>29917.759869801535</v>
      </c>
      <c r="W19" s="68">
        <f t="shared" si="10"/>
        <v>88629.179474246906</v>
      </c>
      <c r="X19" s="69">
        <f t="shared" si="11"/>
        <v>-0.11185349649726636</v>
      </c>
      <c r="Y19" s="69">
        <f t="shared" si="12"/>
        <v>0.11185349649726636</v>
      </c>
      <c r="Z19" s="70">
        <f t="shared" si="13"/>
        <v>9.1658104658028474</v>
      </c>
      <c r="AA19" s="71">
        <f t="shared" si="14"/>
        <v>10.874819162432663</v>
      </c>
      <c r="AB19" s="70">
        <f t="shared" si="15"/>
        <v>10.967830558393432</v>
      </c>
      <c r="AC19" s="368" t="str">
        <f t="shared" si="16"/>
        <v>07</v>
      </c>
      <c r="AD19" s="81">
        <f t="shared" si="17"/>
        <v>10.360448455974627</v>
      </c>
      <c r="AE19" s="82">
        <f t="shared" si="18"/>
        <v>11.3891898688907</v>
      </c>
      <c r="AF19" s="361">
        <f t="shared" si="19"/>
        <v>11.482201264851469</v>
      </c>
    </row>
    <row r="20" spans="1:32" s="6" customFormat="1" ht="12.75" customHeight="1">
      <c r="A20" s="119">
        <v>2003</v>
      </c>
      <c r="B20" s="980">
        <f t="shared" si="0"/>
        <v>2008</v>
      </c>
      <c r="C20" s="64">
        <f>VLOOKUP($A20,FBrood!$A$8:$M$50,4)</f>
        <v>8.5487733927059573</v>
      </c>
      <c r="D20" s="64">
        <f>VLOOKUP($A20,FBrood!$A$8:$M$50,8)</f>
        <v>10.379405950511826</v>
      </c>
      <c r="E20" s="340">
        <v>17</v>
      </c>
      <c r="F20" s="341">
        <v>15</v>
      </c>
      <c r="G20" s="124">
        <v>4.4001288015547111</v>
      </c>
      <c r="H20" s="124">
        <v>0.70644884287840726</v>
      </c>
      <c r="I20" s="124">
        <v>0.34762879096832283</v>
      </c>
      <c r="J20" s="124">
        <v>10.43939987286155</v>
      </c>
      <c r="K20" s="124">
        <v>0.41026667154695828</v>
      </c>
      <c r="L20" s="124">
        <v>0.21588343900843035</v>
      </c>
      <c r="M20" s="124">
        <v>0.17725378200005149</v>
      </c>
      <c r="N20" s="354">
        <f t="shared" si="1"/>
        <v>-5.9993922349724116E-2</v>
      </c>
      <c r="O20" s="65">
        <f t="shared" si="2"/>
        <v>3.5992707189047269E-3</v>
      </c>
      <c r="P20" s="355">
        <f t="shared" si="3"/>
        <v>10.43939987286155</v>
      </c>
      <c r="Q20" s="25">
        <f t="shared" si="4"/>
        <v>9.8963954412677779</v>
      </c>
      <c r="R20" s="25">
        <f t="shared" si="5"/>
        <v>10.982404304455322</v>
      </c>
      <c r="S20" s="67">
        <f t="shared" si="6"/>
        <v>-1990.3003992840313</v>
      </c>
      <c r="T20" s="25">
        <f t="shared" si="7"/>
        <v>3961295.6793901743</v>
      </c>
      <c r="U20" s="1037">
        <f t="shared" si="8"/>
        <v>34180.133855703571</v>
      </c>
      <c r="V20" s="68">
        <f t="shared" si="9"/>
        <v>19858.659568096307</v>
      </c>
      <c r="W20" s="68">
        <f t="shared" si="10"/>
        <v>58829.82919303891</v>
      </c>
      <c r="X20" s="69">
        <f t="shared" si="11"/>
        <v>6.1830093093790471E-2</v>
      </c>
      <c r="Y20" s="69">
        <f t="shared" si="12"/>
        <v>6.1830093093790471E-2</v>
      </c>
      <c r="Z20" s="70">
        <f t="shared" si="13"/>
        <v>8.5487733927059573</v>
      </c>
      <c r="AA20" s="71">
        <f t="shared" si="14"/>
        <v>10.435224083839078</v>
      </c>
      <c r="AB20" s="70">
        <f t="shared" si="15"/>
        <v>10.379405950511826</v>
      </c>
      <c r="AC20" s="368" t="str">
        <f t="shared" si="16"/>
        <v>08</v>
      </c>
      <c r="AD20" s="81">
        <f t="shared" si="17"/>
        <v>9.9208533773810412</v>
      </c>
      <c r="AE20" s="82">
        <f t="shared" si="18"/>
        <v>10.949594790297114</v>
      </c>
      <c r="AF20" s="361">
        <f t="shared" si="19"/>
        <v>10.893776656969862</v>
      </c>
    </row>
    <row r="21" spans="1:32" s="6" customFormat="1" ht="12.75" customHeight="1">
      <c r="A21" s="119">
        <v>2004</v>
      </c>
      <c r="B21" s="980">
        <f t="shared" si="0"/>
        <v>2009</v>
      </c>
      <c r="C21" s="64">
        <f>VLOOKUP($A21,FBrood!$A$8:$M$50,4)</f>
        <v>8.2875868447827692</v>
      </c>
      <c r="D21" s="64">
        <f>VLOOKUP($A21,FBrood!$A$8:$M$50,8)</f>
        <v>10.204959256251302</v>
      </c>
      <c r="E21" s="340">
        <v>17</v>
      </c>
      <c r="F21" s="341">
        <v>15</v>
      </c>
      <c r="G21" s="124">
        <v>4.4793514247195247</v>
      </c>
      <c r="H21" s="124">
        <v>0.69728878618234669</v>
      </c>
      <c r="I21" s="124">
        <v>0.36810872326285171</v>
      </c>
      <c r="J21" s="124">
        <v>10.258192796098886</v>
      </c>
      <c r="K21" s="124">
        <v>0.41034762446460449</v>
      </c>
      <c r="L21" s="124">
        <v>0.19303518761185393</v>
      </c>
      <c r="M21" s="124">
        <v>0.1766040917520604</v>
      </c>
      <c r="N21" s="354">
        <f t="shared" si="1"/>
        <v>-5.3233539847584055E-2</v>
      </c>
      <c r="O21" s="65">
        <f t="shared" si="2"/>
        <v>2.8338097647043195E-3</v>
      </c>
      <c r="P21" s="355">
        <f t="shared" si="3"/>
        <v>10.258192796098886</v>
      </c>
      <c r="Q21" s="25">
        <f t="shared" si="4"/>
        <v>9.7151883645051136</v>
      </c>
      <c r="R21" s="25">
        <f t="shared" si="5"/>
        <v>10.801197227692658</v>
      </c>
      <c r="S21" s="67">
        <f t="shared" si="6"/>
        <v>-1478.2695589616997</v>
      </c>
      <c r="T21" s="25">
        <f t="shared" si="7"/>
        <v>2185280.8889528182</v>
      </c>
      <c r="U21" s="1037">
        <f t="shared" si="8"/>
        <v>28515.206806022579</v>
      </c>
      <c r="V21" s="68">
        <f t="shared" si="9"/>
        <v>16567.336654246959</v>
      </c>
      <c r="W21" s="68">
        <f t="shared" si="10"/>
        <v>49079.525343127352</v>
      </c>
      <c r="X21" s="69">
        <f t="shared" si="11"/>
        <v>5.4675925214953805E-2</v>
      </c>
      <c r="Y21" s="69">
        <f t="shared" si="12"/>
        <v>5.4675925214953805E-2</v>
      </c>
      <c r="Z21" s="70">
        <f t="shared" si="13"/>
        <v>8.2875868447827692</v>
      </c>
      <c r="AA21" s="71">
        <f t="shared" si="14"/>
        <v>10.249147223844879</v>
      </c>
      <c r="AB21" s="70">
        <f t="shared" si="15"/>
        <v>10.204959256251302</v>
      </c>
      <c r="AC21" s="368" t="str">
        <f t="shared" si="16"/>
        <v>09</v>
      </c>
      <c r="AD21" s="81">
        <f t="shared" si="17"/>
        <v>9.7347765173868428</v>
      </c>
      <c r="AE21" s="82">
        <f t="shared" si="18"/>
        <v>10.763517930302916</v>
      </c>
      <c r="AF21" s="361">
        <f t="shared" si="19"/>
        <v>10.719329962709338</v>
      </c>
    </row>
    <row r="22" spans="1:32" s="6" customFormat="1" ht="12.75" customHeight="1">
      <c r="A22" s="119">
        <v>2005</v>
      </c>
      <c r="B22" s="980">
        <f t="shared" si="0"/>
        <v>2010</v>
      </c>
      <c r="C22" s="64">
        <f>VLOOKUP($A22,FBrood!$A$8:$M$50,4)</f>
        <v>8.4317956891327839</v>
      </c>
      <c r="D22" s="64">
        <f>VLOOKUP($A22,FBrood!$A$8:$M$50,8)</f>
        <v>9.8896200751423216</v>
      </c>
      <c r="E22" s="6">
        <v>17</v>
      </c>
      <c r="F22" s="6">
        <v>15</v>
      </c>
      <c r="G22" s="124">
        <v>5.189976134781439</v>
      </c>
      <c r="H22" s="124">
        <v>0.61846397157813904</v>
      </c>
      <c r="I22" s="124">
        <v>0.33710402168056308</v>
      </c>
      <c r="J22" s="124">
        <v>10.404737984217931</v>
      </c>
      <c r="K22" s="124">
        <v>0.39072654819203612</v>
      </c>
      <c r="L22" s="124">
        <v>0.18326890123848416</v>
      </c>
      <c r="M22" s="124">
        <v>0.15716554556682416</v>
      </c>
      <c r="N22" s="354">
        <f t="shared" si="1"/>
        <v>-0.5151179090756095</v>
      </c>
      <c r="O22" s="65">
        <f t="shared" si="2"/>
        <v>0.26534646025042791</v>
      </c>
      <c r="P22" s="355">
        <f t="shared" si="3"/>
        <v>10.404737984217931</v>
      </c>
      <c r="Q22" s="25">
        <f t="shared" si="4"/>
        <v>9.861733552624159</v>
      </c>
      <c r="R22" s="25">
        <f t="shared" si="5"/>
        <v>10.947742415811703</v>
      </c>
      <c r="S22" s="67">
        <f t="shared" si="6"/>
        <v>-13291.118807267576</v>
      </c>
      <c r="T22" s="25">
        <f t="shared" si="7"/>
        <v>176653839.14890188</v>
      </c>
      <c r="U22" s="1037">
        <f t="shared" si="8"/>
        <v>33015.683470043827</v>
      </c>
      <c r="V22" s="68">
        <f t="shared" si="9"/>
        <v>19182.113832775947</v>
      </c>
      <c r="W22" s="68">
        <f t="shared" si="10"/>
        <v>56825.611843237639</v>
      </c>
      <c r="X22" s="69">
        <f t="shared" si="11"/>
        <v>0.67383585060055962</v>
      </c>
      <c r="Y22" s="69">
        <f t="shared" si="12"/>
        <v>0.67383585060055962</v>
      </c>
      <c r="Z22" s="70">
        <f t="shared" si="13"/>
        <v>8.4317956891327839</v>
      </c>
      <c r="AA22" s="71">
        <f t="shared" si="14"/>
        <v>10.351885780456664</v>
      </c>
      <c r="AB22" s="70">
        <f t="shared" si="15"/>
        <v>9.8896200751423216</v>
      </c>
      <c r="AC22" s="368" t="str">
        <f t="shared" si="16"/>
        <v>10</v>
      </c>
      <c r="AD22" s="81">
        <f t="shared" si="17"/>
        <v>9.8375150739986275</v>
      </c>
      <c r="AE22" s="82">
        <f t="shared" si="18"/>
        <v>10.8662564869147</v>
      </c>
      <c r="AF22" s="361">
        <f t="shared" si="19"/>
        <v>10.403990781600358</v>
      </c>
    </row>
    <row r="23" spans="1:32" s="6" customFormat="1" ht="12.75" customHeight="1">
      <c r="A23" s="119">
        <v>2006</v>
      </c>
      <c r="B23" s="980">
        <f t="shared" si="0"/>
        <v>2011</v>
      </c>
      <c r="C23" s="64">
        <f>VLOOKUP($A23,FBrood!$A$8:$M$50,4)</f>
        <v>8.5943219857568938</v>
      </c>
      <c r="D23" s="64">
        <f>VLOOKUP($A23,FBrood!$A$8:$M$50,8)</f>
        <v>10.623100792171124</v>
      </c>
      <c r="E23" s="6">
        <v>17</v>
      </c>
      <c r="F23" s="6">
        <v>15</v>
      </c>
      <c r="G23" s="124">
        <v>4.2384868332959496</v>
      </c>
      <c r="H23" s="124">
        <v>0.72360747996883579</v>
      </c>
      <c r="I23" s="124">
        <v>0.34467560652415602</v>
      </c>
      <c r="J23" s="124">
        <v>10.457402507450256</v>
      </c>
      <c r="K23" s="124">
        <v>0.40844224064630397</v>
      </c>
      <c r="L23" s="124">
        <v>0.22709996448141787</v>
      </c>
      <c r="M23" s="124">
        <v>0.17199963367699525</v>
      </c>
      <c r="N23" s="354">
        <f t="shared" si="1"/>
        <v>0.16569828472086812</v>
      </c>
      <c r="O23" s="65">
        <f t="shared" si="2"/>
        <v>2.7455921559437876E-2</v>
      </c>
      <c r="P23" s="355">
        <f t="shared" si="3"/>
        <v>10.457402507450256</v>
      </c>
      <c r="Q23" s="25">
        <f t="shared" si="4"/>
        <v>9.914398075856484</v>
      </c>
      <c r="R23" s="25">
        <f t="shared" si="5"/>
        <v>11.000406939044028</v>
      </c>
      <c r="S23" s="67">
        <f t="shared" si="6"/>
        <v>6271.7373125809172</v>
      </c>
      <c r="T23" s="25">
        <f t="shared" si="7"/>
        <v>39334688.918019705</v>
      </c>
      <c r="U23" s="1037">
        <f t="shared" si="8"/>
        <v>34801.038506226942</v>
      </c>
      <c r="V23" s="68">
        <f t="shared" si="9"/>
        <v>20219.405202711012</v>
      </c>
      <c r="W23" s="68">
        <f t="shared" si="10"/>
        <v>59898.511799422493</v>
      </c>
      <c r="X23" s="69">
        <f t="shared" si="11"/>
        <v>-0.15269816046153353</v>
      </c>
      <c r="Y23" s="69">
        <f t="shared" si="12"/>
        <v>0.15269816046153353</v>
      </c>
      <c r="Z23" s="70">
        <f t="shared" si="13"/>
        <v>8.5943219857568938</v>
      </c>
      <c r="AA23" s="71">
        <f t="shared" si="14"/>
        <v>10.467674220492228</v>
      </c>
      <c r="AB23" s="70">
        <f t="shared" si="15"/>
        <v>10.623100792171124</v>
      </c>
      <c r="AC23" s="368" t="str">
        <f t="shared" si="16"/>
        <v>11</v>
      </c>
      <c r="AD23" s="81">
        <f t="shared" si="17"/>
        <v>9.9533035140341912</v>
      </c>
      <c r="AE23" s="82">
        <f t="shared" si="18"/>
        <v>10.982044926950264</v>
      </c>
      <c r="AF23" s="361">
        <f t="shared" si="19"/>
        <v>11.137471498629161</v>
      </c>
    </row>
    <row r="24" spans="1:32" s="6" customFormat="1" ht="12.75" customHeight="1">
      <c r="A24" s="119">
        <v>2007</v>
      </c>
      <c r="B24" s="980">
        <f t="shared" si="0"/>
        <v>2012</v>
      </c>
      <c r="C24" s="64">
        <f>VLOOKUP($A24,FBrood!$A$8:$M$50,4)</f>
        <v>8.6078227782237438</v>
      </c>
      <c r="D24" s="64">
        <f>VLOOKUP($A24,FBrood!$A$8:$M$50,8)</f>
        <v>10.473027633372794</v>
      </c>
      <c r="E24" s="6">
        <v>17</v>
      </c>
      <c r="F24" s="6">
        <v>15</v>
      </c>
      <c r="G24" s="124">
        <v>4.3473666075771957</v>
      </c>
      <c r="H24" s="124">
        <v>0.7121661068594376</v>
      </c>
      <c r="I24" s="124">
        <v>0.34613123719836103</v>
      </c>
      <c r="J24" s="124">
        <v>10.477566244080787</v>
      </c>
      <c r="K24" s="124">
        <v>0.41053708874884032</v>
      </c>
      <c r="L24" s="124">
        <v>0.22010341161345615</v>
      </c>
      <c r="M24" s="124">
        <v>0.17343106353585286</v>
      </c>
      <c r="N24" s="354">
        <f t="shared" si="1"/>
        <v>-4.538610707992774E-3</v>
      </c>
      <c r="O24" s="65">
        <f t="shared" si="2"/>
        <v>2.0598987158706668E-5</v>
      </c>
      <c r="P24" s="355">
        <f t="shared" si="3"/>
        <v>10.477566244080787</v>
      </c>
      <c r="Q24" s="25">
        <f t="shared" si="4"/>
        <v>9.934561812487015</v>
      </c>
      <c r="R24" s="25">
        <f t="shared" si="5"/>
        <v>11.020570675674559</v>
      </c>
      <c r="S24" s="67">
        <f t="shared" si="6"/>
        <v>-160.8003401016249</v>
      </c>
      <c r="T24" s="25">
        <f t="shared" si="7"/>
        <v>25856.749376798238</v>
      </c>
      <c r="U24" s="1037">
        <f t="shared" si="8"/>
        <v>35509.879910484196</v>
      </c>
      <c r="V24" s="68">
        <f t="shared" si="9"/>
        <v>20631.24209587073</v>
      </c>
      <c r="W24" s="68">
        <f t="shared" si="10"/>
        <v>61118.54852933863</v>
      </c>
      <c r="X24" s="69">
        <f t="shared" si="11"/>
        <v>4.5489258010653379E-3</v>
      </c>
      <c r="Y24" s="69">
        <f t="shared" si="12"/>
        <v>4.5489258010653379E-3</v>
      </c>
      <c r="Z24" s="70">
        <f t="shared" si="13"/>
        <v>8.6078227782237438</v>
      </c>
      <c r="AA24" s="71">
        <f t="shared" si="14"/>
        <v>10.477292575991928</v>
      </c>
      <c r="AB24" s="70">
        <f t="shared" si="15"/>
        <v>10.473027633372794</v>
      </c>
      <c r="AC24" s="368" t="str">
        <f t="shared" si="16"/>
        <v>12</v>
      </c>
      <c r="AD24" s="81">
        <f t="shared" si="17"/>
        <v>9.9629218695338917</v>
      </c>
      <c r="AE24" s="82">
        <f t="shared" si="18"/>
        <v>10.991663282449965</v>
      </c>
      <c r="AF24" s="361">
        <f t="shared" si="19"/>
        <v>10.987398339830831</v>
      </c>
    </row>
    <row r="25" spans="1:32" s="6" customFormat="1" ht="12.75" customHeight="1">
      <c r="A25" s="119">
        <v>2008</v>
      </c>
      <c r="B25" s="980">
        <f t="shared" si="0"/>
        <v>2013</v>
      </c>
      <c r="C25" s="64">
        <f>VLOOKUP($A25,FBrood!$A$8:$M$50,4)</f>
        <v>8.2485379885467474</v>
      </c>
      <c r="D25" s="64">
        <f>VLOOKUP($A25,FBrood!$A$8:$M$50,8)</f>
        <v>10.180744054918474</v>
      </c>
      <c r="E25" s="6">
        <v>17</v>
      </c>
      <c r="F25" s="6">
        <v>15</v>
      </c>
      <c r="G25" s="124">
        <v>4.4840178281023748</v>
      </c>
      <c r="H25" s="124">
        <v>0.69673304538560277</v>
      </c>
      <c r="I25" s="124">
        <v>0.37340715993627649</v>
      </c>
      <c r="J25" s="124">
        <v>10.231046820841385</v>
      </c>
      <c r="K25" s="124">
        <v>0.41037287162603653</v>
      </c>
      <c r="L25" s="124">
        <v>0.18837796690655056</v>
      </c>
      <c r="M25" s="124">
        <v>0.17256775311703607</v>
      </c>
      <c r="N25" s="354">
        <f t="shared" si="1"/>
        <v>-5.0302765922911163E-2</v>
      </c>
      <c r="O25" s="65">
        <f t="shared" si="2"/>
        <v>2.5303682594951925E-3</v>
      </c>
      <c r="P25" s="355">
        <f t="shared" si="3"/>
        <v>10.231046820841385</v>
      </c>
      <c r="Q25" s="25">
        <f t="shared" si="4"/>
        <v>9.6880423892476131</v>
      </c>
      <c r="R25" s="25">
        <f t="shared" si="5"/>
        <v>10.774051252435157</v>
      </c>
      <c r="S25" s="67">
        <f t="shared" si="6"/>
        <v>-1361.4500892678807</v>
      </c>
      <c r="T25" s="25">
        <f t="shared" si="7"/>
        <v>1853546.3455675202</v>
      </c>
      <c r="U25" s="1037">
        <f t="shared" si="8"/>
        <v>27751.545764304254</v>
      </c>
      <c r="V25" s="68">
        <f t="shared" si="9"/>
        <v>16123.649548838755</v>
      </c>
      <c r="W25" s="68">
        <f t="shared" si="10"/>
        <v>47765.134684643417</v>
      </c>
      <c r="X25" s="69">
        <f t="shared" si="11"/>
        <v>5.1589433628152402E-2</v>
      </c>
      <c r="Y25" s="69">
        <f t="shared" si="12"/>
        <v>5.1589433628152402E-2</v>
      </c>
      <c r="Z25" s="70">
        <f t="shared" si="13"/>
        <v>8.2485379885467474</v>
      </c>
      <c r="AA25" s="71">
        <f t="shared" si="14"/>
        <v>10.221327687913416</v>
      </c>
      <c r="AB25" s="70">
        <f t="shared" si="15"/>
        <v>10.180744054918474</v>
      </c>
      <c r="AC25" s="368" t="str">
        <f t="shared" si="16"/>
        <v>13</v>
      </c>
      <c r="AD25" s="81">
        <f t="shared" si="17"/>
        <v>9.7069569814553791</v>
      </c>
      <c r="AE25" s="82">
        <f t="shared" si="18"/>
        <v>10.735698394371452</v>
      </c>
      <c r="AF25" s="361">
        <f t="shared" si="19"/>
        <v>10.695114761376511</v>
      </c>
    </row>
    <row r="26" spans="1:32" s="6" customFormat="1" ht="12.75" customHeight="1">
      <c r="A26" s="119">
        <v>2009</v>
      </c>
      <c r="B26" s="980">
        <f t="shared" si="0"/>
        <v>2014</v>
      </c>
      <c r="C26" s="64">
        <f>VLOOKUP($A26,FBrood!$A$8:$M$50,4)</f>
        <v>8.66922270044026</v>
      </c>
      <c r="D26" s="64">
        <f>VLOOKUP($A26,FBrood!$A$8:$M$50,8)</f>
        <v>9.6782501880408773</v>
      </c>
      <c r="E26" s="6">
        <v>17</v>
      </c>
      <c r="F26" s="6">
        <v>15</v>
      </c>
      <c r="G26" s="124">
        <v>4.5067975555573865</v>
      </c>
      <c r="H26" s="124">
        <v>0.69949687561663398</v>
      </c>
      <c r="I26" s="124">
        <v>0.28941294630899334</v>
      </c>
      <c r="J26" s="124">
        <v>10.570891748540147</v>
      </c>
      <c r="K26" s="124">
        <v>0.34407601271858412</v>
      </c>
      <c r="L26" s="124">
        <v>0.28028736325292763</v>
      </c>
      <c r="M26" s="124">
        <v>0.12012238379828342</v>
      </c>
      <c r="N26" s="354">
        <f t="shared" si="1"/>
        <v>-0.89264156049926946</v>
      </c>
      <c r="O26" s="65">
        <f t="shared" si="2"/>
        <v>0.79680895553057096</v>
      </c>
      <c r="P26" s="355">
        <f t="shared" si="3"/>
        <v>10.570891748540147</v>
      </c>
      <c r="Q26" s="25">
        <f t="shared" si="4"/>
        <v>10.027887316946375</v>
      </c>
      <c r="R26" s="25">
        <f t="shared" si="5"/>
        <v>11.113896180133919</v>
      </c>
      <c r="S26" s="67">
        <f t="shared" si="6"/>
        <v>-23016.88760125453</v>
      </c>
      <c r="T26" s="25">
        <f t="shared" si="7"/>
        <v>529777114.84878451</v>
      </c>
      <c r="U26" s="1037">
        <f t="shared" si="8"/>
        <v>38983.421638321408</v>
      </c>
      <c r="V26" s="68">
        <f t="shared" si="9"/>
        <v>22649.370022458286</v>
      </c>
      <c r="W26" s="68">
        <f t="shared" si="10"/>
        <v>67097.105178831014</v>
      </c>
      <c r="X26" s="69">
        <f t="shared" si="11"/>
        <v>1.4415706970479631</v>
      </c>
      <c r="Y26" s="69">
        <f t="shared" si="12"/>
        <v>1.4415706970479631</v>
      </c>
      <c r="Z26" s="70">
        <f t="shared" si="13"/>
        <v>8.66922270044026</v>
      </c>
      <c r="AA26" s="71">
        <f t="shared" si="14"/>
        <v>10.521035658554119</v>
      </c>
      <c r="AB26" s="70">
        <f t="shared" si="15"/>
        <v>9.6782501880408773</v>
      </c>
      <c r="AC26" s="368" t="str">
        <f t="shared" si="16"/>
        <v>14</v>
      </c>
      <c r="AD26" s="81">
        <f t="shared" si="17"/>
        <v>10.006664952096083</v>
      </c>
      <c r="AE26" s="82">
        <f t="shared" si="18"/>
        <v>11.035406365012156</v>
      </c>
      <c r="AF26" s="361">
        <f t="shared" si="19"/>
        <v>10.192620894498914</v>
      </c>
    </row>
    <row r="27" spans="1:32" s="6" customFormat="1" ht="12.75" customHeight="1">
      <c r="A27" s="119">
        <v>2010</v>
      </c>
      <c r="B27" s="980">
        <f t="shared" si="0"/>
        <v>2015</v>
      </c>
      <c r="C27" s="64">
        <f>VLOOKUP($A27,FBrood!$A$8:$M$50,4)</f>
        <v>9.0876530941287168</v>
      </c>
      <c r="D27" s="64">
        <f>VLOOKUP($A27,FBrood!$A$8:$M$50,8)</f>
        <v>10.524446289971486</v>
      </c>
      <c r="E27" s="6">
        <v>17</v>
      </c>
      <c r="F27" s="6">
        <v>15</v>
      </c>
      <c r="G27" s="124">
        <v>3.4845151546269788</v>
      </c>
      <c r="H27" s="124">
        <v>0.81373401773371934</v>
      </c>
      <c r="I27" s="124">
        <v>0.35982841898329537</v>
      </c>
      <c r="J27" s="124">
        <v>10.879447618682605</v>
      </c>
      <c r="K27" s="124">
        <v>0.40168720933686208</v>
      </c>
      <c r="L27" s="124">
        <v>0.25425657670456625</v>
      </c>
      <c r="M27" s="124">
        <v>0.16635359134884906</v>
      </c>
      <c r="N27" s="354">
        <f t="shared" si="1"/>
        <v>-0.35500132871111845</v>
      </c>
      <c r="O27" s="65">
        <f t="shared" si="2"/>
        <v>0.12602594338665957</v>
      </c>
      <c r="P27" s="355">
        <f t="shared" si="3"/>
        <v>10.879447618682605</v>
      </c>
      <c r="Q27" s="25">
        <f t="shared" si="4"/>
        <v>10.336443187088832</v>
      </c>
      <c r="R27" s="25">
        <f t="shared" si="5"/>
        <v>11.422452050276377</v>
      </c>
      <c r="S27" s="67">
        <f t="shared" si="6"/>
        <v>-15860.052174453056</v>
      </c>
      <c r="T27" s="25">
        <f t="shared" si="7"/>
        <v>251541254.97637311</v>
      </c>
      <c r="U27" s="1037">
        <f t="shared" si="8"/>
        <v>53074.274581756647</v>
      </c>
      <c r="V27" s="68">
        <f t="shared" si="9"/>
        <v>30836.156323796724</v>
      </c>
      <c r="W27" s="68">
        <f t="shared" si="10"/>
        <v>91349.861921859308</v>
      </c>
      <c r="X27" s="69">
        <f t="shared" si="11"/>
        <v>0.4261825492648314</v>
      </c>
      <c r="Y27" s="69">
        <f t="shared" si="12"/>
        <v>0.4261825492648314</v>
      </c>
      <c r="Z27" s="70">
        <f t="shared" si="13"/>
        <v>9.0876530941287168</v>
      </c>
      <c r="AA27" s="71">
        <f t="shared" si="14"/>
        <v>10.819137587626603</v>
      </c>
      <c r="AB27" s="70">
        <f t="shared" si="15"/>
        <v>10.524446289971486</v>
      </c>
      <c r="AC27" s="368" t="str">
        <f t="shared" si="16"/>
        <v>15</v>
      </c>
      <c r="AD27" s="81">
        <f t="shared" si="17"/>
        <v>10.304766881168566</v>
      </c>
      <c r="AE27" s="82">
        <f t="shared" si="18"/>
        <v>11.333508294084639</v>
      </c>
      <c r="AF27" s="361">
        <f t="shared" si="19"/>
        <v>11.038816996429523</v>
      </c>
    </row>
    <row r="28" spans="1:32" s="6" customFormat="1" ht="12.75" customHeight="1">
      <c r="A28" s="119">
        <v>2011</v>
      </c>
      <c r="B28" s="980">
        <f t="shared" si="0"/>
        <v>2016</v>
      </c>
      <c r="C28" s="64">
        <f>VLOOKUP($A28,FBrood!$A$8:$M$50,4)</f>
        <v>8.7741506509157503</v>
      </c>
      <c r="D28" s="64">
        <f>VLOOKUP($A28,FBrood!$A$8:$M$50,8)</f>
        <v>9.8062026003423828</v>
      </c>
      <c r="E28" s="6">
        <v>17</v>
      </c>
      <c r="F28" s="6">
        <v>15</v>
      </c>
      <c r="G28" s="124">
        <v>4.92712567280069</v>
      </c>
      <c r="H28" s="124">
        <v>0.64979204697002446</v>
      </c>
      <c r="I28" s="124">
        <v>0.31605093947567103</v>
      </c>
      <c r="J28" s="124">
        <v>10.489493881736342</v>
      </c>
      <c r="K28" s="124">
        <v>0.37343782035245343</v>
      </c>
      <c r="L28" s="124">
        <v>0.21984802365340245</v>
      </c>
      <c r="M28" s="124">
        <v>0.13823125828683561</v>
      </c>
      <c r="N28" s="354">
        <f t="shared" si="1"/>
        <v>-0.68329128139395934</v>
      </c>
      <c r="O28" s="65">
        <f t="shared" si="2"/>
        <v>0.46688697522899891</v>
      </c>
      <c r="P28" s="355">
        <f t="shared" si="3"/>
        <v>10.489493881736342</v>
      </c>
      <c r="Q28" s="25">
        <f t="shared" si="4"/>
        <v>9.94648945014257</v>
      </c>
      <c r="R28" s="25">
        <f t="shared" si="5"/>
        <v>11.032498313330114</v>
      </c>
      <c r="S28" s="67">
        <f t="shared" si="6"/>
        <v>-17790.016275589976</v>
      </c>
      <c r="T28" s="25">
        <f t="shared" si="7"/>
        <v>316484679.08575624</v>
      </c>
      <c r="U28" s="1037">
        <f t="shared" si="8"/>
        <v>35935.964933602634</v>
      </c>
      <c r="V28" s="68">
        <f t="shared" si="9"/>
        <v>20878.797516715327</v>
      </c>
      <c r="W28" s="68">
        <f t="shared" si="10"/>
        <v>61851.913390857058</v>
      </c>
      <c r="X28" s="69">
        <f t="shared" si="11"/>
        <v>0.98038502207127576</v>
      </c>
      <c r="Y28" s="69">
        <f t="shared" si="12"/>
        <v>0.98038502207127576</v>
      </c>
      <c r="Z28" s="70">
        <f t="shared" si="13"/>
        <v>8.7741506509157503</v>
      </c>
      <c r="AA28" s="71">
        <f t="shared" si="14"/>
        <v>10.595789368901592</v>
      </c>
      <c r="AB28" s="70">
        <f t="shared" si="15"/>
        <v>9.8062026003423828</v>
      </c>
      <c r="AC28" s="368" t="str">
        <f t="shared" si="16"/>
        <v>16</v>
      </c>
      <c r="AD28" s="81">
        <f t="shared" si="17"/>
        <v>10.081418662443555</v>
      </c>
      <c r="AE28" s="82">
        <f t="shared" si="18"/>
        <v>11.110160075359628</v>
      </c>
      <c r="AF28" s="361">
        <f t="shared" si="19"/>
        <v>10.320573306800419</v>
      </c>
    </row>
    <row r="29" spans="1:32" s="6" customFormat="1" ht="12.75" customHeight="1">
      <c r="A29" s="119"/>
      <c r="B29" s="978"/>
      <c r="C29" s="537"/>
      <c r="D29" s="537"/>
      <c r="G29" s="124"/>
      <c r="H29" s="124"/>
      <c r="I29" s="124"/>
      <c r="J29" s="124"/>
      <c r="K29" s="124"/>
      <c r="L29" s="124"/>
      <c r="M29" s="124"/>
      <c r="N29" s="352"/>
      <c r="O29" s="65"/>
      <c r="P29" s="25"/>
      <c r="Q29" s="66"/>
      <c r="R29" s="25"/>
      <c r="S29" s="357"/>
      <c r="T29" s="356"/>
      <c r="U29" s="357"/>
      <c r="V29" s="356"/>
      <c r="W29" s="358"/>
      <c r="X29" s="358"/>
      <c r="Y29" s="359"/>
      <c r="Z29" s="359"/>
      <c r="AA29" s="360"/>
      <c r="AB29" s="362"/>
      <c r="AC29" s="369"/>
      <c r="AD29" s="356"/>
      <c r="AE29" s="363"/>
      <c r="AF29" s="363"/>
    </row>
    <row r="30" spans="1:32" s="6" customFormat="1" ht="12.75" customHeight="1">
      <c r="A30" s="521">
        <v>2012</v>
      </c>
      <c r="B30" s="980">
        <f t="shared" ref="B30" si="20">A30+$H$4</f>
        <v>2017</v>
      </c>
      <c r="C30" s="537">
        <f>VLOOKUP($A30,FBrood!$A$8:$M$50,4)</f>
        <v>8.3258066626308604</v>
      </c>
      <c r="D30" s="537"/>
      <c r="E30" s="6">
        <v>18</v>
      </c>
      <c r="F30" s="6">
        <v>16</v>
      </c>
      <c r="G30" s="124">
        <v>4.3448303695942583</v>
      </c>
      <c r="H30" s="124">
        <v>0.71242895728658662</v>
      </c>
      <c r="I30" s="124">
        <v>0.33429895339019233</v>
      </c>
      <c r="J30" s="124">
        <v>9.9590378559115944</v>
      </c>
      <c r="K30" s="124">
        <v>0.39750234869509243</v>
      </c>
      <c r="L30" s="124">
        <v>0.22109447689394449</v>
      </c>
      <c r="M30" s="124">
        <v>0.16430883132216201</v>
      </c>
      <c r="N30" s="354">
        <f>D30-J30</f>
        <v>-9.9590378559115944</v>
      </c>
      <c r="O30" s="65">
        <f>N30^2</f>
        <v>99.182435015480209</v>
      </c>
      <c r="P30" s="355">
        <f>J30</f>
        <v>9.9590378559115944</v>
      </c>
      <c r="Q30" s="25">
        <f>$P30-SQRT($O$33)*$Q$33</f>
        <v>9.4160334243178223</v>
      </c>
      <c r="R30" s="25">
        <f>$P30+SQRT($O$33)*$Q$33</f>
        <v>10.502042287505367</v>
      </c>
      <c r="S30" s="67">
        <f>EXP(D30)-U30</f>
        <v>-21141.443850990487</v>
      </c>
      <c r="T30" s="370">
        <f>S30^2</f>
        <v>446960648.10458344</v>
      </c>
      <c r="U30" s="364">
        <f>EXP(P30)</f>
        <v>21142.443850990487</v>
      </c>
      <c r="V30" s="365">
        <f>EXP(Q30)</f>
        <v>12283.760989553581</v>
      </c>
      <c r="W30" s="365">
        <f>EXP(R30)</f>
        <v>36389.745158052814</v>
      </c>
      <c r="X30" s="69">
        <f>(+U30-EXP(D30))/(EXP(D30))</f>
        <v>21141.443850990487</v>
      </c>
      <c r="Y30" s="69">
        <f>ABS(X30)</f>
        <v>21141.443850990487</v>
      </c>
      <c r="Z30" s="339">
        <f>C30</f>
        <v>8.3258066626308604</v>
      </c>
      <c r="AA30" s="71">
        <f>(+$G$30+$H$30*C30)</f>
        <v>10.276376128822077</v>
      </c>
      <c r="AB30" s="82">
        <f>D30</f>
        <v>0</v>
      </c>
      <c r="AC30" s="368" t="str">
        <f>RIGHT(B30,2)</f>
        <v>17</v>
      </c>
      <c r="AD30" s="81">
        <f>AA30-SQRT($O$32)*$Q$32</f>
        <v>9.7620054223640409</v>
      </c>
      <c r="AE30" s="82">
        <f>AA30+SQRT($O$33)*$Q$33</f>
        <v>10.81938056041585</v>
      </c>
      <c r="AF30" s="361"/>
    </row>
    <row r="31" spans="1:32" s="6" customFormat="1" ht="12.75" customHeight="1">
      <c r="A31" s="126"/>
      <c r="B31" s="127"/>
      <c r="C31" s="128"/>
      <c r="D31" s="127"/>
      <c r="E31" s="127"/>
      <c r="F31" s="127"/>
      <c r="G31" s="127"/>
      <c r="H31" s="127"/>
      <c r="I31" s="127"/>
      <c r="J31" s="127"/>
      <c r="K31" s="127"/>
      <c r="L31" s="127"/>
      <c r="M31" s="129"/>
      <c r="N31" s="128"/>
      <c r="O31" s="127"/>
      <c r="P31" s="127"/>
      <c r="Q31" s="127"/>
      <c r="R31" s="127"/>
      <c r="S31" s="127"/>
      <c r="T31" s="127"/>
      <c r="U31" s="127"/>
      <c r="V31" s="127"/>
      <c r="W31" s="127"/>
      <c r="X31" s="130"/>
      <c r="Y31" s="130"/>
      <c r="Z31" s="110"/>
      <c r="AA31" s="130"/>
      <c r="AB31" s="130"/>
      <c r="AC31" s="130"/>
      <c r="AD31" s="127"/>
      <c r="AE31" s="130"/>
    </row>
    <row r="32" spans="1:32" s="6" customFormat="1" ht="12.75" customHeight="1">
      <c r="A32" s="131"/>
      <c r="C32" s="132"/>
      <c r="E32" s="95" t="s">
        <v>103</v>
      </c>
      <c r="F32" s="6">
        <f>F28</f>
        <v>15</v>
      </c>
      <c r="M32" s="133" t="s">
        <v>104</v>
      </c>
      <c r="N32" s="132"/>
      <c r="O32" s="65">
        <f>AVERAGE(INDEX(O$11:O$28,COUNT(O$11:O$28)-1,0):INDEX(O$11:O$28,(COUNT(O$11:O$28)-(COUNT(O$11:O$28)-1)),0))</f>
        <v>0.14624743939209797</v>
      </c>
      <c r="P32" s="95" t="s">
        <v>105</v>
      </c>
      <c r="Q32" s="995">
        <f>_xlfn.T.INV.2T(0.2,F32-1)</f>
        <v>1.3450303744546506</v>
      </c>
      <c r="X32" s="134"/>
      <c r="Y32" s="94"/>
      <c r="Z32" s="131"/>
    </row>
    <row r="33" spans="1:28" s="6" customFormat="1" ht="12.75" customHeight="1">
      <c r="A33" s="131"/>
      <c r="E33" s="95" t="s">
        <v>103</v>
      </c>
      <c r="F33" s="6">
        <f>F30</f>
        <v>16</v>
      </c>
      <c r="M33" s="133" t="s">
        <v>106</v>
      </c>
      <c r="N33" s="132"/>
      <c r="O33" s="65">
        <f>AVERAGEA(O11:O29)</f>
        <v>0.16406074693859249</v>
      </c>
      <c r="P33" s="95" t="s">
        <v>105</v>
      </c>
      <c r="Q33" s="995">
        <f>_xlfn.T.INV.2T(0.2,F33-1)</f>
        <v>1.3406056078504547</v>
      </c>
      <c r="S33" s="95" t="s">
        <v>107</v>
      </c>
      <c r="T33" s="33">
        <f>AVERAGE(T11:T29)</f>
        <v>229209383.40006801</v>
      </c>
      <c r="W33" s="95" t="s">
        <v>256</v>
      </c>
      <c r="X33" s="498">
        <f>AVERAGE(X11:X29)</f>
        <v>9.5536950370150697E-2</v>
      </c>
      <c r="Y33" s="498">
        <f>AVERAGE(Y11:Y29)</f>
        <v>0.34152480667880353</v>
      </c>
      <c r="Z33" s="131"/>
    </row>
    <row r="34" spans="1:28" s="6" customFormat="1" ht="12.75" customHeight="1">
      <c r="A34" s="127"/>
      <c r="B34" s="127"/>
      <c r="C34" s="127"/>
      <c r="D34" s="127"/>
      <c r="E34" s="127"/>
      <c r="F34" s="127"/>
      <c r="G34" s="127"/>
      <c r="H34" s="127"/>
      <c r="I34" s="127"/>
      <c r="J34" s="127"/>
      <c r="K34" s="127"/>
      <c r="L34" s="127"/>
      <c r="M34" s="129"/>
      <c r="N34" s="128"/>
      <c r="O34" s="127"/>
      <c r="P34" s="127"/>
      <c r="Q34" s="127"/>
      <c r="R34" s="127"/>
      <c r="S34" s="127"/>
      <c r="T34" s="127"/>
      <c r="U34" s="127"/>
      <c r="V34" s="127"/>
      <c r="W34" s="127"/>
      <c r="X34" s="130"/>
      <c r="Y34" s="94"/>
    </row>
    <row r="35" spans="1:28" s="6" customFormat="1" ht="12.75" customHeight="1">
      <c r="M35" s="135"/>
      <c r="N35" s="132"/>
      <c r="P35" s="594">
        <f>EXP(P30)</f>
        <v>21142.443850990487</v>
      </c>
      <c r="Q35" s="594">
        <f>EXP(Q30)</f>
        <v>12283.760989553581</v>
      </c>
      <c r="R35" s="594">
        <f>EXP(R30)</f>
        <v>36389.745158052814</v>
      </c>
      <c r="W35" s="607"/>
      <c r="X35" s="607"/>
      <c r="Y35" s="607"/>
    </row>
    <row r="36" spans="1:28" s="6" customFormat="1" ht="12.75" customHeight="1">
      <c r="G36" s="95"/>
      <c r="H36" s="95"/>
      <c r="I36" s="95"/>
      <c r="J36" s="95"/>
      <c r="K36" s="95"/>
      <c r="M36" s="23"/>
      <c r="N36" s="23"/>
      <c r="O36" s="23"/>
      <c r="P36" s="23"/>
      <c r="Q36" s="23"/>
      <c r="R36" s="23"/>
      <c r="S36" s="23"/>
      <c r="T36" s="23"/>
      <c r="U36" s="23"/>
      <c r="V36" s="94"/>
      <c r="W36" s="608"/>
      <c r="X36" s="609"/>
      <c r="Y36" s="609">
        <f>STDEV(Y11:Y26)</f>
        <v>0.36093195575596315</v>
      </c>
      <c r="Z36" s="94"/>
      <c r="AA36" s="94"/>
      <c r="AB36" s="94"/>
    </row>
    <row r="37" spans="1:28" s="6" customFormat="1" ht="12.75" customHeight="1">
      <c r="G37" s="95"/>
      <c r="H37" s="95"/>
      <c r="I37" s="95"/>
      <c r="J37" s="95"/>
      <c r="K37" s="318"/>
      <c r="M37" s="23"/>
      <c r="N37" s="23"/>
      <c r="O37" s="23"/>
      <c r="P37" s="23"/>
      <c r="Q37" s="23"/>
      <c r="R37" s="23"/>
      <c r="S37" s="23"/>
      <c r="T37" s="23"/>
      <c r="U37" s="23"/>
      <c r="V37" s="94"/>
      <c r="W37" s="343"/>
      <c r="X37" s="343"/>
      <c r="Y37" s="343"/>
      <c r="Z37" s="94"/>
      <c r="AA37" s="94"/>
      <c r="AB37" s="94"/>
    </row>
    <row r="38" spans="1:28" s="6" customFormat="1" ht="12.75" customHeight="1">
      <c r="G38" s="95"/>
      <c r="H38" s="95"/>
      <c r="I38" s="95"/>
      <c r="J38" s="95"/>
      <c r="K38" s="318"/>
      <c r="M38" s="606"/>
      <c r="N38" s="606"/>
      <c r="O38" s="23"/>
      <c r="P38" s="23"/>
      <c r="Q38" s="23"/>
      <c r="R38" s="23"/>
      <c r="S38" s="23"/>
      <c r="T38" s="23"/>
      <c r="U38" s="23"/>
      <c r="V38" s="94"/>
      <c r="W38" s="608"/>
      <c r="X38" s="343"/>
      <c r="Y38" s="609"/>
      <c r="Z38" s="94"/>
      <c r="AA38" s="94"/>
      <c r="AB38" s="94"/>
    </row>
    <row r="39" spans="1:28" s="6" customFormat="1" ht="12.75" customHeight="1">
      <c r="G39" s="95"/>
      <c r="H39" s="95"/>
      <c r="I39" s="95"/>
      <c r="J39" s="95"/>
      <c r="K39" s="95"/>
      <c r="M39" s="19"/>
      <c r="N39" s="19"/>
      <c r="O39" s="23"/>
      <c r="P39" s="23"/>
      <c r="Q39" s="23"/>
      <c r="R39" s="23"/>
      <c r="S39" s="23"/>
      <c r="T39" s="23"/>
      <c r="U39" s="23"/>
      <c r="V39" s="94"/>
      <c r="W39" s="94"/>
      <c r="X39" s="94"/>
      <c r="Y39" s="94"/>
      <c r="Z39" s="94"/>
      <c r="AA39" s="94"/>
      <c r="AB39" s="94"/>
    </row>
    <row r="40" spans="1:28" s="6" customFormat="1" ht="12.75" customHeight="1">
      <c r="G40" s="95"/>
      <c r="H40" s="95"/>
      <c r="I40" s="95"/>
      <c r="J40" s="95"/>
      <c r="K40" s="95"/>
      <c r="M40" s="19"/>
      <c r="N40" s="19"/>
      <c r="O40" s="23"/>
      <c r="P40" s="23"/>
      <c r="Q40" s="23"/>
      <c r="R40" s="23"/>
      <c r="S40" s="23"/>
      <c r="T40" s="23"/>
      <c r="U40" s="23"/>
      <c r="V40" s="94"/>
      <c r="W40" s="94"/>
      <c r="X40" s="94"/>
      <c r="Y40" s="94"/>
      <c r="Z40" s="94"/>
      <c r="AA40" s="94"/>
      <c r="AB40" s="94"/>
    </row>
    <row r="41" spans="1:28" s="6" customFormat="1" ht="12.75" customHeight="1">
      <c r="G41" s="95"/>
      <c r="H41" s="95"/>
      <c r="I41" s="95"/>
      <c r="J41" s="95"/>
      <c r="K41" s="95"/>
      <c r="M41" s="19"/>
      <c r="N41" s="19"/>
      <c r="O41" s="23"/>
      <c r="P41" s="23"/>
      <c r="Q41" s="23"/>
      <c r="R41" s="23"/>
      <c r="S41" s="23"/>
      <c r="T41" s="23"/>
      <c r="U41" s="23"/>
      <c r="V41" s="94"/>
      <c r="W41" s="94"/>
      <c r="X41" s="94"/>
      <c r="Y41" s="94"/>
      <c r="Z41" s="94"/>
      <c r="AA41" s="94"/>
      <c r="AB41" s="94"/>
    </row>
    <row r="42" spans="1:28" s="6" customFormat="1" ht="12.75" customHeight="1">
      <c r="G42" s="95"/>
      <c r="H42" s="95"/>
      <c r="I42" s="95"/>
      <c r="J42" s="95"/>
      <c r="K42" s="95"/>
      <c r="M42" s="19"/>
      <c r="N42" s="19"/>
      <c r="O42" s="23"/>
      <c r="P42" s="23"/>
      <c r="Q42" s="23"/>
      <c r="R42" s="23"/>
      <c r="S42" s="23"/>
      <c r="T42" s="23"/>
      <c r="U42" s="23"/>
      <c r="V42" s="94"/>
      <c r="W42" s="94"/>
      <c r="X42" s="94"/>
      <c r="Y42" s="94"/>
      <c r="Z42" s="94"/>
      <c r="AA42" s="94"/>
      <c r="AB42" s="94"/>
    </row>
    <row r="43" spans="1:28" s="6" customFormat="1" ht="12.75" customHeight="1">
      <c r="G43" s="95"/>
      <c r="H43" s="321"/>
      <c r="I43" s="95"/>
      <c r="J43" s="95"/>
      <c r="K43" s="95"/>
      <c r="M43" s="19"/>
      <c r="N43" s="19"/>
      <c r="O43" s="23"/>
      <c r="P43" s="23"/>
      <c r="Q43" s="23"/>
      <c r="R43" s="23"/>
      <c r="S43" s="23"/>
      <c r="T43" s="23"/>
      <c r="U43" s="23"/>
      <c r="V43" s="94"/>
      <c r="W43" s="94"/>
      <c r="X43" s="94"/>
      <c r="Y43" s="94"/>
      <c r="Z43" s="94"/>
      <c r="AA43" s="94"/>
      <c r="AB43" s="94"/>
    </row>
    <row r="44" spans="1:28" s="6" customFormat="1" ht="12.75" customHeight="1">
      <c r="M44" s="23"/>
      <c r="N44" s="23"/>
      <c r="O44" s="23"/>
      <c r="P44" s="23"/>
      <c r="Q44" s="23"/>
      <c r="R44" s="23"/>
      <c r="S44" s="23"/>
      <c r="T44" s="23"/>
      <c r="U44" s="23"/>
      <c r="V44" s="94"/>
      <c r="W44" s="94"/>
      <c r="X44" s="94"/>
      <c r="Y44" s="94"/>
      <c r="Z44" s="94"/>
      <c r="AA44" s="94"/>
      <c r="AB44" s="94"/>
    </row>
    <row r="45" spans="1:28" s="6" customFormat="1" ht="12.75" customHeight="1">
      <c r="G45" s="95"/>
      <c r="H45" s="95"/>
      <c r="I45" s="95"/>
      <c r="J45" s="95"/>
      <c r="K45" s="95"/>
      <c r="M45" s="23"/>
      <c r="N45" s="23"/>
      <c r="O45" s="23"/>
      <c r="P45" s="23"/>
      <c r="Q45" s="23"/>
      <c r="R45" s="23"/>
      <c r="S45" s="23"/>
      <c r="T45" s="23"/>
      <c r="U45" s="23"/>
      <c r="V45" s="94"/>
      <c r="W45" s="94"/>
      <c r="X45" s="94"/>
      <c r="Y45" s="94"/>
      <c r="Z45" s="94"/>
      <c r="AA45" s="94"/>
      <c r="AB45" s="94"/>
    </row>
    <row r="46" spans="1:28" s="6" customFormat="1" ht="12.75" customHeight="1">
      <c r="G46" s="95"/>
      <c r="H46" s="95"/>
      <c r="I46" s="95"/>
      <c r="J46" s="95"/>
      <c r="K46" s="95"/>
      <c r="M46" s="313"/>
      <c r="N46" s="313"/>
      <c r="O46" s="313"/>
      <c r="P46" s="313"/>
      <c r="Q46" s="313"/>
      <c r="R46" s="313"/>
      <c r="S46" s="23"/>
      <c r="T46" s="23"/>
      <c r="U46" s="23"/>
      <c r="V46" s="94"/>
      <c r="W46" s="94"/>
      <c r="X46" s="94"/>
      <c r="Y46" s="94"/>
      <c r="Z46" s="94"/>
      <c r="AA46" s="94"/>
      <c r="AB46" s="94"/>
    </row>
    <row r="47" spans="1:28" s="6" customFormat="1" ht="12.75" customHeight="1">
      <c r="G47" s="95"/>
      <c r="H47" s="95"/>
      <c r="I47" s="95"/>
      <c r="J47" s="95"/>
      <c r="K47" s="95"/>
      <c r="M47" s="19"/>
      <c r="N47" s="19"/>
      <c r="O47" s="19"/>
      <c r="P47" s="19"/>
      <c r="Q47" s="19"/>
      <c r="R47" s="374"/>
      <c r="S47" s="23"/>
      <c r="T47" s="23"/>
      <c r="U47" s="23"/>
      <c r="V47" s="94"/>
      <c r="W47" s="94"/>
      <c r="X47" s="94"/>
      <c r="Y47" s="94"/>
      <c r="Z47" s="94"/>
      <c r="AA47" s="94"/>
      <c r="AB47" s="94"/>
    </row>
    <row r="48" spans="1:28" s="6" customFormat="1" ht="12.75" customHeight="1">
      <c r="G48" s="95"/>
      <c r="H48" s="95"/>
      <c r="I48" s="95"/>
      <c r="J48" s="95"/>
      <c r="K48" s="95"/>
      <c r="M48" s="19"/>
      <c r="N48" s="19"/>
      <c r="O48" s="19"/>
      <c r="P48" s="19"/>
      <c r="Q48" s="19"/>
      <c r="R48" s="19"/>
      <c r="S48" s="23"/>
      <c r="T48" s="23"/>
      <c r="U48" s="23"/>
      <c r="V48" s="94"/>
      <c r="W48" s="94"/>
      <c r="X48" s="94"/>
      <c r="Y48" s="94"/>
      <c r="Z48" s="94"/>
      <c r="AA48" s="94"/>
      <c r="AB48" s="94"/>
    </row>
    <row r="49" spans="7:28">
      <c r="G49" s="209"/>
      <c r="H49" s="209"/>
      <c r="I49" s="209"/>
      <c r="J49" s="209"/>
      <c r="K49" s="209"/>
      <c r="M49" s="19"/>
      <c r="N49" s="19"/>
      <c r="O49" s="19"/>
      <c r="P49" s="19"/>
      <c r="Q49" s="19"/>
      <c r="R49" s="19"/>
      <c r="S49" s="23"/>
      <c r="T49" s="23"/>
      <c r="U49" s="23"/>
      <c r="V49" s="23"/>
      <c r="W49" s="23"/>
      <c r="X49" s="23"/>
      <c r="Y49" s="23"/>
      <c r="Z49" s="23"/>
      <c r="AA49" s="23"/>
      <c r="AB49" s="23"/>
    </row>
    <row r="50" spans="7:28">
      <c r="G50" s="209"/>
      <c r="H50" s="209"/>
      <c r="I50" s="209"/>
      <c r="J50" s="209"/>
      <c r="K50" s="209"/>
      <c r="M50" s="23"/>
      <c r="N50" s="23"/>
      <c r="O50" s="23"/>
      <c r="P50" s="23"/>
      <c r="Q50" s="23"/>
      <c r="R50" s="23"/>
      <c r="S50" s="23"/>
      <c r="T50" s="23"/>
      <c r="U50" s="23"/>
      <c r="V50" s="23"/>
      <c r="W50" s="23"/>
      <c r="X50" s="23"/>
      <c r="Y50" s="23"/>
      <c r="Z50" s="23"/>
      <c r="AA50" s="23"/>
      <c r="AB50" s="23"/>
    </row>
    <row r="51" spans="7:28">
      <c r="G51" s="209"/>
      <c r="H51" s="209"/>
      <c r="I51" s="209"/>
      <c r="J51" s="209"/>
      <c r="K51" s="209"/>
      <c r="M51" s="313"/>
      <c r="N51" s="313"/>
      <c r="O51" s="313"/>
      <c r="P51" s="313"/>
      <c r="Q51" s="313"/>
      <c r="R51" s="313"/>
      <c r="S51" s="313"/>
      <c r="T51" s="313"/>
      <c r="U51" s="313"/>
      <c r="V51" s="23"/>
      <c r="W51" s="23"/>
      <c r="X51" s="23"/>
      <c r="Y51" s="23"/>
      <c r="Z51" s="23"/>
      <c r="AA51" s="23"/>
      <c r="AB51" s="23"/>
    </row>
    <row r="52" spans="7:28">
      <c r="G52" s="209"/>
      <c r="H52" s="209"/>
      <c r="I52" s="209"/>
      <c r="J52" s="209"/>
      <c r="K52" s="209"/>
      <c r="M52" s="19"/>
      <c r="N52" s="19"/>
      <c r="O52" s="19"/>
      <c r="P52" s="19"/>
      <c r="Q52" s="19"/>
      <c r="R52" s="19"/>
      <c r="S52" s="19"/>
      <c r="T52" s="19"/>
      <c r="U52" s="19"/>
      <c r="V52" s="23"/>
      <c r="W52" s="23"/>
      <c r="X52" s="23"/>
      <c r="Y52" s="23"/>
      <c r="Z52" s="23"/>
      <c r="AA52" s="23"/>
      <c r="AB52" s="23"/>
    </row>
    <row r="53" spans="7:28">
      <c r="M53" s="19"/>
      <c r="N53" s="19"/>
      <c r="O53" s="19"/>
      <c r="P53" s="19"/>
      <c r="Q53" s="19"/>
      <c r="R53" s="19"/>
      <c r="S53" s="19"/>
      <c r="T53" s="19"/>
      <c r="U53" s="19"/>
      <c r="V53" s="23"/>
      <c r="W53" s="23"/>
      <c r="X53" s="23"/>
      <c r="Y53" s="23"/>
      <c r="Z53" s="23"/>
      <c r="AA53" s="23"/>
      <c r="AB53" s="23"/>
    </row>
    <row r="54" spans="7:28">
      <c r="M54" s="23"/>
      <c r="N54" s="23"/>
      <c r="O54" s="23"/>
      <c r="P54" s="23"/>
      <c r="Q54" s="23"/>
      <c r="R54" s="23"/>
      <c r="S54" s="23"/>
      <c r="T54" s="23"/>
      <c r="U54" s="23"/>
      <c r="V54" s="23"/>
      <c r="W54" s="23"/>
      <c r="X54" s="23"/>
      <c r="Y54" s="23"/>
      <c r="Z54" s="23"/>
      <c r="AA54" s="23"/>
      <c r="AB54" s="23"/>
    </row>
    <row r="55" spans="7:28">
      <c r="M55" s="23"/>
      <c r="N55" s="23"/>
      <c r="O55" s="23"/>
      <c r="P55" s="23"/>
      <c r="Q55" s="23"/>
      <c r="R55" s="23"/>
      <c r="S55" s="23"/>
      <c r="T55" s="23"/>
      <c r="U55" s="23"/>
      <c r="V55" s="23"/>
      <c r="W55" s="23"/>
      <c r="X55" s="23"/>
      <c r="Y55" s="23"/>
      <c r="Z55" s="23"/>
      <c r="AA55" s="23"/>
      <c r="AB55" s="23"/>
    </row>
    <row r="56" spans="7:28">
      <c r="M56" s="23"/>
      <c r="N56" s="23"/>
      <c r="O56" s="23"/>
      <c r="P56" s="23"/>
      <c r="Q56" s="23"/>
      <c r="R56" s="23"/>
      <c r="S56" s="23"/>
      <c r="T56" s="23"/>
      <c r="U56" s="23"/>
      <c r="V56" s="23"/>
      <c r="W56" s="23"/>
      <c r="X56" s="23"/>
      <c r="Y56" s="23"/>
      <c r="Z56" s="23"/>
      <c r="AA56" s="23"/>
      <c r="AB56" s="23"/>
    </row>
    <row r="57" spans="7:28">
      <c r="M57" s="23"/>
      <c r="N57" s="23"/>
      <c r="O57" s="23"/>
      <c r="P57" s="23"/>
      <c r="Q57" s="23"/>
      <c r="R57" s="23"/>
      <c r="S57" s="23"/>
      <c r="T57" s="23"/>
      <c r="U57" s="23"/>
      <c r="V57" s="23"/>
      <c r="W57" s="23"/>
      <c r="X57" s="23"/>
      <c r="Y57" s="23"/>
      <c r="Z57" s="23"/>
      <c r="AA57" s="23"/>
      <c r="AB57" s="23"/>
    </row>
    <row r="58" spans="7:28">
      <c r="M58" s="23"/>
      <c r="N58" s="23"/>
      <c r="O58" s="23"/>
      <c r="P58" s="23"/>
      <c r="Q58" s="23"/>
      <c r="R58" s="23"/>
      <c r="S58" s="23"/>
      <c r="T58" s="23"/>
      <c r="U58" s="23"/>
      <c r="V58" s="23"/>
      <c r="W58" s="23"/>
      <c r="X58" s="23"/>
      <c r="Y58" s="23"/>
      <c r="Z58" s="23"/>
      <c r="AA58" s="23"/>
      <c r="AB58" s="23"/>
    </row>
    <row r="59" spans="7:28">
      <c r="M59" s="606"/>
      <c r="N59" s="606"/>
      <c r="O59" s="23"/>
      <c r="P59" s="23"/>
      <c r="Q59" s="23"/>
      <c r="R59" s="23"/>
      <c r="S59" s="23"/>
      <c r="T59" s="23"/>
      <c r="U59" s="23"/>
      <c r="V59" s="23"/>
      <c r="W59" s="23"/>
      <c r="X59" s="23"/>
      <c r="Y59" s="23"/>
      <c r="Z59" s="23"/>
      <c r="AA59" s="23"/>
      <c r="AB59" s="23"/>
    </row>
    <row r="60" spans="7:28">
      <c r="M60" s="19"/>
      <c r="N60" s="19"/>
      <c r="O60" s="23"/>
      <c r="P60" s="23"/>
      <c r="Q60" s="23"/>
      <c r="R60" s="23"/>
      <c r="S60" s="23"/>
      <c r="T60" s="23"/>
      <c r="U60" s="23"/>
      <c r="V60" s="23"/>
      <c r="W60" s="23"/>
      <c r="X60" s="23"/>
      <c r="Y60" s="23"/>
      <c r="Z60" s="23"/>
      <c r="AA60" s="23"/>
      <c r="AB60" s="23"/>
    </row>
    <row r="61" spans="7:28">
      <c r="M61" s="19"/>
      <c r="N61" s="19"/>
      <c r="O61" s="23"/>
      <c r="P61" s="23"/>
      <c r="Q61" s="23"/>
      <c r="R61" s="23"/>
      <c r="S61" s="23"/>
      <c r="T61" s="23"/>
      <c r="U61" s="23"/>
      <c r="V61" s="23"/>
      <c r="W61" s="23"/>
      <c r="X61" s="23"/>
      <c r="Y61" s="23"/>
      <c r="Z61" s="23"/>
      <c r="AA61" s="23"/>
      <c r="AB61" s="23"/>
    </row>
    <row r="62" spans="7:28">
      <c r="M62" s="19"/>
      <c r="N62" s="19"/>
      <c r="O62" s="23"/>
      <c r="P62" s="23"/>
      <c r="Q62" s="23"/>
      <c r="R62" s="23"/>
      <c r="S62" s="23"/>
      <c r="T62" s="23"/>
      <c r="U62" s="23"/>
      <c r="V62" s="23"/>
      <c r="W62" s="23"/>
      <c r="X62" s="23"/>
      <c r="Y62" s="23"/>
      <c r="Z62" s="23"/>
      <c r="AA62" s="23"/>
      <c r="AB62" s="23"/>
    </row>
    <row r="63" spans="7:28">
      <c r="M63" s="19"/>
      <c r="N63" s="19"/>
      <c r="O63" s="23"/>
      <c r="P63" s="23"/>
      <c r="Q63" s="23"/>
      <c r="R63" s="23"/>
      <c r="S63" s="23"/>
      <c r="T63" s="23"/>
      <c r="U63" s="23"/>
      <c r="V63" s="23"/>
      <c r="W63" s="23"/>
      <c r="X63" s="23"/>
      <c r="Y63" s="23"/>
      <c r="Z63" s="23"/>
      <c r="AA63" s="23"/>
      <c r="AB63" s="23"/>
    </row>
    <row r="64" spans="7:28">
      <c r="M64" s="19"/>
      <c r="N64" s="19"/>
      <c r="O64" s="23"/>
      <c r="P64" s="23"/>
      <c r="Q64" s="23"/>
      <c r="R64" s="23"/>
      <c r="S64" s="23"/>
      <c r="T64" s="23"/>
      <c r="U64" s="23"/>
      <c r="V64" s="23"/>
      <c r="W64" s="23"/>
      <c r="X64" s="23"/>
      <c r="Y64" s="23"/>
      <c r="Z64" s="23"/>
      <c r="AA64" s="23"/>
      <c r="AB64" s="23"/>
    </row>
    <row r="65" spans="13:28">
      <c r="M65" s="23"/>
      <c r="N65" s="23"/>
      <c r="O65" s="23"/>
      <c r="P65" s="23"/>
      <c r="Q65" s="23"/>
      <c r="R65" s="23"/>
      <c r="S65" s="23"/>
      <c r="T65" s="23"/>
      <c r="U65" s="23"/>
      <c r="V65" s="23"/>
      <c r="W65" s="23"/>
      <c r="X65" s="23"/>
      <c r="Y65" s="23"/>
      <c r="Z65" s="23"/>
      <c r="AA65" s="23"/>
      <c r="AB65" s="23"/>
    </row>
    <row r="66" spans="13:28">
      <c r="M66" s="23"/>
      <c r="N66" s="23"/>
      <c r="O66" s="23"/>
      <c r="P66" s="23"/>
      <c r="Q66" s="23"/>
      <c r="R66" s="23"/>
      <c r="S66" s="23"/>
      <c r="T66" s="23"/>
      <c r="U66" s="23"/>
      <c r="V66" s="23"/>
      <c r="W66" s="23"/>
      <c r="X66" s="23"/>
      <c r="Y66" s="23"/>
      <c r="Z66" s="23"/>
      <c r="AA66" s="23"/>
      <c r="AB66" s="23"/>
    </row>
    <row r="67" spans="13:28">
      <c r="M67" s="313"/>
      <c r="N67" s="313"/>
      <c r="O67" s="313"/>
      <c r="P67" s="313"/>
      <c r="Q67" s="313"/>
      <c r="R67" s="313"/>
      <c r="S67" s="23"/>
      <c r="T67" s="23"/>
      <c r="U67" s="23"/>
      <c r="V67" s="23"/>
      <c r="W67" s="23"/>
      <c r="X67" s="23"/>
      <c r="Y67" s="23"/>
      <c r="Z67" s="23"/>
      <c r="AA67" s="23"/>
      <c r="AB67" s="23"/>
    </row>
    <row r="68" spans="13:28">
      <c r="M68" s="19"/>
      <c r="N68" s="19"/>
      <c r="O68" s="19"/>
      <c r="P68" s="19"/>
      <c r="Q68" s="19"/>
      <c r="R68" s="19"/>
      <c r="S68" s="23"/>
      <c r="T68" s="23"/>
      <c r="U68" s="23"/>
      <c r="V68" s="23"/>
      <c r="W68" s="23"/>
      <c r="X68" s="23"/>
      <c r="Y68" s="23"/>
      <c r="Z68" s="23"/>
      <c r="AA68" s="23"/>
      <c r="AB68" s="23"/>
    </row>
    <row r="69" spans="13:28">
      <c r="M69" s="19"/>
      <c r="N69" s="19"/>
      <c r="O69" s="19"/>
      <c r="P69" s="19"/>
      <c r="Q69" s="19"/>
      <c r="R69" s="19"/>
      <c r="S69" s="23"/>
      <c r="T69" s="23"/>
      <c r="U69" s="23"/>
      <c r="V69" s="23"/>
      <c r="W69" s="23"/>
      <c r="X69" s="23"/>
      <c r="Y69" s="23"/>
      <c r="Z69" s="23"/>
      <c r="AA69" s="23"/>
      <c r="AB69" s="23"/>
    </row>
    <row r="70" spans="13:28">
      <c r="M70" s="19"/>
      <c r="N70" s="19"/>
      <c r="O70" s="19"/>
      <c r="P70" s="19"/>
      <c r="Q70" s="19"/>
      <c r="R70" s="19"/>
      <c r="S70" s="23"/>
      <c r="T70" s="23"/>
      <c r="U70" s="23"/>
      <c r="V70" s="23"/>
      <c r="W70" s="23"/>
      <c r="X70" s="23"/>
      <c r="Y70" s="23"/>
      <c r="Z70" s="23"/>
      <c r="AA70" s="23"/>
      <c r="AB70" s="23"/>
    </row>
    <row r="71" spans="13:28">
      <c r="M71" s="23"/>
      <c r="N71" s="23"/>
      <c r="O71" s="23"/>
      <c r="P71" s="23"/>
      <c r="Q71" s="23"/>
      <c r="R71" s="23"/>
      <c r="S71" s="23"/>
      <c r="T71" s="23"/>
      <c r="U71" s="23"/>
      <c r="V71" s="23"/>
      <c r="W71" s="23"/>
      <c r="X71" s="23"/>
      <c r="Y71" s="23"/>
      <c r="Z71" s="23"/>
      <c r="AA71" s="23"/>
      <c r="AB71" s="23"/>
    </row>
    <row r="72" spans="13:28">
      <c r="M72" s="313"/>
      <c r="N72" s="313"/>
      <c r="O72" s="313"/>
      <c r="P72" s="313"/>
      <c r="Q72" s="313"/>
      <c r="R72" s="313"/>
      <c r="S72" s="313"/>
      <c r="T72" s="313"/>
      <c r="U72" s="313"/>
      <c r="V72" s="23"/>
      <c r="W72" s="23"/>
      <c r="X72" s="23"/>
      <c r="Y72" s="23"/>
      <c r="Z72" s="23"/>
      <c r="AA72" s="23"/>
      <c r="AB72" s="23"/>
    </row>
    <row r="73" spans="13:28">
      <c r="M73" s="19"/>
      <c r="N73" s="19"/>
      <c r="O73" s="19"/>
      <c r="P73" s="19"/>
      <c r="Q73" s="19"/>
      <c r="R73" s="19"/>
      <c r="S73" s="19"/>
      <c r="T73" s="19"/>
      <c r="U73" s="19"/>
      <c r="V73" s="23"/>
      <c r="W73" s="23"/>
      <c r="X73" s="23"/>
      <c r="Y73" s="23"/>
      <c r="Z73" s="23"/>
      <c r="AA73" s="23"/>
      <c r="AB73" s="23"/>
    </row>
    <row r="74" spans="13:28">
      <c r="M74" s="19"/>
      <c r="N74" s="19"/>
      <c r="O74" s="19"/>
      <c r="P74" s="19"/>
      <c r="Q74" s="19"/>
      <c r="R74" s="19"/>
      <c r="S74" s="19"/>
      <c r="T74" s="19"/>
      <c r="U74" s="19"/>
      <c r="V74" s="23"/>
      <c r="W74" s="23"/>
      <c r="X74" s="23"/>
      <c r="Y74" s="23"/>
      <c r="Z74" s="23"/>
      <c r="AA74" s="23"/>
      <c r="AB74" s="23"/>
    </row>
    <row r="75" spans="13:28">
      <c r="M75" s="23"/>
      <c r="N75" s="23"/>
      <c r="O75" s="23"/>
      <c r="P75" s="23"/>
      <c r="Q75" s="23"/>
      <c r="R75" s="23"/>
      <c r="S75" s="23"/>
      <c r="T75" s="23"/>
      <c r="U75" s="23"/>
      <c r="V75" s="23"/>
      <c r="W75" s="23"/>
      <c r="X75" s="23"/>
      <c r="Y75" s="23"/>
      <c r="Z75" s="23"/>
      <c r="AA75" s="23"/>
      <c r="AB75" s="23"/>
    </row>
    <row r="76" spans="13:28">
      <c r="M76" s="23"/>
      <c r="N76" s="23"/>
      <c r="O76" s="23"/>
      <c r="P76" s="23"/>
      <c r="Q76" s="23"/>
      <c r="R76" s="23"/>
      <c r="S76" s="23"/>
      <c r="T76" s="23"/>
      <c r="U76" s="23"/>
      <c r="V76" s="23"/>
      <c r="W76" s="23"/>
      <c r="X76" s="23"/>
      <c r="Y76" s="23"/>
      <c r="Z76" s="23"/>
      <c r="AA76" s="23"/>
      <c r="AB76" s="23"/>
    </row>
    <row r="77" spans="13:28">
      <c r="M77" s="23"/>
      <c r="N77" s="23"/>
      <c r="O77" s="23"/>
      <c r="P77" s="23"/>
      <c r="Q77" s="23"/>
      <c r="R77" s="23"/>
      <c r="S77" s="23"/>
      <c r="T77" s="23"/>
      <c r="U77" s="23"/>
      <c r="V77" s="23"/>
      <c r="W77" s="23"/>
      <c r="X77" s="23"/>
      <c r="Y77" s="23"/>
      <c r="Z77" s="23"/>
      <c r="AA77" s="23"/>
      <c r="AB77" s="23"/>
    </row>
    <row r="78" spans="13:28">
      <c r="M78" s="23"/>
      <c r="N78" s="23"/>
      <c r="O78" s="23"/>
      <c r="P78" s="23"/>
      <c r="Q78" s="23"/>
      <c r="R78" s="23"/>
      <c r="S78" s="23"/>
      <c r="T78" s="23"/>
      <c r="U78" s="23"/>
      <c r="V78" s="23"/>
      <c r="W78" s="23"/>
      <c r="X78" s="23"/>
      <c r="Y78" s="23"/>
      <c r="Z78" s="23"/>
      <c r="AA78" s="23"/>
      <c r="AB78" s="23"/>
    </row>
    <row r="79" spans="13:28">
      <c r="M79" s="23"/>
      <c r="N79" s="23"/>
      <c r="O79" s="23"/>
      <c r="P79" s="23"/>
      <c r="Q79" s="23"/>
      <c r="R79" s="23"/>
      <c r="S79" s="23"/>
      <c r="T79" s="23"/>
      <c r="U79" s="23"/>
      <c r="V79" s="23"/>
      <c r="W79" s="23"/>
      <c r="X79" s="23"/>
      <c r="Y79" s="23"/>
      <c r="Z79" s="23"/>
      <c r="AA79" s="23"/>
      <c r="AB79" s="23"/>
    </row>
    <row r="80" spans="13:28">
      <c r="M80" s="313"/>
      <c r="N80" s="313"/>
      <c r="O80" s="313"/>
      <c r="P80" s="23"/>
      <c r="Q80" s="23"/>
      <c r="R80" s="23"/>
      <c r="S80" s="23"/>
      <c r="T80" s="23"/>
      <c r="U80" s="23"/>
      <c r="V80" s="23"/>
      <c r="W80" s="23"/>
      <c r="X80" s="23"/>
      <c r="Y80" s="23"/>
      <c r="Z80" s="23"/>
      <c r="AA80" s="23"/>
      <c r="AB80" s="23"/>
    </row>
    <row r="81" spans="13:28">
      <c r="M81" s="19"/>
      <c r="N81" s="19"/>
      <c r="O81" s="19"/>
      <c r="P81" s="23"/>
      <c r="Q81" s="23"/>
      <c r="R81" s="23"/>
      <c r="S81" s="23"/>
      <c r="T81" s="23"/>
      <c r="U81" s="23"/>
      <c r="V81" s="23"/>
      <c r="W81" s="23"/>
      <c r="X81" s="23"/>
      <c r="Y81" s="23"/>
      <c r="Z81" s="23"/>
      <c r="AA81" s="23"/>
      <c r="AB81" s="23"/>
    </row>
    <row r="82" spans="13:28">
      <c r="M82" s="19"/>
      <c r="N82" s="19"/>
      <c r="O82" s="19"/>
      <c r="P82" s="23"/>
      <c r="Q82" s="23"/>
      <c r="R82" s="23"/>
      <c r="S82" s="23"/>
      <c r="T82" s="23"/>
      <c r="U82" s="23"/>
      <c r="V82" s="23"/>
      <c r="W82" s="23"/>
      <c r="X82" s="23"/>
      <c r="Y82" s="23"/>
      <c r="Z82" s="23"/>
      <c r="AA82" s="23"/>
      <c r="AB82" s="23"/>
    </row>
    <row r="83" spans="13:28">
      <c r="M83" s="19"/>
      <c r="N83" s="19"/>
      <c r="O83" s="19"/>
      <c r="P83" s="23"/>
      <c r="Q83" s="23"/>
      <c r="R83" s="23"/>
      <c r="S83" s="23"/>
      <c r="T83" s="23"/>
      <c r="U83" s="23"/>
      <c r="V83" s="23"/>
      <c r="W83" s="23"/>
      <c r="X83" s="23"/>
      <c r="Y83" s="23"/>
      <c r="Z83" s="23"/>
      <c r="AA83" s="23"/>
      <c r="AB83" s="23"/>
    </row>
    <row r="84" spans="13:28">
      <c r="M84" s="19"/>
      <c r="N84" s="19"/>
      <c r="O84" s="19"/>
      <c r="P84" s="23"/>
      <c r="Q84" s="23"/>
      <c r="R84" s="23"/>
      <c r="S84" s="23"/>
      <c r="T84" s="23"/>
      <c r="U84" s="23"/>
      <c r="V84" s="23"/>
      <c r="W84" s="23"/>
      <c r="X84" s="23"/>
      <c r="Y84" s="23"/>
      <c r="Z84" s="23"/>
      <c r="AA84" s="23"/>
      <c r="AB84" s="23"/>
    </row>
    <row r="85" spans="13:28">
      <c r="M85" s="19"/>
      <c r="N85" s="19"/>
      <c r="O85" s="19"/>
      <c r="P85" s="23"/>
      <c r="Q85" s="23"/>
      <c r="R85" s="23"/>
      <c r="S85" s="23"/>
      <c r="T85" s="23"/>
      <c r="U85" s="23"/>
      <c r="V85" s="23"/>
      <c r="W85" s="23"/>
      <c r="X85" s="23"/>
      <c r="Y85" s="23"/>
      <c r="Z85" s="23"/>
      <c r="AA85" s="23"/>
      <c r="AB85" s="23"/>
    </row>
    <row r="86" spans="13:28">
      <c r="M86" s="19"/>
      <c r="N86" s="19"/>
      <c r="O86" s="19"/>
      <c r="P86" s="23"/>
      <c r="Q86" s="23"/>
      <c r="R86" s="23"/>
      <c r="S86" s="23"/>
      <c r="T86" s="23"/>
      <c r="U86" s="23"/>
      <c r="V86" s="23"/>
      <c r="W86" s="23"/>
      <c r="X86" s="23"/>
      <c r="Y86" s="23"/>
      <c r="Z86" s="23"/>
      <c r="AA86" s="23"/>
      <c r="AB86" s="23"/>
    </row>
    <row r="87" spans="13:28">
      <c r="M87" s="19"/>
      <c r="N87" s="19"/>
      <c r="O87" s="19"/>
      <c r="P87" s="23"/>
      <c r="Q87" s="23"/>
      <c r="R87" s="23"/>
      <c r="S87" s="23"/>
      <c r="T87" s="23"/>
      <c r="U87" s="23"/>
      <c r="V87" s="23"/>
      <c r="W87" s="23"/>
      <c r="X87" s="23"/>
      <c r="Y87" s="23"/>
      <c r="Z87" s="23"/>
      <c r="AA87" s="23"/>
      <c r="AB87" s="23"/>
    </row>
    <row r="88" spans="13:28">
      <c r="M88" s="19"/>
      <c r="N88" s="19"/>
      <c r="O88" s="19"/>
      <c r="P88" s="23"/>
      <c r="Q88" s="23"/>
      <c r="R88" s="23"/>
      <c r="S88" s="23"/>
      <c r="T88" s="23"/>
      <c r="U88" s="23"/>
      <c r="V88" s="23"/>
      <c r="W88" s="23"/>
      <c r="X88" s="23"/>
      <c r="Y88" s="23"/>
      <c r="Z88" s="23"/>
      <c r="AA88" s="23"/>
      <c r="AB88" s="23"/>
    </row>
    <row r="89" spans="13:28">
      <c r="M89" s="19"/>
      <c r="N89" s="19"/>
      <c r="O89" s="19"/>
      <c r="P89" s="23"/>
      <c r="Q89" s="23"/>
      <c r="R89" s="23"/>
      <c r="S89" s="23"/>
      <c r="T89" s="23"/>
      <c r="U89" s="23"/>
      <c r="V89" s="23"/>
      <c r="W89" s="23"/>
      <c r="X89" s="23"/>
      <c r="Y89" s="23"/>
      <c r="Z89" s="23"/>
      <c r="AA89" s="23"/>
      <c r="AB89" s="23"/>
    </row>
    <row r="90" spans="13:28">
      <c r="M90" s="19"/>
      <c r="N90" s="19"/>
      <c r="O90" s="19"/>
      <c r="P90" s="23"/>
      <c r="Q90" s="23"/>
      <c r="R90" s="23"/>
      <c r="S90" s="23"/>
      <c r="T90" s="23"/>
      <c r="U90" s="23"/>
      <c r="V90" s="23"/>
      <c r="W90" s="23"/>
      <c r="X90" s="23"/>
      <c r="Y90" s="23"/>
      <c r="Z90" s="23"/>
      <c r="AA90" s="23"/>
      <c r="AB90" s="23"/>
    </row>
    <row r="91" spans="13:28">
      <c r="M91" s="19"/>
      <c r="N91" s="19"/>
      <c r="O91" s="19"/>
      <c r="P91" s="23"/>
      <c r="Q91" s="23"/>
      <c r="R91" s="23"/>
      <c r="S91" s="23"/>
      <c r="T91" s="23"/>
      <c r="U91" s="23"/>
      <c r="V91" s="23"/>
      <c r="W91" s="23"/>
      <c r="X91" s="23"/>
      <c r="Y91" s="23"/>
      <c r="Z91" s="23"/>
      <c r="AA91" s="23"/>
      <c r="AB91" s="23"/>
    </row>
    <row r="92" spans="13:28">
      <c r="M92" s="23"/>
      <c r="N92" s="23"/>
      <c r="O92" s="23"/>
      <c r="P92" s="23"/>
      <c r="Q92" s="23"/>
      <c r="R92" s="23"/>
      <c r="S92" s="23"/>
      <c r="T92" s="23"/>
      <c r="U92" s="23"/>
      <c r="V92" s="23"/>
      <c r="W92" s="23"/>
      <c r="X92" s="23"/>
      <c r="Y92" s="23"/>
      <c r="Z92" s="23"/>
      <c r="AA92" s="23"/>
      <c r="AB92" s="23"/>
    </row>
  </sheetData>
  <sortState xmlns:xlrd2="http://schemas.microsoft.com/office/spreadsheetml/2017/richdata2" ref="A11:AF28">
    <sortCondition ref="B11"/>
  </sortState>
  <pageMargins left="0.75" right="0.75" top="1" bottom="1" header="0.5" footer="0.5"/>
  <headerFooter alignWithMargins="0"/>
  <drawing r:id="rId1"/>
  <legacyDrawing r:id="rId2"/>
  <controls>
    <mc:AlternateContent xmlns:mc="http://schemas.openxmlformats.org/markup-compatibility/2006">
      <mc:Choice Requires="x14">
        <control shapeId="79873" r:id="rId3" name="CommandButton1">
          <controlPr defaultSize="0" autoLine="0" r:id="rId4">
            <anchor moveWithCells="1">
              <from>
                <xdr:col>13</xdr:col>
                <xdr:colOff>28575</xdr:colOff>
                <xdr:row>1</xdr:row>
                <xdr:rowOff>28575</xdr:rowOff>
              </from>
              <to>
                <xdr:col>15</xdr:col>
                <xdr:colOff>733425</xdr:colOff>
                <xdr:row>5</xdr:row>
                <xdr:rowOff>28575</xdr:rowOff>
              </to>
            </anchor>
          </controlPr>
        </control>
      </mc:Choice>
      <mc:Fallback>
        <control shapeId="79873" r:id="rId3" name="CommandButton1"/>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9"/>
  <dimension ref="A1:AF108"/>
  <sheetViews>
    <sheetView topLeftCell="M6" workbookViewId="0">
      <selection activeCell="U48" sqref="U48"/>
    </sheetView>
  </sheetViews>
  <sheetFormatPr defaultRowHeight="15.75"/>
  <cols>
    <col min="1" max="2" width="8" customWidth="1"/>
    <col min="3" max="3" width="15.125" customWidth="1"/>
    <col min="4" max="4" width="13.25" customWidth="1"/>
    <col min="5" max="5" width="5.125" customWidth="1"/>
    <col min="6" max="6" width="5.5" customWidth="1"/>
    <col min="7" max="7" width="10.625" customWidth="1"/>
    <col min="8" max="8" width="10.25" customWidth="1"/>
    <col min="9" max="10" width="9.25" customWidth="1"/>
    <col min="11" max="11" width="11" customWidth="1"/>
    <col min="12" max="12" width="9.25" customWidth="1"/>
    <col min="13" max="13" width="13.625" customWidth="1"/>
    <col min="14" max="14" width="11.75" customWidth="1"/>
    <col min="15" max="15" width="21" customWidth="1"/>
    <col min="16" max="16" width="12" customWidth="1"/>
    <col min="17" max="17" width="14.25" customWidth="1"/>
    <col min="18" max="18" width="11" customWidth="1"/>
    <col min="19" max="19" width="9.75" customWidth="1"/>
    <col min="20" max="20" width="14.625" customWidth="1"/>
    <col min="21" max="21" width="9.25" customWidth="1"/>
    <col min="22" max="23" width="10.625" customWidth="1"/>
    <col min="24" max="25" width="15.5" customWidth="1"/>
    <col min="26" max="26" width="9.25" customWidth="1"/>
    <col min="27" max="27" width="10.625" customWidth="1"/>
    <col min="28" max="29" width="9.25" customWidth="1"/>
    <col min="30" max="30" width="10" customWidth="1"/>
    <col min="31" max="31" width="11.25" customWidth="1"/>
    <col min="32" max="32" width="10.625" customWidth="1"/>
  </cols>
  <sheetData>
    <row r="1" spans="1:32" s="6" customFormat="1" ht="24" customHeight="1">
      <c r="A1" s="210" t="s">
        <v>359</v>
      </c>
    </row>
    <row r="2" spans="1:32" s="6" customFormat="1" ht="12.75">
      <c r="G2" s="95" t="s">
        <v>93</v>
      </c>
      <c r="H2" s="6" t="s">
        <v>96</v>
      </c>
    </row>
    <row r="3" spans="1:32" s="6" customFormat="1" ht="12.75">
      <c r="G3" s="95" t="s">
        <v>95</v>
      </c>
      <c r="H3" s="6" t="s">
        <v>111</v>
      </c>
    </row>
    <row r="4" spans="1:32" s="6" customFormat="1" ht="12.75">
      <c r="G4" s="96" t="s">
        <v>92</v>
      </c>
      <c r="H4" s="6">
        <v>6</v>
      </c>
    </row>
    <row r="5" spans="1:32" s="6" customFormat="1" ht="12.75"/>
    <row r="6" spans="1:32" s="6" customFormat="1" ht="12.75"/>
    <row r="7" spans="1:32" s="6" customFormat="1" ht="12.75">
      <c r="A7" s="97"/>
      <c r="B7" s="97"/>
      <c r="C7" s="98" t="s">
        <v>64</v>
      </c>
      <c r="D7" s="99"/>
      <c r="E7" s="98"/>
      <c r="F7" s="100"/>
      <c r="G7" s="101"/>
      <c r="H7" s="100" t="s">
        <v>65</v>
      </c>
      <c r="I7" s="100"/>
      <c r="J7" s="100"/>
      <c r="K7" s="100"/>
      <c r="L7" s="100"/>
      <c r="M7" s="102"/>
      <c r="N7" s="98" t="s">
        <v>66</v>
      </c>
      <c r="O7" s="100"/>
      <c r="P7" s="100"/>
      <c r="Q7" s="100"/>
      <c r="R7" s="99"/>
      <c r="S7" s="98" t="s">
        <v>174</v>
      </c>
      <c r="T7" s="100"/>
      <c r="U7" s="100"/>
      <c r="V7" s="100"/>
      <c r="W7" s="99"/>
      <c r="X7" s="103" t="s">
        <v>67</v>
      </c>
      <c r="Y7" s="103" t="s">
        <v>253</v>
      </c>
      <c r="Z7" s="104" t="s">
        <v>68</v>
      </c>
      <c r="AA7" s="104" t="s">
        <v>69</v>
      </c>
      <c r="AB7" s="104" t="s">
        <v>70</v>
      </c>
      <c r="AC7" s="104" t="s">
        <v>71</v>
      </c>
      <c r="AD7" s="87" t="s">
        <v>72</v>
      </c>
      <c r="AE7" s="88"/>
    </row>
    <row r="8" spans="1:32" s="6" customFormat="1" ht="12.75">
      <c r="A8" s="105" t="s">
        <v>27</v>
      </c>
      <c r="B8" s="105" t="s">
        <v>28</v>
      </c>
      <c r="C8" s="103" t="s">
        <v>73</v>
      </c>
      <c r="D8" s="103" t="s">
        <v>74</v>
      </c>
      <c r="E8" s="97"/>
      <c r="F8" s="97"/>
      <c r="G8" s="107"/>
      <c r="H8" s="97"/>
      <c r="I8" s="103" t="s">
        <v>75</v>
      </c>
      <c r="J8" s="103" t="s">
        <v>76</v>
      </c>
      <c r="K8" s="103" t="s">
        <v>75</v>
      </c>
      <c r="L8" s="97"/>
      <c r="M8" s="108" t="s">
        <v>77</v>
      </c>
      <c r="N8" s="97"/>
      <c r="O8" s="97"/>
      <c r="P8" s="103" t="s">
        <v>78</v>
      </c>
      <c r="Q8" s="103" t="s">
        <v>79</v>
      </c>
      <c r="R8" s="103" t="s">
        <v>80</v>
      </c>
      <c r="S8" s="97"/>
      <c r="T8" s="97"/>
      <c r="U8" s="103" t="s">
        <v>78</v>
      </c>
      <c r="V8" s="103" t="s">
        <v>79</v>
      </c>
      <c r="W8" s="103" t="s">
        <v>80</v>
      </c>
      <c r="X8" s="105" t="s">
        <v>81</v>
      </c>
      <c r="Y8" s="105" t="s">
        <v>254</v>
      </c>
      <c r="Z8" s="106"/>
      <c r="AA8" s="103" t="s">
        <v>82</v>
      </c>
      <c r="AB8" s="103" t="s">
        <v>83</v>
      </c>
      <c r="AC8" s="103" t="s">
        <v>28</v>
      </c>
      <c r="AD8" s="104" t="s">
        <v>84</v>
      </c>
      <c r="AE8" s="104" t="s">
        <v>85</v>
      </c>
    </row>
    <row r="9" spans="1:32" s="6" customFormat="1" ht="16.5">
      <c r="A9" s="109" t="s">
        <v>12</v>
      </c>
      <c r="B9" s="109" t="s">
        <v>12</v>
      </c>
      <c r="C9" s="111" t="s">
        <v>68</v>
      </c>
      <c r="D9" s="112" t="s">
        <v>153</v>
      </c>
      <c r="E9" s="109" t="s">
        <v>31</v>
      </c>
      <c r="F9" s="109" t="s">
        <v>86</v>
      </c>
      <c r="G9" s="112" t="s">
        <v>87</v>
      </c>
      <c r="H9" s="113" t="s">
        <v>88</v>
      </c>
      <c r="I9" s="114" t="s">
        <v>88</v>
      </c>
      <c r="J9" s="112" t="s">
        <v>154</v>
      </c>
      <c r="K9" s="109" t="s">
        <v>76</v>
      </c>
      <c r="L9" s="109" t="s">
        <v>155</v>
      </c>
      <c r="M9" s="115" t="s">
        <v>89</v>
      </c>
      <c r="N9" s="109" t="s">
        <v>156</v>
      </c>
      <c r="O9" s="115" t="s">
        <v>157</v>
      </c>
      <c r="P9" s="112" t="s">
        <v>154</v>
      </c>
      <c r="Q9" s="109" t="s">
        <v>158</v>
      </c>
      <c r="R9" s="109" t="s">
        <v>158</v>
      </c>
      <c r="S9" s="109" t="s">
        <v>156</v>
      </c>
      <c r="T9" s="115" t="s">
        <v>157</v>
      </c>
      <c r="U9" s="112" t="s">
        <v>154</v>
      </c>
      <c r="V9" s="109" t="s">
        <v>158</v>
      </c>
      <c r="W9" s="109" t="s">
        <v>158</v>
      </c>
      <c r="X9" s="116" t="s">
        <v>159</v>
      </c>
      <c r="Y9" s="116" t="s">
        <v>255</v>
      </c>
      <c r="Z9" s="109" t="s">
        <v>112</v>
      </c>
      <c r="AA9" s="109" t="s">
        <v>90</v>
      </c>
      <c r="AB9" s="109" t="s">
        <v>90</v>
      </c>
      <c r="AC9" s="109" t="s">
        <v>12</v>
      </c>
      <c r="AD9" s="104" t="s">
        <v>79</v>
      </c>
      <c r="AE9" s="104" t="s">
        <v>80</v>
      </c>
      <c r="AF9" s="104" t="s">
        <v>91</v>
      </c>
    </row>
    <row r="10" spans="1:32" s="6" customFormat="1" ht="12.75">
      <c r="A10" s="119"/>
      <c r="B10" s="94"/>
      <c r="C10" s="117"/>
      <c r="D10" s="118"/>
      <c r="E10" s="119"/>
      <c r="F10" s="119"/>
      <c r="G10" s="118"/>
      <c r="H10" s="120"/>
      <c r="I10" s="121"/>
      <c r="J10" s="118"/>
      <c r="K10" s="119"/>
      <c r="L10" s="119"/>
      <c r="M10" s="122"/>
      <c r="N10" s="119"/>
      <c r="O10" s="122"/>
      <c r="P10" s="118"/>
      <c r="Q10" s="119"/>
      <c r="R10" s="119"/>
      <c r="S10" s="119"/>
      <c r="T10" s="122"/>
      <c r="U10" s="118"/>
      <c r="V10" s="119"/>
      <c r="W10" s="119"/>
      <c r="X10" s="123"/>
      <c r="Y10" s="123"/>
      <c r="Z10" s="119"/>
      <c r="AA10" s="119"/>
      <c r="AB10" s="119"/>
      <c r="AC10" s="119"/>
      <c r="AD10" s="119"/>
      <c r="AE10" s="119"/>
      <c r="AF10" s="119"/>
    </row>
    <row r="11" spans="1:32" s="6" customFormat="1" ht="12.75">
      <c r="A11" s="119">
        <v>1975</v>
      </c>
      <c r="B11" s="978">
        <f t="shared" ref="B11:B46" si="0">A11+$H$4</f>
        <v>1981</v>
      </c>
      <c r="C11" s="64">
        <f>VLOOKUP($A11,FBrood!$A$8:$M$50,8)</f>
        <v>7.7827025714270546</v>
      </c>
      <c r="D11" s="64">
        <f>VLOOKUP($A11,FBrood!$A$8:$M$50,12)</f>
        <v>9.0266222849320847</v>
      </c>
      <c r="E11" s="6">
        <v>35</v>
      </c>
      <c r="F11" s="6">
        <v>33</v>
      </c>
      <c r="G11" s="124">
        <v>8.2853390020524369</v>
      </c>
      <c r="H11" s="124">
        <v>0.13533859145385074</v>
      </c>
      <c r="I11" s="124">
        <v>0.15080293716798648</v>
      </c>
      <c r="J11" s="124">
        <v>9.3386390057736364</v>
      </c>
      <c r="K11" s="124">
        <v>0.63452083885335397</v>
      </c>
      <c r="L11" s="124">
        <v>2.3825242899625655E-2</v>
      </c>
      <c r="M11" s="6">
        <v>0.40785288629521377</v>
      </c>
      <c r="N11" s="65">
        <f t="shared" ref="N11:N46" si="1">D11-J11</f>
        <v>-0.31201672084155163</v>
      </c>
      <c r="O11" s="353">
        <f t="shared" ref="O11:O46" si="2">N11^2</f>
        <v>9.7354434084714767E-2</v>
      </c>
      <c r="P11" s="66">
        <f t="shared" ref="P11:P46" si="3">J11</f>
        <v>9.3386390057736364</v>
      </c>
      <c r="Q11" s="25">
        <f t="shared" ref="Q11:Q46" si="4">$P11-SQRT($O$50)*$Q$50</f>
        <v>8.6116714776144967</v>
      </c>
      <c r="R11" s="25">
        <f t="shared" ref="R11:R46" si="5">$P11+SQRT($O$50)*$Q$50</f>
        <v>10.065606533932776</v>
      </c>
      <c r="S11" s="67">
        <f t="shared" ref="S11:S46" si="6">EXP(D11)-U11</f>
        <v>-3047.2209615105621</v>
      </c>
      <c r="T11" s="25">
        <f t="shared" ref="T11:T46" si="7">S11^2</f>
        <v>9285555.5882693548</v>
      </c>
      <c r="U11" s="67">
        <f t="shared" ref="U11:U46" si="8">EXP(P11)</f>
        <v>11368.924665214257</v>
      </c>
      <c r="V11" s="68">
        <f t="shared" ref="V11:V46" si="9">EXP(Q11)</f>
        <v>5495.4264877681881</v>
      </c>
      <c r="W11" s="68">
        <f t="shared" ref="W11:W46" si="10">EXP(R11)</f>
        <v>23520.003102763611</v>
      </c>
      <c r="X11" s="69">
        <f t="shared" ref="X11:X46" si="11">(+U11-EXP(D11))/(EXP(D11))</f>
        <v>0.36617753647661744</v>
      </c>
      <c r="Y11" s="69">
        <f t="shared" ref="Y11:Y46" si="12">ABS(X11)</f>
        <v>0.36617753647661744</v>
      </c>
      <c r="Z11" s="70">
        <f t="shared" ref="Z11:Z46" si="13">C11</f>
        <v>7.7827025714270546</v>
      </c>
      <c r="AA11" s="71">
        <f t="shared" ref="AA11:AA46" si="14">(+$G$48+$H$48*C11)</f>
        <v>9.255646213614213</v>
      </c>
      <c r="AB11" s="70">
        <f t="shared" ref="AB11:AB46" si="15">D11</f>
        <v>9.0266222849320847</v>
      </c>
      <c r="AC11" s="67">
        <f t="shared" ref="AC11:AC29" si="16">B11-1900</f>
        <v>81</v>
      </c>
      <c r="AD11" s="81">
        <f t="shared" ref="AD11:AD46" si="17">AA11-SQRT($O$50)*$Q$50</f>
        <v>8.5286786854550733</v>
      </c>
      <c r="AE11" s="82">
        <f t="shared" ref="AE11:AE46" si="18">AA11+SQRT($O$50)*$Q$50</f>
        <v>9.9826137417733527</v>
      </c>
      <c r="AF11" s="119"/>
    </row>
    <row r="12" spans="1:32" s="6" customFormat="1" ht="12.75">
      <c r="A12" s="119">
        <v>1976</v>
      </c>
      <c r="B12" s="978">
        <f t="shared" si="0"/>
        <v>1982</v>
      </c>
      <c r="C12" s="64">
        <f>VLOOKUP($A12,FBrood!$A$8:$M$50,8)</f>
        <v>9.0623403675341656</v>
      </c>
      <c r="D12" s="64">
        <f>VLOOKUP($A12,FBrood!$A$8:$M$50,12)</f>
        <v>9.3970948900131841</v>
      </c>
      <c r="E12" s="6">
        <v>35</v>
      </c>
      <c r="F12" s="6">
        <v>33</v>
      </c>
      <c r="G12" s="124">
        <v>7.9963692481707787</v>
      </c>
      <c r="H12" s="124">
        <v>0.1631787630216458</v>
      </c>
      <c r="I12" s="124">
        <v>0.1348773092946452</v>
      </c>
      <c r="J12" s="124">
        <v>9.4751507394261303</v>
      </c>
      <c r="K12" s="124">
        <v>0.63609109217083659</v>
      </c>
      <c r="L12" s="124">
        <v>4.2470531392128828E-2</v>
      </c>
      <c r="M12" s="6">
        <v>0.41034977132179423</v>
      </c>
      <c r="N12" s="65">
        <f t="shared" si="1"/>
        <v>-7.8055849412946188E-2</v>
      </c>
      <c r="O12" s="25">
        <f t="shared" si="2"/>
        <v>6.0927156275765318E-3</v>
      </c>
      <c r="P12" s="66">
        <f t="shared" si="3"/>
        <v>9.4751507394261303</v>
      </c>
      <c r="Q12" s="25">
        <f t="shared" si="4"/>
        <v>8.7481832112669906</v>
      </c>
      <c r="R12" s="25">
        <f t="shared" si="5"/>
        <v>10.20211826758527</v>
      </c>
      <c r="S12" s="67">
        <f t="shared" si="6"/>
        <v>-978.52464652386516</v>
      </c>
      <c r="T12" s="25">
        <f t="shared" si="7"/>
        <v>957510.48385465529</v>
      </c>
      <c r="U12" s="67">
        <f t="shared" si="8"/>
        <v>13031.838262731508</v>
      </c>
      <c r="V12" s="68">
        <f t="shared" si="9"/>
        <v>6299.2333296436736</v>
      </c>
      <c r="W12" s="68">
        <f t="shared" si="10"/>
        <v>26960.234622012264</v>
      </c>
      <c r="X12" s="69">
        <f t="shared" si="11"/>
        <v>8.1183040422019667E-2</v>
      </c>
      <c r="Y12" s="69">
        <f t="shared" si="12"/>
        <v>8.1183040422019667E-2</v>
      </c>
      <c r="Z12" s="70">
        <f t="shared" si="13"/>
        <v>9.0623403675341656</v>
      </c>
      <c r="AA12" s="71">
        <f t="shared" si="14"/>
        <v>9.4690724479593449</v>
      </c>
      <c r="AB12" s="70">
        <f t="shared" si="15"/>
        <v>9.3970948900131841</v>
      </c>
      <c r="AC12" s="67">
        <f t="shared" si="16"/>
        <v>82</v>
      </c>
      <c r="AD12" s="81">
        <f t="shared" si="17"/>
        <v>8.7421049198002052</v>
      </c>
      <c r="AE12" s="82">
        <f t="shared" si="18"/>
        <v>10.196039976118485</v>
      </c>
      <c r="AF12" s="119"/>
    </row>
    <row r="13" spans="1:32" s="6" customFormat="1" ht="12.75">
      <c r="A13" s="119">
        <v>1977</v>
      </c>
      <c r="B13" s="978">
        <f t="shared" si="0"/>
        <v>1983</v>
      </c>
      <c r="C13" s="64">
        <f>VLOOKUP($A13,FBrood!$A$8:$M$50,8)</f>
        <v>10.13504358499859</v>
      </c>
      <c r="D13" s="64">
        <f>VLOOKUP($A13,FBrood!$A$8:$M$50,12)</f>
        <v>9.7404193385339362</v>
      </c>
      <c r="E13" s="6">
        <v>35</v>
      </c>
      <c r="F13" s="6">
        <v>33</v>
      </c>
      <c r="G13" s="124">
        <v>7.954498635786595</v>
      </c>
      <c r="H13" s="124">
        <v>0.16683151366663646</v>
      </c>
      <c r="I13" s="124">
        <v>0.13134137694953107</v>
      </c>
      <c r="J13" s="124">
        <v>9.6453432981492426</v>
      </c>
      <c r="K13" s="124">
        <v>0.63601557819510213</v>
      </c>
      <c r="L13" s="124">
        <v>4.6613131114873134E-2</v>
      </c>
      <c r="M13" s="6">
        <v>0.41047583250514408</v>
      </c>
      <c r="N13" s="65">
        <f t="shared" si="1"/>
        <v>9.5076040384693528E-2</v>
      </c>
      <c r="O13" s="25">
        <f t="shared" si="2"/>
        <v>9.0394534552318741E-3</v>
      </c>
      <c r="P13" s="66">
        <f t="shared" si="3"/>
        <v>9.6453432981492426</v>
      </c>
      <c r="Q13" s="25">
        <f t="shared" si="4"/>
        <v>8.918375769990103</v>
      </c>
      <c r="R13" s="25">
        <f t="shared" si="5"/>
        <v>10.372310826308382</v>
      </c>
      <c r="S13" s="67">
        <f t="shared" si="6"/>
        <v>1540.9889296475412</v>
      </c>
      <c r="T13" s="25">
        <f t="shared" si="7"/>
        <v>2374646.8812962747</v>
      </c>
      <c r="U13" s="67">
        <f t="shared" si="8"/>
        <v>15449.675797872344</v>
      </c>
      <c r="V13" s="68">
        <f t="shared" si="9"/>
        <v>7467.9497056425198</v>
      </c>
      <c r="W13" s="68">
        <f t="shared" si="10"/>
        <v>31962.250907905127</v>
      </c>
      <c r="X13" s="69">
        <f t="shared" si="11"/>
        <v>-9.0696211970541202E-2</v>
      </c>
      <c r="Y13" s="69">
        <f t="shared" si="12"/>
        <v>9.0696211970541202E-2</v>
      </c>
      <c r="Z13" s="70">
        <f t="shared" si="13"/>
        <v>10.13504358499859</v>
      </c>
      <c r="AA13" s="71">
        <f t="shared" si="14"/>
        <v>9.6479848003217299</v>
      </c>
      <c r="AB13" s="70">
        <f t="shared" si="15"/>
        <v>9.7404193385339362</v>
      </c>
      <c r="AC13" s="67">
        <f t="shared" si="16"/>
        <v>83</v>
      </c>
      <c r="AD13" s="81">
        <f t="shared" si="17"/>
        <v>8.9210172721625902</v>
      </c>
      <c r="AE13" s="82">
        <f t="shared" si="18"/>
        <v>10.37495232848087</v>
      </c>
    </row>
    <row r="14" spans="1:32" s="6" customFormat="1" ht="12.75">
      <c r="A14" s="119">
        <v>1978</v>
      </c>
      <c r="B14" s="978">
        <f t="shared" si="0"/>
        <v>1984</v>
      </c>
      <c r="C14" s="64">
        <f>VLOOKUP($A14,FBrood!$A$8:$M$50,8)</f>
        <v>10.431687290277248</v>
      </c>
      <c r="D14" s="64">
        <f>VLOOKUP($A14,FBrood!$A$8:$M$50,12)</f>
        <v>10.004092431196456</v>
      </c>
      <c r="E14" s="6">
        <v>35</v>
      </c>
      <c r="F14" s="6">
        <v>33</v>
      </c>
      <c r="G14" s="124">
        <v>7.9879086175644893</v>
      </c>
      <c r="H14" s="124">
        <v>0.1629323714728674</v>
      </c>
      <c r="I14" s="124">
        <v>0.1311407543517969</v>
      </c>
      <c r="J14" s="124">
        <v>9.6875681662327313</v>
      </c>
      <c r="K14" s="124">
        <v>0.63390932157850033</v>
      </c>
      <c r="L14" s="124">
        <v>4.4686012153970257E-2</v>
      </c>
      <c r="M14" s="6">
        <v>0.40890230731984728</v>
      </c>
      <c r="N14" s="65">
        <f t="shared" si="1"/>
        <v>0.31652426496372499</v>
      </c>
      <c r="O14" s="25">
        <f t="shared" si="2"/>
        <v>0.10018761031082639</v>
      </c>
      <c r="P14" s="66">
        <f t="shared" si="3"/>
        <v>9.6875681662327313</v>
      </c>
      <c r="Q14" s="25">
        <f t="shared" si="4"/>
        <v>8.9606006380735916</v>
      </c>
      <c r="R14" s="25">
        <f t="shared" si="5"/>
        <v>10.414535694391871</v>
      </c>
      <c r="S14" s="67">
        <f t="shared" si="6"/>
        <v>6000.7871361393354</v>
      </c>
      <c r="T14" s="25">
        <f t="shared" si="7"/>
        <v>36009446.25325533</v>
      </c>
      <c r="U14" s="67">
        <f t="shared" si="8"/>
        <v>16116.005155855613</v>
      </c>
      <c r="V14" s="68">
        <f t="shared" si="9"/>
        <v>7790.0350489153798</v>
      </c>
      <c r="W14" s="68">
        <f t="shared" si="10"/>
        <v>33340.751428291296</v>
      </c>
      <c r="X14" s="69">
        <f t="shared" si="11"/>
        <v>-0.27132266998371585</v>
      </c>
      <c r="Y14" s="69">
        <f t="shared" si="12"/>
        <v>0.27132266998371585</v>
      </c>
      <c r="Z14" s="70">
        <f t="shared" si="13"/>
        <v>10.431687290277248</v>
      </c>
      <c r="AA14" s="71">
        <f t="shared" si="14"/>
        <v>9.6974609483008045</v>
      </c>
      <c r="AB14" s="70">
        <f t="shared" si="15"/>
        <v>10.004092431196456</v>
      </c>
      <c r="AC14" s="67">
        <f t="shared" si="16"/>
        <v>84</v>
      </c>
      <c r="AD14" s="81">
        <f t="shared" si="17"/>
        <v>8.9704934201416648</v>
      </c>
      <c r="AE14" s="82">
        <f t="shared" si="18"/>
        <v>10.424428476459944</v>
      </c>
    </row>
    <row r="15" spans="1:32" s="6" customFormat="1" ht="12.75">
      <c r="A15" s="119">
        <v>1979</v>
      </c>
      <c r="B15" s="978">
        <f t="shared" si="0"/>
        <v>1985</v>
      </c>
      <c r="C15" s="64">
        <f>VLOOKUP($A15,FBrood!$A$8:$M$50,8)</f>
        <v>9.4867647439893457</v>
      </c>
      <c r="D15" s="64">
        <f>VLOOKUP($A15,FBrood!$A$8:$M$50,12)</f>
        <v>10.165489904262202</v>
      </c>
      <c r="E15" s="6">
        <v>35</v>
      </c>
      <c r="F15" s="6">
        <v>33</v>
      </c>
      <c r="G15" s="124">
        <v>7.7522081836772854</v>
      </c>
      <c r="H15" s="124">
        <v>0.1852334302460858</v>
      </c>
      <c r="I15" s="124">
        <v>0.13060148924316919</v>
      </c>
      <c r="J15" s="124">
        <v>9.5094741591440624</v>
      </c>
      <c r="K15" s="124">
        <v>0.6263745516638255</v>
      </c>
      <c r="L15" s="124">
        <v>5.7455349795083543E-2</v>
      </c>
      <c r="M15" s="6">
        <v>0.40072230876033793</v>
      </c>
      <c r="N15" s="65">
        <f t="shared" si="1"/>
        <v>0.65601574511813965</v>
      </c>
      <c r="O15" s="25">
        <f t="shared" si="2"/>
        <v>0.43035665784290794</v>
      </c>
      <c r="P15" s="66">
        <f t="shared" si="3"/>
        <v>9.5094741591440624</v>
      </c>
      <c r="Q15" s="25">
        <f t="shared" si="4"/>
        <v>8.7825066309849227</v>
      </c>
      <c r="R15" s="25">
        <f t="shared" si="5"/>
        <v>10.236441687303202</v>
      </c>
      <c r="S15" s="67">
        <f t="shared" si="6"/>
        <v>12503.691483015351</v>
      </c>
      <c r="T15" s="25">
        <f t="shared" si="7"/>
        <v>156342300.70243064</v>
      </c>
      <c r="U15" s="67">
        <f t="shared" si="8"/>
        <v>13486.900488253228</v>
      </c>
      <c r="V15" s="68">
        <f t="shared" si="9"/>
        <v>6519.1979332764549</v>
      </c>
      <c r="W15" s="68">
        <f t="shared" si="10"/>
        <v>27901.666223628006</v>
      </c>
      <c r="X15" s="69">
        <f t="shared" si="11"/>
        <v>-0.48108529027879071</v>
      </c>
      <c r="Y15" s="69">
        <f t="shared" si="12"/>
        <v>0.48108529027879071</v>
      </c>
      <c r="Z15" s="70">
        <f t="shared" si="13"/>
        <v>9.4867647439893457</v>
      </c>
      <c r="AA15" s="71">
        <f t="shared" si="14"/>
        <v>9.5398606793687968</v>
      </c>
      <c r="AB15" s="70">
        <f t="shared" si="15"/>
        <v>10.165489904262202</v>
      </c>
      <c r="AC15" s="67">
        <f t="shared" si="16"/>
        <v>85</v>
      </c>
      <c r="AD15" s="81">
        <f t="shared" si="17"/>
        <v>8.8128931512096571</v>
      </c>
      <c r="AE15" s="82">
        <f t="shared" si="18"/>
        <v>10.266828207527936</v>
      </c>
    </row>
    <row r="16" spans="1:32" s="6" customFormat="1" ht="12.75">
      <c r="A16" s="119">
        <v>1980</v>
      </c>
      <c r="B16" s="978">
        <f t="shared" si="0"/>
        <v>1986</v>
      </c>
      <c r="C16" s="64">
        <f>VLOOKUP($A16,FBrood!$A$8:$M$50,8)</f>
        <v>9.4124522170203111</v>
      </c>
      <c r="D16" s="64">
        <f>VLOOKUP($A16,FBrood!$A$8:$M$50,12)</f>
        <v>9.5501302436281446</v>
      </c>
      <c r="E16" s="6">
        <v>35</v>
      </c>
      <c r="F16" s="6">
        <v>33</v>
      </c>
      <c r="G16" s="124">
        <v>7.9493543101694835</v>
      </c>
      <c r="H16" s="124">
        <v>0.16753346662606877</v>
      </c>
      <c r="I16" s="124">
        <v>0.13296074778002678</v>
      </c>
      <c r="J16" s="124">
        <v>9.5262550595391229</v>
      </c>
      <c r="K16" s="124">
        <v>0.63621201735192423</v>
      </c>
      <c r="L16" s="124">
        <v>4.5902372027460399E-2</v>
      </c>
      <c r="M16" s="6">
        <v>0.41301617422288212</v>
      </c>
      <c r="N16" s="65">
        <f t="shared" si="1"/>
        <v>2.3875184089021673E-2</v>
      </c>
      <c r="O16" s="25">
        <f t="shared" si="2"/>
        <v>5.7002441528467365E-4</v>
      </c>
      <c r="P16" s="66">
        <f t="shared" si="3"/>
        <v>9.5262550595391229</v>
      </c>
      <c r="Q16" s="25">
        <f t="shared" si="4"/>
        <v>8.7992875313799832</v>
      </c>
      <c r="R16" s="25">
        <f t="shared" si="5"/>
        <v>10.253222587698263</v>
      </c>
      <c r="S16" s="67">
        <f t="shared" si="6"/>
        <v>331.39158764553576</v>
      </c>
      <c r="T16" s="25">
        <f t="shared" si="7"/>
        <v>109820.38436222881</v>
      </c>
      <c r="U16" s="67">
        <f t="shared" si="8"/>
        <v>13715.132434975561</v>
      </c>
      <c r="V16" s="68">
        <f t="shared" si="9"/>
        <v>6629.5189990154522</v>
      </c>
      <c r="W16" s="68">
        <f t="shared" si="10"/>
        <v>28373.831907994241</v>
      </c>
      <c r="X16" s="69">
        <f t="shared" si="11"/>
        <v>-2.3592426646752547E-2</v>
      </c>
      <c r="Y16" s="69">
        <f t="shared" si="12"/>
        <v>2.3592426646752547E-2</v>
      </c>
      <c r="Z16" s="70">
        <f t="shared" si="13"/>
        <v>9.4124522170203111</v>
      </c>
      <c r="AA16" s="71">
        <f t="shared" si="14"/>
        <v>9.5274663574412006</v>
      </c>
      <c r="AB16" s="70">
        <f t="shared" si="15"/>
        <v>9.5501302436281446</v>
      </c>
      <c r="AC16" s="67">
        <f t="shared" si="16"/>
        <v>86</v>
      </c>
      <c r="AD16" s="81">
        <f t="shared" si="17"/>
        <v>8.800498829282061</v>
      </c>
      <c r="AE16" s="82">
        <f t="shared" si="18"/>
        <v>10.25443388560034</v>
      </c>
    </row>
    <row r="17" spans="1:32" s="6" customFormat="1" ht="12.75">
      <c r="A17" s="119">
        <v>1981</v>
      </c>
      <c r="B17" s="978">
        <f t="shared" si="0"/>
        <v>1987</v>
      </c>
      <c r="C17" s="64">
        <f>VLOOKUP($A17,FBrood!$A$8:$M$50,8)</f>
        <v>9.9934902869486333</v>
      </c>
      <c r="D17" s="64">
        <f>VLOOKUP($A17,FBrood!$A$8:$M$50,12)</f>
        <v>10.178473986732742</v>
      </c>
      <c r="E17" s="6">
        <v>35</v>
      </c>
      <c r="F17" s="6">
        <v>33</v>
      </c>
      <c r="G17" s="124">
        <v>7.9040628460546731</v>
      </c>
      <c r="H17" s="124">
        <v>0.1705008039631499</v>
      </c>
      <c r="I17" s="124">
        <v>0.12988671029998314</v>
      </c>
      <c r="J17" s="124">
        <v>9.6079609743773453</v>
      </c>
      <c r="K17" s="124">
        <v>0.62865151268574637</v>
      </c>
      <c r="L17" s="124">
        <v>4.9625431282017324E-2</v>
      </c>
      <c r="M17" s="6">
        <v>0.40527332608533728</v>
      </c>
      <c r="N17" s="65">
        <f t="shared" si="1"/>
        <v>0.57051301235539675</v>
      </c>
      <c r="O17" s="25">
        <f t="shared" si="2"/>
        <v>0.32548509726682912</v>
      </c>
      <c r="P17" s="66">
        <f t="shared" si="3"/>
        <v>9.6079609743773453</v>
      </c>
      <c r="Q17" s="25">
        <f t="shared" si="4"/>
        <v>8.8809934462182056</v>
      </c>
      <c r="R17" s="25">
        <f t="shared" si="5"/>
        <v>10.334928502536485</v>
      </c>
      <c r="S17" s="67">
        <f t="shared" si="6"/>
        <v>11447.463571872195</v>
      </c>
      <c r="T17" s="25">
        <f t="shared" si="7"/>
        <v>131044422.22934091</v>
      </c>
      <c r="U17" s="67">
        <f t="shared" si="8"/>
        <v>14882.792731977315</v>
      </c>
      <c r="V17" s="68">
        <f t="shared" si="9"/>
        <v>7193.9339735022031</v>
      </c>
      <c r="W17" s="68">
        <f t="shared" si="10"/>
        <v>30789.484629529587</v>
      </c>
      <c r="X17" s="69">
        <f t="shared" si="11"/>
        <v>-0.43476460843256448</v>
      </c>
      <c r="Y17" s="69">
        <f t="shared" si="12"/>
        <v>0.43476460843256448</v>
      </c>
      <c r="Z17" s="70">
        <f t="shared" si="13"/>
        <v>9.9934902869486333</v>
      </c>
      <c r="AA17" s="71">
        <f t="shared" si="14"/>
        <v>9.6243756294658489</v>
      </c>
      <c r="AB17" s="70">
        <f t="shared" si="15"/>
        <v>10.178473986732742</v>
      </c>
      <c r="AC17" s="67">
        <f t="shared" si="16"/>
        <v>87</v>
      </c>
      <c r="AD17" s="81">
        <f t="shared" si="17"/>
        <v>8.8974081013067092</v>
      </c>
      <c r="AE17" s="82">
        <f t="shared" si="18"/>
        <v>10.351343157624989</v>
      </c>
    </row>
    <row r="18" spans="1:32" s="6" customFormat="1" ht="12.75">
      <c r="A18" s="119">
        <v>1982</v>
      </c>
      <c r="B18" s="978">
        <f t="shared" si="0"/>
        <v>1988</v>
      </c>
      <c r="C18" s="64">
        <f>VLOOKUP($A18,FBrood!$A$8:$M$50,8)</f>
        <v>9.2102874380007052</v>
      </c>
      <c r="D18" s="64">
        <f>VLOOKUP($A18,FBrood!$A$8:$M$50,12)</f>
        <v>9.8572667978459574</v>
      </c>
      <c r="E18" s="6">
        <v>35</v>
      </c>
      <c r="F18" s="6">
        <v>33</v>
      </c>
      <c r="G18" s="124">
        <v>7.789339913443893</v>
      </c>
      <c r="H18" s="124">
        <v>0.18230520122807198</v>
      </c>
      <c r="I18" s="124">
        <v>0.13327233869899374</v>
      </c>
      <c r="J18" s="124">
        <v>9.4684232181969943</v>
      </c>
      <c r="K18" s="124">
        <v>0.63284969451048445</v>
      </c>
      <c r="L18" s="124">
        <v>5.3660078347808803E-2</v>
      </c>
      <c r="M18" s="6">
        <v>0.41081522813826071</v>
      </c>
      <c r="N18" s="65">
        <f t="shared" si="1"/>
        <v>0.3888435796489631</v>
      </c>
      <c r="O18" s="25">
        <f t="shared" si="2"/>
        <v>0.15119932943421951</v>
      </c>
      <c r="P18" s="66">
        <f t="shared" si="3"/>
        <v>9.4684232181969943</v>
      </c>
      <c r="Q18" s="25">
        <f t="shared" si="4"/>
        <v>8.7414556900378546</v>
      </c>
      <c r="R18" s="25">
        <f t="shared" si="5"/>
        <v>10.195390746356134</v>
      </c>
      <c r="S18" s="67">
        <f t="shared" si="6"/>
        <v>6152.1625678900946</v>
      </c>
      <c r="T18" s="25">
        <f t="shared" si="7"/>
        <v>37849104.261748046</v>
      </c>
      <c r="U18" s="67">
        <f t="shared" si="8"/>
        <v>12944.46054145778</v>
      </c>
      <c r="V18" s="68">
        <f t="shared" si="9"/>
        <v>6256.9973347656633</v>
      </c>
      <c r="W18" s="68">
        <f t="shared" si="10"/>
        <v>26779.467809319889</v>
      </c>
      <c r="X18" s="69">
        <f t="shared" si="11"/>
        <v>-0.32215971026199841</v>
      </c>
      <c r="Y18" s="69">
        <f t="shared" si="12"/>
        <v>0.32215971026199841</v>
      </c>
      <c r="Z18" s="70">
        <f t="shared" si="13"/>
        <v>9.2102874380007052</v>
      </c>
      <c r="AA18" s="71">
        <f t="shared" si="14"/>
        <v>9.4937480133639678</v>
      </c>
      <c r="AB18" s="70">
        <f t="shared" si="15"/>
        <v>9.8572667978459574</v>
      </c>
      <c r="AC18" s="67">
        <f t="shared" si="16"/>
        <v>88</v>
      </c>
      <c r="AD18" s="81">
        <f t="shared" si="17"/>
        <v>8.7667804852048281</v>
      </c>
      <c r="AE18" s="82">
        <f t="shared" si="18"/>
        <v>10.220715541523107</v>
      </c>
    </row>
    <row r="19" spans="1:32" s="6" customFormat="1" ht="12.75">
      <c r="A19" s="119">
        <v>1983</v>
      </c>
      <c r="B19" s="978">
        <f t="shared" si="0"/>
        <v>1989</v>
      </c>
      <c r="C19" s="64">
        <f>VLOOKUP($A19,FBrood!$A$8:$M$50,8)</f>
        <v>8.9586545817934145</v>
      </c>
      <c r="D19" s="64">
        <f>VLOOKUP($A19,FBrood!$A$8:$M$50,12)</f>
        <v>9.8573102305470623</v>
      </c>
      <c r="E19" s="6">
        <v>35</v>
      </c>
      <c r="F19" s="6">
        <v>33</v>
      </c>
      <c r="G19" s="124">
        <v>7.7167964196126642</v>
      </c>
      <c r="H19" s="124">
        <v>0.18930234715252248</v>
      </c>
      <c r="I19" s="124">
        <v>0.13472777026455046</v>
      </c>
      <c r="J19" s="124">
        <v>9.4126907592748577</v>
      </c>
      <c r="K19" s="124">
        <v>0.63191635368219556</v>
      </c>
      <c r="L19" s="124">
        <v>5.6448134109652957E-2</v>
      </c>
      <c r="M19" s="6">
        <v>0.40994727677669651</v>
      </c>
      <c r="N19" s="65">
        <f t="shared" si="1"/>
        <v>0.44461947127220469</v>
      </c>
      <c r="O19" s="25">
        <f t="shared" si="2"/>
        <v>0.19768647423437485</v>
      </c>
      <c r="P19" s="66">
        <f t="shared" si="3"/>
        <v>9.4126907592748577</v>
      </c>
      <c r="Q19" s="25">
        <f t="shared" si="4"/>
        <v>8.685723231115718</v>
      </c>
      <c r="R19" s="25">
        <f t="shared" si="5"/>
        <v>10.139658287433997</v>
      </c>
      <c r="S19" s="67">
        <f t="shared" si="6"/>
        <v>6854.6835048400444</v>
      </c>
      <c r="T19" s="25">
        <f t="shared" si="7"/>
        <v>46986685.951526195</v>
      </c>
      <c r="U19" s="67">
        <f t="shared" si="8"/>
        <v>12242.769040443645</v>
      </c>
      <c r="V19" s="68">
        <f t="shared" si="9"/>
        <v>5917.8189010556171</v>
      </c>
      <c r="W19" s="68">
        <f t="shared" si="10"/>
        <v>25327.810175284169</v>
      </c>
      <c r="X19" s="69">
        <f t="shared" si="11"/>
        <v>-0.3589318255189422</v>
      </c>
      <c r="Y19" s="69">
        <f t="shared" si="12"/>
        <v>0.3589318255189422</v>
      </c>
      <c r="Z19" s="70">
        <f t="shared" si="13"/>
        <v>8.9586545817934145</v>
      </c>
      <c r="AA19" s="71">
        <f t="shared" si="14"/>
        <v>9.4517790647277113</v>
      </c>
      <c r="AB19" s="70">
        <f t="shared" si="15"/>
        <v>9.8573102305470623</v>
      </c>
      <c r="AC19" s="67">
        <f t="shared" si="16"/>
        <v>89</v>
      </c>
      <c r="AD19" s="81">
        <f t="shared" si="17"/>
        <v>8.7248115365685717</v>
      </c>
      <c r="AE19" s="82">
        <f t="shared" si="18"/>
        <v>10.178746592886851</v>
      </c>
    </row>
    <row r="20" spans="1:32" s="6" customFormat="1" ht="12.75">
      <c r="A20" s="119">
        <v>1984</v>
      </c>
      <c r="B20" s="978">
        <f t="shared" si="0"/>
        <v>1990</v>
      </c>
      <c r="C20" s="64">
        <f>VLOOKUP($A20,FBrood!$A$8:$M$50,8)</f>
        <v>8.9356471061030138</v>
      </c>
      <c r="D20" s="64">
        <f>VLOOKUP($A20,FBrood!$A$8:$M$50,12)</f>
        <v>9.3734255558682165</v>
      </c>
      <c r="E20" s="6">
        <v>35</v>
      </c>
      <c r="F20" s="6">
        <v>33</v>
      </c>
      <c r="G20" s="124">
        <v>8.0027737759697928</v>
      </c>
      <c r="H20" s="124">
        <v>0.16255808781435419</v>
      </c>
      <c r="I20" s="124">
        <v>0.13579063616157741</v>
      </c>
      <c r="J20" s="124">
        <v>9.4553354829217664</v>
      </c>
      <c r="K20" s="124">
        <v>0.63607953128254813</v>
      </c>
      <c r="L20" s="124">
        <v>4.1619930601265891E-2</v>
      </c>
      <c r="M20" s="6">
        <v>0.41531124957145804</v>
      </c>
      <c r="N20" s="65">
        <f t="shared" si="1"/>
        <v>-8.1909927053549936E-2</v>
      </c>
      <c r="O20" s="25">
        <f t="shared" si="2"/>
        <v>6.7092361499178719E-3</v>
      </c>
      <c r="P20" s="66">
        <f t="shared" si="3"/>
        <v>9.4553354829217664</v>
      </c>
      <c r="Q20" s="25">
        <f t="shared" si="4"/>
        <v>8.7283679547626267</v>
      </c>
      <c r="R20" s="25">
        <f t="shared" si="5"/>
        <v>10.182303011080906</v>
      </c>
      <c r="S20" s="67">
        <f t="shared" si="6"/>
        <v>-1004.7810833468684</v>
      </c>
      <c r="T20" s="25">
        <f t="shared" si="7"/>
        <v>1009585.0254517065</v>
      </c>
      <c r="U20" s="67">
        <f t="shared" si="8"/>
        <v>12776.150668600323</v>
      </c>
      <c r="V20" s="68">
        <f t="shared" si="9"/>
        <v>6175.6409566832399</v>
      </c>
      <c r="W20" s="68">
        <f t="shared" si="10"/>
        <v>26431.268762496624</v>
      </c>
      <c r="X20" s="69">
        <f t="shared" si="11"/>
        <v>8.5358044029609323E-2</v>
      </c>
      <c r="Y20" s="69">
        <f t="shared" si="12"/>
        <v>8.5358044029609323E-2</v>
      </c>
      <c r="Z20" s="70">
        <f t="shared" si="13"/>
        <v>8.9356471061030138</v>
      </c>
      <c r="AA20" s="71">
        <f t="shared" si="14"/>
        <v>9.4479417297307862</v>
      </c>
      <c r="AB20" s="70">
        <f t="shared" si="15"/>
        <v>9.3734255558682165</v>
      </c>
      <c r="AC20" s="67">
        <f t="shared" si="16"/>
        <v>90</v>
      </c>
      <c r="AD20" s="81">
        <f t="shared" si="17"/>
        <v>8.7209742015716465</v>
      </c>
      <c r="AE20" s="82">
        <f t="shared" si="18"/>
        <v>10.174909257889926</v>
      </c>
    </row>
    <row r="21" spans="1:32" s="6" customFormat="1" ht="12.75">
      <c r="A21" s="119">
        <v>1985</v>
      </c>
      <c r="B21" s="978">
        <f t="shared" si="0"/>
        <v>1991</v>
      </c>
      <c r="C21" s="64">
        <f>VLOOKUP($A21,FBrood!$A$8:$M$50,8)</f>
        <v>8.6300723085055857</v>
      </c>
      <c r="D21" s="64">
        <f>VLOOKUP($A21,FBrood!$A$8:$M$50,12)</f>
        <v>9.3942843184345097</v>
      </c>
      <c r="E21" s="6">
        <v>35</v>
      </c>
      <c r="F21" s="6">
        <v>33</v>
      </c>
      <c r="G21" s="124">
        <v>7.9565230283820911</v>
      </c>
      <c r="H21" s="124">
        <v>0.16688805120909553</v>
      </c>
      <c r="I21" s="124">
        <v>0.13880512791636676</v>
      </c>
      <c r="J21" s="124">
        <v>9.3927374141641859</v>
      </c>
      <c r="K21" s="124">
        <v>0.63622485409324625</v>
      </c>
      <c r="L21" s="124">
        <v>4.1966821270654153E-2</v>
      </c>
      <c r="M21" s="6">
        <v>0.41550205480790925</v>
      </c>
      <c r="N21" s="65">
        <f t="shared" si="1"/>
        <v>1.546904270323779E-3</v>
      </c>
      <c r="O21" s="25">
        <f t="shared" si="2"/>
        <v>2.392912821545943E-6</v>
      </c>
      <c r="P21" s="66">
        <f t="shared" si="3"/>
        <v>9.3927374141641859</v>
      </c>
      <c r="Q21" s="25">
        <f t="shared" si="4"/>
        <v>8.6657698860050463</v>
      </c>
      <c r="R21" s="25">
        <f t="shared" si="5"/>
        <v>10.119704942323326</v>
      </c>
      <c r="S21" s="67">
        <f t="shared" si="6"/>
        <v>18.5786184883018</v>
      </c>
      <c r="T21" s="25">
        <f t="shared" si="7"/>
        <v>345.16506493386942</v>
      </c>
      <c r="U21" s="67">
        <f t="shared" si="8"/>
        <v>12000.905858917711</v>
      </c>
      <c r="V21" s="68">
        <f t="shared" si="9"/>
        <v>5800.9088701324363</v>
      </c>
      <c r="W21" s="68">
        <f t="shared" si="10"/>
        <v>24827.444226221294</v>
      </c>
      <c r="X21" s="69">
        <f t="shared" si="11"/>
        <v>-1.5457084306091094E-3</v>
      </c>
      <c r="Y21" s="69">
        <f t="shared" si="12"/>
        <v>1.5457084306091094E-3</v>
      </c>
      <c r="Z21" s="70">
        <f t="shared" si="13"/>
        <v>8.6300723085055857</v>
      </c>
      <c r="AA21" s="71">
        <f t="shared" si="14"/>
        <v>9.3969759966456898</v>
      </c>
      <c r="AB21" s="70">
        <f t="shared" si="15"/>
        <v>9.3942843184345097</v>
      </c>
      <c r="AC21" s="67">
        <f t="shared" si="16"/>
        <v>91</v>
      </c>
      <c r="AD21" s="81">
        <f t="shared" si="17"/>
        <v>8.6700084684865502</v>
      </c>
      <c r="AE21" s="82">
        <f t="shared" si="18"/>
        <v>10.12394352480483</v>
      </c>
    </row>
    <row r="22" spans="1:32" s="6" customFormat="1" ht="12.75">
      <c r="A22" s="119">
        <v>1986</v>
      </c>
      <c r="B22" s="978">
        <f t="shared" si="0"/>
        <v>1992</v>
      </c>
      <c r="C22" s="64">
        <f>VLOOKUP($A22,FBrood!$A$8:$M$50,8)</f>
        <v>9.8927634816679095</v>
      </c>
      <c r="D22" s="64">
        <f>VLOOKUP($A22,FBrood!$A$8:$M$50,12)</f>
        <v>10.675430079793667</v>
      </c>
      <c r="E22" s="6">
        <v>35</v>
      </c>
      <c r="F22" s="6">
        <v>33</v>
      </c>
      <c r="G22" s="124">
        <v>7.8062361383799761</v>
      </c>
      <c r="H22" s="124">
        <v>0.17868892572714104</v>
      </c>
      <c r="I22" s="124">
        <v>0.12564359539688411</v>
      </c>
      <c r="J22" s="124">
        <v>9.5739634173919068</v>
      </c>
      <c r="K22" s="124">
        <v>0.6075685345835119</v>
      </c>
      <c r="L22" s="124">
        <v>5.7751852166201101E-2</v>
      </c>
      <c r="M22" s="6">
        <v>0.38367612985278038</v>
      </c>
      <c r="N22" s="65">
        <f t="shared" si="1"/>
        <v>1.1014666624017604</v>
      </c>
      <c r="O22" s="25">
        <f t="shared" si="2"/>
        <v>1.2132288083824736</v>
      </c>
      <c r="P22" s="66">
        <f t="shared" si="3"/>
        <v>9.5739634173919068</v>
      </c>
      <c r="Q22" s="25">
        <f t="shared" si="4"/>
        <v>8.8469958892327671</v>
      </c>
      <c r="R22" s="25">
        <f t="shared" si="5"/>
        <v>10.300930945551046</v>
      </c>
      <c r="S22" s="67">
        <f t="shared" si="6"/>
        <v>28893.99621407875</v>
      </c>
      <c r="T22" s="25">
        <f t="shared" si="7"/>
        <v>834863017.21919715</v>
      </c>
      <c r="U22" s="67">
        <f t="shared" si="8"/>
        <v>14385.31850765512</v>
      </c>
      <c r="V22" s="68">
        <f t="shared" si="9"/>
        <v>6953.4685724351266</v>
      </c>
      <c r="W22" s="68">
        <f t="shared" si="10"/>
        <v>29760.311190162578</v>
      </c>
      <c r="X22" s="69">
        <f t="shared" si="11"/>
        <v>-0.66761676796071945</v>
      </c>
      <c r="Y22" s="69">
        <f t="shared" si="12"/>
        <v>0.66761676796071945</v>
      </c>
      <c r="Z22" s="70">
        <f t="shared" si="13"/>
        <v>9.8927634816679095</v>
      </c>
      <c r="AA22" s="71">
        <f t="shared" si="14"/>
        <v>9.6075757640554329</v>
      </c>
      <c r="AB22" s="70">
        <f t="shared" si="15"/>
        <v>10.675430079793667</v>
      </c>
      <c r="AC22" s="67">
        <f t="shared" si="16"/>
        <v>92</v>
      </c>
      <c r="AD22" s="81">
        <f t="shared" si="17"/>
        <v>8.8806082358962932</v>
      </c>
      <c r="AE22" s="82">
        <f t="shared" si="18"/>
        <v>10.334543292214573</v>
      </c>
    </row>
    <row r="23" spans="1:32" s="6" customFormat="1" ht="12.75">
      <c r="A23" s="119">
        <v>1987</v>
      </c>
      <c r="B23" s="978">
        <f t="shared" si="0"/>
        <v>1993</v>
      </c>
      <c r="C23" s="64">
        <f>VLOOKUP($A23,FBrood!$A$8:$M$50,8)</f>
        <v>9.1458366599460579</v>
      </c>
      <c r="D23" s="64">
        <f>VLOOKUP($A23,FBrood!$A$8:$M$50,12)</f>
        <v>9.5380875011971771</v>
      </c>
      <c r="E23" s="6">
        <v>35</v>
      </c>
      <c r="F23" s="6">
        <v>33</v>
      </c>
      <c r="G23" s="124">
        <v>7.9302999926846933</v>
      </c>
      <c r="H23" s="124">
        <v>0.16931456309304249</v>
      </c>
      <c r="I23" s="124">
        <v>0.13434968007492443</v>
      </c>
      <c r="J23" s="124">
        <v>9.4788233308837917</v>
      </c>
      <c r="K23" s="124">
        <v>0.63614714859857568</v>
      </c>
      <c r="L23" s="124">
        <v>4.591841905476126E-2</v>
      </c>
      <c r="M23" s="6">
        <v>0.41830487348418521</v>
      </c>
      <c r="N23" s="65">
        <f t="shared" si="1"/>
        <v>5.9264170313385378E-2</v>
      </c>
      <c r="O23" s="25">
        <f t="shared" si="2"/>
        <v>3.5122418829339488E-3</v>
      </c>
      <c r="P23" s="66">
        <f t="shared" si="3"/>
        <v>9.4788233308837917</v>
      </c>
      <c r="Q23" s="25">
        <f t="shared" si="4"/>
        <v>8.751855802724652</v>
      </c>
      <c r="R23" s="25">
        <f t="shared" si="5"/>
        <v>10.205790859042931</v>
      </c>
      <c r="S23" s="67">
        <f t="shared" si="6"/>
        <v>798.59296786764753</v>
      </c>
      <c r="T23" s="25">
        <f t="shared" si="7"/>
        <v>637750.72832765756</v>
      </c>
      <c r="U23" s="67">
        <f t="shared" si="8"/>
        <v>13079.786874549985</v>
      </c>
      <c r="V23" s="68">
        <f t="shared" si="9"/>
        <v>6322.4103740166747</v>
      </c>
      <c r="W23" s="68">
        <f t="shared" si="10"/>
        <v>27059.430591020169</v>
      </c>
      <c r="X23" s="69">
        <f t="shared" si="11"/>
        <v>-5.7542233094589487E-2</v>
      </c>
      <c r="Y23" s="69">
        <f t="shared" si="12"/>
        <v>5.7542233094589487E-2</v>
      </c>
      <c r="Z23" s="70">
        <f t="shared" si="13"/>
        <v>9.1458366599460579</v>
      </c>
      <c r="AA23" s="71">
        <f t="shared" si="14"/>
        <v>9.4829984974441786</v>
      </c>
      <c r="AB23" s="70">
        <f t="shared" si="15"/>
        <v>9.5380875011971771</v>
      </c>
      <c r="AC23" s="67">
        <f t="shared" si="16"/>
        <v>93</v>
      </c>
      <c r="AD23" s="81">
        <f t="shared" si="17"/>
        <v>8.7560309692850389</v>
      </c>
      <c r="AE23" s="82">
        <f t="shared" si="18"/>
        <v>10.209966025603318</v>
      </c>
    </row>
    <row r="24" spans="1:32" s="6" customFormat="1" ht="12.75">
      <c r="A24" s="119">
        <v>1988</v>
      </c>
      <c r="B24" s="978">
        <f t="shared" si="0"/>
        <v>1994</v>
      </c>
      <c r="C24" s="64">
        <f>VLOOKUP($A24,FBrood!$A$8:$M$50,8)</f>
        <v>10.352901931665681</v>
      </c>
      <c r="D24" s="64">
        <f>VLOOKUP($A24,FBrood!$A$8:$M$50,12)</f>
        <v>10.497136035360006</v>
      </c>
      <c r="E24" s="6">
        <v>35</v>
      </c>
      <c r="F24" s="6">
        <v>33</v>
      </c>
      <c r="G24" s="124">
        <v>8.0092567101941796</v>
      </c>
      <c r="H24" s="124">
        <v>0.15940170866375844</v>
      </c>
      <c r="I24" s="124">
        <v>0.12811241164632536</v>
      </c>
      <c r="J24" s="124">
        <v>9.6595269677300148</v>
      </c>
      <c r="K24" s="124">
        <v>0.61979929950263313</v>
      </c>
      <c r="L24" s="124">
        <v>4.4810435110489114E-2</v>
      </c>
      <c r="M24" s="6">
        <v>0.40113894667531813</v>
      </c>
      <c r="N24" s="65">
        <f t="shared" si="1"/>
        <v>0.83760906762999099</v>
      </c>
      <c r="O24" s="25">
        <f t="shared" si="2"/>
        <v>0.70158895017598277</v>
      </c>
      <c r="P24" s="66">
        <f t="shared" si="3"/>
        <v>9.6595269677300148</v>
      </c>
      <c r="Q24" s="25">
        <f t="shared" si="4"/>
        <v>8.9325594395708752</v>
      </c>
      <c r="R24" s="25">
        <f t="shared" si="5"/>
        <v>10.386494495889155</v>
      </c>
      <c r="S24" s="67">
        <f t="shared" si="6"/>
        <v>20541.274828059439</v>
      </c>
      <c r="T24" s="25">
        <f t="shared" si="7"/>
        <v>421943971.56186831</v>
      </c>
      <c r="U24" s="67">
        <f t="shared" si="8"/>
        <v>15670.37032376959</v>
      </c>
      <c r="V24" s="68">
        <f t="shared" si="9"/>
        <v>7574.627388803885</v>
      </c>
      <c r="W24" s="68">
        <f t="shared" si="10"/>
        <v>32418.823194794175</v>
      </c>
      <c r="X24" s="69">
        <f t="shared" si="11"/>
        <v>-0.56725605097292608</v>
      </c>
      <c r="Y24" s="69">
        <f t="shared" si="12"/>
        <v>0.56725605097292608</v>
      </c>
      <c r="Z24" s="70">
        <f t="shared" si="13"/>
        <v>10.352901931665681</v>
      </c>
      <c r="AA24" s="71">
        <f t="shared" si="14"/>
        <v>9.6843206187003883</v>
      </c>
      <c r="AB24" s="70">
        <f t="shared" si="15"/>
        <v>10.497136035360006</v>
      </c>
      <c r="AC24" s="67">
        <f t="shared" si="16"/>
        <v>94</v>
      </c>
      <c r="AD24" s="81">
        <f t="shared" si="17"/>
        <v>8.9573530905412486</v>
      </c>
      <c r="AE24" s="82">
        <f t="shared" si="18"/>
        <v>10.411288146859528</v>
      </c>
    </row>
    <row r="25" spans="1:32" s="6" customFormat="1" ht="12.75">
      <c r="A25" s="119">
        <v>1989</v>
      </c>
      <c r="B25" s="978">
        <f t="shared" si="0"/>
        <v>1995</v>
      </c>
      <c r="C25" s="64">
        <f>VLOOKUP($A25,FBrood!$A$8:$M$50,8)</f>
        <v>10.364719107135071</v>
      </c>
      <c r="D25" s="64">
        <f>VLOOKUP($A25,FBrood!$A$8:$M$50,12)</f>
        <v>10.371901569062425</v>
      </c>
      <c r="E25" s="6">
        <v>35</v>
      </c>
      <c r="F25" s="6">
        <v>33</v>
      </c>
      <c r="G25" s="124">
        <v>8.0047948893777452</v>
      </c>
      <c r="H25" s="124">
        <v>0.16019991725492702</v>
      </c>
      <c r="I25" s="124">
        <v>0.12911483001937149</v>
      </c>
      <c r="J25" s="124">
        <v>9.6652220327113447</v>
      </c>
      <c r="K25" s="124">
        <v>0.62457994774805681</v>
      </c>
      <c r="L25" s="124">
        <v>4.4571433449087323E-2</v>
      </c>
      <c r="M25" s="6">
        <v>0.40926323664263153</v>
      </c>
      <c r="N25" s="65">
        <f t="shared" si="1"/>
        <v>0.70667953635108027</v>
      </c>
      <c r="O25" s="25">
        <f t="shared" si="2"/>
        <v>0.49939596709737777</v>
      </c>
      <c r="P25" s="66">
        <f t="shared" si="3"/>
        <v>9.6652220327113447</v>
      </c>
      <c r="Q25" s="25">
        <f t="shared" si="4"/>
        <v>8.938254504552205</v>
      </c>
      <c r="R25" s="25">
        <f t="shared" si="5"/>
        <v>10.392189560870484</v>
      </c>
      <c r="S25" s="67">
        <f t="shared" si="6"/>
        <v>16189.304092754817</v>
      </c>
      <c r="T25" s="25">
        <f t="shared" si="7"/>
        <v>262093567.00768787</v>
      </c>
      <c r="U25" s="67">
        <f t="shared" si="8"/>
        <v>15759.868708706595</v>
      </c>
      <c r="V25" s="68">
        <f t="shared" si="9"/>
        <v>7617.8884543556842</v>
      </c>
      <c r="W25" s="68">
        <f t="shared" si="10"/>
        <v>32603.977231204619</v>
      </c>
      <c r="X25" s="69">
        <f t="shared" si="11"/>
        <v>-0.50672060254449813</v>
      </c>
      <c r="Y25" s="69">
        <f t="shared" si="12"/>
        <v>0.50672060254449813</v>
      </c>
      <c r="Z25" s="70">
        <f t="shared" si="13"/>
        <v>10.364719107135071</v>
      </c>
      <c r="AA25" s="71">
        <f t="shared" si="14"/>
        <v>9.6862915633448026</v>
      </c>
      <c r="AB25" s="70">
        <f t="shared" si="15"/>
        <v>10.371901569062425</v>
      </c>
      <c r="AC25" s="67">
        <f t="shared" si="16"/>
        <v>95</v>
      </c>
      <c r="AD25" s="81">
        <f t="shared" si="17"/>
        <v>8.9593240351856629</v>
      </c>
      <c r="AE25" s="82">
        <f t="shared" si="18"/>
        <v>10.413259091503942</v>
      </c>
    </row>
    <row r="26" spans="1:32" s="6" customFormat="1" ht="12.75">
      <c r="A26" s="119">
        <v>1990</v>
      </c>
      <c r="B26" s="978">
        <f t="shared" si="0"/>
        <v>1996</v>
      </c>
      <c r="C26" s="64">
        <f>VLOOKUP($A26,FBrood!$A$8:$M$50,8)</f>
        <v>10.932271267111018</v>
      </c>
      <c r="D26" s="64">
        <f>VLOOKUP($A26,FBrood!$A$8:$M$50,12)</f>
        <v>10.474226626460448</v>
      </c>
      <c r="E26" s="6">
        <v>35</v>
      </c>
      <c r="F26" s="6">
        <v>33</v>
      </c>
      <c r="G26" s="124">
        <v>8.1865390409223693</v>
      </c>
      <c r="H26" s="124">
        <v>0.14221538979094617</v>
      </c>
      <c r="I26" s="124">
        <v>0.13064385498962419</v>
      </c>
      <c r="J26" s="124">
        <v>9.7412762604749243</v>
      </c>
      <c r="K26" s="124">
        <v>0.62400645928835707</v>
      </c>
      <c r="L26" s="124">
        <v>3.466408511847386E-2</v>
      </c>
      <c r="M26" s="6">
        <v>0.41135199612540291</v>
      </c>
      <c r="N26" s="65">
        <f t="shared" si="1"/>
        <v>0.73295036598552343</v>
      </c>
      <c r="O26" s="25">
        <f t="shared" si="2"/>
        <v>0.53721623899831272</v>
      </c>
      <c r="P26" s="66">
        <f t="shared" si="3"/>
        <v>9.7412762604749243</v>
      </c>
      <c r="Q26" s="25">
        <f t="shared" si="4"/>
        <v>9.0143087323157847</v>
      </c>
      <c r="R26" s="25">
        <f t="shared" si="5"/>
        <v>10.468243788634064</v>
      </c>
      <c r="S26" s="67">
        <f t="shared" si="6"/>
        <v>18386.257650292504</v>
      </c>
      <c r="T26" s="25">
        <f t="shared" si="7"/>
        <v>338054470.38293964</v>
      </c>
      <c r="U26" s="67">
        <f t="shared" si="8"/>
        <v>17005.230640950944</v>
      </c>
      <c r="V26" s="68">
        <f t="shared" si="9"/>
        <v>8219.8622690167904</v>
      </c>
      <c r="W26" s="68">
        <f t="shared" si="10"/>
        <v>35180.378902690121</v>
      </c>
      <c r="X26" s="69">
        <f t="shared" si="11"/>
        <v>-0.51951072243666074</v>
      </c>
      <c r="Y26" s="69">
        <f t="shared" si="12"/>
        <v>0.51951072243666074</v>
      </c>
      <c r="Z26" s="70">
        <f t="shared" si="13"/>
        <v>10.932271267111018</v>
      </c>
      <c r="AA26" s="71">
        <f t="shared" si="14"/>
        <v>9.7809515684389119</v>
      </c>
      <c r="AB26" s="70">
        <f t="shared" si="15"/>
        <v>10.474226626460448</v>
      </c>
      <c r="AC26" s="67">
        <f t="shared" si="16"/>
        <v>96</v>
      </c>
      <c r="AD26" s="81">
        <f t="shared" si="17"/>
        <v>9.0539840402797722</v>
      </c>
      <c r="AE26" s="82">
        <f t="shared" si="18"/>
        <v>10.507919096598052</v>
      </c>
    </row>
    <row r="27" spans="1:32" s="6" customFormat="1" ht="12.75">
      <c r="A27" s="119">
        <v>1991</v>
      </c>
      <c r="B27" s="978">
        <f t="shared" si="0"/>
        <v>1997</v>
      </c>
      <c r="C27" s="64">
        <f>VLOOKUP($A27,FBrood!$A$8:$M$50,8)</f>
        <v>10.656121348880983</v>
      </c>
      <c r="D27" s="64">
        <f>VLOOKUP($A27,FBrood!$A$8:$M$50,12)</f>
        <v>10.173538987678372</v>
      </c>
      <c r="E27" s="6">
        <v>35</v>
      </c>
      <c r="F27" s="6">
        <v>33</v>
      </c>
      <c r="G27" s="124">
        <v>8.0456208173551413</v>
      </c>
      <c r="H27" s="124">
        <v>0.15686138529305968</v>
      </c>
      <c r="I27" s="124">
        <v>0.13114615815051622</v>
      </c>
      <c r="J27" s="124">
        <v>9.7171547739915596</v>
      </c>
      <c r="K27" s="124">
        <v>0.63143941754787858</v>
      </c>
      <c r="L27" s="124">
        <v>4.1550498878700735E-2</v>
      </c>
      <c r="M27" s="6">
        <v>0.42245002297261014</v>
      </c>
      <c r="N27" s="65">
        <f t="shared" si="1"/>
        <v>0.45638421368681215</v>
      </c>
      <c r="O27" s="25">
        <f t="shared" si="2"/>
        <v>0.20828655050252981</v>
      </c>
      <c r="P27" s="66">
        <f t="shared" si="3"/>
        <v>9.7171547739915596</v>
      </c>
      <c r="Q27" s="25">
        <f t="shared" si="4"/>
        <v>8.9901872458324199</v>
      </c>
      <c r="R27" s="25">
        <f t="shared" si="5"/>
        <v>10.444122302150699</v>
      </c>
      <c r="S27" s="67">
        <f t="shared" si="6"/>
        <v>9600.6897392548053</v>
      </c>
      <c r="T27" s="25">
        <f t="shared" si="7"/>
        <v>92173243.469432503</v>
      </c>
      <c r="U27" s="67">
        <f t="shared" si="8"/>
        <v>16599.946874223966</v>
      </c>
      <c r="V27" s="68">
        <f t="shared" si="9"/>
        <v>8023.959207617454</v>
      </c>
      <c r="W27" s="68">
        <f t="shared" si="10"/>
        <v>34341.928852960758</v>
      </c>
      <c r="X27" s="69">
        <f t="shared" si="11"/>
        <v>-0.36642963607669687</v>
      </c>
      <c r="Y27" s="69">
        <f t="shared" si="12"/>
        <v>0.36642963607669687</v>
      </c>
      <c r="Z27" s="70">
        <f t="shared" si="13"/>
        <v>10.656121348880983</v>
      </c>
      <c r="AA27" s="71">
        <f t="shared" si="14"/>
        <v>9.7348935062733108</v>
      </c>
      <c r="AB27" s="70">
        <f t="shared" si="15"/>
        <v>10.173538987678372</v>
      </c>
      <c r="AC27" s="67">
        <f t="shared" si="16"/>
        <v>97</v>
      </c>
      <c r="AD27" s="81">
        <f t="shared" si="17"/>
        <v>9.0079259781141712</v>
      </c>
      <c r="AE27" s="82">
        <f t="shared" si="18"/>
        <v>10.461861034432451</v>
      </c>
    </row>
    <row r="28" spans="1:32" s="6" customFormat="1" ht="12.75">
      <c r="A28" s="119">
        <v>1992</v>
      </c>
      <c r="B28" s="978">
        <f t="shared" si="0"/>
        <v>1998</v>
      </c>
      <c r="C28" s="64">
        <f>VLOOKUP($A28,FBrood!$A$8:$M$50,8)</f>
        <v>10.933721433830124</v>
      </c>
      <c r="D28" s="64">
        <f>VLOOKUP($A28,FBrood!$A$8:$M$50,12)</f>
        <v>10.299142556777642</v>
      </c>
      <c r="E28" s="6">
        <v>35</v>
      </c>
      <c r="F28" s="6">
        <v>33</v>
      </c>
      <c r="G28" s="124">
        <v>8.1290019091367789</v>
      </c>
      <c r="H28" s="124">
        <v>0.14839353443359862</v>
      </c>
      <c r="I28" s="124">
        <v>0.13178686325695832</v>
      </c>
      <c r="J28" s="124">
        <v>9.751495477215224</v>
      </c>
      <c r="K28" s="124">
        <v>0.62943353333311458</v>
      </c>
      <c r="L28" s="124">
        <v>3.6999699618926976E-2</v>
      </c>
      <c r="M28" s="6">
        <v>0.42216404327552853</v>
      </c>
      <c r="N28" s="65">
        <f t="shared" si="1"/>
        <v>0.54764707956241843</v>
      </c>
      <c r="O28" s="25">
        <f t="shared" si="2"/>
        <v>0.29991732375324587</v>
      </c>
      <c r="P28" s="66">
        <f t="shared" si="3"/>
        <v>9.751495477215224</v>
      </c>
      <c r="Q28" s="25">
        <f t="shared" si="4"/>
        <v>9.0245279490560844</v>
      </c>
      <c r="R28" s="25">
        <f t="shared" si="5"/>
        <v>10.478463005374364</v>
      </c>
      <c r="S28" s="67">
        <f t="shared" si="6"/>
        <v>12527.233987601161</v>
      </c>
      <c r="T28" s="25">
        <f t="shared" si="7"/>
        <v>156931591.3801097</v>
      </c>
      <c r="U28" s="67">
        <f t="shared" si="8"/>
        <v>17179.90175949136</v>
      </c>
      <c r="V28" s="68">
        <f t="shared" si="9"/>
        <v>8304.2934988596717</v>
      </c>
      <c r="W28" s="68">
        <f t="shared" si="10"/>
        <v>35541.738078778602</v>
      </c>
      <c r="X28" s="69">
        <f t="shared" si="11"/>
        <v>-0.42169107430113717</v>
      </c>
      <c r="Y28" s="69">
        <f t="shared" si="12"/>
        <v>0.42169107430113717</v>
      </c>
      <c r="Z28" s="70">
        <f t="shared" si="13"/>
        <v>10.933721433830124</v>
      </c>
      <c r="AA28" s="71">
        <f t="shared" si="14"/>
        <v>9.781193436585486</v>
      </c>
      <c r="AB28" s="70">
        <f t="shared" si="15"/>
        <v>10.299142556777642</v>
      </c>
      <c r="AC28" s="67">
        <f t="shared" si="16"/>
        <v>98</v>
      </c>
      <c r="AD28" s="81">
        <f t="shared" si="17"/>
        <v>9.0542259084263463</v>
      </c>
      <c r="AE28" s="82">
        <f t="shared" si="18"/>
        <v>10.508160964744626</v>
      </c>
    </row>
    <row r="29" spans="1:32" s="6" customFormat="1" ht="12.75">
      <c r="A29" s="119">
        <v>1993</v>
      </c>
      <c r="B29" s="978">
        <f t="shared" si="0"/>
        <v>1999</v>
      </c>
      <c r="C29" s="64">
        <f>VLOOKUP($A29,FBrood!$A$8:$M$50,8)</f>
        <v>11.132704821306314</v>
      </c>
      <c r="D29" s="64">
        <f>VLOOKUP($A29,FBrood!$A$8:$M$50,12)</f>
        <v>10.233885379277817</v>
      </c>
      <c r="E29" s="6">
        <v>35</v>
      </c>
      <c r="F29" s="6">
        <v>33</v>
      </c>
      <c r="G29" s="124">
        <v>8.1374753475511348</v>
      </c>
      <c r="H29" s="124">
        <v>0.14782372715079936</v>
      </c>
      <c r="I29" s="124">
        <v>0.13332801340204115</v>
      </c>
      <c r="J29" s="124">
        <v>9.7831532675063073</v>
      </c>
      <c r="K29" s="124">
        <v>0.63170587251066723</v>
      </c>
      <c r="L29" s="124">
        <v>3.5912687598813213E-2</v>
      </c>
      <c r="M29" s="6">
        <v>0.4269799996739318</v>
      </c>
      <c r="N29" s="65">
        <f t="shared" si="1"/>
        <v>0.45073211177150974</v>
      </c>
      <c r="O29" s="25">
        <f t="shared" si="2"/>
        <v>0.20315943658200475</v>
      </c>
      <c r="P29" s="66">
        <f t="shared" si="3"/>
        <v>9.7831532675063073</v>
      </c>
      <c r="Q29" s="25">
        <f t="shared" si="4"/>
        <v>9.0561857393471676</v>
      </c>
      <c r="R29" s="25">
        <f t="shared" si="5"/>
        <v>10.510120795665447</v>
      </c>
      <c r="S29" s="67">
        <f t="shared" si="6"/>
        <v>10097.952016523232</v>
      </c>
      <c r="T29" s="25">
        <f t="shared" si="7"/>
        <v>101968634.92800561</v>
      </c>
      <c r="U29" s="67">
        <f t="shared" si="8"/>
        <v>17732.480040842369</v>
      </c>
      <c r="V29" s="68">
        <f t="shared" si="9"/>
        <v>8571.3946903376182</v>
      </c>
      <c r="W29" s="68">
        <f t="shared" si="10"/>
        <v>36684.910654427869</v>
      </c>
      <c r="X29" s="327">
        <f t="shared" si="11"/>
        <v>-0.36283849261516254</v>
      </c>
      <c r="Y29" s="327">
        <f t="shared" si="12"/>
        <v>0.36283849261516254</v>
      </c>
      <c r="Z29" s="70">
        <f t="shared" si="13"/>
        <v>11.132704821306314</v>
      </c>
      <c r="AA29" s="71">
        <f t="shared" si="14"/>
        <v>9.8143811676883637</v>
      </c>
      <c r="AB29" s="70">
        <f t="shared" si="15"/>
        <v>10.233885379277817</v>
      </c>
      <c r="AC29" s="67">
        <f t="shared" si="16"/>
        <v>99</v>
      </c>
      <c r="AD29" s="81">
        <f t="shared" si="17"/>
        <v>9.087413639529224</v>
      </c>
      <c r="AE29" s="82">
        <f t="shared" si="18"/>
        <v>10.541348695847503</v>
      </c>
    </row>
    <row r="30" spans="1:32" s="6" customFormat="1" ht="12.75">
      <c r="A30" s="119">
        <v>1994</v>
      </c>
      <c r="B30" s="978">
        <f t="shared" si="0"/>
        <v>2000</v>
      </c>
      <c r="C30" s="64">
        <f>VLOOKUP($A30,FBrood!$A$8:$M$50,8)</f>
        <v>10.927145676643779</v>
      </c>
      <c r="D30" s="64">
        <f>VLOOKUP($A30,FBrood!$A$8:$M$50,12)</f>
        <v>9.6806349952062227</v>
      </c>
      <c r="E30" s="6">
        <v>35</v>
      </c>
      <c r="F30" s="6">
        <v>33</v>
      </c>
      <c r="G30" s="124">
        <v>7.924996452872616</v>
      </c>
      <c r="H30" s="124">
        <v>0.1702873101414315</v>
      </c>
      <c r="I30" s="124">
        <v>0.1331257043180131</v>
      </c>
      <c r="J30" s="124">
        <v>9.7857506976718582</v>
      </c>
      <c r="K30" s="124">
        <v>0.63597587247820742</v>
      </c>
      <c r="L30" s="124">
        <v>4.7240043611214616E-2</v>
      </c>
      <c r="M30" s="6">
        <v>0.43179127212609114</v>
      </c>
      <c r="N30" s="65">
        <f t="shared" si="1"/>
        <v>-0.10511570246563551</v>
      </c>
      <c r="O30" s="25">
        <f t="shared" si="2"/>
        <v>1.104931090484401E-2</v>
      </c>
      <c r="P30" s="66">
        <f t="shared" si="3"/>
        <v>9.7857506976718582</v>
      </c>
      <c r="Q30" s="25">
        <f t="shared" si="4"/>
        <v>9.0587831695127186</v>
      </c>
      <c r="R30" s="25">
        <f t="shared" si="5"/>
        <v>10.512718225830998</v>
      </c>
      <c r="S30" s="67">
        <f t="shared" si="6"/>
        <v>-1773.94220736032</v>
      </c>
      <c r="T30" s="25">
        <f t="shared" si="7"/>
        <v>3146870.9550544047</v>
      </c>
      <c r="U30" s="67">
        <f t="shared" si="8"/>
        <v>17778.598788594896</v>
      </c>
      <c r="V30" s="68">
        <f t="shared" si="9"/>
        <v>8593.6872285894897</v>
      </c>
      <c r="W30" s="68">
        <f t="shared" si="10"/>
        <v>36780.321005202197</v>
      </c>
      <c r="X30" s="69">
        <f t="shared" si="11"/>
        <v>0.11083912974679277</v>
      </c>
      <c r="Y30" s="69">
        <f t="shared" si="12"/>
        <v>0.11083912974679277</v>
      </c>
      <c r="Z30" s="70">
        <f t="shared" si="13"/>
        <v>10.927145676643779</v>
      </c>
      <c r="AA30" s="71">
        <f t="shared" si="14"/>
        <v>9.7800966894445995</v>
      </c>
      <c r="AB30" s="70">
        <f t="shared" si="15"/>
        <v>9.6806349952062227</v>
      </c>
      <c r="AC30" s="213" t="s">
        <v>179</v>
      </c>
      <c r="AD30" s="81">
        <f t="shared" si="17"/>
        <v>9.0531291612854599</v>
      </c>
      <c r="AE30" s="82">
        <f t="shared" si="18"/>
        <v>10.507064217603739</v>
      </c>
      <c r="AF30" s="125"/>
    </row>
    <row r="31" spans="1:32" s="6" customFormat="1" ht="12.75">
      <c r="A31" s="119">
        <v>1995</v>
      </c>
      <c r="B31" s="978">
        <f t="shared" si="0"/>
        <v>2001</v>
      </c>
      <c r="C31" s="64">
        <f>VLOOKUP($A31,FBrood!$A$8:$M$50,8)</f>
        <v>10.789352931941133</v>
      </c>
      <c r="D31" s="64">
        <f>VLOOKUP($A31,FBrood!$A$8:$M$50,12)</f>
        <v>9.6201277812079784</v>
      </c>
      <c r="E31" s="6">
        <v>35</v>
      </c>
      <c r="F31" s="6">
        <v>33</v>
      </c>
      <c r="G31" s="124">
        <v>7.921646247513177</v>
      </c>
      <c r="H31" s="124">
        <v>0.17072260507406758</v>
      </c>
      <c r="I31" s="124">
        <v>0.13249517035944952</v>
      </c>
      <c r="J31" s="124">
        <v>9.7636326871176955</v>
      </c>
      <c r="K31" s="124">
        <v>0.63575657456337253</v>
      </c>
      <c r="L31" s="124">
        <v>4.7901582979718971E-2</v>
      </c>
      <c r="M31" s="6">
        <v>0.43072704683383106</v>
      </c>
      <c r="N31" s="65">
        <f t="shared" si="1"/>
        <v>-0.1435049059097171</v>
      </c>
      <c r="O31" s="25">
        <f t="shared" si="2"/>
        <v>2.0593658020156756E-2</v>
      </c>
      <c r="P31" s="66">
        <f t="shared" si="3"/>
        <v>9.7636326871176955</v>
      </c>
      <c r="Q31" s="25">
        <f t="shared" si="4"/>
        <v>9.0366651589585558</v>
      </c>
      <c r="R31" s="25">
        <f t="shared" si="5"/>
        <v>10.490600215276835</v>
      </c>
      <c r="S31" s="67">
        <f t="shared" si="6"/>
        <v>-2324.7135338800363</v>
      </c>
      <c r="T31" s="25">
        <f t="shared" si="7"/>
        <v>5404293.0146050062</v>
      </c>
      <c r="U31" s="67">
        <f t="shared" si="8"/>
        <v>17389.688369981537</v>
      </c>
      <c r="V31" s="68">
        <f t="shared" si="9"/>
        <v>8405.6985947694266</v>
      </c>
      <c r="W31" s="68">
        <f t="shared" si="10"/>
        <v>35975.744097372815</v>
      </c>
      <c r="X31" s="69">
        <f t="shared" si="11"/>
        <v>0.15431247374599819</v>
      </c>
      <c r="Y31" s="69">
        <f t="shared" si="12"/>
        <v>0.15431247374599819</v>
      </c>
      <c r="Z31" s="70">
        <f t="shared" si="13"/>
        <v>10.789352931941133</v>
      </c>
      <c r="AA31" s="71">
        <f t="shared" si="14"/>
        <v>9.7571147278993635</v>
      </c>
      <c r="AB31" s="70">
        <f t="shared" si="15"/>
        <v>9.6201277812079784</v>
      </c>
      <c r="AC31" s="213" t="s">
        <v>180</v>
      </c>
      <c r="AD31" s="81">
        <f t="shared" si="17"/>
        <v>9.0301471997402238</v>
      </c>
      <c r="AE31" s="82">
        <f t="shared" si="18"/>
        <v>10.484082256058503</v>
      </c>
      <c r="AF31" s="125"/>
    </row>
    <row r="32" spans="1:32" s="6" customFormat="1" ht="12.75">
      <c r="A32" s="119">
        <v>1996</v>
      </c>
      <c r="B32" s="978">
        <f t="shared" si="0"/>
        <v>2002</v>
      </c>
      <c r="C32" s="64">
        <f>VLOOKUP($A32,FBrood!$A$8:$M$50,8)</f>
        <v>10.932762591336017</v>
      </c>
      <c r="D32" s="64">
        <f>VLOOKUP($A32,FBrood!$A$8:$M$50,12)</f>
        <v>9.5570267254061267</v>
      </c>
      <c r="E32" s="6">
        <v>35</v>
      </c>
      <c r="F32" s="6">
        <v>33</v>
      </c>
      <c r="G32" s="124">
        <v>7.8835696551941528</v>
      </c>
      <c r="H32" s="124">
        <v>0.17473092795705808</v>
      </c>
      <c r="I32" s="124">
        <v>0.13293948161198754</v>
      </c>
      <c r="J32" s="124">
        <v>9.7938614079125053</v>
      </c>
      <c r="K32" s="124">
        <v>0.63496021472602415</v>
      </c>
      <c r="L32" s="124">
        <v>4.9745913557360355E-2</v>
      </c>
      <c r="M32" s="6">
        <v>0.42841487826740776</v>
      </c>
      <c r="N32" s="65">
        <f t="shared" si="1"/>
        <v>-0.23683468250637851</v>
      </c>
      <c r="O32" s="25">
        <f t="shared" si="2"/>
        <v>5.609066683789711E-2</v>
      </c>
      <c r="P32" s="66">
        <f t="shared" si="3"/>
        <v>9.7938614079125053</v>
      </c>
      <c r="Q32" s="25">
        <f t="shared" si="4"/>
        <v>9.0668938797533656</v>
      </c>
      <c r="R32" s="25">
        <f t="shared" si="5"/>
        <v>10.520828936071645</v>
      </c>
      <c r="S32" s="67">
        <f t="shared" si="6"/>
        <v>-3779.6517809241686</v>
      </c>
      <c r="T32" s="25">
        <f t="shared" si="7"/>
        <v>14285767.58504324</v>
      </c>
      <c r="U32" s="67">
        <f t="shared" si="8"/>
        <v>17923.382206331113</v>
      </c>
      <c r="V32" s="68">
        <f t="shared" si="9"/>
        <v>8663.6715632778596</v>
      </c>
      <c r="W32" s="68">
        <f t="shared" si="10"/>
        <v>37079.848580119098</v>
      </c>
      <c r="X32" s="69">
        <f t="shared" si="11"/>
        <v>0.26723160490492875</v>
      </c>
      <c r="Y32" s="69">
        <f t="shared" si="12"/>
        <v>0.26723160490492875</v>
      </c>
      <c r="Z32" s="70">
        <f t="shared" si="13"/>
        <v>10.932762591336017</v>
      </c>
      <c r="AA32" s="71">
        <f t="shared" si="14"/>
        <v>9.7810335146579916</v>
      </c>
      <c r="AB32" s="70">
        <f t="shared" si="15"/>
        <v>9.5570267254061267</v>
      </c>
      <c r="AC32" s="213" t="s">
        <v>183</v>
      </c>
      <c r="AD32" s="81">
        <f t="shared" si="17"/>
        <v>9.054065986498852</v>
      </c>
      <c r="AE32" s="82">
        <f t="shared" si="18"/>
        <v>10.508001042817131</v>
      </c>
      <c r="AF32" s="125"/>
    </row>
    <row r="33" spans="1:32" s="6" customFormat="1" ht="12.75">
      <c r="A33" s="119">
        <v>1997</v>
      </c>
      <c r="B33" s="978">
        <f t="shared" si="0"/>
        <v>2003</v>
      </c>
      <c r="C33" s="64">
        <f>VLOOKUP($A33,FBrood!$A$8:$M$50,8)</f>
        <v>10.803113282007757</v>
      </c>
      <c r="D33" s="64">
        <f>VLOOKUP($A33,FBrood!$A$8:$M$50,12)</f>
        <v>10.09530618703949</v>
      </c>
      <c r="E33" s="6">
        <v>35</v>
      </c>
      <c r="F33" s="6">
        <v>33</v>
      </c>
      <c r="G33" s="124">
        <v>8.0479164359061599</v>
      </c>
      <c r="H33" s="124">
        <v>0.1569204711959542</v>
      </c>
      <c r="I33" s="124">
        <v>0.13205716625690039</v>
      </c>
      <c r="J33" s="124">
        <v>9.7431460625020883</v>
      </c>
      <c r="K33" s="124">
        <v>0.63340161282709428</v>
      </c>
      <c r="L33" s="124">
        <v>4.1032249069382493E-2</v>
      </c>
      <c r="M33" s="6">
        <v>0.42783812828778062</v>
      </c>
      <c r="N33" s="65">
        <f t="shared" si="1"/>
        <v>0.3521601245374022</v>
      </c>
      <c r="O33" s="25">
        <f t="shared" si="2"/>
        <v>0.12401675331419862</v>
      </c>
      <c r="P33" s="66">
        <f t="shared" si="3"/>
        <v>9.7431460625020883</v>
      </c>
      <c r="Q33" s="25">
        <f t="shared" si="4"/>
        <v>9.0161785343429486</v>
      </c>
      <c r="R33" s="25">
        <f t="shared" si="5"/>
        <v>10.470113590661228</v>
      </c>
      <c r="S33" s="67">
        <f t="shared" si="6"/>
        <v>7191.9588326203047</v>
      </c>
      <c r="T33" s="25">
        <f t="shared" si="7"/>
        <v>51724271.850105219</v>
      </c>
      <c r="U33" s="67">
        <f t="shared" si="8"/>
        <v>17037.056800712358</v>
      </c>
      <c r="V33" s="68">
        <f t="shared" si="9"/>
        <v>8235.2461620855847</v>
      </c>
      <c r="W33" s="68">
        <f t="shared" si="10"/>
        <v>35246.220782936536</v>
      </c>
      <c r="X33" s="69">
        <f t="shared" si="11"/>
        <v>-0.29683248141233143</v>
      </c>
      <c r="Y33" s="69">
        <f t="shared" si="12"/>
        <v>0.29683248141233143</v>
      </c>
      <c r="Z33" s="70">
        <f t="shared" si="13"/>
        <v>10.803113282007757</v>
      </c>
      <c r="AA33" s="71">
        <f t="shared" si="14"/>
        <v>9.7594097677199478</v>
      </c>
      <c r="AB33" s="70">
        <f t="shared" si="15"/>
        <v>10.09530618703949</v>
      </c>
      <c r="AC33" s="213" t="s">
        <v>212</v>
      </c>
      <c r="AD33" s="81">
        <f t="shared" si="17"/>
        <v>9.0324422395608082</v>
      </c>
      <c r="AE33" s="82">
        <f t="shared" si="18"/>
        <v>10.486377295879088</v>
      </c>
      <c r="AF33" s="125"/>
    </row>
    <row r="34" spans="1:32" s="6" customFormat="1" ht="12.75">
      <c r="A34" s="119">
        <v>1998</v>
      </c>
      <c r="B34" s="978">
        <f t="shared" si="0"/>
        <v>2004</v>
      </c>
      <c r="C34" s="64">
        <f>VLOOKUP($A34,FBrood!$A$8:$M$50,8)</f>
        <v>11.032613945187711</v>
      </c>
      <c r="D34" s="64">
        <f>VLOOKUP($A34,FBrood!$A$8:$M$50,12)</f>
        <v>10.166553820964905</v>
      </c>
      <c r="E34" s="6">
        <v>35</v>
      </c>
      <c r="F34" s="6">
        <v>33</v>
      </c>
      <c r="G34" s="124">
        <v>8.0973978549176913</v>
      </c>
      <c r="H34" s="124">
        <v>0.15193193783986822</v>
      </c>
      <c r="I34" s="124">
        <v>0.1329813512542444</v>
      </c>
      <c r="J34" s="124">
        <v>9.7736042710492139</v>
      </c>
      <c r="K34" s="124">
        <v>0.63276364300529697</v>
      </c>
      <c r="L34" s="124">
        <v>3.8050047962239632E-2</v>
      </c>
      <c r="M34" s="6">
        <v>0.42866258649251321</v>
      </c>
      <c r="N34" s="65">
        <f t="shared" si="1"/>
        <v>0.39294954991569142</v>
      </c>
      <c r="O34" s="25">
        <f t="shared" si="2"/>
        <v>0.15440934877894447</v>
      </c>
      <c r="P34" s="66">
        <f t="shared" si="3"/>
        <v>9.7736042710492139</v>
      </c>
      <c r="Q34" s="25">
        <f t="shared" si="4"/>
        <v>9.0466367428900742</v>
      </c>
      <c r="R34" s="25">
        <f t="shared" si="5"/>
        <v>10.500571799208354</v>
      </c>
      <c r="S34" s="67">
        <f t="shared" si="6"/>
        <v>8454.299973115576</v>
      </c>
      <c r="T34" s="25">
        <f t="shared" si="7"/>
        <v>71475188.035422027</v>
      </c>
      <c r="U34" s="67">
        <f t="shared" si="8"/>
        <v>17563.958537901566</v>
      </c>
      <c r="V34" s="68">
        <f t="shared" si="9"/>
        <v>8489.9360160750493</v>
      </c>
      <c r="W34" s="68">
        <f t="shared" si="10"/>
        <v>36336.273787813945</v>
      </c>
      <c r="X34" s="69">
        <f t="shared" si="11"/>
        <v>-0.32493719629758067</v>
      </c>
      <c r="Y34" s="69">
        <f t="shared" si="12"/>
        <v>0.32493719629758067</v>
      </c>
      <c r="Z34" s="70">
        <f t="shared" si="13"/>
        <v>11.032613945187711</v>
      </c>
      <c r="AA34" s="71">
        <f t="shared" si="14"/>
        <v>9.7976873666399058</v>
      </c>
      <c r="AB34" s="70">
        <f t="shared" si="15"/>
        <v>10.166553820964905</v>
      </c>
      <c r="AC34" s="213" t="s">
        <v>213</v>
      </c>
      <c r="AD34" s="81">
        <f t="shared" si="17"/>
        <v>9.0707198384807661</v>
      </c>
      <c r="AE34" s="82">
        <f t="shared" si="18"/>
        <v>10.524654894799045</v>
      </c>
      <c r="AF34" s="125"/>
    </row>
    <row r="35" spans="1:32" s="6" customFormat="1" ht="12.75">
      <c r="A35" s="119">
        <v>1999</v>
      </c>
      <c r="B35" s="978">
        <f t="shared" si="0"/>
        <v>2005</v>
      </c>
      <c r="C35" s="64">
        <f>VLOOKUP($A35,FBrood!$A$8:$M$50,8)</f>
        <v>10.768363571451721</v>
      </c>
      <c r="D35" s="64">
        <f>VLOOKUP($A35,FBrood!$A$8:$M$50,12)</f>
        <v>9.9186184176033159</v>
      </c>
      <c r="E35" s="6">
        <v>35</v>
      </c>
      <c r="F35" s="6">
        <v>33</v>
      </c>
      <c r="G35" s="124">
        <v>7.9992812452794597</v>
      </c>
      <c r="H35" s="124">
        <v>0.16220538335737025</v>
      </c>
      <c r="I35" s="124">
        <v>0.13237279854648279</v>
      </c>
      <c r="J35" s="124">
        <v>9.7459677865183263</v>
      </c>
      <c r="K35" s="124">
        <v>0.6355461051669582</v>
      </c>
      <c r="L35" s="124">
        <v>4.3520584012224438E-2</v>
      </c>
      <c r="M35" s="6">
        <v>0.43280189258891422</v>
      </c>
      <c r="N35" s="65">
        <f t="shared" si="1"/>
        <v>0.17265063108498957</v>
      </c>
      <c r="O35" s="25">
        <f t="shared" si="2"/>
        <v>2.9808240414045166E-2</v>
      </c>
      <c r="P35" s="66">
        <f t="shared" si="3"/>
        <v>9.7459677865183263</v>
      </c>
      <c r="Q35" s="25">
        <f t="shared" si="4"/>
        <v>9.0190002583591866</v>
      </c>
      <c r="R35" s="25">
        <f t="shared" si="5"/>
        <v>10.472935314677466</v>
      </c>
      <c r="S35" s="67">
        <f t="shared" si="6"/>
        <v>3219.7197604618377</v>
      </c>
      <c r="T35" s="25">
        <f t="shared" si="7"/>
        <v>10366595.335908433</v>
      </c>
      <c r="U35" s="67">
        <f t="shared" si="8"/>
        <v>17085.198562493078</v>
      </c>
      <c r="V35" s="68">
        <f t="shared" si="9"/>
        <v>8258.5165698548499</v>
      </c>
      <c r="W35" s="68">
        <f t="shared" si="10"/>
        <v>35345.816340106474</v>
      </c>
      <c r="X35" s="69">
        <f t="shared" si="11"/>
        <v>-0.15856846647946926</v>
      </c>
      <c r="Y35" s="69">
        <f t="shared" si="12"/>
        <v>0.15856846647946926</v>
      </c>
      <c r="Z35" s="70">
        <f t="shared" si="13"/>
        <v>10.768363571451721</v>
      </c>
      <c r="AA35" s="71">
        <f t="shared" si="14"/>
        <v>9.7536139871552265</v>
      </c>
      <c r="AB35" s="70">
        <f t="shared" si="15"/>
        <v>9.9186184176033159</v>
      </c>
      <c r="AC35" s="213" t="s">
        <v>214</v>
      </c>
      <c r="AD35" s="81">
        <f t="shared" si="17"/>
        <v>9.0266464589960869</v>
      </c>
      <c r="AE35" s="82">
        <f t="shared" si="18"/>
        <v>10.480581515314366</v>
      </c>
      <c r="AF35" s="125"/>
    </row>
    <row r="36" spans="1:32" s="6" customFormat="1" ht="12.75">
      <c r="A36" s="119">
        <v>2000</v>
      </c>
      <c r="B36" s="978">
        <f t="shared" si="0"/>
        <v>2006</v>
      </c>
      <c r="C36" s="64">
        <f>VLOOKUP($A36,FBrood!$A$8:$M$50,8)</f>
        <v>10.535511595455096</v>
      </c>
      <c r="D36" s="64">
        <f>VLOOKUP($A36,FBrood!$A$8:$M$50,12)</f>
        <v>9.7025697851178307</v>
      </c>
      <c r="E36" s="6">
        <v>35</v>
      </c>
      <c r="F36" s="6">
        <v>33</v>
      </c>
      <c r="G36" s="124">
        <v>7.9558185960649102</v>
      </c>
      <c r="H36" s="124">
        <v>0.16699632139399603</v>
      </c>
      <c r="I36" s="124">
        <v>0.13182249103675348</v>
      </c>
      <c r="J36" s="124">
        <v>9.7152102765097013</v>
      </c>
      <c r="K36" s="124">
        <v>0.63622122885534182</v>
      </c>
      <c r="L36" s="124">
        <v>4.637648126398846E-2</v>
      </c>
      <c r="M36" s="6">
        <v>0.43347161043989596</v>
      </c>
      <c r="N36" s="65">
        <f t="shared" si="1"/>
        <v>-1.2640491391870512E-2</v>
      </c>
      <c r="O36" s="25">
        <f t="shared" si="2"/>
        <v>1.5978202262795251E-4</v>
      </c>
      <c r="P36" s="66">
        <f t="shared" si="3"/>
        <v>9.7152102765097013</v>
      </c>
      <c r="Q36" s="25">
        <f t="shared" si="4"/>
        <v>8.9882427483505616</v>
      </c>
      <c r="R36" s="25">
        <f t="shared" si="5"/>
        <v>10.442177804668841</v>
      </c>
      <c r="S36" s="67">
        <f t="shared" si="6"/>
        <v>-208.10581437642031</v>
      </c>
      <c r="T36" s="25">
        <f t="shared" si="7"/>
        <v>43308.029977273109</v>
      </c>
      <c r="U36" s="67">
        <f t="shared" si="8"/>
        <v>16567.699681781047</v>
      </c>
      <c r="V36" s="68">
        <f t="shared" si="9"/>
        <v>8008.3717988936378</v>
      </c>
      <c r="W36" s="68">
        <f t="shared" si="10"/>
        <v>34275.215941348855</v>
      </c>
      <c r="X36" s="69">
        <f t="shared" si="11"/>
        <v>1.2720720090188604E-2</v>
      </c>
      <c r="Y36" s="69">
        <f t="shared" si="12"/>
        <v>1.2720720090188604E-2</v>
      </c>
      <c r="Z36" s="70">
        <f t="shared" si="13"/>
        <v>10.535511595455096</v>
      </c>
      <c r="AA36" s="71">
        <f t="shared" si="14"/>
        <v>9.7147774346964226</v>
      </c>
      <c r="AB36" s="70">
        <f t="shared" si="15"/>
        <v>9.7025697851178307</v>
      </c>
      <c r="AC36" s="213" t="s">
        <v>215</v>
      </c>
      <c r="AD36" s="81">
        <f t="shared" si="17"/>
        <v>8.987809906537283</v>
      </c>
      <c r="AE36" s="82">
        <f t="shared" si="18"/>
        <v>10.441744962855562</v>
      </c>
      <c r="AF36" s="125"/>
    </row>
    <row r="37" spans="1:32" s="6" customFormat="1" ht="12.75">
      <c r="A37" s="119">
        <v>2001</v>
      </c>
      <c r="B37" s="978">
        <f t="shared" si="0"/>
        <v>2007</v>
      </c>
      <c r="C37" s="64">
        <f>VLOOKUP($A37,FBrood!$A$8:$M$50,8)</f>
        <v>11.130479873503816</v>
      </c>
      <c r="D37" s="64">
        <f>VLOOKUP($A37,FBrood!$A$8:$M$50,12)</f>
        <v>10.020361717106663</v>
      </c>
      <c r="E37" s="6">
        <v>35</v>
      </c>
      <c r="F37" s="6">
        <v>33</v>
      </c>
      <c r="G37" s="124">
        <v>8.0458468965639494</v>
      </c>
      <c r="H37" s="124">
        <v>0.15748170053029353</v>
      </c>
      <c r="I37" s="124">
        <v>0.13403822682447017</v>
      </c>
      <c r="J37" s="124">
        <v>9.7986937947615367</v>
      </c>
      <c r="K37" s="124">
        <v>0.63513464782846007</v>
      </c>
      <c r="L37" s="124">
        <v>4.015059661268839E-2</v>
      </c>
      <c r="M37" s="6">
        <v>0.43297094377807394</v>
      </c>
      <c r="N37" s="65">
        <f t="shared" si="1"/>
        <v>0.22166792234512656</v>
      </c>
      <c r="O37" s="25">
        <f t="shared" si="2"/>
        <v>4.9136667796805054E-2</v>
      </c>
      <c r="P37" s="66">
        <f t="shared" si="3"/>
        <v>9.7986937947615367</v>
      </c>
      <c r="Q37" s="25">
        <f t="shared" si="4"/>
        <v>9.071726266602397</v>
      </c>
      <c r="R37" s="25">
        <f t="shared" si="5"/>
        <v>10.525661322920676</v>
      </c>
      <c r="S37" s="67">
        <f t="shared" si="6"/>
        <v>4469.3551574035446</v>
      </c>
      <c r="T37" s="25">
        <f t="shared" si="7"/>
        <v>19975135.523009662</v>
      </c>
      <c r="U37" s="67">
        <f t="shared" si="8"/>
        <v>18010.204533374941</v>
      </c>
      <c r="V37" s="68">
        <f t="shared" si="9"/>
        <v>8705.6390958120664</v>
      </c>
      <c r="W37" s="68">
        <f t="shared" si="10"/>
        <v>37259.466394608462</v>
      </c>
      <c r="X37" s="69">
        <f t="shared" si="11"/>
        <v>-0.19881862540381312</v>
      </c>
      <c r="Y37" s="69">
        <f t="shared" si="12"/>
        <v>0.19881862540381312</v>
      </c>
      <c r="Z37" s="70">
        <f t="shared" si="13"/>
        <v>11.130479873503816</v>
      </c>
      <c r="AA37" s="71">
        <f t="shared" si="14"/>
        <v>9.8140100765619955</v>
      </c>
      <c r="AB37" s="70">
        <f t="shared" si="15"/>
        <v>10.020361717106663</v>
      </c>
      <c r="AC37" s="213" t="s">
        <v>251</v>
      </c>
      <c r="AD37" s="81">
        <f t="shared" si="17"/>
        <v>9.0870425484028559</v>
      </c>
      <c r="AE37" s="82">
        <f t="shared" si="18"/>
        <v>10.540977604721135</v>
      </c>
      <c r="AF37" s="125"/>
    </row>
    <row r="38" spans="1:32" s="6" customFormat="1" ht="12.75">
      <c r="A38" s="119">
        <v>2002</v>
      </c>
      <c r="B38" s="978">
        <f t="shared" si="0"/>
        <v>2008</v>
      </c>
      <c r="C38" s="64">
        <f>VLOOKUP($A38,FBrood!$A$8:$M$50,8)</f>
        <v>10.967830558393432</v>
      </c>
      <c r="D38" s="64">
        <f>VLOOKUP($A38,FBrood!$A$8:$M$50,12)</f>
        <v>9.7438471390541253</v>
      </c>
      <c r="E38" s="6">
        <v>35</v>
      </c>
      <c r="F38" s="6">
        <v>33</v>
      </c>
      <c r="G38" s="124">
        <v>7.9426467443433104</v>
      </c>
      <c r="H38" s="124">
        <v>0.16838481010861311</v>
      </c>
      <c r="I38" s="124">
        <v>0.13336414701994873</v>
      </c>
      <c r="J38" s="124">
        <v>9.7894628102218331</v>
      </c>
      <c r="K38" s="124">
        <v>0.63617815179237402</v>
      </c>
      <c r="L38" s="124">
        <v>4.6081334402264383E-2</v>
      </c>
      <c r="M38" s="6">
        <v>0.4339037570082161</v>
      </c>
      <c r="N38" s="65">
        <f t="shared" si="1"/>
        <v>-4.5615671167707816E-2</v>
      </c>
      <c r="O38" s="25">
        <f t="shared" si="2"/>
        <v>2.0807894560804503E-3</v>
      </c>
      <c r="P38" s="66">
        <f t="shared" si="3"/>
        <v>9.7894628102218331</v>
      </c>
      <c r="Q38" s="25">
        <f t="shared" si="4"/>
        <v>9.0624952820626934</v>
      </c>
      <c r="R38" s="25">
        <f t="shared" si="5"/>
        <v>10.516430338380973</v>
      </c>
      <c r="S38" s="67">
        <f t="shared" si="6"/>
        <v>-795.71232291746128</v>
      </c>
      <c r="T38" s="25">
        <f t="shared" si="7"/>
        <v>633158.1008427022</v>
      </c>
      <c r="U38" s="67">
        <f t="shared" si="8"/>
        <v>17844.717592574831</v>
      </c>
      <c r="V38" s="68">
        <f t="shared" si="9"/>
        <v>8625.6472456914289</v>
      </c>
      <c r="W38" s="68">
        <f t="shared" si="10"/>
        <v>36917.107422612222</v>
      </c>
      <c r="X38" s="69">
        <f t="shared" si="11"/>
        <v>4.6672067392319633E-2</v>
      </c>
      <c r="Y38" s="69">
        <f t="shared" si="12"/>
        <v>4.6672067392319633E-2</v>
      </c>
      <c r="Z38" s="70">
        <f t="shared" si="13"/>
        <v>10.967830558393432</v>
      </c>
      <c r="AA38" s="71">
        <f t="shared" si="14"/>
        <v>9.7868823760920414</v>
      </c>
      <c r="AB38" s="70">
        <f t="shared" si="15"/>
        <v>9.7438471390541253</v>
      </c>
      <c r="AC38" s="213" t="s">
        <v>259</v>
      </c>
      <c r="AD38" s="81">
        <f t="shared" si="17"/>
        <v>9.0599148479329017</v>
      </c>
      <c r="AE38" s="82">
        <f t="shared" si="18"/>
        <v>10.513849904251181</v>
      </c>
      <c r="AF38" s="125"/>
    </row>
    <row r="39" spans="1:32" s="6" customFormat="1" ht="12.75">
      <c r="A39" s="119">
        <v>2003</v>
      </c>
      <c r="B39" s="978">
        <f t="shared" si="0"/>
        <v>2009</v>
      </c>
      <c r="C39" s="64">
        <f>VLOOKUP($A39,FBrood!$A$8:$M$50,8)</f>
        <v>10.379405950511826</v>
      </c>
      <c r="D39" s="64">
        <f>VLOOKUP($A39,FBrood!$A$8:$M$50,12)</f>
        <v>9.1720816029653616</v>
      </c>
      <c r="E39" s="6">
        <v>35</v>
      </c>
      <c r="F39" s="6">
        <v>33</v>
      </c>
      <c r="G39" s="124">
        <v>7.9186342105730283</v>
      </c>
      <c r="H39" s="124">
        <v>0.17208497274069567</v>
      </c>
      <c r="I39" s="124">
        <v>0.13017911792585862</v>
      </c>
      <c r="J39" s="124">
        <v>9.7047740006314704</v>
      </c>
      <c r="K39" s="124">
        <v>0.62963649027296142</v>
      </c>
      <c r="L39" s="124">
        <v>5.028985496546147E-2</v>
      </c>
      <c r="M39" s="6">
        <v>0.42384099154353688</v>
      </c>
      <c r="N39" s="65">
        <f t="shared" si="1"/>
        <v>-0.53269239766610887</v>
      </c>
      <c r="O39" s="25">
        <f t="shared" si="2"/>
        <v>0.28376119053126786</v>
      </c>
      <c r="P39" s="66">
        <f t="shared" si="3"/>
        <v>9.7047740006314704</v>
      </c>
      <c r="Q39" s="25">
        <f t="shared" si="4"/>
        <v>8.9778064724723308</v>
      </c>
      <c r="R39" s="25">
        <f t="shared" si="5"/>
        <v>10.43174152879061</v>
      </c>
      <c r="S39" s="67">
        <f t="shared" si="6"/>
        <v>-6771.0551808506225</v>
      </c>
      <c r="T39" s="25">
        <f t="shared" si="7"/>
        <v>45847188.262124054</v>
      </c>
      <c r="U39" s="67">
        <f t="shared" si="8"/>
        <v>16395.693709303661</v>
      </c>
      <c r="V39" s="68">
        <f t="shared" si="9"/>
        <v>7925.2288275888186</v>
      </c>
      <c r="W39" s="68">
        <f t="shared" si="10"/>
        <v>33919.370412814365</v>
      </c>
      <c r="X39" s="69">
        <f t="shared" si="11"/>
        <v>0.70351267331583922</v>
      </c>
      <c r="Y39" s="69">
        <f t="shared" si="12"/>
        <v>0.70351267331583922</v>
      </c>
      <c r="Z39" s="70">
        <f t="shared" si="13"/>
        <v>10.379405950511826</v>
      </c>
      <c r="AA39" s="71">
        <f t="shared" si="14"/>
        <v>9.6887411296876014</v>
      </c>
      <c r="AB39" s="70">
        <f t="shared" si="15"/>
        <v>9.1720816029653616</v>
      </c>
      <c r="AC39" s="213" t="s">
        <v>260</v>
      </c>
      <c r="AD39" s="81">
        <f t="shared" si="17"/>
        <v>8.9617736015284617</v>
      </c>
      <c r="AE39" s="82">
        <f t="shared" si="18"/>
        <v>10.415708657846741</v>
      </c>
      <c r="AF39" s="125"/>
    </row>
    <row r="40" spans="1:32" s="6" customFormat="1" ht="12.75">
      <c r="A40" s="119">
        <v>2004</v>
      </c>
      <c r="B40" s="978">
        <f t="shared" si="0"/>
        <v>2010</v>
      </c>
      <c r="C40" s="64">
        <f>VLOOKUP($A40,FBrood!$A$8:$M$50,8)</f>
        <v>10.204959256251302</v>
      </c>
      <c r="D40" s="64">
        <f>VLOOKUP($A40,FBrood!$A$8:$M$50,12)</f>
        <v>8.8186735071419058</v>
      </c>
      <c r="E40" s="6">
        <v>35</v>
      </c>
      <c r="F40" s="6">
        <v>33</v>
      </c>
      <c r="G40" s="124">
        <v>7.9596184070179543</v>
      </c>
      <c r="H40" s="124">
        <v>0.1689557314213963</v>
      </c>
      <c r="I40" s="124">
        <v>0.12776583064691796</v>
      </c>
      <c r="J40" s="124">
        <v>9.683804762283442</v>
      </c>
      <c r="K40" s="124">
        <v>0.61865589458310843</v>
      </c>
      <c r="L40" s="124">
        <v>5.032430604909132E-2</v>
      </c>
      <c r="M40" s="6">
        <v>0.40764737644498605</v>
      </c>
      <c r="N40" s="65">
        <f t="shared" si="1"/>
        <v>-0.86513125514153622</v>
      </c>
      <c r="O40" s="25">
        <f t="shared" si="2"/>
        <v>0.7484520886227698</v>
      </c>
      <c r="P40" s="66">
        <f t="shared" si="3"/>
        <v>9.683804762283442</v>
      </c>
      <c r="Q40" s="25">
        <f t="shared" si="4"/>
        <v>8.9568372341243023</v>
      </c>
      <c r="R40" s="25">
        <f t="shared" si="5"/>
        <v>10.410772290442582</v>
      </c>
      <c r="S40" s="67">
        <f t="shared" si="6"/>
        <v>-9296.1755799352395</v>
      </c>
      <c r="T40" s="25">
        <f t="shared" si="7"/>
        <v>86418880.412984282</v>
      </c>
      <c r="U40" s="67">
        <f t="shared" si="8"/>
        <v>16055.468102547944</v>
      </c>
      <c r="V40" s="68">
        <f t="shared" si="9"/>
        <v>7760.7730970567054</v>
      </c>
      <c r="W40" s="68">
        <f t="shared" si="10"/>
        <v>33215.512522804915</v>
      </c>
      <c r="X40" s="69">
        <f t="shared" si="11"/>
        <v>1.3753178381961697</v>
      </c>
      <c r="Y40" s="69">
        <f t="shared" si="12"/>
        <v>1.3753178381961697</v>
      </c>
      <c r="Z40" s="70">
        <f t="shared" si="13"/>
        <v>10.204959256251302</v>
      </c>
      <c r="AA40" s="71">
        <f t="shared" si="14"/>
        <v>9.6596457863308753</v>
      </c>
      <c r="AB40" s="70">
        <f t="shared" si="15"/>
        <v>8.8186735071419058</v>
      </c>
      <c r="AC40" s="213" t="s">
        <v>263</v>
      </c>
      <c r="AD40" s="81">
        <f t="shared" si="17"/>
        <v>8.9326782581717357</v>
      </c>
      <c r="AE40" s="82">
        <f t="shared" si="18"/>
        <v>10.386613314490015</v>
      </c>
      <c r="AF40" s="125"/>
    </row>
    <row r="41" spans="1:32" s="6" customFormat="1" ht="12.75">
      <c r="A41" s="119">
        <v>2005</v>
      </c>
      <c r="B41" s="978">
        <f t="shared" si="0"/>
        <v>2011</v>
      </c>
      <c r="C41" s="64">
        <f>VLOOKUP($A41,FBrood!$A$8:$M$50,8)</f>
        <v>9.8896200751423216</v>
      </c>
      <c r="D41" s="64">
        <f>VLOOKUP($A41,FBrood!$A$8:$M$50,12)</f>
        <v>8.7000098113952635</v>
      </c>
      <c r="E41" s="6">
        <v>35</v>
      </c>
      <c r="F41" s="6">
        <v>33</v>
      </c>
      <c r="G41" s="124">
        <v>8.0874453439485823</v>
      </c>
      <c r="H41" s="124">
        <v>0.15655026438225203</v>
      </c>
      <c r="I41" s="124">
        <v>0.12732596114989292</v>
      </c>
      <c r="J41" s="124">
        <v>9.6356679813521406</v>
      </c>
      <c r="K41" s="124">
        <v>0.61568216107658413</v>
      </c>
      <c r="L41" s="124">
        <v>4.3803314937333838E-2</v>
      </c>
      <c r="M41" s="6">
        <v>0.40143275426692948</v>
      </c>
      <c r="N41" s="65">
        <f t="shared" si="1"/>
        <v>-0.93565816995687712</v>
      </c>
      <c r="O41" s="25">
        <f t="shared" si="2"/>
        <v>0.8754562110070524</v>
      </c>
      <c r="P41" s="66">
        <f t="shared" si="3"/>
        <v>9.6356679813521406</v>
      </c>
      <c r="Q41" s="25">
        <f t="shared" si="4"/>
        <v>8.908700453193001</v>
      </c>
      <c r="R41" s="25">
        <f t="shared" si="5"/>
        <v>10.36263550951128</v>
      </c>
      <c r="S41" s="67">
        <f t="shared" si="6"/>
        <v>-9297.9449846962161</v>
      </c>
      <c r="T41" s="25">
        <f t="shared" si="7"/>
        <v>86451780.938437521</v>
      </c>
      <c r="U41" s="67">
        <f t="shared" si="8"/>
        <v>15300.916099190667</v>
      </c>
      <c r="V41" s="68">
        <f t="shared" si="9"/>
        <v>7396.0433457605668</v>
      </c>
      <c r="W41" s="68">
        <f t="shared" si="10"/>
        <v>31654.497212846818</v>
      </c>
      <c r="X41" s="69">
        <f t="shared" si="11"/>
        <v>1.5488905089424636</v>
      </c>
      <c r="Y41" s="69">
        <f t="shared" si="12"/>
        <v>1.5488905089424636</v>
      </c>
      <c r="Z41" s="70">
        <f t="shared" si="13"/>
        <v>9.8896200751423216</v>
      </c>
      <c r="AA41" s="71">
        <f t="shared" si="14"/>
        <v>9.6070514864670304</v>
      </c>
      <c r="AB41" s="70">
        <f t="shared" si="15"/>
        <v>8.7000098113952635</v>
      </c>
      <c r="AC41" s="213" t="s">
        <v>265</v>
      </c>
      <c r="AD41" s="81">
        <f t="shared" si="17"/>
        <v>8.8800839583078908</v>
      </c>
      <c r="AE41" s="82">
        <f t="shared" si="18"/>
        <v>10.33401901462617</v>
      </c>
      <c r="AF41" s="125"/>
    </row>
    <row r="42" spans="1:32" s="6" customFormat="1" ht="12.75">
      <c r="A42" s="119">
        <v>2006</v>
      </c>
      <c r="B42" s="978">
        <f t="shared" si="0"/>
        <v>2012</v>
      </c>
      <c r="C42" s="64">
        <f>VLOOKUP($A42,FBrood!$A$8:$M$50,8)</f>
        <v>10.623100792171124</v>
      </c>
      <c r="D42" s="64">
        <f>VLOOKUP($A42,FBrood!$A$8:$M$50,12)</f>
        <v>8.5808677407163678</v>
      </c>
      <c r="E42" s="6">
        <v>35</v>
      </c>
      <c r="F42" s="6">
        <v>33</v>
      </c>
      <c r="G42" s="124">
        <v>7.7445024293066247</v>
      </c>
      <c r="H42" s="124">
        <v>0.19105572540376875</v>
      </c>
      <c r="I42" s="124">
        <v>0.1250877612762496</v>
      </c>
      <c r="J42" s="124">
        <v>9.7741066571922293</v>
      </c>
      <c r="K42" s="124">
        <v>0.60270484750124176</v>
      </c>
      <c r="L42" s="124">
        <v>6.6025479290290359E-2</v>
      </c>
      <c r="M42" s="6">
        <v>0.38072586283881049</v>
      </c>
      <c r="N42" s="65">
        <f t="shared" si="1"/>
        <v>-1.1932389164758614</v>
      </c>
      <c r="O42" s="25">
        <f t="shared" si="2"/>
        <v>1.4238191117924879</v>
      </c>
      <c r="P42" s="66">
        <f t="shared" si="3"/>
        <v>9.7741066571922293</v>
      </c>
      <c r="Q42" s="25">
        <f t="shared" si="4"/>
        <v>9.0471391290330896</v>
      </c>
      <c r="R42" s="25">
        <f t="shared" si="5"/>
        <v>10.501074185351369</v>
      </c>
      <c r="S42" s="67">
        <f t="shared" si="6"/>
        <v>-12244.057170671858</v>
      </c>
      <c r="T42" s="25">
        <f t="shared" si="7"/>
        <v>149916935.99868095</v>
      </c>
      <c r="U42" s="67">
        <f t="shared" si="8"/>
        <v>17572.784644158608</v>
      </c>
      <c r="V42" s="68">
        <f t="shared" si="9"/>
        <v>8494.2023138593249</v>
      </c>
      <c r="W42" s="68">
        <f t="shared" si="10"/>
        <v>36354.53321451119</v>
      </c>
      <c r="X42" s="69">
        <f t="shared" si="11"/>
        <v>2.2977450491871747</v>
      </c>
      <c r="Y42" s="69">
        <f t="shared" si="12"/>
        <v>2.2977450491871747</v>
      </c>
      <c r="Z42" s="70">
        <f t="shared" si="13"/>
        <v>10.623100792171124</v>
      </c>
      <c r="AA42" s="71">
        <f t="shared" si="14"/>
        <v>9.7293861251252984</v>
      </c>
      <c r="AB42" s="70">
        <f t="shared" si="15"/>
        <v>8.5808677407163678</v>
      </c>
      <c r="AC42" s="213" t="s">
        <v>304</v>
      </c>
      <c r="AD42" s="81">
        <f t="shared" si="17"/>
        <v>9.0024185969661588</v>
      </c>
      <c r="AE42" s="82">
        <f t="shared" si="18"/>
        <v>10.456353653284438</v>
      </c>
      <c r="AF42" s="125"/>
    </row>
    <row r="43" spans="1:32" s="6" customFormat="1" ht="12.75">
      <c r="A43" s="119">
        <v>2007</v>
      </c>
      <c r="B43" s="978">
        <f t="shared" si="0"/>
        <v>2013</v>
      </c>
      <c r="C43" s="64">
        <f>VLOOKUP($A43,FBrood!$A$8:$M$50,8)</f>
        <v>10.473027633372794</v>
      </c>
      <c r="D43" s="64">
        <f>VLOOKUP($A43,FBrood!$A$8:$M$50,12)</f>
        <v>8.4628598144918517</v>
      </c>
      <c r="E43" s="6">
        <v>35</v>
      </c>
      <c r="F43" s="6">
        <v>33</v>
      </c>
      <c r="G43" s="124">
        <v>7.8117846253817582</v>
      </c>
      <c r="H43" s="124">
        <v>0.18467011893029039</v>
      </c>
      <c r="I43" s="124">
        <v>0.1235923487327325</v>
      </c>
      <c r="J43" s="124">
        <v>9.7458398839969291</v>
      </c>
      <c r="K43" s="124">
        <v>0.59708878130250309</v>
      </c>
      <c r="L43" s="124">
        <v>6.3367335511361172E-2</v>
      </c>
      <c r="M43" s="6">
        <v>0.36937204876612784</v>
      </c>
      <c r="N43" s="65">
        <f t="shared" si="1"/>
        <v>-1.2829800695050775</v>
      </c>
      <c r="O43" s="25">
        <f t="shared" si="2"/>
        <v>1.6460378587472535</v>
      </c>
      <c r="P43" s="66">
        <f t="shared" si="3"/>
        <v>9.7458398839969291</v>
      </c>
      <c r="Q43" s="25">
        <f t="shared" si="4"/>
        <v>9.0188723558377895</v>
      </c>
      <c r="R43" s="25">
        <f t="shared" si="5"/>
        <v>10.472807412156069</v>
      </c>
      <c r="S43" s="67">
        <f t="shared" si="6"/>
        <v>-12347.431926545747</v>
      </c>
      <c r="T43" s="25">
        <f t="shared" si="7"/>
        <v>152459075.18068123</v>
      </c>
      <c r="U43" s="67">
        <f t="shared" si="8"/>
        <v>17083.01346226126</v>
      </c>
      <c r="V43" s="68">
        <f t="shared" si="9"/>
        <v>8257.4603523104488</v>
      </c>
      <c r="W43" s="68">
        <f t="shared" si="10"/>
        <v>35341.295810175485</v>
      </c>
      <c r="X43" s="69">
        <f t="shared" si="11"/>
        <v>2.6073739483571443</v>
      </c>
      <c r="Y43" s="69">
        <f t="shared" si="12"/>
        <v>2.6073739483571443</v>
      </c>
      <c r="Z43" s="70">
        <f t="shared" si="13"/>
        <v>10.473027633372794</v>
      </c>
      <c r="AA43" s="71">
        <f t="shared" si="14"/>
        <v>9.7043559570136289</v>
      </c>
      <c r="AB43" s="70">
        <f t="shared" si="15"/>
        <v>8.4628598144918517</v>
      </c>
      <c r="AC43" s="213" t="s">
        <v>307</v>
      </c>
      <c r="AD43" s="81">
        <f t="shared" si="17"/>
        <v>8.9773884288544892</v>
      </c>
      <c r="AE43" s="82">
        <f t="shared" si="18"/>
        <v>10.431323485172769</v>
      </c>
      <c r="AF43" s="125"/>
    </row>
    <row r="44" spans="1:32" s="6" customFormat="1" ht="12.75">
      <c r="A44" s="119">
        <v>2008</v>
      </c>
      <c r="B44" s="978">
        <f t="shared" si="0"/>
        <v>2014</v>
      </c>
      <c r="C44" s="64">
        <f>VLOOKUP($A44,FBrood!$A$8:$M$50,8)</f>
        <v>10.180744054918474</v>
      </c>
      <c r="D44" s="64">
        <f>VLOOKUP($A44,FBrood!$A$8:$M$50,12)</f>
        <v>9.0879434326305937</v>
      </c>
      <c r="E44" s="6">
        <v>35</v>
      </c>
      <c r="F44" s="6">
        <v>33</v>
      </c>
      <c r="G44" s="124">
        <v>7.9650792283925824</v>
      </c>
      <c r="H44" s="124">
        <v>0.16764760752778227</v>
      </c>
      <c r="I44" s="124">
        <v>0.12974729975272734</v>
      </c>
      <c r="J44" s="124">
        <v>9.6718566120523572</v>
      </c>
      <c r="K44" s="124">
        <v>0.62828154224170241</v>
      </c>
      <c r="L44" s="124">
        <v>4.8155946658408409E-2</v>
      </c>
      <c r="M44" s="6">
        <v>0.40469871227457638</v>
      </c>
      <c r="N44" s="65">
        <f t="shared" si="1"/>
        <v>-0.58391317942176357</v>
      </c>
      <c r="O44" s="25">
        <f t="shared" si="2"/>
        <v>0.34095460110243264</v>
      </c>
      <c r="P44" s="66">
        <f t="shared" si="3"/>
        <v>9.6718566120523572</v>
      </c>
      <c r="Q44" s="25">
        <f t="shared" si="4"/>
        <v>8.9448890838932176</v>
      </c>
      <c r="R44" s="25">
        <f t="shared" si="5"/>
        <v>10.398824140211497</v>
      </c>
      <c r="S44" s="67">
        <f t="shared" si="6"/>
        <v>-7016.8055524352949</v>
      </c>
      <c r="T44" s="25">
        <f t="shared" si="7"/>
        <v>49235560.160686783</v>
      </c>
      <c r="U44" s="67">
        <f t="shared" si="8"/>
        <v>15864.776432551504</v>
      </c>
      <c r="V44" s="68">
        <f t="shared" si="9"/>
        <v>7668.5979718664075</v>
      </c>
      <c r="W44" s="68">
        <f t="shared" si="10"/>
        <v>32821.010069665215</v>
      </c>
      <c r="X44" s="69">
        <f t="shared" si="11"/>
        <v>0.79304121221781609</v>
      </c>
      <c r="Y44" s="69">
        <f t="shared" si="12"/>
        <v>0.79304121221781609</v>
      </c>
      <c r="Z44" s="70">
        <f t="shared" si="13"/>
        <v>10.180744054918474</v>
      </c>
      <c r="AA44" s="71">
        <f t="shared" si="14"/>
        <v>9.6556070190718142</v>
      </c>
      <c r="AB44" s="70">
        <f t="shared" si="15"/>
        <v>9.0879434326305937</v>
      </c>
      <c r="AC44" s="213" t="s">
        <v>307</v>
      </c>
      <c r="AD44" s="81">
        <f t="shared" si="17"/>
        <v>8.9286394909126745</v>
      </c>
      <c r="AE44" s="82">
        <f t="shared" si="18"/>
        <v>10.382574547230954</v>
      </c>
      <c r="AF44" s="125"/>
    </row>
    <row r="45" spans="1:32" s="6" customFormat="1" ht="12.75">
      <c r="A45" s="119">
        <v>2009</v>
      </c>
      <c r="B45" s="978">
        <f t="shared" si="0"/>
        <v>2015</v>
      </c>
      <c r="C45" s="64">
        <f>VLOOKUP($A45,FBrood!$A$8:$M$50,8)</f>
        <v>9.6782501880408773</v>
      </c>
      <c r="D45" s="64">
        <f>VLOOKUP($A45,FBrood!$A$8:$M$50,12)</f>
        <v>9.3664053381223944</v>
      </c>
      <c r="E45" s="6">
        <v>35</v>
      </c>
      <c r="F45" s="6">
        <v>33</v>
      </c>
      <c r="G45" s="124">
        <v>8.0014220734318364</v>
      </c>
      <c r="H45" s="124">
        <v>0.16298819696073327</v>
      </c>
      <c r="I45" s="124">
        <v>0.13184717406170943</v>
      </c>
      <c r="J45" s="124">
        <v>9.5788626213154977</v>
      </c>
      <c r="K45" s="124">
        <v>0.63539349504298981</v>
      </c>
      <c r="L45" s="124">
        <v>4.4258546053808807E-2</v>
      </c>
      <c r="M45" s="6">
        <v>0.41114837356944905</v>
      </c>
      <c r="N45" s="65">
        <f t="shared" si="1"/>
        <v>-0.21245728319310331</v>
      </c>
      <c r="O45" s="25">
        <f t="shared" si="2"/>
        <v>4.5138097181794498E-2</v>
      </c>
      <c r="P45" s="66">
        <f t="shared" si="3"/>
        <v>9.5788626213154977</v>
      </c>
      <c r="Q45" s="25">
        <f t="shared" si="4"/>
        <v>8.851895093156358</v>
      </c>
      <c r="R45" s="25">
        <f t="shared" si="5"/>
        <v>10.305830149474637</v>
      </c>
      <c r="S45" s="67">
        <f t="shared" si="6"/>
        <v>-2766.9466415421793</v>
      </c>
      <c r="T45" s="25">
        <f t="shared" si="7"/>
        <v>7655993.7171415454</v>
      </c>
      <c r="U45" s="67">
        <f t="shared" si="8"/>
        <v>14455.968038447205</v>
      </c>
      <c r="V45" s="68">
        <f t="shared" si="9"/>
        <v>6987.618618661676</v>
      </c>
      <c r="W45" s="68">
        <f t="shared" si="10"/>
        <v>29906.470763945566</v>
      </c>
      <c r="X45" s="69">
        <f t="shared" si="11"/>
        <v>0.23671328399439845</v>
      </c>
      <c r="Y45" s="69">
        <f t="shared" si="12"/>
        <v>0.23671328399439845</v>
      </c>
      <c r="Z45" s="70">
        <f t="shared" si="13"/>
        <v>9.6782501880408773</v>
      </c>
      <c r="AA45" s="71">
        <f t="shared" si="14"/>
        <v>9.5717978551697556</v>
      </c>
      <c r="AB45" s="70">
        <f t="shared" si="15"/>
        <v>9.3664053381223944</v>
      </c>
      <c r="AC45" s="213" t="s">
        <v>307</v>
      </c>
      <c r="AD45" s="81">
        <f t="shared" si="17"/>
        <v>8.8448303270106159</v>
      </c>
      <c r="AE45" s="82">
        <f t="shared" si="18"/>
        <v>10.298765383328895</v>
      </c>
      <c r="AF45" s="125"/>
    </row>
    <row r="46" spans="1:32" s="6" customFormat="1" ht="12.75">
      <c r="A46" s="119">
        <v>2010</v>
      </c>
      <c r="B46" s="978">
        <f t="shared" si="0"/>
        <v>2016</v>
      </c>
      <c r="C46" s="64">
        <f>VLOOKUP($A46,FBrood!$A$8:$M$50,8)</f>
        <v>10.524446289971486</v>
      </c>
      <c r="D46" s="64">
        <f>VLOOKUP($A46,FBrood!$A$8:$M$50,12)</f>
        <v>7.8718496635833519</v>
      </c>
      <c r="E46" s="6">
        <v>35</v>
      </c>
      <c r="F46" s="6">
        <v>33</v>
      </c>
      <c r="G46" s="124">
        <v>7.7026169100582678</v>
      </c>
      <c r="H46" s="124">
        <v>0.19713569903902098</v>
      </c>
      <c r="I46" s="124">
        <v>0.11315103221292937</v>
      </c>
      <c r="J46" s="124">
        <v>9.7763898332874035</v>
      </c>
      <c r="K46" s="124">
        <v>0.5462533101080369</v>
      </c>
      <c r="L46" s="124">
        <v>8.423340766635945E-2</v>
      </c>
      <c r="M46" s="6">
        <v>0.30638679718853218</v>
      </c>
      <c r="N46" s="65">
        <f t="shared" si="1"/>
        <v>-1.9045401697040516</v>
      </c>
      <c r="O46" s="25">
        <f t="shared" si="2"/>
        <v>3.6272732580163378</v>
      </c>
      <c r="P46" s="66">
        <f t="shared" si="3"/>
        <v>9.7763898332874035</v>
      </c>
      <c r="Q46" s="25">
        <f t="shared" si="4"/>
        <v>9.0494223051282638</v>
      </c>
      <c r="R46" s="25">
        <f t="shared" si="5"/>
        <v>10.503357361446543</v>
      </c>
      <c r="S46" s="67">
        <f t="shared" si="6"/>
        <v>-14990.540559010686</v>
      </c>
      <c r="T46" s="25">
        <f t="shared" si="7"/>
        <v>224716306.25134441</v>
      </c>
      <c r="U46" s="67">
        <f t="shared" si="8"/>
        <v>17612.952243385862</v>
      </c>
      <c r="V46" s="68">
        <f t="shared" si="9"/>
        <v>8513.6182300733617</v>
      </c>
      <c r="W46" s="68">
        <f t="shared" si="10"/>
        <v>36437.631844001291</v>
      </c>
      <c r="X46" s="69">
        <f t="shared" si="11"/>
        <v>5.7163185507169425</v>
      </c>
      <c r="Y46" s="69">
        <f t="shared" si="12"/>
        <v>5.7163185507169425</v>
      </c>
      <c r="Z46" s="70">
        <f t="shared" si="13"/>
        <v>10.524446289971486</v>
      </c>
      <c r="AA46" s="71">
        <f t="shared" si="14"/>
        <v>9.7129318917713618</v>
      </c>
      <c r="AB46" s="70">
        <f t="shared" si="15"/>
        <v>7.8718496635833519</v>
      </c>
      <c r="AC46" s="213" t="s">
        <v>371</v>
      </c>
      <c r="AD46" s="81">
        <f t="shared" si="17"/>
        <v>8.9859643636122222</v>
      </c>
      <c r="AE46" s="82">
        <f t="shared" si="18"/>
        <v>10.439899419930502</v>
      </c>
      <c r="AF46" s="125"/>
    </row>
    <row r="47" spans="1:32" s="6" customFormat="1" ht="12.75">
      <c r="A47" s="119"/>
      <c r="B47" s="567"/>
      <c r="C47" s="64"/>
      <c r="D47" s="64"/>
      <c r="G47" s="124"/>
      <c r="H47" s="124"/>
      <c r="I47" s="124"/>
      <c r="J47" s="124"/>
      <c r="K47" s="124"/>
      <c r="L47" s="124"/>
      <c r="N47" s="65"/>
      <c r="O47" s="25"/>
      <c r="P47" s="66"/>
      <c r="Q47" s="25"/>
      <c r="R47" s="25"/>
      <c r="S47" s="67"/>
      <c r="T47" s="25"/>
      <c r="U47" s="67"/>
      <c r="V47" s="68"/>
      <c r="W47" s="68"/>
      <c r="X47" s="69"/>
      <c r="Y47" s="69"/>
      <c r="Z47" s="70"/>
      <c r="AA47" s="211"/>
      <c r="AB47" s="70"/>
      <c r="AC47" s="67"/>
      <c r="AD47" s="212"/>
      <c r="AE47" s="82"/>
      <c r="AF47" s="125"/>
    </row>
    <row r="48" spans="1:32" s="6" customFormat="1" ht="12.75">
      <c r="A48" s="119">
        <v>2011</v>
      </c>
      <c r="B48" s="978">
        <f t="shared" ref="B48" si="19">A48+$H$4</f>
        <v>2017</v>
      </c>
      <c r="C48" s="64">
        <f>VLOOKUP($A48,FBrood!$A$8:$M$50,8)</f>
        <v>9.8062026003423828</v>
      </c>
      <c r="D48" s="64">
        <f>VLOOKUP($A48,FBrood!$A$8:$M$50,12)</f>
        <v>0</v>
      </c>
      <c r="E48" s="6">
        <v>36</v>
      </c>
      <c r="F48" s="6">
        <v>34</v>
      </c>
      <c r="G48" s="124">
        <v>7.9575969469381072</v>
      </c>
      <c r="H48" s="124">
        <v>0.1667864414402376</v>
      </c>
      <c r="I48" s="124">
        <v>0.1294377070394849</v>
      </c>
      <c r="J48" s="124">
        <v>9.5930234837876593</v>
      </c>
      <c r="K48" s="124">
        <v>0.62679882850724955</v>
      </c>
      <c r="L48" s="124">
        <v>4.6560137268218754E-2</v>
      </c>
      <c r="M48" s="6">
        <v>0.40073407227695962</v>
      </c>
      <c r="N48" s="65">
        <f>D48-J48</f>
        <v>-9.5930234837876593</v>
      </c>
      <c r="O48" s="371">
        <f>N48^2</f>
        <v>92.026099560501521</v>
      </c>
      <c r="P48" s="66">
        <f>J48</f>
        <v>9.5930234837876593</v>
      </c>
      <c r="Q48" s="25">
        <f>$P48-SQRT($O$50)*$Q$50</f>
        <v>8.8660559556285197</v>
      </c>
      <c r="R48" s="25">
        <f>$P48+SQRT($O$50)*$Q$50</f>
        <v>10.319991011946799</v>
      </c>
      <c r="S48" s="67">
        <f>EXP(D48)-U48</f>
        <v>-14661.133307570532</v>
      </c>
      <c r="T48" s="25">
        <f>S48^2</f>
        <v>214948829.86235404</v>
      </c>
      <c r="U48" s="274">
        <f>EXP(P48)</f>
        <v>14662.133307570532</v>
      </c>
      <c r="V48" s="274">
        <f>EXP(Q48)</f>
        <v>7087.2732574389693</v>
      </c>
      <c r="W48" s="274">
        <f>EXP(R48)</f>
        <v>30332.984960516802</v>
      </c>
      <c r="X48" s="69"/>
      <c r="Y48" s="69"/>
      <c r="Z48" s="339">
        <f>C48</f>
        <v>9.8062026003423828</v>
      </c>
      <c r="AA48" s="71">
        <f>(+G48+H48*C48)</f>
        <v>9.5931385826912177</v>
      </c>
      <c r="AB48" s="70"/>
      <c r="AC48" s="213" t="s">
        <v>265</v>
      </c>
      <c r="AD48" s="81">
        <f>AA48-SQRT($O$50)*$Q$50</f>
        <v>8.866171054532078</v>
      </c>
      <c r="AE48" s="82">
        <f>AA48+SQRT($O$50)*$Q$50</f>
        <v>10.320106110850357</v>
      </c>
      <c r="AF48" s="215">
        <f>AA48</f>
        <v>9.5931385826912177</v>
      </c>
    </row>
    <row r="49" spans="1:31" s="6" customFormat="1" ht="12.75">
      <c r="A49" s="136"/>
      <c r="B49" s="127"/>
      <c r="C49" s="128"/>
      <c r="D49" s="127"/>
      <c r="E49" s="127"/>
      <c r="F49" s="127"/>
      <c r="G49" s="127"/>
      <c r="H49" s="127"/>
      <c r="I49" s="127"/>
      <c r="J49" s="127"/>
      <c r="K49" s="127"/>
      <c r="L49" s="127"/>
      <c r="M49" s="129"/>
      <c r="N49" s="128"/>
      <c r="O49" s="127"/>
      <c r="P49" s="127"/>
      <c r="Q49" s="127"/>
      <c r="R49" s="127"/>
      <c r="S49" s="127"/>
      <c r="T49" s="127"/>
      <c r="U49" s="127"/>
      <c r="V49" s="127"/>
      <c r="W49" s="127"/>
      <c r="X49" s="130"/>
      <c r="Y49" s="130"/>
      <c r="Z49" s="110"/>
      <c r="AA49" s="130"/>
      <c r="AB49" s="130"/>
      <c r="AC49" s="130"/>
      <c r="AD49" s="127"/>
      <c r="AE49" s="130"/>
    </row>
    <row r="50" spans="1:31" s="6" customFormat="1" ht="12.75">
      <c r="A50" s="131"/>
      <c r="C50" s="132"/>
      <c r="E50" s="95" t="s">
        <v>103</v>
      </c>
      <c r="F50" s="6">
        <f>F44</f>
        <v>33</v>
      </c>
      <c r="M50" s="133" t="s">
        <v>104</v>
      </c>
      <c r="N50" s="132"/>
      <c r="O50" s="65">
        <f>AVERAGE(INDEX(O$11:O$46,COUNT(O$11:O$46)-1,0):INDEX(O$11:O$46,(COUNT(O$11:O$46)-(COUNT(O$11:O$46)-1)),0))</f>
        <v>0.30862723770400635</v>
      </c>
      <c r="P50" s="95" t="s">
        <v>105</v>
      </c>
      <c r="Q50" s="995">
        <f>_xlfn.T.INV.2T(0.2,F50-1)</f>
        <v>1.3085727931295197</v>
      </c>
      <c r="X50" s="134"/>
      <c r="Y50" s="94"/>
      <c r="Z50" s="131"/>
    </row>
    <row r="51" spans="1:31" s="6" customFormat="1" ht="12.75">
      <c r="A51" s="131"/>
      <c r="E51" s="95" t="s">
        <v>103</v>
      </c>
      <c r="F51" s="6">
        <f>F48</f>
        <v>34</v>
      </c>
      <c r="M51" s="133" t="s">
        <v>106</v>
      </c>
      <c r="N51" s="132"/>
      <c r="O51" s="65">
        <f>AVERAGEA(O11:O46)</f>
        <v>0.40081184937934888</v>
      </c>
      <c r="P51" s="95" t="s">
        <v>105</v>
      </c>
      <c r="Q51" s="995">
        <f>_xlfn.T.INV.2T(0.2,F51-1)</f>
        <v>1.3077371244508877</v>
      </c>
      <c r="S51" s="95" t="s">
        <v>107</v>
      </c>
      <c r="T51" s="33">
        <f>AVERAGE(T11:T47)</f>
        <v>100288666.08211716</v>
      </c>
      <c r="W51" s="6" t="s">
        <v>108</v>
      </c>
      <c r="X51" s="320">
        <f>AVERAGE(X11:X47)</f>
        <v>0.27695963557269232</v>
      </c>
      <c r="Y51" s="320">
        <f>AVERAGE(Y11:Y47)</f>
        <v>0.63434079119044218</v>
      </c>
      <c r="Z51" s="131"/>
    </row>
    <row r="52" spans="1:31" s="6" customFormat="1" ht="12.75">
      <c r="A52" s="127"/>
      <c r="B52" s="127"/>
      <c r="C52" s="127"/>
      <c r="D52" s="127"/>
      <c r="E52" s="127"/>
      <c r="F52" s="127"/>
      <c r="G52" s="127"/>
      <c r="H52" s="127"/>
      <c r="I52" s="127"/>
      <c r="J52" s="127"/>
      <c r="K52" s="127"/>
      <c r="L52" s="127"/>
      <c r="M52" s="129"/>
      <c r="N52" s="128"/>
      <c r="O52" s="127"/>
      <c r="P52" s="127"/>
      <c r="Q52" s="127"/>
      <c r="R52" s="127"/>
      <c r="S52" s="127"/>
      <c r="T52" s="127"/>
      <c r="U52" s="127"/>
      <c r="V52" s="127"/>
      <c r="W52" s="127"/>
      <c r="X52" s="130"/>
      <c r="Y52" s="94"/>
    </row>
    <row r="53" spans="1:31" s="6" customFormat="1">
      <c r="M53" t="s">
        <v>32</v>
      </c>
      <c r="N53"/>
      <c r="O53"/>
      <c r="P53"/>
      <c r="Q53"/>
      <c r="R53"/>
      <c r="S53"/>
      <c r="T53"/>
      <c r="U53"/>
    </row>
    <row r="54" spans="1:31" s="6" customFormat="1" ht="16.5" thickBot="1">
      <c r="G54" s="95"/>
      <c r="H54" s="95"/>
      <c r="I54" s="95"/>
      <c r="J54" s="95"/>
      <c r="K54" s="95"/>
      <c r="M54"/>
      <c r="N54"/>
      <c r="O54"/>
      <c r="P54"/>
      <c r="Q54"/>
      <c r="R54"/>
      <c r="S54"/>
      <c r="T54"/>
      <c r="U54"/>
      <c r="W54" s="331" t="s">
        <v>262</v>
      </c>
      <c r="X54" s="499">
        <f>AVERAGE(X29:X47)</f>
        <v>0.80714965547776762</v>
      </c>
      <c r="Y54" s="499">
        <f>AVERAGE(Y29:Y47)</f>
        <v>0.95626024016758515</v>
      </c>
    </row>
    <row r="55" spans="1:31" s="6" customFormat="1">
      <c r="G55" s="95"/>
      <c r="H55" s="95"/>
      <c r="I55" s="95"/>
      <c r="J55" s="95"/>
      <c r="K55" s="95"/>
      <c r="M55" s="997" t="s">
        <v>33</v>
      </c>
      <c r="N55" s="997"/>
      <c r="O55"/>
      <c r="P55"/>
      <c r="Q55"/>
      <c r="R55"/>
      <c r="S55"/>
      <c r="T55"/>
      <c r="U55"/>
    </row>
    <row r="56" spans="1:31" s="6" customFormat="1">
      <c r="B56" s="314"/>
      <c r="C56" s="314"/>
      <c r="D56" s="314"/>
      <c r="E56" s="314"/>
      <c r="F56" s="314"/>
      <c r="G56" s="314"/>
      <c r="H56" s="314"/>
      <c r="I56" s="314"/>
      <c r="J56" s="314"/>
      <c r="K56" s="317"/>
      <c r="M56" s="19" t="s">
        <v>34</v>
      </c>
      <c r="N56" s="19">
        <v>0.29022992207275844</v>
      </c>
      <c r="O56"/>
      <c r="P56"/>
      <c r="Q56"/>
      <c r="R56"/>
      <c r="S56"/>
      <c r="T56"/>
      <c r="U56"/>
    </row>
    <row r="57" spans="1:31" s="6" customFormat="1">
      <c r="B57" s="314"/>
      <c r="C57" s="314"/>
      <c r="D57" s="314"/>
      <c r="E57" s="314"/>
      <c r="F57" s="314"/>
      <c r="G57" s="314"/>
      <c r="H57" s="314"/>
      <c r="I57" s="314"/>
      <c r="J57" s="314"/>
      <c r="K57" s="317"/>
      <c r="M57" s="19" t="s">
        <v>35</v>
      </c>
      <c r="N57" s="19">
        <v>8.423340766635945E-2</v>
      </c>
      <c r="O57"/>
      <c r="P57"/>
      <c r="Q57"/>
      <c r="R57"/>
      <c r="S57"/>
      <c r="T57"/>
      <c r="U57"/>
    </row>
    <row r="58" spans="1:31" s="6" customFormat="1">
      <c r="B58" s="315"/>
      <c r="C58" s="315"/>
      <c r="D58" s="314"/>
      <c r="E58" s="314"/>
      <c r="F58" s="314"/>
      <c r="G58" s="314"/>
      <c r="H58" s="314"/>
      <c r="I58" s="314"/>
      <c r="J58" s="314"/>
      <c r="K58" s="317"/>
      <c r="M58" s="19" t="s">
        <v>36</v>
      </c>
      <c r="N58" s="19">
        <v>5.6482904868370348E-2</v>
      </c>
      <c r="O58"/>
      <c r="P58"/>
      <c r="Q58"/>
      <c r="R58"/>
      <c r="S58"/>
      <c r="T58"/>
      <c r="U58"/>
    </row>
    <row r="59" spans="1:31" s="6" customFormat="1">
      <c r="B59" s="316"/>
      <c r="C59" s="316"/>
      <c r="D59" s="314"/>
      <c r="E59" s="314"/>
      <c r="F59" s="314"/>
      <c r="G59" s="314"/>
      <c r="H59" s="314"/>
      <c r="I59" s="314"/>
      <c r="J59" s="314"/>
      <c r="K59" s="317"/>
      <c r="M59" s="19" t="s">
        <v>37</v>
      </c>
      <c r="N59" s="19">
        <v>0.5462533101080369</v>
      </c>
      <c r="O59"/>
      <c r="P59"/>
      <c r="Q59"/>
      <c r="R59"/>
      <c r="S59"/>
      <c r="T59"/>
      <c r="U59"/>
    </row>
    <row r="60" spans="1:31" s="6" customFormat="1" ht="16.5" thickBot="1">
      <c r="B60" s="316"/>
      <c r="C60" s="316"/>
      <c r="D60" s="314"/>
      <c r="E60" s="314"/>
      <c r="F60" s="314"/>
      <c r="G60" s="314"/>
      <c r="H60" s="314"/>
      <c r="I60" s="314"/>
      <c r="J60" s="314"/>
      <c r="K60" s="317"/>
      <c r="M60" s="20" t="s">
        <v>38</v>
      </c>
      <c r="N60" s="20">
        <v>35</v>
      </c>
      <c r="O60"/>
      <c r="P60"/>
      <c r="Q60"/>
      <c r="R60"/>
      <c r="S60"/>
      <c r="T60"/>
      <c r="U60"/>
    </row>
    <row r="61" spans="1:31" s="6" customFormat="1">
      <c r="B61" s="316"/>
      <c r="C61" s="316"/>
      <c r="D61" s="314"/>
      <c r="E61" s="314"/>
      <c r="F61" s="314"/>
      <c r="G61" s="314"/>
      <c r="H61" s="314"/>
      <c r="I61" s="314"/>
      <c r="J61" s="314"/>
      <c r="K61" s="317"/>
      <c r="M61"/>
      <c r="N61"/>
      <c r="O61"/>
      <c r="P61"/>
      <c r="Q61"/>
      <c r="R61"/>
      <c r="S61"/>
      <c r="T61"/>
      <c r="U61"/>
    </row>
    <row r="62" spans="1:31" s="6" customFormat="1" ht="16.5" thickBot="1">
      <c r="B62" s="316"/>
      <c r="C62" s="316"/>
      <c r="D62" s="314"/>
      <c r="E62" s="314"/>
      <c r="F62" s="314"/>
      <c r="G62" s="314"/>
      <c r="H62" s="314"/>
      <c r="I62" s="314"/>
      <c r="J62" s="314"/>
      <c r="K62" s="317"/>
      <c r="M62" t="s">
        <v>39</v>
      </c>
      <c r="N62"/>
      <c r="O62"/>
      <c r="P62"/>
      <c r="Q62"/>
      <c r="R62"/>
      <c r="S62"/>
      <c r="T62"/>
      <c r="U62"/>
    </row>
    <row r="63" spans="1:31" s="6" customFormat="1">
      <c r="B63" s="316"/>
      <c r="C63" s="316"/>
      <c r="D63" s="314"/>
      <c r="E63" s="314"/>
      <c r="F63" s="314"/>
      <c r="G63" s="314"/>
      <c r="H63" s="314"/>
      <c r="I63" s="314"/>
      <c r="J63" s="314"/>
      <c r="K63" s="317"/>
      <c r="M63" s="996"/>
      <c r="N63" s="996" t="s">
        <v>43</v>
      </c>
      <c r="O63" s="996" t="s">
        <v>44</v>
      </c>
      <c r="P63" s="996" t="s">
        <v>45</v>
      </c>
      <c r="Q63" s="996" t="s">
        <v>46</v>
      </c>
      <c r="R63" s="996" t="s">
        <v>47</v>
      </c>
      <c r="S63"/>
      <c r="T63"/>
      <c r="U63"/>
    </row>
    <row r="64" spans="1:31" s="6" customFormat="1">
      <c r="B64" s="23"/>
      <c r="C64" s="23"/>
      <c r="D64" s="23"/>
      <c r="E64" s="23"/>
      <c r="F64" s="23"/>
      <c r="G64" s="314"/>
      <c r="H64" s="314"/>
      <c r="I64" s="314"/>
      <c r="J64" s="314"/>
      <c r="K64" s="317"/>
      <c r="M64" s="19" t="s">
        <v>40</v>
      </c>
      <c r="N64" s="19">
        <v>1</v>
      </c>
      <c r="O64" s="19">
        <v>0.90573609931761823</v>
      </c>
      <c r="P64" s="19">
        <v>0.90573609931761823</v>
      </c>
      <c r="Q64" s="19">
        <v>3.0353831164624259</v>
      </c>
      <c r="R64" s="19">
        <v>9.0781656695047799E-2</v>
      </c>
      <c r="S64"/>
      <c r="T64"/>
      <c r="U64"/>
    </row>
    <row r="65" spans="2:21" s="6" customFormat="1">
      <c r="B65" s="23"/>
      <c r="C65" s="23"/>
      <c r="D65" s="23"/>
      <c r="E65" s="23"/>
      <c r="F65" s="23"/>
      <c r="G65" s="314"/>
      <c r="H65" s="314"/>
      <c r="I65" s="314"/>
      <c r="J65" s="314"/>
      <c r="K65" s="317"/>
      <c r="M65" s="19" t="s">
        <v>41</v>
      </c>
      <c r="N65" s="19">
        <v>33</v>
      </c>
      <c r="O65" s="19">
        <v>9.8469584005315767</v>
      </c>
      <c r="P65" s="19">
        <v>0.29839267880398718</v>
      </c>
      <c r="Q65" s="19"/>
      <c r="R65" s="19"/>
      <c r="S65"/>
      <c r="T65"/>
      <c r="U65"/>
    </row>
    <row r="66" spans="2:21" ht="16.5" thickBot="1">
      <c r="B66" s="313"/>
      <c r="C66" s="313"/>
      <c r="D66" s="313"/>
      <c r="E66" s="313"/>
      <c r="F66" s="313"/>
      <c r="G66" s="315"/>
      <c r="H66" s="314"/>
      <c r="I66" s="314"/>
      <c r="J66" s="314"/>
      <c r="K66" s="314"/>
      <c r="M66" s="20" t="s">
        <v>0</v>
      </c>
      <c r="N66" s="20">
        <v>34</v>
      </c>
      <c r="O66" s="20">
        <v>10.752694499849195</v>
      </c>
      <c r="P66" s="20"/>
      <c r="Q66" s="20"/>
      <c r="R66" s="20"/>
    </row>
    <row r="67" spans="2:21" ht="16.5" thickBot="1">
      <c r="B67" s="19"/>
      <c r="C67" s="19"/>
      <c r="D67" s="19"/>
      <c r="E67" s="19"/>
      <c r="F67" s="19"/>
      <c r="G67" s="316"/>
      <c r="H67" s="314"/>
      <c r="I67" s="314"/>
      <c r="J67" s="314"/>
      <c r="K67" s="314"/>
    </row>
    <row r="68" spans="2:21">
      <c r="B68" s="19"/>
      <c r="C68" s="19"/>
      <c r="D68" s="19"/>
      <c r="E68" s="19"/>
      <c r="F68" s="19"/>
      <c r="G68" s="316"/>
      <c r="H68" s="314"/>
      <c r="I68" s="314"/>
      <c r="J68" s="314"/>
      <c r="K68" s="314"/>
      <c r="M68" s="996"/>
      <c r="N68" s="996" t="s">
        <v>48</v>
      </c>
      <c r="O68" s="996" t="s">
        <v>37</v>
      </c>
      <c r="P68" s="996" t="s">
        <v>49</v>
      </c>
      <c r="Q68" s="996" t="s">
        <v>50</v>
      </c>
      <c r="R68" s="996" t="s">
        <v>51</v>
      </c>
      <c r="S68" s="996" t="s">
        <v>52</v>
      </c>
      <c r="T68" s="996" t="s">
        <v>200</v>
      </c>
      <c r="U68" s="996" t="s">
        <v>201</v>
      </c>
    </row>
    <row r="69" spans="2:21">
      <c r="B69" s="19"/>
      <c r="C69" s="19"/>
      <c r="D69" s="19"/>
      <c r="E69" s="19"/>
      <c r="F69" s="19"/>
      <c r="G69" s="316"/>
      <c r="H69" s="314"/>
      <c r="I69" s="314"/>
      <c r="J69" s="314"/>
      <c r="K69" s="314"/>
      <c r="M69" s="19" t="s">
        <v>42</v>
      </c>
      <c r="N69" s="19">
        <v>7.7026169100582678</v>
      </c>
      <c r="O69" s="19">
        <v>1.1505524162772909</v>
      </c>
      <c r="P69" s="19">
        <v>6.6947118628291031</v>
      </c>
      <c r="Q69" s="19">
        <v>1.2677472612456901E-7</v>
      </c>
      <c r="R69" s="19">
        <v>5.3618004186248189</v>
      </c>
      <c r="S69" s="19">
        <v>10.043433401491717</v>
      </c>
      <c r="T69" s="19">
        <v>5.3618004186248189</v>
      </c>
      <c r="U69" s="19">
        <v>10.043433401491717</v>
      </c>
    </row>
    <row r="70" spans="2:21" ht="16.5" thickBot="1">
      <c r="B70" s="23"/>
      <c r="C70" s="23"/>
      <c r="D70" s="23"/>
      <c r="E70" s="23"/>
      <c r="F70" s="23"/>
      <c r="G70" s="314"/>
      <c r="H70" s="314"/>
      <c r="I70" s="314"/>
      <c r="J70" s="314"/>
      <c r="K70" s="314"/>
      <c r="M70" s="20" t="s">
        <v>53</v>
      </c>
      <c r="N70" s="20">
        <v>0.19713569903902098</v>
      </c>
      <c r="O70" s="20">
        <v>0.11315103221292937</v>
      </c>
      <c r="P70" s="20">
        <v>1.7422350921911871</v>
      </c>
      <c r="Q70" s="20">
        <v>9.07816566950473E-2</v>
      </c>
      <c r="R70" s="20">
        <v>-3.307180692036682E-2</v>
      </c>
      <c r="S70" s="20">
        <v>0.42734320499840878</v>
      </c>
      <c r="T70" s="20">
        <v>-3.307180692036682E-2</v>
      </c>
      <c r="U70" s="20">
        <v>0.42734320499840878</v>
      </c>
    </row>
    <row r="71" spans="2:21">
      <c r="B71" s="313"/>
      <c r="C71" s="313"/>
      <c r="D71" s="313"/>
      <c r="E71" s="313"/>
      <c r="F71" s="313"/>
      <c r="G71" s="315"/>
      <c r="H71" s="315"/>
      <c r="I71" s="315"/>
      <c r="J71" s="315"/>
      <c r="K71" s="314"/>
    </row>
    <row r="72" spans="2:21">
      <c r="B72" s="19"/>
      <c r="C72" s="19"/>
      <c r="D72" s="19"/>
      <c r="E72" s="19"/>
      <c r="F72" s="19"/>
      <c r="G72" s="19"/>
      <c r="H72" s="19"/>
      <c r="I72" s="19"/>
      <c r="J72" s="19"/>
      <c r="K72" s="23"/>
    </row>
    <row r="73" spans="2:21">
      <c r="B73" s="19"/>
      <c r="C73" s="19"/>
      <c r="D73" s="19"/>
      <c r="E73" s="19"/>
      <c r="F73" s="19"/>
      <c r="G73" s="19"/>
      <c r="H73" s="19"/>
      <c r="I73" s="19"/>
      <c r="J73" s="19"/>
      <c r="K73" s="23"/>
    </row>
    <row r="74" spans="2:21">
      <c r="B74" s="23"/>
      <c r="C74" s="23"/>
      <c r="D74" s="23"/>
      <c r="E74" s="23"/>
      <c r="F74" s="23"/>
      <c r="G74" s="23"/>
      <c r="H74" s="23"/>
      <c r="I74" s="23"/>
      <c r="J74" s="23"/>
      <c r="K74" s="23"/>
      <c r="M74" t="s">
        <v>32</v>
      </c>
    </row>
    <row r="75" spans="2:21" ht="16.5" thickBot="1"/>
    <row r="76" spans="2:21">
      <c r="M76" s="22" t="s">
        <v>33</v>
      </c>
      <c r="N76" s="22"/>
    </row>
    <row r="77" spans="2:21">
      <c r="M77" s="19" t="s">
        <v>34</v>
      </c>
      <c r="N77" s="19">
        <v>0.54826521935088202</v>
      </c>
    </row>
    <row r="78" spans="2:21">
      <c r="M78" s="19" t="s">
        <v>35</v>
      </c>
      <c r="N78" s="19">
        <v>0.3005947507498708</v>
      </c>
    </row>
    <row r="79" spans="2:21">
      <c r="M79" s="19" t="s">
        <v>36</v>
      </c>
      <c r="N79" s="19">
        <v>0.22288305638874531</v>
      </c>
    </row>
    <row r="80" spans="2:21">
      <c r="M80" s="19" t="s">
        <v>37</v>
      </c>
      <c r="N80" s="19">
        <v>0.29554008857046776</v>
      </c>
    </row>
    <row r="81" spans="13:21" ht="16.5" thickBot="1">
      <c r="M81" s="20" t="s">
        <v>38</v>
      </c>
      <c r="N81" s="20">
        <v>11</v>
      </c>
    </row>
    <row r="83" spans="13:21" ht="16.5" thickBot="1">
      <c r="M83" t="s">
        <v>39</v>
      </c>
    </row>
    <row r="84" spans="13:21">
      <c r="M84" s="21"/>
      <c r="N84" s="21" t="s">
        <v>43</v>
      </c>
      <c r="O84" s="21" t="s">
        <v>44</v>
      </c>
      <c r="P84" s="21" t="s">
        <v>45</v>
      </c>
      <c r="Q84" s="21" t="s">
        <v>46</v>
      </c>
      <c r="R84" s="21" t="s">
        <v>47</v>
      </c>
    </row>
    <row r="85" spans="13:21">
      <c r="M85" s="19" t="s">
        <v>40</v>
      </c>
      <c r="N85" s="19">
        <v>1</v>
      </c>
      <c r="O85" s="19">
        <v>0.3378530255668718</v>
      </c>
      <c r="P85" s="19">
        <v>0.3378530255668718</v>
      </c>
      <c r="Q85" s="19">
        <v>3.8680761399051478</v>
      </c>
      <c r="R85" s="330">
        <v>8.0764154884844272E-2</v>
      </c>
    </row>
    <row r="86" spans="13:21">
      <c r="M86" s="19" t="s">
        <v>41</v>
      </c>
      <c r="N86" s="19">
        <v>9</v>
      </c>
      <c r="O86" s="19">
        <v>0.78609549557015945</v>
      </c>
      <c r="P86" s="19">
        <v>8.7343943952239933E-2</v>
      </c>
      <c r="Q86" s="19"/>
      <c r="R86" s="19"/>
    </row>
    <row r="87" spans="13:21" ht="16.5" thickBot="1">
      <c r="M87" s="20" t="s">
        <v>0</v>
      </c>
      <c r="N87" s="20">
        <v>10</v>
      </c>
      <c r="O87" s="20">
        <v>1.1239485211370313</v>
      </c>
      <c r="P87" s="20"/>
      <c r="Q87" s="20"/>
      <c r="R87" s="20"/>
    </row>
    <row r="88" spans="13:21" ht="16.5" thickBot="1"/>
    <row r="89" spans="13:21">
      <c r="M89" s="21"/>
      <c r="N89" s="21" t="s">
        <v>48</v>
      </c>
      <c r="O89" s="21" t="s">
        <v>37</v>
      </c>
      <c r="P89" s="21" t="s">
        <v>49</v>
      </c>
      <c r="Q89" s="21" t="s">
        <v>50</v>
      </c>
      <c r="R89" s="21" t="s">
        <v>51</v>
      </c>
      <c r="S89" s="21" t="s">
        <v>52</v>
      </c>
      <c r="T89" s="21" t="s">
        <v>200</v>
      </c>
      <c r="U89" s="21" t="s">
        <v>201</v>
      </c>
    </row>
    <row r="90" spans="13:21">
      <c r="M90" s="19" t="s">
        <v>42</v>
      </c>
      <c r="N90" s="19">
        <v>0.85152923064379138</v>
      </c>
      <c r="O90" s="19">
        <v>4.6179711765365994</v>
      </c>
      <c r="P90" s="19">
        <v>0.18439466122489401</v>
      </c>
      <c r="Q90" s="19">
        <v>0.85779183638083056</v>
      </c>
      <c r="R90" s="19">
        <v>-9.5950473225977593</v>
      </c>
      <c r="S90" s="19">
        <v>11.298105783885342</v>
      </c>
      <c r="T90" s="19">
        <v>-9.5950473225977593</v>
      </c>
      <c r="U90" s="19">
        <v>11.298105783885342</v>
      </c>
    </row>
    <row r="91" spans="13:21" ht="16.5" thickBot="1">
      <c r="M91" s="20" t="s">
        <v>53</v>
      </c>
      <c r="N91" s="20">
        <v>0.84226016718372998</v>
      </c>
      <c r="O91" s="20">
        <v>0.42825136418540366</v>
      </c>
      <c r="P91" s="20">
        <v>1.9667425199819999</v>
      </c>
      <c r="Q91" s="20">
        <v>8.0764154884844258E-2</v>
      </c>
      <c r="R91" s="20">
        <v>-0.12651172180588288</v>
      </c>
      <c r="S91" s="20">
        <v>1.8110320561733428</v>
      </c>
      <c r="T91" s="20">
        <v>-0.12651172180588288</v>
      </c>
      <c r="U91" s="20">
        <v>1.8110320561733428</v>
      </c>
    </row>
    <row r="95" spans="13:21">
      <c r="M95" t="s">
        <v>202</v>
      </c>
    </row>
    <row r="96" spans="13:21" ht="16.5" thickBot="1"/>
    <row r="97" spans="13:15">
      <c r="M97" s="21" t="s">
        <v>203</v>
      </c>
      <c r="N97" s="21" t="s">
        <v>204</v>
      </c>
      <c r="O97" s="21" t="s">
        <v>205</v>
      </c>
    </row>
    <row r="98" spans="13:15">
      <c r="M98" s="19">
        <v>1</v>
      </c>
      <c r="N98" s="19">
        <v>10.110775274093047</v>
      </c>
      <c r="O98" s="19">
        <v>0.33710882838539113</v>
      </c>
    </row>
    <row r="99" spans="13:15">
      <c r="M99" s="19">
        <v>2</v>
      </c>
      <c r="N99" s="19">
        <v>9.9612737178749828</v>
      </c>
      <c r="O99" s="19">
        <v>-0.27624167023495971</v>
      </c>
    </row>
    <row r="100" spans="13:15">
      <c r="M100" s="19">
        <v>3</v>
      </c>
      <c r="N100" s="19">
        <v>9.9480342432395013</v>
      </c>
      <c r="O100" s="19">
        <v>-0.17409634668722695</v>
      </c>
    </row>
    <row r="101" spans="13:15">
      <c r="M101" s="19">
        <v>4</v>
      </c>
      <c r="N101" s="19">
        <v>10.001954462557359</v>
      </c>
      <c r="O101" s="19">
        <v>-0.22816293665889376</v>
      </c>
    </row>
    <row r="102" spans="13:15">
      <c r="M102" s="19">
        <v>5</v>
      </c>
      <c r="N102" s="19">
        <v>9.8704988713529591</v>
      </c>
      <c r="O102" s="19">
        <v>0.34690409792077759</v>
      </c>
    </row>
    <row r="103" spans="13:15">
      <c r="M103" s="19">
        <v>6</v>
      </c>
      <c r="N103" s="19">
        <v>10.111784474398274</v>
      </c>
      <c r="O103" s="19">
        <v>0.30246543919430913</v>
      </c>
    </row>
    <row r="104" spans="13:15">
      <c r="M104" s="19">
        <v>7</v>
      </c>
      <c r="N104" s="19">
        <v>9.7844004126717401</v>
      </c>
      <c r="O104" s="19">
        <v>0.21559458835875667</v>
      </c>
    </row>
    <row r="105" spans="13:15">
      <c r="M105" s="19">
        <v>8</v>
      </c>
      <c r="N105" s="19">
        <v>9.7271256103685317</v>
      </c>
      <c r="O105" s="19">
        <v>0.2061746860245357</v>
      </c>
    </row>
    <row r="106" spans="13:15">
      <c r="M106" s="19">
        <v>9</v>
      </c>
      <c r="N106" s="19">
        <v>10.130164848091878</v>
      </c>
      <c r="O106" s="19">
        <v>-0.12731347146482541</v>
      </c>
    </row>
    <row r="107" spans="13:15">
      <c r="M107" s="19">
        <v>10</v>
      </c>
      <c r="N107" s="19">
        <v>10.057095359138911</v>
      </c>
      <c r="O107" s="19">
        <v>-0.38864479935794449</v>
      </c>
    </row>
    <row r="108" spans="13:15" ht="16.5" thickBot="1">
      <c r="M108" s="20">
        <v>11</v>
      </c>
      <c r="N108" s="20">
        <v>9.5510760833205115</v>
      </c>
      <c r="O108" s="20">
        <v>-0.2137884154798968</v>
      </c>
    </row>
  </sheetData>
  <sortState xmlns:xlrd2="http://schemas.microsoft.com/office/spreadsheetml/2017/richdata2" ref="A11:AE46">
    <sortCondition ref="B11"/>
  </sortState>
  <phoneticPr fontId="47" type="noConversion"/>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8196" r:id="rId4" name="CommandButton1">
          <controlPr defaultSize="0" autoLine="0" r:id="rId5">
            <anchor moveWithCells="1">
              <from>
                <xdr:col>13</xdr:col>
                <xdr:colOff>0</xdr:colOff>
                <xdr:row>0</xdr:row>
                <xdr:rowOff>295275</xdr:rowOff>
              </from>
              <to>
                <xdr:col>15</xdr:col>
                <xdr:colOff>219075</xdr:colOff>
                <xdr:row>4</xdr:row>
                <xdr:rowOff>152400</xdr:rowOff>
              </to>
            </anchor>
          </controlPr>
        </control>
      </mc:Choice>
      <mc:Fallback>
        <control shapeId="8196" r:id="rId4" name="CommandButton1"/>
      </mc:Fallback>
    </mc:AlternateContent>
  </control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7"/>
  <dimension ref="A1:J22"/>
  <sheetViews>
    <sheetView workbookViewId="0">
      <selection activeCell="A5" sqref="A5:J25"/>
    </sheetView>
  </sheetViews>
  <sheetFormatPr defaultRowHeight="15.75"/>
  <cols>
    <col min="1" max="1" width="23" customWidth="1"/>
    <col min="2" max="2" width="17" customWidth="1"/>
    <col min="3" max="3" width="14.5" customWidth="1"/>
    <col min="4" max="4" width="12.125" customWidth="1"/>
    <col min="5" max="5" width="11.625" customWidth="1"/>
    <col min="6" max="6" width="13.75" customWidth="1"/>
    <col min="7" max="7" width="12.125" customWidth="1"/>
    <col min="8" max="8" width="13.5" customWidth="1"/>
    <col min="9" max="9" width="13.625" customWidth="1"/>
  </cols>
  <sheetData>
    <row r="1" spans="1:10" ht="16.5">
      <c r="A1" s="57" t="s">
        <v>31</v>
      </c>
      <c r="B1" s="57" t="s">
        <v>97</v>
      </c>
      <c r="C1" s="56" t="s">
        <v>42</v>
      </c>
      <c r="D1" s="58" t="s">
        <v>98</v>
      </c>
      <c r="E1" s="59" t="s">
        <v>99</v>
      </c>
      <c r="F1" s="56" t="s">
        <v>100</v>
      </c>
      <c r="G1" s="57" t="s">
        <v>101</v>
      </c>
      <c r="H1" s="57" t="s">
        <v>102</v>
      </c>
      <c r="I1" s="60" t="s">
        <v>81</v>
      </c>
    </row>
    <row r="2" spans="1:10">
      <c r="A2" s="351">
        <f>B12</f>
        <v>0</v>
      </c>
      <c r="B2" s="351">
        <f>B17</f>
        <v>0</v>
      </c>
      <c r="C2" s="351">
        <f>B21</f>
        <v>0</v>
      </c>
      <c r="D2" s="351">
        <f>B22</f>
        <v>0</v>
      </c>
      <c r="E2" s="351">
        <f>C22</f>
        <v>0</v>
      </c>
      <c r="F2" s="351"/>
      <c r="G2" s="351">
        <f>B11</f>
        <v>0</v>
      </c>
      <c r="H2" s="351">
        <f>B9</f>
        <v>0</v>
      </c>
      <c r="I2" s="351"/>
    </row>
    <row r="3" spans="1:10">
      <c r="A3" s="342"/>
      <c r="B3" s="343"/>
      <c r="C3" s="344"/>
      <c r="D3" s="344"/>
      <c r="E3" s="344"/>
      <c r="F3" s="343"/>
      <c r="G3" s="345"/>
      <c r="H3" s="343"/>
      <c r="I3" s="343"/>
      <c r="J3" s="346"/>
    </row>
    <row r="4" spans="1:10">
      <c r="A4" s="347"/>
      <c r="B4" s="348"/>
      <c r="C4" s="349"/>
      <c r="D4" s="347"/>
      <c r="E4" s="344"/>
      <c r="F4" s="344"/>
      <c r="G4" s="350"/>
      <c r="H4" s="344"/>
      <c r="I4" s="350"/>
      <c r="J4" s="346"/>
    </row>
    <row r="5" spans="1:10">
      <c r="H5" s="346"/>
      <c r="I5" s="346"/>
      <c r="J5" s="346"/>
    </row>
    <row r="6" spans="1:10" ht="16.5" thickBot="1">
      <c r="H6" s="346"/>
      <c r="I6" s="346"/>
      <c r="J6" s="346"/>
    </row>
    <row r="7" spans="1:10">
      <c r="A7" s="997"/>
      <c r="B7" s="997"/>
    </row>
    <row r="8" spans="1:10">
      <c r="A8" s="19"/>
      <c r="B8" s="19"/>
    </row>
    <row r="9" spans="1:10">
      <c r="A9" s="19"/>
      <c r="B9" s="19"/>
    </row>
    <row r="10" spans="1:10">
      <c r="A10" s="19"/>
      <c r="B10" s="19"/>
    </row>
    <row r="11" spans="1:10">
      <c r="A11" s="19"/>
      <c r="B11" s="19"/>
    </row>
    <row r="12" spans="1:10" ht="16.5" thickBot="1">
      <c r="A12" s="20"/>
      <c r="B12" s="20"/>
    </row>
    <row r="14" spans="1:10" ht="16.5" thickBot="1"/>
    <row r="15" spans="1:10">
      <c r="A15" s="996"/>
      <c r="B15" s="996"/>
      <c r="C15" s="996"/>
      <c r="D15" s="996"/>
      <c r="E15" s="996"/>
      <c r="F15" s="996"/>
    </row>
    <row r="16" spans="1:10">
      <c r="A16" s="19"/>
      <c r="B16" s="19"/>
      <c r="C16" s="19"/>
      <c r="D16" s="19"/>
      <c r="E16" s="19"/>
      <c r="F16" s="19"/>
    </row>
    <row r="17" spans="1:7">
      <c r="A17" s="19"/>
      <c r="B17" s="19"/>
      <c r="C17" s="19"/>
      <c r="D17" s="19"/>
      <c r="E17" s="19"/>
      <c r="F17" s="19"/>
    </row>
    <row r="18" spans="1:7" ht="16.5" thickBot="1">
      <c r="A18" s="20"/>
      <c r="B18" s="20"/>
      <c r="C18" s="20"/>
      <c r="D18" s="20"/>
      <c r="E18" s="20"/>
      <c r="F18" s="20"/>
    </row>
    <row r="19" spans="1:7" ht="16.5" thickBot="1"/>
    <row r="20" spans="1:7">
      <c r="A20" s="996"/>
      <c r="B20" s="996"/>
      <c r="C20" s="996"/>
      <c r="D20" s="996"/>
      <c r="E20" s="996"/>
      <c r="F20" s="996"/>
      <c r="G20" s="996"/>
    </row>
    <row r="21" spans="1:7">
      <c r="A21" s="19"/>
      <c r="B21" s="19"/>
      <c r="C21" s="19"/>
      <c r="D21" s="19"/>
      <c r="E21" s="19"/>
      <c r="F21" s="19"/>
      <c r="G21" s="19"/>
    </row>
    <row r="22" spans="1:7" ht="16.5" thickBot="1">
      <c r="A22" s="20"/>
      <c r="B22" s="20"/>
      <c r="C22" s="20"/>
      <c r="D22" s="20"/>
      <c r="E22" s="20"/>
      <c r="F22" s="20"/>
      <c r="G22" s="20"/>
    </row>
  </sheetData>
  <phoneticPr fontId="47" type="noConversion"/>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dimension ref="A1:G45"/>
  <sheetViews>
    <sheetView workbookViewId="0">
      <selection activeCell="D8" sqref="A1:XFD1048576"/>
    </sheetView>
  </sheetViews>
  <sheetFormatPr defaultRowHeight="15.75"/>
  <sheetData>
    <row r="1" spans="1:7">
      <c r="A1" t="s">
        <v>109</v>
      </c>
    </row>
    <row r="2" spans="1:7">
      <c r="D2" s="175">
        <v>0.8</v>
      </c>
    </row>
    <row r="3" spans="1:7">
      <c r="A3">
        <v>1</v>
      </c>
      <c r="B3">
        <v>2</v>
      </c>
      <c r="C3">
        <v>3</v>
      </c>
      <c r="D3">
        <v>4</v>
      </c>
    </row>
    <row r="4" spans="1:7">
      <c r="B4" s="72">
        <v>0.5</v>
      </c>
      <c r="C4" s="72">
        <v>0.4</v>
      </c>
      <c r="D4" s="72">
        <v>0.2</v>
      </c>
      <c r="E4" s="72">
        <v>0.1</v>
      </c>
      <c r="F4" s="72">
        <v>0.05</v>
      </c>
      <c r="G4" s="72">
        <v>2.5000000000000001E-2</v>
      </c>
    </row>
    <row r="5" spans="1:7">
      <c r="A5">
        <v>1</v>
      </c>
      <c r="B5" s="73">
        <v>1</v>
      </c>
      <c r="C5" s="74">
        <v>1.3759999999999999</v>
      </c>
      <c r="D5" s="74">
        <v>3.0779999999999998</v>
      </c>
      <c r="E5" s="74">
        <v>6.3140000000000001</v>
      </c>
      <c r="F5" s="74">
        <v>12.706</v>
      </c>
      <c r="G5" s="75">
        <v>25.452000000000002</v>
      </c>
    </row>
    <row r="6" spans="1:7">
      <c r="A6">
        <v>2</v>
      </c>
      <c r="B6" s="76">
        <v>0.81600000000000006</v>
      </c>
      <c r="C6" s="72">
        <v>1.0609999999999999</v>
      </c>
      <c r="D6" s="72">
        <v>1.8859999999999999</v>
      </c>
      <c r="E6" s="72">
        <v>2.92</v>
      </c>
      <c r="F6" s="72">
        <v>4.3029999999999999</v>
      </c>
      <c r="G6" s="77">
        <v>6.2050000000000001</v>
      </c>
    </row>
    <row r="7" spans="1:7">
      <c r="A7">
        <v>3</v>
      </c>
      <c r="B7" s="76">
        <v>0.76500000000000001</v>
      </c>
      <c r="C7" s="72">
        <v>0.97799999999999998</v>
      </c>
      <c r="D7" s="72">
        <v>1.6379999999999999</v>
      </c>
      <c r="E7" s="72">
        <v>2.3530000000000002</v>
      </c>
      <c r="F7" s="72">
        <v>3.1819999999999999</v>
      </c>
      <c r="G7" s="77">
        <v>4.1760000000000002</v>
      </c>
    </row>
    <row r="8" spans="1:7">
      <c r="A8">
        <v>4</v>
      </c>
      <c r="B8" s="76">
        <v>0.74099999999999999</v>
      </c>
      <c r="C8" s="72">
        <v>0.94100000000000006</v>
      </c>
      <c r="D8" s="72">
        <v>1.5329999999999999</v>
      </c>
      <c r="E8" s="72">
        <v>2.1320000000000001</v>
      </c>
      <c r="F8" s="72">
        <v>2.7759999999999998</v>
      </c>
      <c r="G8" s="77">
        <v>3.4950000000000001</v>
      </c>
    </row>
    <row r="9" spans="1:7">
      <c r="A9">
        <v>5</v>
      </c>
      <c r="B9" s="76">
        <v>0.72699999999999998</v>
      </c>
      <c r="C9" s="72">
        <v>0.92</v>
      </c>
      <c r="D9" s="72">
        <v>1.476</v>
      </c>
      <c r="E9" s="72">
        <v>2.0150000000000001</v>
      </c>
      <c r="F9" s="72">
        <v>2.5710000000000002</v>
      </c>
      <c r="G9" s="77">
        <v>3.1629999999999998</v>
      </c>
    </row>
    <row r="10" spans="1:7">
      <c r="A10">
        <v>6</v>
      </c>
      <c r="B10" s="76">
        <v>0.71799999999999997</v>
      </c>
      <c r="C10" s="72">
        <v>0.90600000000000003</v>
      </c>
      <c r="D10" s="72">
        <v>1.44</v>
      </c>
      <c r="E10" s="72">
        <v>1.9430000000000001</v>
      </c>
      <c r="F10" s="72">
        <v>2.4470000000000001</v>
      </c>
      <c r="G10" s="77">
        <v>2.9689999999999999</v>
      </c>
    </row>
    <row r="11" spans="1:7">
      <c r="A11">
        <v>7</v>
      </c>
      <c r="B11" s="76">
        <v>0.71099999999999997</v>
      </c>
      <c r="C11" s="72">
        <v>0.89600000000000002</v>
      </c>
      <c r="D11" s="72">
        <v>1.415</v>
      </c>
      <c r="E11" s="72">
        <v>1.895</v>
      </c>
      <c r="F11" s="72">
        <v>2.3650000000000002</v>
      </c>
      <c r="G11" s="77">
        <v>2.8410000000000002</v>
      </c>
    </row>
    <row r="12" spans="1:7">
      <c r="A12">
        <v>8</v>
      </c>
      <c r="B12" s="76">
        <v>0.70599999999999996</v>
      </c>
      <c r="C12" s="72">
        <v>0.88900000000000001</v>
      </c>
      <c r="D12" s="72">
        <v>1.397</v>
      </c>
      <c r="E12" s="72">
        <v>1.86</v>
      </c>
      <c r="F12" s="72">
        <v>2.306</v>
      </c>
      <c r="G12" s="77">
        <v>2.7519999999999998</v>
      </c>
    </row>
    <row r="13" spans="1:7">
      <c r="A13">
        <v>9</v>
      </c>
      <c r="B13" s="76">
        <v>0.70300000000000007</v>
      </c>
      <c r="C13" s="72">
        <v>0.88300000000000001</v>
      </c>
      <c r="D13" s="72">
        <v>1.383</v>
      </c>
      <c r="E13" s="72">
        <v>1.833</v>
      </c>
      <c r="F13" s="72">
        <v>2.262</v>
      </c>
      <c r="G13" s="77">
        <v>2.6850000000000001</v>
      </c>
    </row>
    <row r="14" spans="1:7">
      <c r="A14">
        <v>10</v>
      </c>
      <c r="B14" s="76">
        <v>0.7</v>
      </c>
      <c r="C14" s="72">
        <v>0.879</v>
      </c>
      <c r="D14" s="72">
        <v>1.3720000000000001</v>
      </c>
      <c r="E14" s="72">
        <v>1.8120000000000001</v>
      </c>
      <c r="F14" s="72">
        <v>2.2280000000000002</v>
      </c>
      <c r="G14" s="77">
        <v>2.6339999999999999</v>
      </c>
    </row>
    <row r="15" spans="1:7">
      <c r="A15">
        <v>11</v>
      </c>
      <c r="B15" s="76">
        <v>0.69700000000000006</v>
      </c>
      <c r="C15" s="72">
        <v>0.876</v>
      </c>
      <c r="D15" s="72">
        <v>1.363</v>
      </c>
      <c r="E15" s="72">
        <v>1.796</v>
      </c>
      <c r="F15" s="72">
        <v>2.2010000000000001</v>
      </c>
      <c r="G15" s="77">
        <v>2.593</v>
      </c>
    </row>
    <row r="16" spans="1:7">
      <c r="A16">
        <v>12</v>
      </c>
      <c r="B16" s="76">
        <v>0.69499999999999995</v>
      </c>
      <c r="C16" s="72">
        <v>0.873</v>
      </c>
      <c r="D16" s="72">
        <v>1.3560000000000001</v>
      </c>
      <c r="E16" s="72">
        <v>1.782</v>
      </c>
      <c r="F16" s="72">
        <v>2.1789999999999998</v>
      </c>
      <c r="G16" s="77">
        <v>2.56</v>
      </c>
    </row>
    <row r="17" spans="1:7">
      <c r="A17">
        <v>13</v>
      </c>
      <c r="B17" s="76">
        <v>0.69400000000000006</v>
      </c>
      <c r="C17" s="72">
        <v>0.87</v>
      </c>
      <c r="D17" s="72">
        <v>1.35</v>
      </c>
      <c r="E17" s="72">
        <v>1.7709999999999999</v>
      </c>
      <c r="F17" s="72">
        <v>2.16</v>
      </c>
      <c r="G17" s="77">
        <v>2.5329999999999999</v>
      </c>
    </row>
    <row r="18" spans="1:7">
      <c r="A18">
        <v>14</v>
      </c>
      <c r="B18" s="76">
        <v>0.69200000000000006</v>
      </c>
      <c r="C18" s="72">
        <v>0.86799999999999999</v>
      </c>
      <c r="D18" s="72">
        <v>1.345</v>
      </c>
      <c r="E18" s="72">
        <v>1.7609999999999999</v>
      </c>
      <c r="F18" s="72">
        <v>2.145</v>
      </c>
      <c r="G18" s="77">
        <v>2.5099999999999998</v>
      </c>
    </row>
    <row r="19" spans="1:7">
      <c r="A19">
        <v>15</v>
      </c>
      <c r="B19" s="76">
        <v>0.69100000000000006</v>
      </c>
      <c r="C19" s="72">
        <v>0.86599999999999999</v>
      </c>
      <c r="D19" s="72">
        <v>1.341</v>
      </c>
      <c r="E19" s="72">
        <v>1.7529999999999999</v>
      </c>
      <c r="F19" s="72">
        <v>2.1309999999999998</v>
      </c>
      <c r="G19" s="77">
        <v>2.4900000000000002</v>
      </c>
    </row>
    <row r="20" spans="1:7">
      <c r="A20">
        <v>16</v>
      </c>
      <c r="B20" s="76">
        <v>0.69</v>
      </c>
      <c r="C20" s="72">
        <v>0.86499999999999999</v>
      </c>
      <c r="D20" s="72">
        <v>1.337</v>
      </c>
      <c r="E20" s="72">
        <v>1.746</v>
      </c>
      <c r="F20" s="72">
        <v>2.12</v>
      </c>
      <c r="G20" s="77">
        <v>2.4729999999999999</v>
      </c>
    </row>
    <row r="21" spans="1:7">
      <c r="A21">
        <v>17</v>
      </c>
      <c r="B21" s="76">
        <v>0.68900000000000006</v>
      </c>
      <c r="C21" s="72">
        <v>0.86299999999999999</v>
      </c>
      <c r="D21" s="72">
        <v>1.333</v>
      </c>
      <c r="E21" s="72">
        <v>1.74</v>
      </c>
      <c r="F21" s="72">
        <v>2.11</v>
      </c>
      <c r="G21" s="77">
        <v>2.4580000000000002</v>
      </c>
    </row>
    <row r="22" spans="1:7">
      <c r="A22">
        <v>18</v>
      </c>
      <c r="B22" s="76">
        <v>0.68800000000000006</v>
      </c>
      <c r="C22" s="72">
        <v>0.86199999999999999</v>
      </c>
      <c r="D22" s="72">
        <v>1.33</v>
      </c>
      <c r="E22" s="72">
        <v>1.734</v>
      </c>
      <c r="F22" s="72">
        <v>2.101</v>
      </c>
      <c r="G22" s="77">
        <v>2.4449999999999998</v>
      </c>
    </row>
    <row r="23" spans="1:7">
      <c r="A23">
        <v>19</v>
      </c>
      <c r="B23" s="76">
        <v>0.68800000000000006</v>
      </c>
      <c r="C23" s="72">
        <v>0.86099999999999999</v>
      </c>
      <c r="D23" s="72">
        <v>1.3280000000000001</v>
      </c>
      <c r="E23" s="72">
        <v>1.7290000000000001</v>
      </c>
      <c r="F23" s="72">
        <v>2.093</v>
      </c>
      <c r="G23" s="77">
        <v>2.4430000000000001</v>
      </c>
    </row>
    <row r="24" spans="1:7">
      <c r="A24">
        <v>20</v>
      </c>
      <c r="B24" s="76">
        <v>0.68700000000000006</v>
      </c>
      <c r="C24" s="72">
        <v>0.86</v>
      </c>
      <c r="D24" s="72">
        <v>1.325</v>
      </c>
      <c r="E24" s="72">
        <v>1.7250000000000001</v>
      </c>
      <c r="F24" s="72">
        <v>2.0859999999999999</v>
      </c>
      <c r="G24" s="77">
        <v>2.423</v>
      </c>
    </row>
    <row r="25" spans="1:7">
      <c r="A25">
        <v>21</v>
      </c>
      <c r="B25" s="76">
        <v>0.68600000000000005</v>
      </c>
      <c r="C25" s="72">
        <v>0.85899999999999999</v>
      </c>
      <c r="D25" s="72">
        <v>1.323</v>
      </c>
      <c r="E25" s="72">
        <v>1.7210000000000001</v>
      </c>
      <c r="F25" s="72">
        <v>2.08</v>
      </c>
      <c r="G25" s="77">
        <v>2.4140000000000001</v>
      </c>
    </row>
    <row r="26" spans="1:7">
      <c r="A26">
        <v>22</v>
      </c>
      <c r="B26" s="76">
        <v>0.69600000000000006</v>
      </c>
      <c r="C26" s="72">
        <v>0.85799999999999998</v>
      </c>
      <c r="D26" s="72">
        <v>1.321</v>
      </c>
      <c r="E26" s="72">
        <v>1.7170000000000001</v>
      </c>
      <c r="F26" s="72">
        <v>2.0739999999999998</v>
      </c>
      <c r="G26" s="77">
        <v>2.4060000000000001</v>
      </c>
    </row>
    <row r="27" spans="1:7">
      <c r="A27">
        <v>23</v>
      </c>
      <c r="B27" s="76">
        <v>0.68500000000000005</v>
      </c>
      <c r="C27" s="72">
        <v>0.85799999999999998</v>
      </c>
      <c r="D27" s="72">
        <v>1.319</v>
      </c>
      <c r="E27" s="72">
        <v>1.714</v>
      </c>
      <c r="F27" s="72">
        <v>2.069</v>
      </c>
      <c r="G27" s="77">
        <v>2.3980000000000001</v>
      </c>
    </row>
    <row r="28" spans="1:7">
      <c r="A28">
        <v>24</v>
      </c>
      <c r="B28" s="76">
        <v>0.68500000000000005</v>
      </c>
      <c r="C28" s="72">
        <v>0.85699999999999998</v>
      </c>
      <c r="D28" s="72">
        <v>1.3180000000000001</v>
      </c>
      <c r="E28" s="72">
        <v>1.7110000000000001</v>
      </c>
      <c r="F28" s="72">
        <v>2.0640000000000001</v>
      </c>
      <c r="G28" s="77">
        <v>2.391</v>
      </c>
    </row>
    <row r="29" spans="1:7">
      <c r="A29">
        <v>25</v>
      </c>
      <c r="B29" s="76">
        <v>0.68400000000000005</v>
      </c>
      <c r="C29" s="72">
        <v>0.85599999999999998</v>
      </c>
      <c r="D29" s="72">
        <v>1.3160000000000001</v>
      </c>
      <c r="E29" s="72">
        <v>1.708</v>
      </c>
      <c r="F29" s="72">
        <v>2.06</v>
      </c>
      <c r="G29" s="77">
        <v>2.3849999999999998</v>
      </c>
    </row>
    <row r="30" spans="1:7">
      <c r="A30">
        <v>26</v>
      </c>
      <c r="B30" s="76">
        <v>0.68400000000000005</v>
      </c>
      <c r="C30" s="72">
        <v>0.85599999999999998</v>
      </c>
      <c r="D30" s="72">
        <v>1.3149999999999999</v>
      </c>
      <c r="E30" s="72">
        <v>1.706</v>
      </c>
      <c r="F30" s="72">
        <v>2.056</v>
      </c>
      <c r="G30" s="77">
        <v>2.379</v>
      </c>
    </row>
    <row r="31" spans="1:7">
      <c r="A31">
        <v>27</v>
      </c>
      <c r="B31" s="76">
        <v>0.68400000000000005</v>
      </c>
      <c r="C31" s="72">
        <v>0.85499999999999998</v>
      </c>
      <c r="D31" s="72">
        <v>1.3140000000000001</v>
      </c>
      <c r="E31" s="72">
        <v>1.7030000000000001</v>
      </c>
      <c r="F31" s="72">
        <v>2.052</v>
      </c>
      <c r="G31" s="77">
        <v>2.3730000000000002</v>
      </c>
    </row>
    <row r="32" spans="1:7">
      <c r="A32">
        <v>28</v>
      </c>
      <c r="B32" s="76">
        <v>0.68300000000000005</v>
      </c>
      <c r="C32" s="72">
        <v>0.85499999999999998</v>
      </c>
      <c r="D32" s="72">
        <v>1.3129999999999999</v>
      </c>
      <c r="E32" s="72">
        <v>1.7010000000000001</v>
      </c>
      <c r="F32" s="72">
        <v>2.048</v>
      </c>
      <c r="G32" s="77">
        <v>2.3679999999999999</v>
      </c>
    </row>
    <row r="33" spans="1:7">
      <c r="A33">
        <v>29</v>
      </c>
      <c r="B33" s="76">
        <v>0.68300000000000005</v>
      </c>
      <c r="C33" s="72">
        <v>0.85399999999999998</v>
      </c>
      <c r="D33" s="72">
        <v>1.3109999999999999</v>
      </c>
      <c r="E33" s="72">
        <v>1.6990000000000001</v>
      </c>
      <c r="F33" s="72">
        <v>2.0449999999999999</v>
      </c>
      <c r="G33" s="77">
        <v>2.3639999999999999</v>
      </c>
    </row>
    <row r="34" spans="1:7">
      <c r="A34">
        <v>30</v>
      </c>
      <c r="B34" s="76">
        <v>0.68300000000000005</v>
      </c>
      <c r="C34" s="72">
        <v>0.85399999999999998</v>
      </c>
      <c r="D34" s="72">
        <v>1.31</v>
      </c>
      <c r="E34" s="72">
        <v>1.6970000000000001</v>
      </c>
      <c r="F34" s="72">
        <v>2.0419999999999998</v>
      </c>
      <c r="G34" s="77">
        <v>2.36</v>
      </c>
    </row>
    <row r="35" spans="1:7">
      <c r="A35">
        <v>35</v>
      </c>
      <c r="B35" s="76">
        <v>0.68200000000000005</v>
      </c>
      <c r="C35" s="72">
        <v>0.85199999999999998</v>
      </c>
      <c r="D35" s="72">
        <v>1.306</v>
      </c>
      <c r="E35" s="72">
        <v>1.69</v>
      </c>
      <c r="F35" s="72">
        <v>2.0299999999999998</v>
      </c>
      <c r="G35" s="77">
        <v>2.3420000000000001</v>
      </c>
    </row>
    <row r="36" spans="1:7">
      <c r="A36">
        <v>40</v>
      </c>
      <c r="B36" s="76">
        <v>0.68100000000000005</v>
      </c>
      <c r="C36" s="72">
        <v>0.85099999999999998</v>
      </c>
      <c r="D36" s="72">
        <v>1.3029999999999999</v>
      </c>
      <c r="E36" s="72">
        <v>1.6839999999999999</v>
      </c>
      <c r="F36" s="72">
        <v>2.0209999999999999</v>
      </c>
      <c r="G36" s="77">
        <v>2.3290000000000002</v>
      </c>
    </row>
    <row r="37" spans="1:7">
      <c r="A37">
        <v>45</v>
      </c>
      <c r="B37" s="76">
        <v>0.68</v>
      </c>
      <c r="C37" s="72">
        <v>0.85</v>
      </c>
      <c r="D37" s="72">
        <v>1.3009999999999999</v>
      </c>
      <c r="E37" s="72">
        <v>1.68</v>
      </c>
      <c r="F37" s="72">
        <v>2.0139999999999998</v>
      </c>
      <c r="G37" s="77">
        <v>2.319</v>
      </c>
    </row>
    <row r="38" spans="1:7">
      <c r="A38">
        <v>50</v>
      </c>
      <c r="B38" s="76">
        <v>0.68</v>
      </c>
      <c r="C38" s="72">
        <v>0.84899999999999998</v>
      </c>
      <c r="D38" s="72">
        <v>1.2989999999999999</v>
      </c>
      <c r="E38" s="72">
        <v>1.6759999999999999</v>
      </c>
      <c r="F38" s="72">
        <v>2.008</v>
      </c>
      <c r="G38" s="77">
        <v>2.31</v>
      </c>
    </row>
    <row r="39" spans="1:7">
      <c r="A39">
        <v>55</v>
      </c>
      <c r="B39" s="76">
        <v>0.67900000000000005</v>
      </c>
      <c r="C39" s="72">
        <v>0.84899999999999998</v>
      </c>
      <c r="D39" s="72">
        <v>1.2969999999999999</v>
      </c>
      <c r="E39" s="72">
        <v>1.673</v>
      </c>
      <c r="F39" s="72">
        <v>2.004</v>
      </c>
      <c r="G39" s="77">
        <v>2.3039999999999998</v>
      </c>
    </row>
    <row r="40" spans="1:7">
      <c r="A40">
        <v>60</v>
      </c>
      <c r="B40" s="76">
        <v>0.67900000000000005</v>
      </c>
      <c r="C40" s="72">
        <v>0.84799999999999998</v>
      </c>
      <c r="D40" s="72">
        <v>1.296</v>
      </c>
      <c r="E40" s="72">
        <v>1.671</v>
      </c>
      <c r="F40" s="72">
        <v>2</v>
      </c>
      <c r="G40" s="77">
        <v>2.2989999999999999</v>
      </c>
    </row>
    <row r="41" spans="1:7">
      <c r="A41">
        <v>70</v>
      </c>
      <c r="B41" s="76">
        <v>0.67800000000000005</v>
      </c>
      <c r="C41" s="72">
        <v>0.84699999999999998</v>
      </c>
      <c r="D41" s="72">
        <v>1.294</v>
      </c>
      <c r="E41" s="72">
        <v>1.667</v>
      </c>
      <c r="F41" s="72">
        <v>1.994</v>
      </c>
      <c r="G41" s="77">
        <v>2.29</v>
      </c>
    </row>
    <row r="42" spans="1:7">
      <c r="A42">
        <v>80</v>
      </c>
      <c r="B42" s="76">
        <v>0.67800000000000005</v>
      </c>
      <c r="C42" s="72">
        <v>0.84699999999999998</v>
      </c>
      <c r="D42" s="72">
        <v>1.2929999999999999</v>
      </c>
      <c r="E42" s="72">
        <v>1.665</v>
      </c>
      <c r="F42" s="72">
        <v>1.9890000000000001</v>
      </c>
      <c r="G42" s="77">
        <v>2.2839999999999998</v>
      </c>
    </row>
    <row r="43" spans="1:7">
      <c r="A43">
        <v>90</v>
      </c>
      <c r="B43" s="76">
        <v>0.67800000000000005</v>
      </c>
      <c r="C43" s="72">
        <v>0.84599999999999997</v>
      </c>
      <c r="D43" s="72">
        <v>1.2909999999999999</v>
      </c>
      <c r="E43" s="72">
        <v>1.6619999999999999</v>
      </c>
      <c r="F43" s="72">
        <v>1.986</v>
      </c>
      <c r="G43" s="77">
        <v>2.2789999999999999</v>
      </c>
    </row>
    <row r="44" spans="1:7">
      <c r="A44">
        <v>100</v>
      </c>
      <c r="B44" s="76">
        <v>0.67700000000000005</v>
      </c>
      <c r="C44" s="72">
        <v>0.84599999999999997</v>
      </c>
      <c r="D44" s="72">
        <v>1.29</v>
      </c>
      <c r="E44" s="72">
        <v>1.661</v>
      </c>
      <c r="F44" s="72">
        <v>1.982</v>
      </c>
      <c r="G44" s="77">
        <v>2.2759999999999998</v>
      </c>
    </row>
    <row r="45" spans="1:7">
      <c r="A45">
        <v>120</v>
      </c>
      <c r="B45" s="78">
        <v>0.67700000000000005</v>
      </c>
      <c r="C45" s="79">
        <v>0.84499999999999997</v>
      </c>
      <c r="D45" s="79">
        <v>1.2889999999999999</v>
      </c>
      <c r="E45" s="79">
        <v>1.6579999999999999</v>
      </c>
      <c r="F45" s="79">
        <v>1.98</v>
      </c>
      <c r="G45" s="80">
        <v>2.27</v>
      </c>
    </row>
  </sheetData>
  <phoneticPr fontId="4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9">
    <tabColor rgb="FF00B0F0"/>
  </sheetPr>
  <dimension ref="A1:V153"/>
  <sheetViews>
    <sheetView zoomScaleNormal="100" zoomScaleSheetLayoutView="100" workbookViewId="0">
      <pane ySplit="7" topLeftCell="A110" activePane="bottomLeft" state="frozen"/>
      <selection activeCell="D8" sqref="A1:XFD1048576"/>
      <selection pane="bottomLeft" activeCell="J136" sqref="J136:N136"/>
    </sheetView>
  </sheetViews>
  <sheetFormatPr defaultColWidth="9" defaultRowHeight="12.75" outlineLevelRow="1"/>
  <cols>
    <col min="1" max="1" width="12.625" style="375" customWidth="1"/>
    <col min="2" max="2" width="10" style="375" customWidth="1"/>
    <col min="3" max="3" width="7.5" style="375" customWidth="1"/>
    <col min="4" max="4" width="11" style="375" customWidth="1"/>
    <col min="5" max="5" width="14.25" style="375" customWidth="1"/>
    <col min="6" max="6" width="11.375" style="375" customWidth="1"/>
    <col min="7" max="7" width="13.25" style="375" customWidth="1"/>
    <col min="8" max="8" width="10" style="375" customWidth="1"/>
    <col min="9" max="9" width="8" style="375" customWidth="1"/>
    <col min="10" max="13" width="10.625" style="375" customWidth="1"/>
    <col min="14" max="14" width="9" style="375" customWidth="1"/>
    <col min="15" max="15" width="10.25" style="375" customWidth="1"/>
    <col min="16" max="16" width="5.5" style="375" customWidth="1"/>
    <col min="17" max="17" width="10" style="1115" customWidth="1"/>
    <col min="18" max="18" width="9" style="1115"/>
    <col min="19" max="19" width="10.375" style="375" customWidth="1"/>
    <col min="20" max="20" width="12.5" style="375" customWidth="1"/>
    <col min="21" max="21" width="13" style="375" customWidth="1"/>
    <col min="22" max="16384" width="9" style="375"/>
  </cols>
  <sheetData>
    <row r="1" spans="1:22">
      <c r="A1" s="156" t="str">
        <f ca="1">CELL("filename",O1)</f>
        <v>C:\Projects\Shiny App\Aging Error\[Copprt Chinook brood.xlsx]Harvests</v>
      </c>
      <c r="C1" s="423"/>
      <c r="D1" s="423"/>
      <c r="E1" s="423"/>
      <c r="F1" s="423"/>
      <c r="G1" s="423">
        <f>0.05*B134</f>
        <v>617.40000000000009</v>
      </c>
      <c r="H1" s="423">
        <f>B134-G1</f>
        <v>11730.6</v>
      </c>
      <c r="I1" s="423"/>
      <c r="O1" s="425">
        <f ca="1">NOW()</f>
        <v>43509.705858449073</v>
      </c>
      <c r="P1" s="425"/>
      <c r="Q1" s="1114"/>
    </row>
    <row r="2" spans="1:22" ht="5.25" customHeight="1">
      <c r="B2" s="423"/>
      <c r="C2" s="423"/>
      <c r="D2" s="423"/>
      <c r="E2" s="423"/>
      <c r="F2" s="423"/>
      <c r="G2" s="423"/>
      <c r="H2" s="423"/>
      <c r="I2" s="423"/>
    </row>
    <row r="3" spans="1:22">
      <c r="A3" s="177" t="s">
        <v>545</v>
      </c>
      <c r="C3" s="423"/>
      <c r="D3" s="423"/>
      <c r="E3" s="423"/>
      <c r="F3" s="423"/>
      <c r="G3" s="423"/>
      <c r="H3" s="423"/>
      <c r="I3" s="423"/>
    </row>
    <row r="4" spans="1:22">
      <c r="A4" s="424" t="s">
        <v>283</v>
      </c>
      <c r="B4" s="423"/>
      <c r="C4" s="423"/>
      <c r="D4" s="423"/>
      <c r="E4" s="423"/>
      <c r="F4" s="423"/>
      <c r="G4" s="423"/>
      <c r="H4" s="423"/>
      <c r="I4" s="423"/>
    </row>
    <row r="5" spans="1:22" ht="13.5" thickBot="1">
      <c r="A5" s="1299" t="s">
        <v>282</v>
      </c>
      <c r="B5" s="1299"/>
      <c r="C5" s="1299"/>
      <c r="D5" s="1299"/>
      <c r="E5" s="1299"/>
      <c r="F5" s="1299"/>
      <c r="G5" s="1299"/>
      <c r="H5" s="1299"/>
      <c r="I5" s="573"/>
      <c r="J5" s="1297" t="s">
        <v>281</v>
      </c>
      <c r="K5" s="1297"/>
      <c r="L5" s="1297"/>
      <c r="M5" s="1297"/>
      <c r="N5" s="422"/>
      <c r="O5" s="421"/>
      <c r="P5" s="421"/>
      <c r="Q5" s="421" t="s">
        <v>280</v>
      </c>
      <c r="R5" s="422"/>
    </row>
    <row r="6" spans="1:22">
      <c r="A6" s="377"/>
      <c r="B6" s="1298" t="s">
        <v>279</v>
      </c>
      <c r="C6" s="1298"/>
      <c r="D6" s="1298"/>
      <c r="E6" s="376"/>
      <c r="F6" s="376"/>
      <c r="G6" s="376"/>
      <c r="H6" s="376"/>
      <c r="I6" s="376"/>
      <c r="J6" s="1296" t="s">
        <v>278</v>
      </c>
      <c r="K6" s="1296"/>
      <c r="L6" s="1296" t="s">
        <v>277</v>
      </c>
      <c r="M6" s="1296"/>
      <c r="N6" s="377"/>
      <c r="O6" s="420"/>
      <c r="P6" s="420"/>
      <c r="Q6" s="420"/>
      <c r="R6" s="377"/>
    </row>
    <row r="7" spans="1:22" ht="38.25">
      <c r="A7" s="416" t="s">
        <v>276</v>
      </c>
      <c r="B7" s="419" t="s">
        <v>275</v>
      </c>
      <c r="C7" s="419" t="s">
        <v>274</v>
      </c>
      <c r="D7" s="418" t="s">
        <v>273</v>
      </c>
      <c r="E7" s="416" t="s">
        <v>272</v>
      </c>
      <c r="F7" s="702" t="s">
        <v>364</v>
      </c>
      <c r="G7" s="702" t="s">
        <v>365</v>
      </c>
      <c r="H7" s="417" t="s">
        <v>211</v>
      </c>
      <c r="I7" s="574" t="s">
        <v>323</v>
      </c>
      <c r="J7" s="416" t="s">
        <v>271</v>
      </c>
      <c r="K7" s="416" t="s">
        <v>270</v>
      </c>
      <c r="L7" s="416" t="s">
        <v>271</v>
      </c>
      <c r="M7" s="416" t="s">
        <v>270</v>
      </c>
      <c r="N7" s="415" t="s">
        <v>135</v>
      </c>
      <c r="O7" s="414" t="s">
        <v>269</v>
      </c>
      <c r="P7" s="413"/>
      <c r="Q7" s="1112" t="s">
        <v>268</v>
      </c>
      <c r="R7" s="1125" t="s">
        <v>483</v>
      </c>
    </row>
    <row r="8" spans="1:22" outlineLevel="1">
      <c r="A8" s="377">
        <v>1890</v>
      </c>
      <c r="B8" s="386">
        <v>5491</v>
      </c>
      <c r="C8" s="412" t="s">
        <v>223</v>
      </c>
      <c r="D8" s="503">
        <f t="shared" ref="D8:D39" si="0">SUM(B8:C8)</f>
        <v>5491</v>
      </c>
      <c r="E8" s="390" t="s">
        <v>223</v>
      </c>
      <c r="F8" s="390" t="s">
        <v>223</v>
      </c>
      <c r="G8" s="390"/>
      <c r="H8" s="390" t="s">
        <v>223</v>
      </c>
      <c r="I8" s="503">
        <f t="shared" ref="I8:I39" si="1">SUM(D8:H8)</f>
        <v>5491</v>
      </c>
      <c r="J8" s="390" t="s">
        <v>223</v>
      </c>
      <c r="K8" s="390" t="s">
        <v>223</v>
      </c>
      <c r="L8" s="390" t="s">
        <v>223</v>
      </c>
      <c r="M8" s="390" t="s">
        <v>223</v>
      </c>
      <c r="N8" s="390" t="s">
        <v>223</v>
      </c>
      <c r="O8" s="504">
        <f>SUM(I8:N8)</f>
        <v>5491</v>
      </c>
      <c r="P8" s="403"/>
      <c r="Q8" s="505">
        <f t="shared" ref="Q8:Q39" si="2">AVERAGEIF($R$8:$R$134,$R8,$B$8:$B$134)</f>
        <v>5341.666666666667</v>
      </c>
      <c r="R8" s="1126">
        <f>TRUNC(A8/10,0)</f>
        <v>189</v>
      </c>
      <c r="T8" s="375" t="s">
        <v>119</v>
      </c>
    </row>
    <row r="9" spans="1:22" outlineLevel="1">
      <c r="A9" s="377">
        <v>1891</v>
      </c>
      <c r="B9" s="386">
        <v>6185</v>
      </c>
      <c r="C9" s="412" t="s">
        <v>223</v>
      </c>
      <c r="D9" s="503">
        <f t="shared" si="0"/>
        <v>6185</v>
      </c>
      <c r="E9" s="390" t="s">
        <v>223</v>
      </c>
      <c r="F9" s="390" t="s">
        <v>223</v>
      </c>
      <c r="G9" s="390"/>
      <c r="H9" s="390" t="s">
        <v>223</v>
      </c>
      <c r="I9" s="503">
        <f t="shared" si="1"/>
        <v>6185</v>
      </c>
      <c r="J9" s="390" t="s">
        <v>223</v>
      </c>
      <c r="K9" s="390" t="s">
        <v>223</v>
      </c>
      <c r="L9" s="390" t="s">
        <v>223</v>
      </c>
      <c r="M9" s="390" t="s">
        <v>223</v>
      </c>
      <c r="N9" s="390" t="s">
        <v>223</v>
      </c>
      <c r="O9" s="504">
        <f t="shared" ref="O9:O72" si="3">SUM(I9:N9)</f>
        <v>6185</v>
      </c>
      <c r="P9" s="403"/>
      <c r="Q9" s="505">
        <f t="shared" si="2"/>
        <v>5341.666666666667</v>
      </c>
      <c r="R9" s="1126">
        <f t="shared" ref="R9:R72" si="4">TRUNC(A9/10,0)</f>
        <v>189</v>
      </c>
      <c r="T9" s="375" t="s">
        <v>130</v>
      </c>
      <c r="U9" s="375" t="s">
        <v>127</v>
      </c>
    </row>
    <row r="10" spans="1:22" outlineLevel="1">
      <c r="A10" s="377">
        <v>1892</v>
      </c>
      <c r="B10" s="1002" t="s">
        <v>223</v>
      </c>
      <c r="C10" s="412" t="s">
        <v>223</v>
      </c>
      <c r="D10" s="503">
        <f t="shared" si="0"/>
        <v>0</v>
      </c>
      <c r="E10" s="390" t="s">
        <v>223</v>
      </c>
      <c r="F10" s="390" t="s">
        <v>223</v>
      </c>
      <c r="G10" s="390"/>
      <c r="H10" s="390" t="s">
        <v>223</v>
      </c>
      <c r="I10" s="503">
        <f t="shared" si="1"/>
        <v>0</v>
      </c>
      <c r="J10" s="390" t="s">
        <v>223</v>
      </c>
      <c r="K10" s="390" t="s">
        <v>223</v>
      </c>
      <c r="L10" s="390" t="s">
        <v>223</v>
      </c>
      <c r="M10" s="390" t="s">
        <v>223</v>
      </c>
      <c r="N10" s="390" t="s">
        <v>223</v>
      </c>
      <c r="O10" s="504">
        <f t="shared" si="3"/>
        <v>0</v>
      </c>
      <c r="P10" s="403"/>
      <c r="Q10" s="505">
        <f t="shared" si="2"/>
        <v>5341.666666666667</v>
      </c>
      <c r="R10" s="1126">
        <f t="shared" si="4"/>
        <v>189</v>
      </c>
      <c r="U10" s="375" t="s">
        <v>120</v>
      </c>
      <c r="V10" s="375" t="s">
        <v>121</v>
      </c>
    </row>
    <row r="11" spans="1:22" outlineLevel="1">
      <c r="A11" s="377">
        <v>1893</v>
      </c>
      <c r="B11" s="386">
        <v>8674</v>
      </c>
      <c r="C11" s="412" t="s">
        <v>223</v>
      </c>
      <c r="D11" s="503">
        <f t="shared" si="0"/>
        <v>8674</v>
      </c>
      <c r="E11" s="390" t="s">
        <v>223</v>
      </c>
      <c r="F11" s="390" t="s">
        <v>223</v>
      </c>
      <c r="G11" s="390"/>
      <c r="H11" s="390" t="s">
        <v>223</v>
      </c>
      <c r="I11" s="503">
        <f t="shared" si="1"/>
        <v>8674</v>
      </c>
      <c r="J11" s="390" t="s">
        <v>223</v>
      </c>
      <c r="K11" s="390" t="s">
        <v>223</v>
      </c>
      <c r="L11" s="390" t="s">
        <v>223</v>
      </c>
      <c r="M11" s="390" t="s">
        <v>223</v>
      </c>
      <c r="N11" s="390" t="s">
        <v>223</v>
      </c>
      <c r="O11" s="504">
        <f t="shared" si="3"/>
        <v>8674</v>
      </c>
      <c r="P11" s="403"/>
      <c r="Q11" s="505">
        <f t="shared" si="2"/>
        <v>5341.666666666667</v>
      </c>
      <c r="R11" s="1126">
        <f t="shared" si="4"/>
        <v>189</v>
      </c>
      <c r="V11" s="375" t="s">
        <v>124</v>
      </c>
    </row>
    <row r="12" spans="1:22" outlineLevel="1">
      <c r="A12" s="377">
        <v>1894</v>
      </c>
      <c r="B12" s="386">
        <v>7494</v>
      </c>
      <c r="C12" s="412" t="s">
        <v>223</v>
      </c>
      <c r="D12" s="503">
        <f t="shared" si="0"/>
        <v>7494</v>
      </c>
      <c r="E12" s="390" t="s">
        <v>223</v>
      </c>
      <c r="F12" s="390" t="s">
        <v>223</v>
      </c>
      <c r="G12" s="390"/>
      <c r="H12" s="390" t="s">
        <v>223</v>
      </c>
      <c r="I12" s="503">
        <f t="shared" si="1"/>
        <v>7494</v>
      </c>
      <c r="J12" s="390" t="s">
        <v>223</v>
      </c>
      <c r="K12" s="390" t="s">
        <v>223</v>
      </c>
      <c r="L12" s="390" t="s">
        <v>223</v>
      </c>
      <c r="M12" s="390" t="s">
        <v>223</v>
      </c>
      <c r="N12" s="390" t="s">
        <v>223</v>
      </c>
      <c r="O12" s="504">
        <f t="shared" si="3"/>
        <v>7494</v>
      </c>
      <c r="P12" s="403"/>
      <c r="Q12" s="505">
        <f t="shared" si="2"/>
        <v>5341.666666666667</v>
      </c>
      <c r="R12" s="1126">
        <f t="shared" si="4"/>
        <v>189</v>
      </c>
      <c r="U12" s="375" t="s">
        <v>122</v>
      </c>
      <c r="V12" s="375" t="s">
        <v>123</v>
      </c>
    </row>
    <row r="13" spans="1:22" outlineLevel="1">
      <c r="A13" s="377">
        <v>1895</v>
      </c>
      <c r="B13" s="386">
        <v>10248</v>
      </c>
      <c r="C13" s="412" t="s">
        <v>223</v>
      </c>
      <c r="D13" s="503">
        <f t="shared" si="0"/>
        <v>10248</v>
      </c>
      <c r="E13" s="390" t="s">
        <v>223</v>
      </c>
      <c r="F13" s="390" t="s">
        <v>223</v>
      </c>
      <c r="G13" s="390"/>
      <c r="H13" s="390" t="s">
        <v>223</v>
      </c>
      <c r="I13" s="503">
        <f t="shared" si="1"/>
        <v>10248</v>
      </c>
      <c r="J13" s="390" t="s">
        <v>223</v>
      </c>
      <c r="K13" s="390" t="s">
        <v>223</v>
      </c>
      <c r="L13" s="390" t="s">
        <v>223</v>
      </c>
      <c r="M13" s="390" t="s">
        <v>223</v>
      </c>
      <c r="N13" s="390" t="s">
        <v>223</v>
      </c>
      <c r="O13" s="504">
        <f t="shared" si="3"/>
        <v>10248</v>
      </c>
      <c r="P13" s="403"/>
      <c r="Q13" s="505">
        <f t="shared" si="2"/>
        <v>5341.666666666667</v>
      </c>
      <c r="R13" s="1126">
        <f t="shared" si="4"/>
        <v>189</v>
      </c>
      <c r="U13" s="375" t="s">
        <v>125</v>
      </c>
      <c r="V13" s="375" t="s">
        <v>126</v>
      </c>
    </row>
    <row r="14" spans="1:22" outlineLevel="1">
      <c r="A14" s="377">
        <v>1896</v>
      </c>
      <c r="B14" s="386">
        <v>1407</v>
      </c>
      <c r="C14" s="412" t="s">
        <v>223</v>
      </c>
      <c r="D14" s="503">
        <f t="shared" si="0"/>
        <v>1407</v>
      </c>
      <c r="E14" s="390" t="s">
        <v>223</v>
      </c>
      <c r="F14" s="390" t="s">
        <v>223</v>
      </c>
      <c r="G14" s="390"/>
      <c r="H14" s="390" t="s">
        <v>223</v>
      </c>
      <c r="I14" s="503">
        <f t="shared" si="1"/>
        <v>1407</v>
      </c>
      <c r="J14" s="390" t="s">
        <v>223</v>
      </c>
      <c r="K14" s="390" t="s">
        <v>223</v>
      </c>
      <c r="L14" s="390" t="s">
        <v>223</v>
      </c>
      <c r="M14" s="390" t="s">
        <v>223</v>
      </c>
      <c r="N14" s="390" t="s">
        <v>223</v>
      </c>
      <c r="O14" s="504">
        <f t="shared" si="3"/>
        <v>1407</v>
      </c>
      <c r="P14" s="403"/>
      <c r="Q14" s="505">
        <f t="shared" si="2"/>
        <v>5341.666666666667</v>
      </c>
      <c r="R14" s="1126">
        <f t="shared" si="4"/>
        <v>189</v>
      </c>
      <c r="U14" s="375" t="s">
        <v>129</v>
      </c>
      <c r="V14" s="375" t="s">
        <v>128</v>
      </c>
    </row>
    <row r="15" spans="1:22" outlineLevel="1">
      <c r="A15" s="377">
        <v>1897</v>
      </c>
      <c r="B15" s="386">
        <v>2044</v>
      </c>
      <c r="C15" s="412" t="s">
        <v>223</v>
      </c>
      <c r="D15" s="503">
        <f t="shared" si="0"/>
        <v>2044</v>
      </c>
      <c r="E15" s="390" t="s">
        <v>223</v>
      </c>
      <c r="F15" s="390" t="s">
        <v>223</v>
      </c>
      <c r="G15" s="390"/>
      <c r="H15" s="390" t="s">
        <v>223</v>
      </c>
      <c r="I15" s="503">
        <f t="shared" si="1"/>
        <v>2044</v>
      </c>
      <c r="J15" s="390" t="s">
        <v>223</v>
      </c>
      <c r="K15" s="390" t="s">
        <v>223</v>
      </c>
      <c r="L15" s="390" t="s">
        <v>223</v>
      </c>
      <c r="M15" s="390" t="s">
        <v>223</v>
      </c>
      <c r="N15" s="390" t="s">
        <v>223</v>
      </c>
      <c r="O15" s="504">
        <f t="shared" si="3"/>
        <v>2044</v>
      </c>
      <c r="P15" s="403"/>
      <c r="Q15" s="505">
        <f t="shared" si="2"/>
        <v>5341.666666666667</v>
      </c>
      <c r="R15" s="1126">
        <f t="shared" si="4"/>
        <v>189</v>
      </c>
      <c r="T15" s="375" t="s">
        <v>132</v>
      </c>
      <c r="U15" s="375" t="s">
        <v>131</v>
      </c>
    </row>
    <row r="16" spans="1:22" outlineLevel="1">
      <c r="A16" s="377">
        <v>1898</v>
      </c>
      <c r="B16" s="386">
        <v>1850</v>
      </c>
      <c r="C16" s="412" t="s">
        <v>223</v>
      </c>
      <c r="D16" s="503">
        <f t="shared" si="0"/>
        <v>1850</v>
      </c>
      <c r="E16" s="390" t="s">
        <v>223</v>
      </c>
      <c r="F16" s="390" t="s">
        <v>223</v>
      </c>
      <c r="G16" s="390"/>
      <c r="H16" s="390" t="s">
        <v>223</v>
      </c>
      <c r="I16" s="503">
        <f t="shared" si="1"/>
        <v>1850</v>
      </c>
      <c r="J16" s="390" t="s">
        <v>223</v>
      </c>
      <c r="K16" s="390" t="s">
        <v>223</v>
      </c>
      <c r="L16" s="390" t="s">
        <v>223</v>
      </c>
      <c r="M16" s="390" t="s">
        <v>223</v>
      </c>
      <c r="N16" s="390" t="s">
        <v>223</v>
      </c>
      <c r="O16" s="504">
        <f t="shared" si="3"/>
        <v>1850</v>
      </c>
      <c r="P16" s="403"/>
      <c r="Q16" s="505">
        <f t="shared" si="2"/>
        <v>5341.666666666667</v>
      </c>
      <c r="R16" s="1126">
        <f t="shared" si="4"/>
        <v>189</v>
      </c>
      <c r="T16" s="375" t="s">
        <v>133</v>
      </c>
      <c r="U16" s="375" t="s">
        <v>134</v>
      </c>
    </row>
    <row r="17" spans="1:21" outlineLevel="1">
      <c r="A17" s="377">
        <v>1899</v>
      </c>
      <c r="B17" s="386">
        <v>4682</v>
      </c>
      <c r="C17" s="412" t="s">
        <v>223</v>
      </c>
      <c r="D17" s="503">
        <f t="shared" si="0"/>
        <v>4682</v>
      </c>
      <c r="E17" s="390" t="s">
        <v>223</v>
      </c>
      <c r="F17" s="390" t="s">
        <v>223</v>
      </c>
      <c r="G17" s="390"/>
      <c r="H17" s="390" t="s">
        <v>223</v>
      </c>
      <c r="I17" s="503">
        <f t="shared" si="1"/>
        <v>4682</v>
      </c>
      <c r="J17" s="390" t="s">
        <v>223</v>
      </c>
      <c r="K17" s="390" t="s">
        <v>223</v>
      </c>
      <c r="L17" s="390" t="s">
        <v>223</v>
      </c>
      <c r="M17" s="390" t="s">
        <v>223</v>
      </c>
      <c r="N17" s="390" t="s">
        <v>223</v>
      </c>
      <c r="O17" s="504">
        <f t="shared" si="3"/>
        <v>4682</v>
      </c>
      <c r="P17" s="403"/>
      <c r="Q17" s="505">
        <f t="shared" si="2"/>
        <v>5341.666666666667</v>
      </c>
      <c r="R17" s="1126">
        <f t="shared" si="4"/>
        <v>189</v>
      </c>
      <c r="U17" s="375" t="s">
        <v>267</v>
      </c>
    </row>
    <row r="18" spans="1:21" outlineLevel="1">
      <c r="A18" s="377">
        <v>1900</v>
      </c>
      <c r="B18" s="386">
        <v>3462</v>
      </c>
      <c r="C18" s="412" t="s">
        <v>223</v>
      </c>
      <c r="D18" s="503">
        <f t="shared" si="0"/>
        <v>3462</v>
      </c>
      <c r="E18" s="390" t="s">
        <v>223</v>
      </c>
      <c r="F18" s="390" t="s">
        <v>223</v>
      </c>
      <c r="G18" s="390"/>
      <c r="H18" s="390" t="s">
        <v>223</v>
      </c>
      <c r="I18" s="503">
        <f t="shared" si="1"/>
        <v>3462</v>
      </c>
      <c r="J18" s="390" t="s">
        <v>223</v>
      </c>
      <c r="K18" s="390" t="s">
        <v>223</v>
      </c>
      <c r="L18" s="390" t="s">
        <v>223</v>
      </c>
      <c r="M18" s="390" t="s">
        <v>223</v>
      </c>
      <c r="N18" s="390" t="s">
        <v>223</v>
      </c>
      <c r="O18" s="504">
        <f t="shared" si="3"/>
        <v>3462</v>
      </c>
      <c r="P18" s="403"/>
      <c r="Q18" s="505">
        <f t="shared" si="2"/>
        <v>5359.4444444444443</v>
      </c>
      <c r="R18" s="1126">
        <f t="shared" si="4"/>
        <v>190</v>
      </c>
    </row>
    <row r="19" spans="1:21" outlineLevel="1">
      <c r="A19" s="377">
        <v>1901</v>
      </c>
      <c r="B19" s="386">
        <v>6558</v>
      </c>
      <c r="C19" s="412" t="s">
        <v>223</v>
      </c>
      <c r="D19" s="503">
        <f t="shared" si="0"/>
        <v>6558</v>
      </c>
      <c r="E19" s="390" t="s">
        <v>223</v>
      </c>
      <c r="F19" s="390" t="s">
        <v>223</v>
      </c>
      <c r="G19" s="390"/>
      <c r="H19" s="390" t="s">
        <v>223</v>
      </c>
      <c r="I19" s="503">
        <f t="shared" si="1"/>
        <v>6558</v>
      </c>
      <c r="J19" s="390" t="s">
        <v>223</v>
      </c>
      <c r="K19" s="390" t="s">
        <v>223</v>
      </c>
      <c r="L19" s="390" t="s">
        <v>223</v>
      </c>
      <c r="M19" s="390" t="s">
        <v>223</v>
      </c>
      <c r="N19" s="390" t="s">
        <v>223</v>
      </c>
      <c r="O19" s="504">
        <f t="shared" si="3"/>
        <v>6558</v>
      </c>
      <c r="P19" s="403"/>
      <c r="Q19" s="505">
        <f t="shared" si="2"/>
        <v>5359.4444444444443</v>
      </c>
      <c r="R19" s="1126">
        <f t="shared" si="4"/>
        <v>190</v>
      </c>
      <c r="T19" s="519" t="str">
        <f ca="1">CELL("filename",A1)</f>
        <v>C:\Projects\Shiny App\Aging Error\[Copprt Chinook brood.xlsx]Harvests</v>
      </c>
    </row>
    <row r="20" spans="1:21" outlineLevel="1">
      <c r="A20" s="377">
        <v>1902</v>
      </c>
      <c r="B20" s="386">
        <v>2500</v>
      </c>
      <c r="C20" s="412" t="s">
        <v>223</v>
      </c>
      <c r="D20" s="503">
        <f t="shared" si="0"/>
        <v>2500</v>
      </c>
      <c r="E20" s="390" t="s">
        <v>223</v>
      </c>
      <c r="F20" s="390" t="s">
        <v>223</v>
      </c>
      <c r="G20" s="390"/>
      <c r="H20" s="390" t="s">
        <v>223</v>
      </c>
      <c r="I20" s="503">
        <f t="shared" si="1"/>
        <v>2500</v>
      </c>
      <c r="J20" s="390" t="s">
        <v>223</v>
      </c>
      <c r="K20" s="390" t="s">
        <v>223</v>
      </c>
      <c r="L20" s="390" t="s">
        <v>223</v>
      </c>
      <c r="M20" s="390" t="s">
        <v>223</v>
      </c>
      <c r="N20" s="390" t="s">
        <v>223</v>
      </c>
      <c r="O20" s="504">
        <f t="shared" si="3"/>
        <v>2500</v>
      </c>
      <c r="P20" s="403"/>
      <c r="Q20" s="505">
        <f t="shared" si="2"/>
        <v>5359.4444444444443</v>
      </c>
      <c r="R20" s="1126">
        <f t="shared" si="4"/>
        <v>190</v>
      </c>
    </row>
    <row r="21" spans="1:21" outlineLevel="1">
      <c r="A21" s="377">
        <v>1903</v>
      </c>
      <c r="B21" s="386">
        <v>4600</v>
      </c>
      <c r="C21" s="412" t="s">
        <v>223</v>
      </c>
      <c r="D21" s="503">
        <f t="shared" si="0"/>
        <v>4600</v>
      </c>
      <c r="E21" s="390" t="s">
        <v>223</v>
      </c>
      <c r="F21" s="390" t="s">
        <v>223</v>
      </c>
      <c r="G21" s="390"/>
      <c r="H21" s="390" t="s">
        <v>223</v>
      </c>
      <c r="I21" s="503">
        <f t="shared" si="1"/>
        <v>4600</v>
      </c>
      <c r="J21" s="390" t="s">
        <v>223</v>
      </c>
      <c r="K21" s="390" t="s">
        <v>223</v>
      </c>
      <c r="L21" s="390" t="s">
        <v>223</v>
      </c>
      <c r="M21" s="390" t="s">
        <v>223</v>
      </c>
      <c r="N21" s="390" t="s">
        <v>223</v>
      </c>
      <c r="O21" s="504">
        <f t="shared" si="3"/>
        <v>4600</v>
      </c>
      <c r="P21" s="403"/>
      <c r="Q21" s="505">
        <f t="shared" si="2"/>
        <v>5359.4444444444443</v>
      </c>
      <c r="R21" s="1126">
        <f t="shared" si="4"/>
        <v>190</v>
      </c>
    </row>
    <row r="22" spans="1:21" outlineLevel="1">
      <c r="A22" s="377">
        <v>1904</v>
      </c>
      <c r="B22" s="386">
        <v>5014</v>
      </c>
      <c r="C22" s="412" t="s">
        <v>223</v>
      </c>
      <c r="D22" s="503">
        <f t="shared" si="0"/>
        <v>5014</v>
      </c>
      <c r="E22" s="390" t="s">
        <v>223</v>
      </c>
      <c r="F22" s="390" t="s">
        <v>223</v>
      </c>
      <c r="G22" s="390"/>
      <c r="H22" s="390" t="s">
        <v>223</v>
      </c>
      <c r="I22" s="503">
        <f>SUM(D22:H22)</f>
        <v>5014</v>
      </c>
      <c r="J22" s="390" t="s">
        <v>223</v>
      </c>
      <c r="K22" s="390" t="s">
        <v>223</v>
      </c>
      <c r="L22" s="390" t="s">
        <v>223</v>
      </c>
      <c r="M22" s="390" t="s">
        <v>223</v>
      </c>
      <c r="N22" s="390" t="s">
        <v>223</v>
      </c>
      <c r="O22" s="504">
        <f t="shared" si="3"/>
        <v>5014</v>
      </c>
      <c r="P22" s="403"/>
      <c r="Q22" s="505">
        <f t="shared" si="2"/>
        <v>5359.4444444444443</v>
      </c>
      <c r="R22" s="1126">
        <f t="shared" si="4"/>
        <v>190</v>
      </c>
    </row>
    <row r="23" spans="1:21" outlineLevel="1">
      <c r="A23" s="377">
        <v>1905</v>
      </c>
      <c r="B23" s="386">
        <v>20000</v>
      </c>
      <c r="C23" s="412" t="s">
        <v>223</v>
      </c>
      <c r="D23" s="503">
        <f t="shared" si="0"/>
        <v>20000</v>
      </c>
      <c r="E23" s="390" t="s">
        <v>223</v>
      </c>
      <c r="F23" s="390" t="s">
        <v>223</v>
      </c>
      <c r="G23" s="390"/>
      <c r="H23" s="390" t="s">
        <v>223</v>
      </c>
      <c r="I23" s="503">
        <f t="shared" si="1"/>
        <v>20000</v>
      </c>
      <c r="J23" s="390" t="s">
        <v>223</v>
      </c>
      <c r="K23" s="390" t="s">
        <v>223</v>
      </c>
      <c r="L23" s="390" t="s">
        <v>223</v>
      </c>
      <c r="M23" s="390" t="s">
        <v>223</v>
      </c>
      <c r="N23" s="390" t="s">
        <v>223</v>
      </c>
      <c r="O23" s="504">
        <f t="shared" si="3"/>
        <v>20000</v>
      </c>
      <c r="P23" s="403"/>
      <c r="Q23" s="505">
        <f t="shared" si="2"/>
        <v>5359.4444444444443</v>
      </c>
      <c r="R23" s="1126">
        <f t="shared" si="4"/>
        <v>190</v>
      </c>
    </row>
    <row r="24" spans="1:21" outlineLevel="1">
      <c r="A24" s="377">
        <v>1906</v>
      </c>
      <c r="B24" s="386">
        <v>2165</v>
      </c>
      <c r="C24" s="412" t="s">
        <v>223</v>
      </c>
      <c r="D24" s="503">
        <f t="shared" si="0"/>
        <v>2165</v>
      </c>
      <c r="E24" s="390" t="s">
        <v>223</v>
      </c>
      <c r="F24" s="390" t="s">
        <v>223</v>
      </c>
      <c r="G24" s="390"/>
      <c r="H24" s="390" t="s">
        <v>223</v>
      </c>
      <c r="I24" s="503">
        <f t="shared" si="1"/>
        <v>2165</v>
      </c>
      <c r="J24" s="390" t="s">
        <v>223</v>
      </c>
      <c r="K24" s="390" t="s">
        <v>223</v>
      </c>
      <c r="L24" s="390" t="s">
        <v>223</v>
      </c>
      <c r="M24" s="390" t="s">
        <v>223</v>
      </c>
      <c r="N24" s="390" t="s">
        <v>223</v>
      </c>
      <c r="O24" s="504">
        <f t="shared" si="3"/>
        <v>2165</v>
      </c>
      <c r="P24" s="403"/>
      <c r="Q24" s="505">
        <f t="shared" si="2"/>
        <v>5359.4444444444443</v>
      </c>
      <c r="R24" s="1126">
        <f t="shared" si="4"/>
        <v>190</v>
      </c>
    </row>
    <row r="25" spans="1:21" outlineLevel="1">
      <c r="A25" s="377">
        <v>1907</v>
      </c>
      <c r="B25" s="386">
        <v>869</v>
      </c>
      <c r="C25" s="412" t="s">
        <v>223</v>
      </c>
      <c r="D25" s="503">
        <f t="shared" si="0"/>
        <v>869</v>
      </c>
      <c r="E25" s="390" t="s">
        <v>223</v>
      </c>
      <c r="F25" s="390" t="s">
        <v>223</v>
      </c>
      <c r="G25" s="390"/>
      <c r="H25" s="390" t="s">
        <v>223</v>
      </c>
      <c r="I25" s="503">
        <f t="shared" si="1"/>
        <v>869</v>
      </c>
      <c r="J25" s="390" t="s">
        <v>223</v>
      </c>
      <c r="K25" s="390" t="s">
        <v>223</v>
      </c>
      <c r="L25" s="390" t="s">
        <v>223</v>
      </c>
      <c r="M25" s="390" t="s">
        <v>223</v>
      </c>
      <c r="N25" s="390" t="s">
        <v>223</v>
      </c>
      <c r="O25" s="504">
        <f t="shared" si="3"/>
        <v>869</v>
      </c>
      <c r="P25" s="403"/>
      <c r="Q25" s="505">
        <f t="shared" si="2"/>
        <v>5359.4444444444443</v>
      </c>
      <c r="R25" s="1126">
        <f t="shared" si="4"/>
        <v>190</v>
      </c>
    </row>
    <row r="26" spans="1:21" outlineLevel="1">
      <c r="A26" s="377">
        <v>1908</v>
      </c>
      <c r="B26" s="412" t="s">
        <v>223</v>
      </c>
      <c r="C26" s="412" t="s">
        <v>223</v>
      </c>
      <c r="D26" s="503">
        <f t="shared" si="0"/>
        <v>0</v>
      </c>
      <c r="E26" s="390" t="s">
        <v>223</v>
      </c>
      <c r="F26" s="390" t="s">
        <v>223</v>
      </c>
      <c r="G26" s="390"/>
      <c r="H26" s="390" t="s">
        <v>223</v>
      </c>
      <c r="I26" s="503">
        <f t="shared" si="1"/>
        <v>0</v>
      </c>
      <c r="J26" s="390" t="s">
        <v>223</v>
      </c>
      <c r="K26" s="390" t="s">
        <v>223</v>
      </c>
      <c r="L26" s="390" t="s">
        <v>223</v>
      </c>
      <c r="M26" s="390" t="s">
        <v>223</v>
      </c>
      <c r="N26" s="390" t="s">
        <v>223</v>
      </c>
      <c r="O26" s="504">
        <f t="shared" si="3"/>
        <v>0</v>
      </c>
      <c r="P26" s="403"/>
      <c r="Q26" s="505">
        <f t="shared" si="2"/>
        <v>5359.4444444444443</v>
      </c>
      <c r="R26" s="1126">
        <f t="shared" si="4"/>
        <v>190</v>
      </c>
    </row>
    <row r="27" spans="1:21" outlineLevel="1">
      <c r="A27" s="377">
        <v>1909</v>
      </c>
      <c r="B27" s="386">
        <v>3067</v>
      </c>
      <c r="C27" s="412" t="s">
        <v>223</v>
      </c>
      <c r="D27" s="503">
        <f t="shared" si="0"/>
        <v>3067</v>
      </c>
      <c r="E27" s="390" t="s">
        <v>223</v>
      </c>
      <c r="F27" s="390" t="s">
        <v>223</v>
      </c>
      <c r="G27" s="390"/>
      <c r="H27" s="390" t="s">
        <v>223</v>
      </c>
      <c r="I27" s="503">
        <f t="shared" si="1"/>
        <v>3067</v>
      </c>
      <c r="J27" s="390" t="s">
        <v>223</v>
      </c>
      <c r="K27" s="390" t="s">
        <v>223</v>
      </c>
      <c r="L27" s="390" t="s">
        <v>223</v>
      </c>
      <c r="M27" s="390" t="s">
        <v>223</v>
      </c>
      <c r="N27" s="390" t="s">
        <v>223</v>
      </c>
      <c r="O27" s="504">
        <f t="shared" si="3"/>
        <v>3067</v>
      </c>
      <c r="P27" s="403"/>
      <c r="Q27" s="505">
        <f t="shared" si="2"/>
        <v>5359.4444444444443</v>
      </c>
      <c r="R27" s="1126">
        <f t="shared" si="4"/>
        <v>190</v>
      </c>
    </row>
    <row r="28" spans="1:21" outlineLevel="1">
      <c r="A28" s="377">
        <v>1910</v>
      </c>
      <c r="B28" s="386">
        <v>974</v>
      </c>
      <c r="C28" s="412" t="s">
        <v>223</v>
      </c>
      <c r="D28" s="503">
        <f t="shared" si="0"/>
        <v>974</v>
      </c>
      <c r="E28" s="390" t="s">
        <v>223</v>
      </c>
      <c r="F28" s="390" t="s">
        <v>223</v>
      </c>
      <c r="G28" s="390"/>
      <c r="H28" s="390" t="s">
        <v>223</v>
      </c>
      <c r="I28" s="503">
        <f t="shared" si="1"/>
        <v>974</v>
      </c>
      <c r="J28" s="390" t="s">
        <v>223</v>
      </c>
      <c r="K28" s="390" t="s">
        <v>223</v>
      </c>
      <c r="L28" s="390" t="s">
        <v>223</v>
      </c>
      <c r="M28" s="390" t="s">
        <v>223</v>
      </c>
      <c r="N28" s="390" t="s">
        <v>223</v>
      </c>
      <c r="O28" s="504">
        <f t="shared" si="3"/>
        <v>974</v>
      </c>
      <c r="P28" s="403"/>
      <c r="Q28" s="505">
        <f t="shared" si="2"/>
        <v>8227.9</v>
      </c>
      <c r="R28" s="1126">
        <f t="shared" si="4"/>
        <v>191</v>
      </c>
    </row>
    <row r="29" spans="1:21" outlineLevel="1">
      <c r="A29" s="377">
        <v>1911</v>
      </c>
      <c r="B29" s="386">
        <v>1358</v>
      </c>
      <c r="C29" s="412" t="s">
        <v>223</v>
      </c>
      <c r="D29" s="503">
        <f t="shared" si="0"/>
        <v>1358</v>
      </c>
      <c r="E29" s="390" t="s">
        <v>223</v>
      </c>
      <c r="F29" s="390" t="s">
        <v>223</v>
      </c>
      <c r="G29" s="390"/>
      <c r="H29" s="390" t="s">
        <v>223</v>
      </c>
      <c r="I29" s="503">
        <f t="shared" si="1"/>
        <v>1358</v>
      </c>
      <c r="J29" s="390" t="s">
        <v>223</v>
      </c>
      <c r="K29" s="390" t="s">
        <v>223</v>
      </c>
      <c r="L29" s="390" t="s">
        <v>223</v>
      </c>
      <c r="M29" s="390" t="s">
        <v>223</v>
      </c>
      <c r="N29" s="390" t="s">
        <v>223</v>
      </c>
      <c r="O29" s="504">
        <f t="shared" si="3"/>
        <v>1358</v>
      </c>
      <c r="P29" s="403"/>
      <c r="Q29" s="505">
        <f t="shared" si="2"/>
        <v>8227.9</v>
      </c>
      <c r="R29" s="1126">
        <f t="shared" si="4"/>
        <v>191</v>
      </c>
    </row>
    <row r="30" spans="1:21" outlineLevel="1">
      <c r="A30" s="377">
        <v>1912</v>
      </c>
      <c r="B30" s="386">
        <v>6181</v>
      </c>
      <c r="C30" s="412" t="s">
        <v>223</v>
      </c>
      <c r="D30" s="503">
        <f t="shared" si="0"/>
        <v>6181</v>
      </c>
      <c r="E30" s="390" t="s">
        <v>223</v>
      </c>
      <c r="F30" s="390" t="s">
        <v>223</v>
      </c>
      <c r="G30" s="390"/>
      <c r="H30" s="390" t="s">
        <v>223</v>
      </c>
      <c r="I30" s="503">
        <f t="shared" si="1"/>
        <v>6181</v>
      </c>
      <c r="J30" s="390" t="s">
        <v>223</v>
      </c>
      <c r="K30" s="390" t="s">
        <v>223</v>
      </c>
      <c r="L30" s="390" t="s">
        <v>223</v>
      </c>
      <c r="M30" s="390" t="s">
        <v>223</v>
      </c>
      <c r="N30" s="390" t="s">
        <v>223</v>
      </c>
      <c r="O30" s="504">
        <f t="shared" si="3"/>
        <v>6181</v>
      </c>
      <c r="P30" s="403"/>
      <c r="Q30" s="505">
        <f t="shared" si="2"/>
        <v>8227.9</v>
      </c>
      <c r="R30" s="1126">
        <f t="shared" si="4"/>
        <v>191</v>
      </c>
    </row>
    <row r="31" spans="1:21" outlineLevel="1">
      <c r="A31" s="377">
        <v>1913</v>
      </c>
      <c r="B31" s="386">
        <v>2307</v>
      </c>
      <c r="C31" s="412" t="s">
        <v>223</v>
      </c>
      <c r="D31" s="503">
        <f t="shared" si="0"/>
        <v>2307</v>
      </c>
      <c r="E31" s="390" t="s">
        <v>223</v>
      </c>
      <c r="F31" s="390" t="s">
        <v>223</v>
      </c>
      <c r="G31" s="390"/>
      <c r="H31" s="390" t="s">
        <v>223</v>
      </c>
      <c r="I31" s="503">
        <f t="shared" si="1"/>
        <v>2307</v>
      </c>
      <c r="J31" s="390" t="s">
        <v>223</v>
      </c>
      <c r="K31" s="390" t="s">
        <v>223</v>
      </c>
      <c r="L31" s="390" t="s">
        <v>223</v>
      </c>
      <c r="M31" s="390" t="s">
        <v>223</v>
      </c>
      <c r="N31" s="390" t="s">
        <v>223</v>
      </c>
      <c r="O31" s="504">
        <f t="shared" si="3"/>
        <v>2307</v>
      </c>
      <c r="P31" s="403"/>
      <c r="Q31" s="505">
        <f t="shared" si="2"/>
        <v>8227.9</v>
      </c>
      <c r="R31" s="1126">
        <f t="shared" si="4"/>
        <v>191</v>
      </c>
    </row>
    <row r="32" spans="1:21" outlineLevel="1">
      <c r="A32" s="377">
        <v>1914</v>
      </c>
      <c r="B32" s="386">
        <v>3043</v>
      </c>
      <c r="C32" s="412" t="s">
        <v>223</v>
      </c>
      <c r="D32" s="503">
        <f t="shared" si="0"/>
        <v>3043</v>
      </c>
      <c r="E32" s="390" t="s">
        <v>223</v>
      </c>
      <c r="F32" s="390" t="s">
        <v>223</v>
      </c>
      <c r="G32" s="390"/>
      <c r="H32" s="390" t="s">
        <v>223</v>
      </c>
      <c r="I32" s="503">
        <f t="shared" si="1"/>
        <v>3043</v>
      </c>
      <c r="J32" s="390" t="s">
        <v>223</v>
      </c>
      <c r="K32" s="390" t="s">
        <v>223</v>
      </c>
      <c r="L32" s="390" t="s">
        <v>223</v>
      </c>
      <c r="M32" s="390" t="s">
        <v>223</v>
      </c>
      <c r="N32" s="390" t="s">
        <v>223</v>
      </c>
      <c r="O32" s="504">
        <f t="shared" si="3"/>
        <v>3043</v>
      </c>
      <c r="P32" s="403"/>
      <c r="Q32" s="505">
        <f t="shared" si="2"/>
        <v>8227.9</v>
      </c>
      <c r="R32" s="1126">
        <f t="shared" si="4"/>
        <v>191</v>
      </c>
    </row>
    <row r="33" spans="1:18" outlineLevel="1">
      <c r="A33" s="377">
        <v>1915</v>
      </c>
      <c r="B33" s="386">
        <v>7334</v>
      </c>
      <c r="C33" s="332">
        <v>4</v>
      </c>
      <c r="D33" s="503">
        <f t="shared" si="0"/>
        <v>7338</v>
      </c>
      <c r="E33" s="390" t="s">
        <v>223</v>
      </c>
      <c r="F33" s="390" t="s">
        <v>223</v>
      </c>
      <c r="G33" s="390"/>
      <c r="H33" s="390" t="s">
        <v>223</v>
      </c>
      <c r="I33" s="503">
        <f t="shared" si="1"/>
        <v>7338</v>
      </c>
      <c r="J33" s="390" t="s">
        <v>223</v>
      </c>
      <c r="K33" s="390" t="s">
        <v>223</v>
      </c>
      <c r="L33" s="390" t="s">
        <v>223</v>
      </c>
      <c r="M33" s="390" t="s">
        <v>223</v>
      </c>
      <c r="N33" s="390" t="s">
        <v>223</v>
      </c>
      <c r="O33" s="504">
        <f t="shared" si="3"/>
        <v>7338</v>
      </c>
      <c r="P33" s="403"/>
      <c r="Q33" s="505">
        <f t="shared" si="2"/>
        <v>8227.9</v>
      </c>
      <c r="R33" s="1126">
        <f t="shared" si="4"/>
        <v>191</v>
      </c>
    </row>
    <row r="34" spans="1:18" outlineLevel="1">
      <c r="A34" s="377">
        <v>1916</v>
      </c>
      <c r="B34" s="386">
        <v>14259</v>
      </c>
      <c r="C34" s="332">
        <v>7</v>
      </c>
      <c r="D34" s="503">
        <f t="shared" si="0"/>
        <v>14266</v>
      </c>
      <c r="E34" s="390" t="s">
        <v>223</v>
      </c>
      <c r="F34" s="390" t="s">
        <v>223</v>
      </c>
      <c r="G34" s="390"/>
      <c r="H34" s="390" t="s">
        <v>223</v>
      </c>
      <c r="I34" s="503">
        <f t="shared" si="1"/>
        <v>14266</v>
      </c>
      <c r="J34" s="390" t="s">
        <v>223</v>
      </c>
      <c r="K34" s="390" t="s">
        <v>223</v>
      </c>
      <c r="L34" s="390" t="s">
        <v>223</v>
      </c>
      <c r="M34" s="390" t="s">
        <v>223</v>
      </c>
      <c r="N34" s="390" t="s">
        <v>223</v>
      </c>
      <c r="O34" s="504">
        <f t="shared" si="3"/>
        <v>14266</v>
      </c>
      <c r="P34" s="403"/>
      <c r="Q34" s="505">
        <f t="shared" si="2"/>
        <v>8227.9</v>
      </c>
      <c r="R34" s="1126">
        <f t="shared" si="4"/>
        <v>191</v>
      </c>
    </row>
    <row r="35" spans="1:18" outlineLevel="1">
      <c r="A35" s="377">
        <v>1917</v>
      </c>
      <c r="B35" s="386">
        <v>13930</v>
      </c>
      <c r="C35" s="332">
        <v>321</v>
      </c>
      <c r="D35" s="503">
        <f t="shared" si="0"/>
        <v>14251</v>
      </c>
      <c r="E35" s="390" t="s">
        <v>223</v>
      </c>
      <c r="F35" s="390" t="s">
        <v>223</v>
      </c>
      <c r="G35" s="390"/>
      <c r="H35" s="390" t="s">
        <v>223</v>
      </c>
      <c r="I35" s="503">
        <f t="shared" si="1"/>
        <v>14251</v>
      </c>
      <c r="J35" s="390" t="s">
        <v>223</v>
      </c>
      <c r="K35" s="390" t="s">
        <v>223</v>
      </c>
      <c r="L35" s="390" t="s">
        <v>223</v>
      </c>
      <c r="M35" s="390" t="s">
        <v>223</v>
      </c>
      <c r="N35" s="390" t="s">
        <v>223</v>
      </c>
      <c r="O35" s="504">
        <f t="shared" si="3"/>
        <v>14251</v>
      </c>
      <c r="P35" s="403"/>
      <c r="Q35" s="505">
        <f t="shared" si="2"/>
        <v>8227.9</v>
      </c>
      <c r="R35" s="1126">
        <f t="shared" si="4"/>
        <v>191</v>
      </c>
    </row>
    <row r="36" spans="1:18" outlineLevel="1">
      <c r="A36" s="377">
        <v>1918</v>
      </c>
      <c r="B36" s="386">
        <v>19627</v>
      </c>
      <c r="C36" s="332">
        <v>139</v>
      </c>
      <c r="D36" s="503">
        <f t="shared" si="0"/>
        <v>19766</v>
      </c>
      <c r="E36" s="390" t="s">
        <v>223</v>
      </c>
      <c r="F36" s="390" t="s">
        <v>223</v>
      </c>
      <c r="G36" s="390"/>
      <c r="H36" s="390" t="s">
        <v>223</v>
      </c>
      <c r="I36" s="503">
        <f t="shared" si="1"/>
        <v>19766</v>
      </c>
      <c r="J36" s="390" t="s">
        <v>223</v>
      </c>
      <c r="K36" s="390" t="s">
        <v>223</v>
      </c>
      <c r="L36" s="390" t="s">
        <v>223</v>
      </c>
      <c r="M36" s="390" t="s">
        <v>223</v>
      </c>
      <c r="N36" s="390" t="s">
        <v>223</v>
      </c>
      <c r="O36" s="504">
        <f t="shared" si="3"/>
        <v>19766</v>
      </c>
      <c r="P36" s="403"/>
      <c r="Q36" s="505">
        <f t="shared" si="2"/>
        <v>8227.9</v>
      </c>
      <c r="R36" s="1126">
        <f t="shared" si="4"/>
        <v>191</v>
      </c>
    </row>
    <row r="37" spans="1:18" outlineLevel="1">
      <c r="A37" s="377">
        <v>1919</v>
      </c>
      <c r="B37" s="386">
        <v>13266</v>
      </c>
      <c r="C37" s="332">
        <v>72</v>
      </c>
      <c r="D37" s="503">
        <f t="shared" si="0"/>
        <v>13338</v>
      </c>
      <c r="E37" s="390" t="s">
        <v>223</v>
      </c>
      <c r="F37" s="390" t="s">
        <v>223</v>
      </c>
      <c r="G37" s="390"/>
      <c r="H37" s="390" t="s">
        <v>223</v>
      </c>
      <c r="I37" s="503">
        <f t="shared" si="1"/>
        <v>13338</v>
      </c>
      <c r="J37" s="390" t="s">
        <v>223</v>
      </c>
      <c r="K37" s="390" t="s">
        <v>223</v>
      </c>
      <c r="L37" s="390" t="s">
        <v>223</v>
      </c>
      <c r="M37" s="390" t="s">
        <v>223</v>
      </c>
      <c r="N37" s="390" t="s">
        <v>223</v>
      </c>
      <c r="O37" s="504">
        <f t="shared" si="3"/>
        <v>13338</v>
      </c>
      <c r="P37" s="403"/>
      <c r="Q37" s="505">
        <f t="shared" si="2"/>
        <v>8227.9</v>
      </c>
      <c r="R37" s="1126">
        <f t="shared" si="4"/>
        <v>191</v>
      </c>
    </row>
    <row r="38" spans="1:18" outlineLevel="1">
      <c r="A38" s="377">
        <v>1920</v>
      </c>
      <c r="B38" s="386">
        <v>22997</v>
      </c>
      <c r="C38" s="332">
        <v>120</v>
      </c>
      <c r="D38" s="503">
        <f t="shared" si="0"/>
        <v>23117</v>
      </c>
      <c r="E38" s="390" t="s">
        <v>223</v>
      </c>
      <c r="F38" s="390" t="s">
        <v>223</v>
      </c>
      <c r="G38" s="390"/>
      <c r="H38" s="390" t="s">
        <v>223</v>
      </c>
      <c r="I38" s="503">
        <f t="shared" si="1"/>
        <v>23117</v>
      </c>
      <c r="J38" s="390" t="s">
        <v>223</v>
      </c>
      <c r="K38" s="390" t="s">
        <v>223</v>
      </c>
      <c r="L38" s="390" t="s">
        <v>223</v>
      </c>
      <c r="M38" s="390" t="s">
        <v>223</v>
      </c>
      <c r="N38" s="390" t="s">
        <v>223</v>
      </c>
      <c r="O38" s="504">
        <f t="shared" si="3"/>
        <v>23117</v>
      </c>
      <c r="P38" s="403"/>
      <c r="Q38" s="505">
        <f t="shared" si="2"/>
        <v>23341.3</v>
      </c>
      <c r="R38" s="1126">
        <f t="shared" si="4"/>
        <v>192</v>
      </c>
    </row>
    <row r="39" spans="1:18" outlineLevel="1">
      <c r="A39" s="377">
        <v>1921</v>
      </c>
      <c r="B39" s="386">
        <v>11466</v>
      </c>
      <c r="C39" s="332">
        <v>3</v>
      </c>
      <c r="D39" s="503">
        <f t="shared" si="0"/>
        <v>11469</v>
      </c>
      <c r="E39" s="390" t="s">
        <v>223</v>
      </c>
      <c r="F39" s="390" t="s">
        <v>223</v>
      </c>
      <c r="G39" s="390"/>
      <c r="H39" s="390" t="s">
        <v>223</v>
      </c>
      <c r="I39" s="503">
        <f t="shared" si="1"/>
        <v>11469</v>
      </c>
      <c r="J39" s="390" t="s">
        <v>223</v>
      </c>
      <c r="K39" s="390" t="s">
        <v>223</v>
      </c>
      <c r="L39" s="390" t="s">
        <v>223</v>
      </c>
      <c r="M39" s="390" t="s">
        <v>223</v>
      </c>
      <c r="N39" s="390" t="s">
        <v>223</v>
      </c>
      <c r="O39" s="504">
        <f t="shared" si="3"/>
        <v>11469</v>
      </c>
      <c r="P39" s="403"/>
      <c r="Q39" s="505">
        <f t="shared" si="2"/>
        <v>23341.3</v>
      </c>
      <c r="R39" s="1126">
        <f t="shared" si="4"/>
        <v>192</v>
      </c>
    </row>
    <row r="40" spans="1:18" outlineLevel="1">
      <c r="A40" s="377">
        <v>1922</v>
      </c>
      <c r="B40" s="386">
        <v>10075</v>
      </c>
      <c r="C40" s="332">
        <v>72</v>
      </c>
      <c r="D40" s="503">
        <f t="shared" ref="D40:D71" si="5">SUM(B40:C40)</f>
        <v>10147</v>
      </c>
      <c r="E40" s="390" t="s">
        <v>223</v>
      </c>
      <c r="F40" s="390" t="s">
        <v>223</v>
      </c>
      <c r="G40" s="390"/>
      <c r="H40" s="390" t="s">
        <v>223</v>
      </c>
      <c r="I40" s="503">
        <f t="shared" ref="I40:I71" si="6">SUM(D40:H40)</f>
        <v>10147</v>
      </c>
      <c r="J40" s="390" t="s">
        <v>223</v>
      </c>
      <c r="K40" s="390" t="s">
        <v>223</v>
      </c>
      <c r="L40" s="390" t="s">
        <v>223</v>
      </c>
      <c r="M40" s="390" t="s">
        <v>223</v>
      </c>
      <c r="N40" s="390" t="s">
        <v>223</v>
      </c>
      <c r="O40" s="504">
        <f t="shared" si="3"/>
        <v>10147</v>
      </c>
      <c r="P40" s="403"/>
      <c r="Q40" s="505">
        <f t="shared" ref="Q40:Q71" si="7">AVERAGEIF($R$8:$R$134,$R40,$B$8:$B$134)</f>
        <v>23341.3</v>
      </c>
      <c r="R40" s="1126">
        <f t="shared" si="4"/>
        <v>192</v>
      </c>
    </row>
    <row r="41" spans="1:18" outlineLevel="1">
      <c r="A41" s="377">
        <v>1923</v>
      </c>
      <c r="B41" s="386">
        <v>10339</v>
      </c>
      <c r="C41" s="332">
        <v>86</v>
      </c>
      <c r="D41" s="503">
        <f t="shared" si="5"/>
        <v>10425</v>
      </c>
      <c r="E41" s="390" t="s">
        <v>223</v>
      </c>
      <c r="F41" s="390" t="s">
        <v>223</v>
      </c>
      <c r="G41" s="390"/>
      <c r="H41" s="390" t="s">
        <v>223</v>
      </c>
      <c r="I41" s="503">
        <f t="shared" si="6"/>
        <v>10425</v>
      </c>
      <c r="J41" s="390" t="s">
        <v>223</v>
      </c>
      <c r="K41" s="390" t="s">
        <v>223</v>
      </c>
      <c r="L41" s="390" t="s">
        <v>223</v>
      </c>
      <c r="M41" s="390" t="s">
        <v>223</v>
      </c>
      <c r="N41" s="390" t="s">
        <v>223</v>
      </c>
      <c r="O41" s="504">
        <f t="shared" si="3"/>
        <v>10425</v>
      </c>
      <c r="P41" s="403"/>
      <c r="Q41" s="505">
        <f t="shared" si="7"/>
        <v>23341.3</v>
      </c>
      <c r="R41" s="1126">
        <f t="shared" si="4"/>
        <v>192</v>
      </c>
    </row>
    <row r="42" spans="1:18" outlineLevel="1">
      <c r="A42" s="377">
        <v>1924</v>
      </c>
      <c r="B42" s="386">
        <v>15862</v>
      </c>
      <c r="C42" s="332">
        <v>111</v>
      </c>
      <c r="D42" s="503">
        <f t="shared" si="5"/>
        <v>15973</v>
      </c>
      <c r="E42" s="390" t="s">
        <v>223</v>
      </c>
      <c r="F42" s="390" t="s">
        <v>223</v>
      </c>
      <c r="G42" s="390"/>
      <c r="H42" s="390" t="s">
        <v>223</v>
      </c>
      <c r="I42" s="503">
        <f t="shared" si="6"/>
        <v>15973</v>
      </c>
      <c r="J42" s="390" t="s">
        <v>223</v>
      </c>
      <c r="K42" s="390" t="s">
        <v>223</v>
      </c>
      <c r="L42" s="390" t="s">
        <v>223</v>
      </c>
      <c r="M42" s="390" t="s">
        <v>223</v>
      </c>
      <c r="N42" s="390" t="s">
        <v>223</v>
      </c>
      <c r="O42" s="504">
        <f t="shared" si="3"/>
        <v>15973</v>
      </c>
      <c r="P42" s="403"/>
      <c r="Q42" s="505">
        <f t="shared" si="7"/>
        <v>23341.3</v>
      </c>
      <c r="R42" s="1126">
        <f t="shared" si="4"/>
        <v>192</v>
      </c>
    </row>
    <row r="43" spans="1:18" outlineLevel="1">
      <c r="A43" s="377">
        <v>1925</v>
      </c>
      <c r="B43" s="386">
        <v>19728</v>
      </c>
      <c r="C43" s="332">
        <v>77</v>
      </c>
      <c r="D43" s="503">
        <f t="shared" si="5"/>
        <v>19805</v>
      </c>
      <c r="E43" s="390" t="s">
        <v>223</v>
      </c>
      <c r="F43" s="390" t="s">
        <v>223</v>
      </c>
      <c r="G43" s="390"/>
      <c r="H43" s="390" t="s">
        <v>223</v>
      </c>
      <c r="I43" s="503">
        <f t="shared" si="6"/>
        <v>19805</v>
      </c>
      <c r="J43" s="390" t="s">
        <v>223</v>
      </c>
      <c r="K43" s="390" t="s">
        <v>223</v>
      </c>
      <c r="L43" s="390" t="s">
        <v>223</v>
      </c>
      <c r="M43" s="390" t="s">
        <v>223</v>
      </c>
      <c r="N43" s="390" t="s">
        <v>223</v>
      </c>
      <c r="O43" s="504">
        <f t="shared" si="3"/>
        <v>19805</v>
      </c>
      <c r="P43" s="403"/>
      <c r="Q43" s="505">
        <f t="shared" si="7"/>
        <v>23341.3</v>
      </c>
      <c r="R43" s="1126">
        <f t="shared" si="4"/>
        <v>192</v>
      </c>
    </row>
    <row r="44" spans="1:18" outlineLevel="1">
      <c r="A44" s="377">
        <v>1926</v>
      </c>
      <c r="B44" s="386">
        <v>21338</v>
      </c>
      <c r="C44" s="332">
        <v>76</v>
      </c>
      <c r="D44" s="503">
        <f t="shared" si="5"/>
        <v>21414</v>
      </c>
      <c r="E44" s="390" t="s">
        <v>223</v>
      </c>
      <c r="F44" s="390" t="s">
        <v>223</v>
      </c>
      <c r="G44" s="390"/>
      <c r="H44" s="390" t="s">
        <v>223</v>
      </c>
      <c r="I44" s="503">
        <f t="shared" si="6"/>
        <v>21414</v>
      </c>
      <c r="J44" s="390" t="s">
        <v>223</v>
      </c>
      <c r="K44" s="390" t="s">
        <v>223</v>
      </c>
      <c r="L44" s="390" t="s">
        <v>223</v>
      </c>
      <c r="M44" s="390" t="s">
        <v>223</v>
      </c>
      <c r="N44" s="390" t="s">
        <v>223</v>
      </c>
      <c r="O44" s="504">
        <f t="shared" si="3"/>
        <v>21414</v>
      </c>
      <c r="P44" s="403"/>
      <c r="Q44" s="505">
        <f t="shared" si="7"/>
        <v>23341.3</v>
      </c>
      <c r="R44" s="1126">
        <f t="shared" si="4"/>
        <v>192</v>
      </c>
    </row>
    <row r="45" spans="1:18" outlineLevel="1">
      <c r="A45" s="377">
        <v>1927</v>
      </c>
      <c r="B45" s="386">
        <v>35598</v>
      </c>
      <c r="C45" s="412" t="s">
        <v>223</v>
      </c>
      <c r="D45" s="503">
        <f t="shared" si="5"/>
        <v>35598</v>
      </c>
      <c r="E45" s="390" t="s">
        <v>223</v>
      </c>
      <c r="F45" s="390" t="s">
        <v>223</v>
      </c>
      <c r="G45" s="390"/>
      <c r="H45" s="390" t="s">
        <v>223</v>
      </c>
      <c r="I45" s="503">
        <f t="shared" si="6"/>
        <v>35598</v>
      </c>
      <c r="J45" s="390" t="s">
        <v>223</v>
      </c>
      <c r="K45" s="390" t="s">
        <v>223</v>
      </c>
      <c r="L45" s="390" t="s">
        <v>223</v>
      </c>
      <c r="M45" s="390" t="s">
        <v>223</v>
      </c>
      <c r="N45" s="390" t="s">
        <v>223</v>
      </c>
      <c r="O45" s="504">
        <f t="shared" si="3"/>
        <v>35598</v>
      </c>
      <c r="P45" s="403"/>
      <c r="Q45" s="505">
        <f t="shared" si="7"/>
        <v>23341.3</v>
      </c>
      <c r="R45" s="1126">
        <f t="shared" si="4"/>
        <v>192</v>
      </c>
    </row>
    <row r="46" spans="1:18" outlineLevel="1">
      <c r="A46" s="377">
        <v>1928</v>
      </c>
      <c r="B46" s="386">
        <v>42144</v>
      </c>
      <c r="C46" s="412" t="s">
        <v>223</v>
      </c>
      <c r="D46" s="503">
        <f t="shared" si="5"/>
        <v>42144</v>
      </c>
      <c r="E46" s="390" t="s">
        <v>223</v>
      </c>
      <c r="F46" s="390" t="s">
        <v>223</v>
      </c>
      <c r="G46" s="390"/>
      <c r="H46" s="390" t="s">
        <v>223</v>
      </c>
      <c r="I46" s="503">
        <f t="shared" si="6"/>
        <v>42144</v>
      </c>
      <c r="J46" s="390" t="s">
        <v>223</v>
      </c>
      <c r="K46" s="390" t="s">
        <v>223</v>
      </c>
      <c r="L46" s="390" t="s">
        <v>223</v>
      </c>
      <c r="M46" s="390" t="s">
        <v>223</v>
      </c>
      <c r="N46" s="390" t="s">
        <v>223</v>
      </c>
      <c r="O46" s="504">
        <f t="shared" si="3"/>
        <v>42144</v>
      </c>
      <c r="P46" s="403"/>
      <c r="Q46" s="505">
        <f t="shared" si="7"/>
        <v>23341.3</v>
      </c>
      <c r="R46" s="1126">
        <f t="shared" si="4"/>
        <v>192</v>
      </c>
    </row>
    <row r="47" spans="1:18" outlineLevel="1">
      <c r="A47" s="377">
        <v>1929</v>
      </c>
      <c r="B47" s="386">
        <v>43866</v>
      </c>
      <c r="C47" s="412" t="s">
        <v>223</v>
      </c>
      <c r="D47" s="503">
        <f t="shared" si="5"/>
        <v>43866</v>
      </c>
      <c r="E47" s="390" t="s">
        <v>223</v>
      </c>
      <c r="F47" s="390" t="s">
        <v>223</v>
      </c>
      <c r="G47" s="390"/>
      <c r="H47" s="390" t="s">
        <v>223</v>
      </c>
      <c r="I47" s="503">
        <f t="shared" si="6"/>
        <v>43866</v>
      </c>
      <c r="J47" s="390" t="s">
        <v>223</v>
      </c>
      <c r="K47" s="390" t="s">
        <v>223</v>
      </c>
      <c r="L47" s="390" t="s">
        <v>223</v>
      </c>
      <c r="M47" s="390" t="s">
        <v>223</v>
      </c>
      <c r="N47" s="390" t="s">
        <v>223</v>
      </c>
      <c r="O47" s="504">
        <f t="shared" si="3"/>
        <v>43866</v>
      </c>
      <c r="P47" s="403"/>
      <c r="Q47" s="505">
        <f t="shared" si="7"/>
        <v>23341.3</v>
      </c>
      <c r="R47" s="1126">
        <f t="shared" si="4"/>
        <v>192</v>
      </c>
    </row>
    <row r="48" spans="1:18" outlineLevel="1">
      <c r="A48" s="377">
        <v>1930</v>
      </c>
      <c r="B48" s="386">
        <v>23181</v>
      </c>
      <c r="C48" s="412" t="s">
        <v>223</v>
      </c>
      <c r="D48" s="503">
        <f t="shared" si="5"/>
        <v>23181</v>
      </c>
      <c r="E48" s="390" t="s">
        <v>223</v>
      </c>
      <c r="F48" s="390" t="s">
        <v>223</v>
      </c>
      <c r="G48" s="390"/>
      <c r="H48" s="390" t="s">
        <v>223</v>
      </c>
      <c r="I48" s="503">
        <f t="shared" si="6"/>
        <v>23181</v>
      </c>
      <c r="J48" s="390" t="s">
        <v>223</v>
      </c>
      <c r="K48" s="390" t="s">
        <v>223</v>
      </c>
      <c r="L48" s="390" t="s">
        <v>223</v>
      </c>
      <c r="M48" s="390" t="s">
        <v>223</v>
      </c>
      <c r="N48" s="390" t="s">
        <v>223</v>
      </c>
      <c r="O48" s="504">
        <f t="shared" si="3"/>
        <v>23181</v>
      </c>
      <c r="P48" s="403"/>
      <c r="Q48" s="505">
        <f t="shared" si="7"/>
        <v>14733</v>
      </c>
      <c r="R48" s="1126">
        <f t="shared" si="4"/>
        <v>193</v>
      </c>
    </row>
    <row r="49" spans="1:20" outlineLevel="1">
      <c r="A49" s="377">
        <v>1931</v>
      </c>
      <c r="B49" s="386">
        <v>35268</v>
      </c>
      <c r="C49" s="412" t="s">
        <v>223</v>
      </c>
      <c r="D49" s="503">
        <f t="shared" si="5"/>
        <v>35268</v>
      </c>
      <c r="E49" s="390" t="s">
        <v>223</v>
      </c>
      <c r="F49" s="390" t="s">
        <v>223</v>
      </c>
      <c r="G49" s="390"/>
      <c r="H49" s="390" t="s">
        <v>223</v>
      </c>
      <c r="I49" s="503">
        <f t="shared" si="6"/>
        <v>35268</v>
      </c>
      <c r="J49" s="390" t="s">
        <v>223</v>
      </c>
      <c r="K49" s="390" t="s">
        <v>223</v>
      </c>
      <c r="L49" s="390" t="s">
        <v>223</v>
      </c>
      <c r="M49" s="390" t="s">
        <v>223</v>
      </c>
      <c r="N49" s="390" t="s">
        <v>223</v>
      </c>
      <c r="O49" s="504">
        <f t="shared" si="3"/>
        <v>35268</v>
      </c>
      <c r="P49" s="403"/>
      <c r="Q49" s="505">
        <f t="shared" si="7"/>
        <v>14733</v>
      </c>
      <c r="R49" s="1126">
        <f t="shared" si="4"/>
        <v>193</v>
      </c>
    </row>
    <row r="50" spans="1:20" outlineLevel="1">
      <c r="A50" s="377">
        <v>1932</v>
      </c>
      <c r="B50" s="386">
        <v>29403</v>
      </c>
      <c r="C50" s="412" t="s">
        <v>223</v>
      </c>
      <c r="D50" s="503">
        <f t="shared" si="5"/>
        <v>29403</v>
      </c>
      <c r="E50" s="390" t="s">
        <v>223</v>
      </c>
      <c r="F50" s="390" t="s">
        <v>223</v>
      </c>
      <c r="G50" s="390"/>
      <c r="H50" s="390" t="s">
        <v>223</v>
      </c>
      <c r="I50" s="503">
        <f t="shared" si="6"/>
        <v>29403</v>
      </c>
      <c r="J50" s="390" t="s">
        <v>223</v>
      </c>
      <c r="K50" s="390" t="s">
        <v>223</v>
      </c>
      <c r="L50" s="390" t="s">
        <v>223</v>
      </c>
      <c r="M50" s="390" t="s">
        <v>223</v>
      </c>
      <c r="N50" s="390" t="s">
        <v>223</v>
      </c>
      <c r="O50" s="504">
        <f t="shared" si="3"/>
        <v>29403</v>
      </c>
      <c r="P50" s="403"/>
      <c r="Q50" s="505">
        <f t="shared" si="7"/>
        <v>14733</v>
      </c>
      <c r="R50" s="1126">
        <f t="shared" si="4"/>
        <v>193</v>
      </c>
    </row>
    <row r="51" spans="1:20" outlineLevel="1">
      <c r="A51" s="377">
        <v>1933</v>
      </c>
      <c r="B51" s="386">
        <v>14073</v>
      </c>
      <c r="C51" s="412" t="s">
        <v>223</v>
      </c>
      <c r="D51" s="503">
        <f t="shared" si="5"/>
        <v>14073</v>
      </c>
      <c r="E51" s="390" t="s">
        <v>223</v>
      </c>
      <c r="F51" s="390" t="s">
        <v>223</v>
      </c>
      <c r="G51" s="390"/>
      <c r="H51" s="390" t="s">
        <v>223</v>
      </c>
      <c r="I51" s="503">
        <f t="shared" si="6"/>
        <v>14073</v>
      </c>
      <c r="J51" s="390" t="s">
        <v>223</v>
      </c>
      <c r="K51" s="390" t="s">
        <v>223</v>
      </c>
      <c r="L51" s="390" t="s">
        <v>223</v>
      </c>
      <c r="M51" s="390" t="s">
        <v>223</v>
      </c>
      <c r="N51" s="390" t="s">
        <v>223</v>
      </c>
      <c r="O51" s="504">
        <f t="shared" si="3"/>
        <v>14073</v>
      </c>
      <c r="P51" s="403"/>
      <c r="Q51" s="505">
        <f t="shared" si="7"/>
        <v>14733</v>
      </c>
      <c r="R51" s="1126">
        <f t="shared" si="4"/>
        <v>193</v>
      </c>
    </row>
    <row r="52" spans="1:20" outlineLevel="1">
      <c r="A52" s="377">
        <v>1934</v>
      </c>
      <c r="B52" s="386">
        <v>10407</v>
      </c>
      <c r="C52" s="412" t="s">
        <v>223</v>
      </c>
      <c r="D52" s="503">
        <f t="shared" si="5"/>
        <v>10407</v>
      </c>
      <c r="E52" s="390" t="s">
        <v>223</v>
      </c>
      <c r="F52" s="390" t="s">
        <v>223</v>
      </c>
      <c r="G52" s="390"/>
      <c r="H52" s="390" t="s">
        <v>223</v>
      </c>
      <c r="I52" s="503">
        <f t="shared" si="6"/>
        <v>10407</v>
      </c>
      <c r="J52" s="390" t="s">
        <v>223</v>
      </c>
      <c r="K52" s="390" t="s">
        <v>223</v>
      </c>
      <c r="L52" s="390" t="s">
        <v>223</v>
      </c>
      <c r="M52" s="390" t="s">
        <v>223</v>
      </c>
      <c r="N52" s="390" t="s">
        <v>223</v>
      </c>
      <c r="O52" s="504">
        <f t="shared" si="3"/>
        <v>10407</v>
      </c>
      <c r="P52" s="403"/>
      <c r="Q52" s="505">
        <f t="shared" si="7"/>
        <v>14733</v>
      </c>
      <c r="R52" s="1126">
        <f t="shared" si="4"/>
        <v>193</v>
      </c>
    </row>
    <row r="53" spans="1:20" outlineLevel="1">
      <c r="A53" s="377">
        <v>1935</v>
      </c>
      <c r="B53" s="386">
        <v>2352</v>
      </c>
      <c r="C53" s="412" t="s">
        <v>223</v>
      </c>
      <c r="D53" s="503">
        <f t="shared" si="5"/>
        <v>2352</v>
      </c>
      <c r="E53" s="390" t="s">
        <v>223</v>
      </c>
      <c r="F53" s="390" t="s">
        <v>223</v>
      </c>
      <c r="G53" s="390"/>
      <c r="H53" s="390" t="s">
        <v>223</v>
      </c>
      <c r="I53" s="503">
        <f t="shared" si="6"/>
        <v>2352</v>
      </c>
      <c r="J53" s="390" t="s">
        <v>223</v>
      </c>
      <c r="K53" s="390" t="s">
        <v>223</v>
      </c>
      <c r="L53" s="390" t="s">
        <v>223</v>
      </c>
      <c r="M53" s="390" t="s">
        <v>223</v>
      </c>
      <c r="N53" s="390" t="s">
        <v>223</v>
      </c>
      <c r="O53" s="504">
        <f t="shared" si="3"/>
        <v>2352</v>
      </c>
      <c r="P53" s="403"/>
      <c r="Q53" s="505">
        <f t="shared" si="7"/>
        <v>14733</v>
      </c>
      <c r="R53" s="1126">
        <f t="shared" si="4"/>
        <v>193</v>
      </c>
    </row>
    <row r="54" spans="1:20" outlineLevel="1">
      <c r="A54" s="377">
        <v>1936</v>
      </c>
      <c r="B54" s="386">
        <v>6939</v>
      </c>
      <c r="C54" s="412" t="s">
        <v>223</v>
      </c>
      <c r="D54" s="503">
        <f t="shared" si="5"/>
        <v>6939</v>
      </c>
      <c r="E54" s="390" t="s">
        <v>223</v>
      </c>
      <c r="F54" s="390" t="s">
        <v>223</v>
      </c>
      <c r="G54" s="390"/>
      <c r="H54" s="390" t="s">
        <v>223</v>
      </c>
      <c r="I54" s="503">
        <f t="shared" si="6"/>
        <v>6939</v>
      </c>
      <c r="J54" s="390" t="s">
        <v>223</v>
      </c>
      <c r="K54" s="390" t="s">
        <v>223</v>
      </c>
      <c r="L54" s="390" t="s">
        <v>223</v>
      </c>
      <c r="M54" s="390" t="s">
        <v>223</v>
      </c>
      <c r="N54" s="390" t="s">
        <v>223</v>
      </c>
      <c r="O54" s="504">
        <f t="shared" si="3"/>
        <v>6939</v>
      </c>
      <c r="P54" s="403"/>
      <c r="Q54" s="505">
        <f t="shared" si="7"/>
        <v>14733</v>
      </c>
      <c r="R54" s="1126">
        <f t="shared" si="4"/>
        <v>193</v>
      </c>
    </row>
    <row r="55" spans="1:20" outlineLevel="1">
      <c r="A55" s="377">
        <v>1937</v>
      </c>
      <c r="B55" s="386">
        <v>11538</v>
      </c>
      <c r="C55" s="412" t="s">
        <v>223</v>
      </c>
      <c r="D55" s="503">
        <f t="shared" si="5"/>
        <v>11538</v>
      </c>
      <c r="E55" s="390" t="s">
        <v>223</v>
      </c>
      <c r="F55" s="390" t="s">
        <v>223</v>
      </c>
      <c r="G55" s="390"/>
      <c r="H55" s="390" t="s">
        <v>223</v>
      </c>
      <c r="I55" s="503">
        <f t="shared" si="6"/>
        <v>11538</v>
      </c>
      <c r="J55" s="390" t="s">
        <v>223</v>
      </c>
      <c r="K55" s="390" t="s">
        <v>223</v>
      </c>
      <c r="L55" s="390" t="s">
        <v>223</v>
      </c>
      <c r="M55" s="390" t="s">
        <v>223</v>
      </c>
      <c r="N55" s="390" t="s">
        <v>223</v>
      </c>
      <c r="O55" s="504">
        <f t="shared" si="3"/>
        <v>11538</v>
      </c>
      <c r="P55" s="403"/>
      <c r="Q55" s="505">
        <f t="shared" si="7"/>
        <v>14733</v>
      </c>
      <c r="R55" s="1126">
        <f t="shared" si="4"/>
        <v>193</v>
      </c>
    </row>
    <row r="56" spans="1:20" outlineLevel="1">
      <c r="A56" s="377">
        <v>1938</v>
      </c>
      <c r="B56" s="386">
        <v>7614</v>
      </c>
      <c r="C56" s="412" t="s">
        <v>223</v>
      </c>
      <c r="D56" s="503">
        <f t="shared" si="5"/>
        <v>7614</v>
      </c>
      <c r="E56" s="390" t="s">
        <v>223</v>
      </c>
      <c r="F56" s="390" t="s">
        <v>223</v>
      </c>
      <c r="G56" s="390"/>
      <c r="H56" s="390" t="s">
        <v>223</v>
      </c>
      <c r="I56" s="503">
        <f t="shared" si="6"/>
        <v>7614</v>
      </c>
      <c r="J56" s="390" t="s">
        <v>223</v>
      </c>
      <c r="K56" s="390" t="s">
        <v>223</v>
      </c>
      <c r="L56" s="390" t="s">
        <v>223</v>
      </c>
      <c r="M56" s="390" t="s">
        <v>223</v>
      </c>
      <c r="N56" s="390" t="s">
        <v>223</v>
      </c>
      <c r="O56" s="504">
        <f t="shared" si="3"/>
        <v>7614</v>
      </c>
      <c r="P56" s="403"/>
      <c r="Q56" s="505">
        <f t="shared" si="7"/>
        <v>14733</v>
      </c>
      <c r="R56" s="1126">
        <f t="shared" si="4"/>
        <v>193</v>
      </c>
    </row>
    <row r="57" spans="1:20" outlineLevel="1">
      <c r="A57" s="377">
        <v>1939</v>
      </c>
      <c r="B57" s="386">
        <v>6555</v>
      </c>
      <c r="C57" s="412" t="s">
        <v>223</v>
      </c>
      <c r="D57" s="503">
        <f t="shared" si="5"/>
        <v>6555</v>
      </c>
      <c r="E57" s="390" t="s">
        <v>223</v>
      </c>
      <c r="F57" s="390" t="s">
        <v>223</v>
      </c>
      <c r="G57" s="390"/>
      <c r="H57" s="390" t="s">
        <v>223</v>
      </c>
      <c r="I57" s="503">
        <f t="shared" si="6"/>
        <v>6555</v>
      </c>
      <c r="J57" s="390" t="s">
        <v>223</v>
      </c>
      <c r="K57" s="390" t="s">
        <v>223</v>
      </c>
      <c r="L57" s="390" t="s">
        <v>223</v>
      </c>
      <c r="M57" s="390" t="s">
        <v>223</v>
      </c>
      <c r="N57" s="390" t="s">
        <v>223</v>
      </c>
      <c r="O57" s="504">
        <f t="shared" si="3"/>
        <v>6555</v>
      </c>
      <c r="P57" s="403"/>
      <c r="Q57" s="505">
        <f t="shared" si="7"/>
        <v>14733</v>
      </c>
      <c r="R57" s="1126">
        <f t="shared" si="4"/>
        <v>193</v>
      </c>
    </row>
    <row r="58" spans="1:20" ht="15.75" outlineLevel="1">
      <c r="A58" s="377">
        <v>1940</v>
      </c>
      <c r="B58" s="386">
        <v>3876</v>
      </c>
      <c r="C58" s="412" t="s">
        <v>223</v>
      </c>
      <c r="D58" s="503">
        <f t="shared" si="5"/>
        <v>3876</v>
      </c>
      <c r="E58" s="390" t="s">
        <v>223</v>
      </c>
      <c r="F58" s="390" t="s">
        <v>223</v>
      </c>
      <c r="G58" s="390"/>
      <c r="H58" s="390" t="s">
        <v>223</v>
      </c>
      <c r="I58" s="503">
        <f t="shared" si="6"/>
        <v>3876</v>
      </c>
      <c r="J58" s="390" t="s">
        <v>223</v>
      </c>
      <c r="K58" s="390" t="s">
        <v>223</v>
      </c>
      <c r="L58" s="390" t="s">
        <v>223</v>
      </c>
      <c r="M58" s="390" t="s">
        <v>223</v>
      </c>
      <c r="N58" s="390" t="s">
        <v>223</v>
      </c>
      <c r="O58" s="504">
        <f t="shared" si="3"/>
        <v>3876</v>
      </c>
      <c r="P58" s="403"/>
      <c r="Q58" s="505">
        <f t="shared" si="7"/>
        <v>12141.2</v>
      </c>
      <c r="R58" s="1126">
        <f t="shared" si="4"/>
        <v>194</v>
      </c>
      <c r="T58" s="429" t="s">
        <v>412</v>
      </c>
    </row>
    <row r="59" spans="1:20" outlineLevel="1">
      <c r="A59" s="377">
        <v>1941</v>
      </c>
      <c r="B59" s="386">
        <v>9225</v>
      </c>
      <c r="C59" s="412" t="s">
        <v>223</v>
      </c>
      <c r="D59" s="503">
        <f t="shared" si="5"/>
        <v>9225</v>
      </c>
      <c r="E59" s="390" t="s">
        <v>223</v>
      </c>
      <c r="F59" s="390" t="s">
        <v>223</v>
      </c>
      <c r="G59" s="390"/>
      <c r="H59" s="390" t="s">
        <v>223</v>
      </c>
      <c r="I59" s="503">
        <f t="shared" si="6"/>
        <v>9225</v>
      </c>
      <c r="J59" s="390" t="s">
        <v>223</v>
      </c>
      <c r="K59" s="390" t="s">
        <v>223</v>
      </c>
      <c r="L59" s="390" t="s">
        <v>223</v>
      </c>
      <c r="M59" s="390" t="s">
        <v>223</v>
      </c>
      <c r="N59" s="390" t="s">
        <v>223</v>
      </c>
      <c r="O59" s="504">
        <f t="shared" si="3"/>
        <v>9225</v>
      </c>
      <c r="P59" s="403"/>
      <c r="Q59" s="505">
        <f t="shared" si="7"/>
        <v>12141.2</v>
      </c>
      <c r="R59" s="1126">
        <f t="shared" si="4"/>
        <v>194</v>
      </c>
    </row>
    <row r="60" spans="1:20" outlineLevel="1">
      <c r="A60" s="377">
        <v>1942</v>
      </c>
      <c r="B60" s="386">
        <v>15762</v>
      </c>
      <c r="C60" s="412" t="s">
        <v>223</v>
      </c>
      <c r="D60" s="503">
        <f t="shared" si="5"/>
        <v>15762</v>
      </c>
      <c r="E60" s="390" t="s">
        <v>223</v>
      </c>
      <c r="F60" s="390" t="s">
        <v>223</v>
      </c>
      <c r="G60" s="390"/>
      <c r="H60" s="390" t="s">
        <v>223</v>
      </c>
      <c r="I60" s="503">
        <f t="shared" si="6"/>
        <v>15762</v>
      </c>
      <c r="J60" s="390" t="s">
        <v>223</v>
      </c>
      <c r="K60" s="390" t="s">
        <v>223</v>
      </c>
      <c r="L60" s="390" t="s">
        <v>223</v>
      </c>
      <c r="M60" s="390" t="s">
        <v>223</v>
      </c>
      <c r="N60" s="390" t="s">
        <v>223</v>
      </c>
      <c r="O60" s="504">
        <f t="shared" si="3"/>
        <v>15762</v>
      </c>
      <c r="P60" s="403"/>
      <c r="Q60" s="505">
        <f t="shared" si="7"/>
        <v>12141.2</v>
      </c>
      <c r="R60" s="1126">
        <f t="shared" si="4"/>
        <v>194</v>
      </c>
    </row>
    <row r="61" spans="1:20" outlineLevel="1">
      <c r="A61" s="377">
        <v>1943</v>
      </c>
      <c r="B61" s="386">
        <v>14670</v>
      </c>
      <c r="C61" s="412" t="s">
        <v>223</v>
      </c>
      <c r="D61" s="503">
        <f t="shared" si="5"/>
        <v>14670</v>
      </c>
      <c r="E61" s="390" t="s">
        <v>223</v>
      </c>
      <c r="F61" s="390" t="s">
        <v>223</v>
      </c>
      <c r="G61" s="390"/>
      <c r="H61" s="390" t="s">
        <v>223</v>
      </c>
      <c r="I61" s="503">
        <f t="shared" si="6"/>
        <v>14670</v>
      </c>
      <c r="J61" s="390" t="s">
        <v>223</v>
      </c>
      <c r="K61" s="390" t="s">
        <v>223</v>
      </c>
      <c r="L61" s="390" t="s">
        <v>223</v>
      </c>
      <c r="M61" s="390" t="s">
        <v>223</v>
      </c>
      <c r="N61" s="390" t="s">
        <v>223</v>
      </c>
      <c r="O61" s="504">
        <f t="shared" si="3"/>
        <v>14670</v>
      </c>
      <c r="P61" s="403"/>
      <c r="Q61" s="505">
        <f t="shared" si="7"/>
        <v>12141.2</v>
      </c>
      <c r="R61" s="1126">
        <f t="shared" si="4"/>
        <v>194</v>
      </c>
    </row>
    <row r="62" spans="1:20" outlineLevel="1">
      <c r="A62" s="377">
        <v>1944</v>
      </c>
      <c r="B62" s="386">
        <v>7638</v>
      </c>
      <c r="C62" s="412" t="s">
        <v>223</v>
      </c>
      <c r="D62" s="503">
        <f t="shared" si="5"/>
        <v>7638</v>
      </c>
      <c r="E62" s="390" t="s">
        <v>223</v>
      </c>
      <c r="F62" s="390" t="s">
        <v>223</v>
      </c>
      <c r="G62" s="390"/>
      <c r="H62" s="390" t="s">
        <v>223</v>
      </c>
      <c r="I62" s="503">
        <f t="shared" si="6"/>
        <v>7638</v>
      </c>
      <c r="J62" s="390" t="s">
        <v>223</v>
      </c>
      <c r="K62" s="390" t="s">
        <v>223</v>
      </c>
      <c r="L62" s="390" t="s">
        <v>223</v>
      </c>
      <c r="M62" s="390" t="s">
        <v>223</v>
      </c>
      <c r="N62" s="390" t="s">
        <v>223</v>
      </c>
      <c r="O62" s="504">
        <f t="shared" si="3"/>
        <v>7638</v>
      </c>
      <c r="P62" s="403"/>
      <c r="Q62" s="505">
        <f t="shared" si="7"/>
        <v>12141.2</v>
      </c>
      <c r="R62" s="1126">
        <f t="shared" si="4"/>
        <v>194</v>
      </c>
    </row>
    <row r="63" spans="1:20" outlineLevel="1">
      <c r="A63" s="377">
        <v>1945</v>
      </c>
      <c r="B63" s="386">
        <v>18063</v>
      </c>
      <c r="C63" s="412" t="s">
        <v>223</v>
      </c>
      <c r="D63" s="503">
        <f t="shared" si="5"/>
        <v>18063</v>
      </c>
      <c r="E63" s="390" t="s">
        <v>223</v>
      </c>
      <c r="F63" s="390" t="s">
        <v>223</v>
      </c>
      <c r="G63" s="390"/>
      <c r="H63" s="390" t="s">
        <v>223</v>
      </c>
      <c r="I63" s="503">
        <f t="shared" si="6"/>
        <v>18063</v>
      </c>
      <c r="J63" s="390" t="s">
        <v>223</v>
      </c>
      <c r="K63" s="390" t="s">
        <v>223</v>
      </c>
      <c r="L63" s="390" t="s">
        <v>223</v>
      </c>
      <c r="M63" s="390" t="s">
        <v>223</v>
      </c>
      <c r="N63" s="390" t="s">
        <v>223</v>
      </c>
      <c r="O63" s="504">
        <f t="shared" si="3"/>
        <v>18063</v>
      </c>
      <c r="P63" s="403"/>
      <c r="Q63" s="505">
        <f t="shared" si="7"/>
        <v>12141.2</v>
      </c>
      <c r="R63" s="1126">
        <f t="shared" si="4"/>
        <v>194</v>
      </c>
    </row>
    <row r="64" spans="1:20" outlineLevel="1">
      <c r="A64" s="377">
        <v>1946</v>
      </c>
      <c r="B64" s="386">
        <v>23329</v>
      </c>
      <c r="C64" s="412" t="s">
        <v>223</v>
      </c>
      <c r="D64" s="503">
        <f t="shared" si="5"/>
        <v>23329</v>
      </c>
      <c r="E64" s="390" t="s">
        <v>223</v>
      </c>
      <c r="F64" s="390" t="s">
        <v>223</v>
      </c>
      <c r="G64" s="390"/>
      <c r="H64" s="390" t="s">
        <v>223</v>
      </c>
      <c r="I64" s="503">
        <f t="shared" si="6"/>
        <v>23329</v>
      </c>
      <c r="J64" s="390" t="s">
        <v>223</v>
      </c>
      <c r="K64" s="390" t="s">
        <v>223</v>
      </c>
      <c r="L64" s="390" t="s">
        <v>223</v>
      </c>
      <c r="M64" s="390" t="s">
        <v>223</v>
      </c>
      <c r="N64" s="390" t="s">
        <v>223</v>
      </c>
      <c r="O64" s="504">
        <f t="shared" si="3"/>
        <v>23329</v>
      </c>
      <c r="P64" s="403"/>
      <c r="Q64" s="505">
        <f t="shared" si="7"/>
        <v>12141.2</v>
      </c>
      <c r="R64" s="1126">
        <f t="shared" si="4"/>
        <v>194</v>
      </c>
    </row>
    <row r="65" spans="1:21" outlineLevel="1">
      <c r="A65" s="377">
        <v>1947</v>
      </c>
      <c r="B65" s="386">
        <v>15182</v>
      </c>
      <c r="C65" s="412" t="s">
        <v>223</v>
      </c>
      <c r="D65" s="503">
        <f t="shared" si="5"/>
        <v>15182</v>
      </c>
      <c r="E65" s="390" t="s">
        <v>223</v>
      </c>
      <c r="F65" s="390" t="s">
        <v>223</v>
      </c>
      <c r="G65" s="390"/>
      <c r="H65" s="390" t="s">
        <v>223</v>
      </c>
      <c r="I65" s="503">
        <f t="shared" si="6"/>
        <v>15182</v>
      </c>
      <c r="J65" s="390" t="s">
        <v>223</v>
      </c>
      <c r="K65" s="390" t="s">
        <v>223</v>
      </c>
      <c r="L65" s="390" t="s">
        <v>223</v>
      </c>
      <c r="M65" s="390" t="s">
        <v>223</v>
      </c>
      <c r="N65" s="390" t="s">
        <v>223</v>
      </c>
      <c r="O65" s="504">
        <f t="shared" si="3"/>
        <v>15182</v>
      </c>
      <c r="P65" s="403"/>
      <c r="Q65" s="505">
        <f t="shared" si="7"/>
        <v>12141.2</v>
      </c>
      <c r="R65" s="1126">
        <f t="shared" si="4"/>
        <v>194</v>
      </c>
    </row>
    <row r="66" spans="1:21" outlineLevel="1">
      <c r="A66" s="377">
        <v>1948</v>
      </c>
      <c r="B66" s="386">
        <v>4367</v>
      </c>
      <c r="C66" s="412" t="s">
        <v>223</v>
      </c>
      <c r="D66" s="503">
        <f t="shared" si="5"/>
        <v>4367</v>
      </c>
      <c r="E66" s="390" t="s">
        <v>223</v>
      </c>
      <c r="F66" s="390" t="s">
        <v>223</v>
      </c>
      <c r="G66" s="390"/>
      <c r="H66" s="390" t="s">
        <v>223</v>
      </c>
      <c r="I66" s="503">
        <f t="shared" si="6"/>
        <v>4367</v>
      </c>
      <c r="J66" s="390" t="s">
        <v>223</v>
      </c>
      <c r="K66" s="390" t="s">
        <v>223</v>
      </c>
      <c r="L66" s="390" t="s">
        <v>223</v>
      </c>
      <c r="M66" s="390" t="s">
        <v>223</v>
      </c>
      <c r="N66" s="390" t="s">
        <v>223</v>
      </c>
      <c r="O66" s="504">
        <f t="shared" si="3"/>
        <v>4367</v>
      </c>
      <c r="P66" s="403"/>
      <c r="Q66" s="505">
        <f t="shared" si="7"/>
        <v>12141.2</v>
      </c>
      <c r="R66" s="1126">
        <f t="shared" si="4"/>
        <v>194</v>
      </c>
    </row>
    <row r="67" spans="1:21" outlineLevel="1">
      <c r="A67" s="377">
        <v>1949</v>
      </c>
      <c r="B67" s="386">
        <v>9300</v>
      </c>
      <c r="C67" s="412" t="s">
        <v>223</v>
      </c>
      <c r="D67" s="503">
        <f t="shared" si="5"/>
        <v>9300</v>
      </c>
      <c r="E67" s="390" t="s">
        <v>223</v>
      </c>
      <c r="F67" s="390" t="s">
        <v>223</v>
      </c>
      <c r="G67" s="390"/>
      <c r="H67" s="390" t="s">
        <v>223</v>
      </c>
      <c r="I67" s="503">
        <f t="shared" si="6"/>
        <v>9300</v>
      </c>
      <c r="J67" s="390" t="s">
        <v>223</v>
      </c>
      <c r="K67" s="390" t="s">
        <v>223</v>
      </c>
      <c r="L67" s="390" t="s">
        <v>223</v>
      </c>
      <c r="M67" s="390" t="s">
        <v>223</v>
      </c>
      <c r="N67" s="390" t="s">
        <v>223</v>
      </c>
      <c r="O67" s="504">
        <f t="shared" si="3"/>
        <v>9300</v>
      </c>
      <c r="P67" s="403"/>
      <c r="Q67" s="505">
        <f t="shared" si="7"/>
        <v>12141.2</v>
      </c>
      <c r="R67" s="1126">
        <f t="shared" si="4"/>
        <v>194</v>
      </c>
    </row>
    <row r="68" spans="1:21" outlineLevel="1">
      <c r="A68" s="377">
        <v>1950</v>
      </c>
      <c r="B68" s="386">
        <v>17777</v>
      </c>
      <c r="C68" s="412" t="s">
        <v>223</v>
      </c>
      <c r="D68" s="503">
        <f t="shared" si="5"/>
        <v>17777</v>
      </c>
      <c r="E68" s="390" t="s">
        <v>223</v>
      </c>
      <c r="F68" s="390" t="s">
        <v>223</v>
      </c>
      <c r="G68" s="390"/>
      <c r="H68" s="390" t="s">
        <v>223</v>
      </c>
      <c r="I68" s="503">
        <f t="shared" si="6"/>
        <v>17777</v>
      </c>
      <c r="J68" s="390" t="s">
        <v>223</v>
      </c>
      <c r="K68" s="390" t="s">
        <v>223</v>
      </c>
      <c r="L68" s="390" t="s">
        <v>223</v>
      </c>
      <c r="M68" s="390" t="s">
        <v>223</v>
      </c>
      <c r="N68" s="390" t="s">
        <v>223</v>
      </c>
      <c r="O68" s="504">
        <f t="shared" si="3"/>
        <v>17777</v>
      </c>
      <c r="P68" s="403"/>
      <c r="Q68" s="505">
        <f t="shared" si="7"/>
        <v>14962.2</v>
      </c>
      <c r="R68" s="1126">
        <f t="shared" si="4"/>
        <v>195</v>
      </c>
    </row>
    <row r="69" spans="1:21" outlineLevel="1">
      <c r="A69" s="377">
        <v>1951</v>
      </c>
      <c r="B69" s="386">
        <v>17439</v>
      </c>
      <c r="C69" s="332">
        <v>34</v>
      </c>
      <c r="D69" s="503">
        <f t="shared" si="5"/>
        <v>17473</v>
      </c>
      <c r="E69" s="390" t="s">
        <v>223</v>
      </c>
      <c r="F69" s="390" t="s">
        <v>223</v>
      </c>
      <c r="G69" s="390"/>
      <c r="H69" s="390" t="s">
        <v>223</v>
      </c>
      <c r="I69" s="503">
        <f t="shared" si="6"/>
        <v>17473</v>
      </c>
      <c r="J69" s="390" t="s">
        <v>223</v>
      </c>
      <c r="K69" s="390" t="s">
        <v>223</v>
      </c>
      <c r="L69" s="390" t="s">
        <v>223</v>
      </c>
      <c r="M69" s="390" t="s">
        <v>223</v>
      </c>
      <c r="N69" s="390" t="s">
        <v>223</v>
      </c>
      <c r="O69" s="504">
        <f t="shared" si="3"/>
        <v>17473</v>
      </c>
      <c r="P69" s="403"/>
      <c r="Q69" s="505">
        <f t="shared" si="7"/>
        <v>14962.2</v>
      </c>
      <c r="R69" s="1126">
        <f t="shared" si="4"/>
        <v>195</v>
      </c>
    </row>
    <row r="70" spans="1:21" outlineLevel="1">
      <c r="A70" s="377">
        <v>1952</v>
      </c>
      <c r="B70" s="386">
        <v>29355</v>
      </c>
      <c r="C70" s="412" t="s">
        <v>223</v>
      </c>
      <c r="D70" s="503">
        <f t="shared" si="5"/>
        <v>29355</v>
      </c>
      <c r="E70" s="390" t="s">
        <v>223</v>
      </c>
      <c r="F70" s="390" t="s">
        <v>223</v>
      </c>
      <c r="G70" s="390"/>
      <c r="H70" s="390" t="s">
        <v>223</v>
      </c>
      <c r="I70" s="503">
        <f t="shared" si="6"/>
        <v>29355</v>
      </c>
      <c r="J70" s="390" t="s">
        <v>223</v>
      </c>
      <c r="K70" s="411">
        <v>535</v>
      </c>
      <c r="L70" s="390" t="s">
        <v>223</v>
      </c>
      <c r="M70" s="396" t="s">
        <v>223</v>
      </c>
      <c r="N70" s="390" t="s">
        <v>223</v>
      </c>
      <c r="O70" s="504">
        <f t="shared" si="3"/>
        <v>29890</v>
      </c>
      <c r="P70" s="403"/>
      <c r="Q70" s="505">
        <f t="shared" si="7"/>
        <v>14962.2</v>
      </c>
      <c r="R70" s="1126">
        <f t="shared" si="4"/>
        <v>195</v>
      </c>
    </row>
    <row r="71" spans="1:21" outlineLevel="1">
      <c r="A71" s="377">
        <v>1953</v>
      </c>
      <c r="B71" s="386">
        <v>12198</v>
      </c>
      <c r="C71" s="332">
        <v>26</v>
      </c>
      <c r="D71" s="503">
        <f t="shared" si="5"/>
        <v>12224</v>
      </c>
      <c r="E71" s="390" t="s">
        <v>223</v>
      </c>
      <c r="F71" s="390" t="s">
        <v>223</v>
      </c>
      <c r="G71" s="390"/>
      <c r="H71" s="390" t="s">
        <v>223</v>
      </c>
      <c r="I71" s="503">
        <f t="shared" si="6"/>
        <v>12224</v>
      </c>
      <c r="J71" s="390" t="s">
        <v>223</v>
      </c>
      <c r="K71" s="409"/>
      <c r="L71" s="390" t="s">
        <v>223</v>
      </c>
      <c r="M71" s="396" t="s">
        <v>223</v>
      </c>
      <c r="N71" s="390" t="s">
        <v>223</v>
      </c>
      <c r="O71" s="504">
        <f t="shared" si="3"/>
        <v>12224</v>
      </c>
      <c r="P71" s="403"/>
      <c r="Q71" s="505">
        <f t="shared" si="7"/>
        <v>14962.2</v>
      </c>
      <c r="R71" s="1126">
        <f t="shared" si="4"/>
        <v>195</v>
      </c>
    </row>
    <row r="72" spans="1:21" outlineLevel="1">
      <c r="A72" s="377">
        <v>1954</v>
      </c>
      <c r="B72" s="386">
        <v>15764</v>
      </c>
      <c r="C72" s="412" t="s">
        <v>223</v>
      </c>
      <c r="D72" s="503">
        <f t="shared" ref="D72:D103" si="8">SUM(B72:C72)</f>
        <v>15764</v>
      </c>
      <c r="E72" s="390" t="s">
        <v>223</v>
      </c>
      <c r="F72" s="390" t="s">
        <v>223</v>
      </c>
      <c r="G72" s="390"/>
      <c r="H72" s="390" t="s">
        <v>223</v>
      </c>
      <c r="I72" s="503">
        <f t="shared" ref="I72:I103" si="9">SUM(D72:H72)</f>
        <v>15764</v>
      </c>
      <c r="J72" s="390" t="s">
        <v>223</v>
      </c>
      <c r="K72" s="411">
        <v>88</v>
      </c>
      <c r="L72" s="390" t="s">
        <v>223</v>
      </c>
      <c r="M72" s="396" t="s">
        <v>223</v>
      </c>
      <c r="N72" s="390" t="s">
        <v>223</v>
      </c>
      <c r="O72" s="504">
        <f t="shared" si="3"/>
        <v>15852</v>
      </c>
      <c r="P72" s="403"/>
      <c r="Q72" s="505">
        <f t="shared" ref="Q72:Q103" si="10">AVERAGEIF($R$8:$R$134,$R72,$B$8:$B$134)</f>
        <v>14962.2</v>
      </c>
      <c r="R72" s="1126">
        <f t="shared" si="4"/>
        <v>195</v>
      </c>
    </row>
    <row r="73" spans="1:21" outlineLevel="1">
      <c r="A73" s="377">
        <v>1955</v>
      </c>
      <c r="B73" s="386">
        <v>20438</v>
      </c>
      <c r="C73" s="406">
        <v>125</v>
      </c>
      <c r="D73" s="503">
        <f t="shared" si="8"/>
        <v>20563</v>
      </c>
      <c r="E73" s="390" t="s">
        <v>223</v>
      </c>
      <c r="F73" s="390" t="s">
        <v>223</v>
      </c>
      <c r="G73" s="390"/>
      <c r="H73" s="390" t="s">
        <v>223</v>
      </c>
      <c r="I73" s="503">
        <f t="shared" si="9"/>
        <v>20563</v>
      </c>
      <c r="J73" s="390" t="s">
        <v>223</v>
      </c>
      <c r="K73" s="410">
        <v>309</v>
      </c>
      <c r="L73" s="390" t="s">
        <v>223</v>
      </c>
      <c r="M73" s="396" t="s">
        <v>223</v>
      </c>
      <c r="N73" s="390" t="s">
        <v>223</v>
      </c>
      <c r="O73" s="504">
        <f t="shared" ref="O73:O129" si="11">SUM(I73:N73)</f>
        <v>20872</v>
      </c>
      <c r="P73" s="403"/>
      <c r="Q73" s="505">
        <f t="shared" si="10"/>
        <v>14962.2</v>
      </c>
      <c r="R73" s="1126">
        <f t="shared" ref="R73:R133" si="12">TRUNC(A73/10,0)</f>
        <v>195</v>
      </c>
    </row>
    <row r="74" spans="1:21" outlineLevel="1">
      <c r="A74" s="377">
        <v>1956</v>
      </c>
      <c r="B74" s="386">
        <v>11702</v>
      </c>
      <c r="C74" s="406">
        <v>147</v>
      </c>
      <c r="D74" s="503">
        <f t="shared" si="8"/>
        <v>11849</v>
      </c>
      <c r="E74" s="390" t="s">
        <v>223</v>
      </c>
      <c r="F74" s="390" t="s">
        <v>223</v>
      </c>
      <c r="G74" s="390"/>
      <c r="H74" s="390" t="s">
        <v>223</v>
      </c>
      <c r="I74" s="503">
        <f t="shared" si="9"/>
        <v>11849</v>
      </c>
      <c r="J74" s="390" t="s">
        <v>223</v>
      </c>
      <c r="K74" s="409"/>
      <c r="L74" s="390" t="s">
        <v>223</v>
      </c>
      <c r="M74" s="396" t="s">
        <v>223</v>
      </c>
      <c r="N74" s="390" t="s">
        <v>223</v>
      </c>
      <c r="O74" s="504">
        <f t="shared" si="11"/>
        <v>11849</v>
      </c>
      <c r="P74" s="403"/>
      <c r="Q74" s="505">
        <f t="shared" si="10"/>
        <v>14962.2</v>
      </c>
      <c r="R74" s="1126">
        <f t="shared" si="12"/>
        <v>195</v>
      </c>
    </row>
    <row r="75" spans="1:21" outlineLevel="1">
      <c r="A75" s="377">
        <v>1957</v>
      </c>
      <c r="B75" s="386">
        <v>8151</v>
      </c>
      <c r="C75" s="406">
        <v>71</v>
      </c>
      <c r="D75" s="503">
        <f t="shared" si="8"/>
        <v>8222</v>
      </c>
      <c r="E75" s="390" t="s">
        <v>223</v>
      </c>
      <c r="F75" s="390" t="s">
        <v>223</v>
      </c>
      <c r="G75" s="390"/>
      <c r="H75" s="390" t="s">
        <v>223</v>
      </c>
      <c r="I75" s="503">
        <f t="shared" si="9"/>
        <v>8222</v>
      </c>
      <c r="J75" s="390" t="s">
        <v>223</v>
      </c>
      <c r="K75" s="410">
        <v>281</v>
      </c>
      <c r="L75" s="390" t="s">
        <v>223</v>
      </c>
      <c r="M75" s="396" t="s">
        <v>223</v>
      </c>
      <c r="N75" s="390" t="s">
        <v>223</v>
      </c>
      <c r="O75" s="504">
        <f t="shared" si="11"/>
        <v>8503</v>
      </c>
      <c r="P75" s="403"/>
      <c r="Q75" s="505">
        <f t="shared" si="10"/>
        <v>14962.2</v>
      </c>
      <c r="R75" s="1126">
        <f t="shared" si="12"/>
        <v>195</v>
      </c>
    </row>
    <row r="76" spans="1:21" outlineLevel="1">
      <c r="A76" s="377">
        <v>1958</v>
      </c>
      <c r="B76" s="386">
        <v>6965</v>
      </c>
      <c r="C76" s="406">
        <v>72</v>
      </c>
      <c r="D76" s="503">
        <f t="shared" si="8"/>
        <v>7037</v>
      </c>
      <c r="E76" s="390" t="s">
        <v>223</v>
      </c>
      <c r="F76" s="390" t="s">
        <v>223</v>
      </c>
      <c r="G76" s="390"/>
      <c r="H76" s="390" t="s">
        <v>223</v>
      </c>
      <c r="I76" s="503">
        <f t="shared" si="9"/>
        <v>7037</v>
      </c>
      <c r="J76" s="390" t="s">
        <v>223</v>
      </c>
      <c r="K76" s="409"/>
      <c r="L76" s="390" t="s">
        <v>223</v>
      </c>
      <c r="M76" s="396" t="s">
        <v>223</v>
      </c>
      <c r="N76" s="390" t="s">
        <v>223</v>
      </c>
      <c r="O76" s="504">
        <f t="shared" si="11"/>
        <v>7037</v>
      </c>
      <c r="P76" s="403"/>
      <c r="Q76" s="505">
        <f t="shared" si="10"/>
        <v>14962.2</v>
      </c>
      <c r="R76" s="1126">
        <f t="shared" si="12"/>
        <v>195</v>
      </c>
    </row>
    <row r="77" spans="1:21" outlineLevel="1">
      <c r="A77" s="377">
        <v>1959</v>
      </c>
      <c r="B77" s="386">
        <v>9833</v>
      </c>
      <c r="C77" s="406">
        <v>77</v>
      </c>
      <c r="D77" s="503">
        <f t="shared" si="8"/>
        <v>9910</v>
      </c>
      <c r="E77" s="390" t="s">
        <v>223</v>
      </c>
      <c r="F77" s="390" t="s">
        <v>223</v>
      </c>
      <c r="G77" s="390"/>
      <c r="H77" s="390" t="s">
        <v>223</v>
      </c>
      <c r="I77" s="503">
        <f t="shared" si="9"/>
        <v>9910</v>
      </c>
      <c r="J77" s="390" t="s">
        <v>223</v>
      </c>
      <c r="K77" s="409"/>
      <c r="L77" s="390" t="s">
        <v>223</v>
      </c>
      <c r="M77" s="396" t="s">
        <v>223</v>
      </c>
      <c r="N77" s="390" t="s">
        <v>223</v>
      </c>
      <c r="O77" s="504">
        <f t="shared" si="11"/>
        <v>9910</v>
      </c>
      <c r="P77" s="403"/>
      <c r="Q77" s="505">
        <f t="shared" si="10"/>
        <v>14962.2</v>
      </c>
      <c r="R77" s="1126">
        <f t="shared" si="12"/>
        <v>195</v>
      </c>
    </row>
    <row r="78" spans="1:21" outlineLevel="1">
      <c r="A78" s="377">
        <v>1960</v>
      </c>
      <c r="B78" s="386">
        <v>14052</v>
      </c>
      <c r="C78" s="406">
        <v>63</v>
      </c>
      <c r="D78" s="503">
        <f t="shared" si="8"/>
        <v>14115</v>
      </c>
      <c r="E78" s="390" t="s">
        <v>223</v>
      </c>
      <c r="F78" s="402">
        <v>0</v>
      </c>
      <c r="G78" s="402"/>
      <c r="H78" s="390" t="s">
        <v>223</v>
      </c>
      <c r="I78" s="503">
        <f t="shared" si="9"/>
        <v>14115</v>
      </c>
      <c r="J78" s="704">
        <v>55</v>
      </c>
      <c r="K78" s="408" t="s">
        <v>223</v>
      </c>
      <c r="L78" s="709">
        <v>122</v>
      </c>
      <c r="M78" s="396" t="s">
        <v>223</v>
      </c>
      <c r="N78" s="390" t="s">
        <v>223</v>
      </c>
      <c r="O78" s="504">
        <f t="shared" si="11"/>
        <v>14292</v>
      </c>
      <c r="P78" s="403"/>
      <c r="Q78" s="505">
        <f t="shared" si="10"/>
        <v>12006.9</v>
      </c>
      <c r="R78" s="1126">
        <f t="shared" si="12"/>
        <v>196</v>
      </c>
      <c r="S78" s="398"/>
      <c r="U78" s="398"/>
    </row>
    <row r="79" spans="1:21" outlineLevel="1">
      <c r="A79" s="377">
        <v>1961</v>
      </c>
      <c r="B79" s="386">
        <v>7621</v>
      </c>
      <c r="C79" s="406">
        <v>29</v>
      </c>
      <c r="D79" s="503">
        <f t="shared" si="8"/>
        <v>7650</v>
      </c>
      <c r="E79" s="390" t="s">
        <v>223</v>
      </c>
      <c r="F79" s="402">
        <v>60</v>
      </c>
      <c r="G79" s="402"/>
      <c r="H79" s="390" t="s">
        <v>223</v>
      </c>
      <c r="I79" s="503">
        <f t="shared" si="9"/>
        <v>7710</v>
      </c>
      <c r="J79" s="407">
        <v>40</v>
      </c>
      <c r="K79" s="397" t="s">
        <v>223</v>
      </c>
      <c r="L79" s="401">
        <v>453</v>
      </c>
      <c r="M79" s="396" t="s">
        <v>223</v>
      </c>
      <c r="N79" s="390" t="s">
        <v>223</v>
      </c>
      <c r="O79" s="504">
        <f t="shared" si="11"/>
        <v>8203</v>
      </c>
      <c r="P79" s="403"/>
      <c r="Q79" s="505">
        <f t="shared" si="10"/>
        <v>12006.9</v>
      </c>
      <c r="R79" s="1126">
        <f t="shared" si="12"/>
        <v>196</v>
      </c>
      <c r="S79" s="398"/>
      <c r="U79" s="398"/>
    </row>
    <row r="80" spans="1:21" outlineLevel="1">
      <c r="A80" s="377">
        <v>1962</v>
      </c>
      <c r="B80" s="386">
        <v>14792</v>
      </c>
      <c r="C80" s="406">
        <v>246</v>
      </c>
      <c r="D80" s="503">
        <f t="shared" si="8"/>
        <v>15038</v>
      </c>
      <c r="E80" s="390" t="s">
        <v>223</v>
      </c>
      <c r="F80" s="402">
        <v>44</v>
      </c>
      <c r="G80" s="402"/>
      <c r="H80" s="390" t="s">
        <v>223</v>
      </c>
      <c r="I80" s="503">
        <f t="shared" si="9"/>
        <v>15082</v>
      </c>
      <c r="J80" s="407">
        <v>105</v>
      </c>
      <c r="K80" s="397" t="s">
        <v>223</v>
      </c>
      <c r="L80" s="401">
        <v>978</v>
      </c>
      <c r="M80" s="396" t="s">
        <v>223</v>
      </c>
      <c r="N80" s="390" t="s">
        <v>223</v>
      </c>
      <c r="O80" s="504">
        <f t="shared" si="11"/>
        <v>16165</v>
      </c>
      <c r="P80" s="403"/>
      <c r="Q80" s="505">
        <f t="shared" si="10"/>
        <v>12006.9</v>
      </c>
      <c r="R80" s="1126">
        <f t="shared" si="12"/>
        <v>196</v>
      </c>
      <c r="S80" s="398"/>
      <c r="U80" s="398"/>
    </row>
    <row r="81" spans="1:21" outlineLevel="1">
      <c r="A81" s="377">
        <v>1963</v>
      </c>
      <c r="B81" s="386">
        <v>10871</v>
      </c>
      <c r="C81" s="406">
        <v>172</v>
      </c>
      <c r="D81" s="503">
        <f t="shared" si="8"/>
        <v>11043</v>
      </c>
      <c r="E81" s="390" t="s">
        <v>223</v>
      </c>
      <c r="F81" s="402">
        <v>3</v>
      </c>
      <c r="G81" s="402"/>
      <c r="H81" s="390" t="s">
        <v>223</v>
      </c>
      <c r="I81" s="503">
        <f t="shared" si="9"/>
        <v>11046</v>
      </c>
      <c r="J81" s="407">
        <v>195</v>
      </c>
      <c r="K81" s="397" t="s">
        <v>223</v>
      </c>
      <c r="L81" s="401">
        <v>406</v>
      </c>
      <c r="M81" s="396" t="s">
        <v>223</v>
      </c>
      <c r="N81" s="390" t="s">
        <v>223</v>
      </c>
      <c r="O81" s="504">
        <f t="shared" si="11"/>
        <v>11647</v>
      </c>
      <c r="P81" s="403"/>
      <c r="Q81" s="505">
        <f t="shared" si="10"/>
        <v>12006.9</v>
      </c>
      <c r="R81" s="1126">
        <f t="shared" si="12"/>
        <v>196</v>
      </c>
      <c r="S81" s="398"/>
      <c r="T81" s="376"/>
      <c r="U81" s="398"/>
    </row>
    <row r="82" spans="1:21" outlineLevel="1">
      <c r="A82" s="377">
        <v>1964</v>
      </c>
      <c r="B82" s="386">
        <v>12751</v>
      </c>
      <c r="C82" s="406">
        <v>44</v>
      </c>
      <c r="D82" s="503">
        <f t="shared" si="8"/>
        <v>12795</v>
      </c>
      <c r="E82" s="390" t="s">
        <v>223</v>
      </c>
      <c r="F82" s="402">
        <v>14</v>
      </c>
      <c r="G82" s="402"/>
      <c r="H82" s="390" t="s">
        <v>223</v>
      </c>
      <c r="I82" s="503">
        <f t="shared" si="9"/>
        <v>12809</v>
      </c>
      <c r="J82" s="397">
        <v>419</v>
      </c>
      <c r="K82" s="397" t="s">
        <v>223</v>
      </c>
      <c r="L82" s="401">
        <v>566</v>
      </c>
      <c r="M82" s="396" t="s">
        <v>223</v>
      </c>
      <c r="N82" s="390" t="s">
        <v>223</v>
      </c>
      <c r="O82" s="504">
        <f t="shared" si="11"/>
        <v>13794</v>
      </c>
      <c r="P82" s="403"/>
      <c r="Q82" s="505">
        <f t="shared" si="10"/>
        <v>12006.9</v>
      </c>
      <c r="R82" s="1126">
        <f t="shared" si="12"/>
        <v>196</v>
      </c>
      <c r="S82" s="398"/>
      <c r="T82" s="376"/>
      <c r="U82" s="398"/>
    </row>
    <row r="83" spans="1:21" outlineLevel="1">
      <c r="A83" s="377">
        <v>1965</v>
      </c>
      <c r="B83" s="386">
        <v>15390</v>
      </c>
      <c r="C83" s="406">
        <v>7</v>
      </c>
      <c r="D83" s="503">
        <f t="shared" si="8"/>
        <v>15397</v>
      </c>
      <c r="E83" s="390" t="s">
        <v>223</v>
      </c>
      <c r="F83" s="402">
        <v>12</v>
      </c>
      <c r="G83" s="402"/>
      <c r="H83" s="390" t="s">
        <v>223</v>
      </c>
      <c r="I83" s="503">
        <f t="shared" si="9"/>
        <v>15409</v>
      </c>
      <c r="J83" s="405">
        <v>424</v>
      </c>
      <c r="K83" s="397" t="s">
        <v>223</v>
      </c>
      <c r="L83" s="401">
        <v>400</v>
      </c>
      <c r="M83" s="396" t="s">
        <v>223</v>
      </c>
      <c r="N83" s="390" t="s">
        <v>223</v>
      </c>
      <c r="O83" s="504">
        <f t="shared" si="11"/>
        <v>16233</v>
      </c>
      <c r="P83" s="403"/>
      <c r="Q83" s="505">
        <f t="shared" si="10"/>
        <v>12006.9</v>
      </c>
      <c r="R83" s="1126">
        <f t="shared" si="12"/>
        <v>196</v>
      </c>
      <c r="S83" s="398"/>
      <c r="T83" s="376" t="s">
        <v>366</v>
      </c>
      <c r="U83" s="398"/>
    </row>
    <row r="84" spans="1:21">
      <c r="A84" s="377">
        <v>1966</v>
      </c>
      <c r="B84" s="386">
        <v>11026</v>
      </c>
      <c r="C84" s="386">
        <v>36</v>
      </c>
      <c r="D84" s="503">
        <f t="shared" si="8"/>
        <v>11062</v>
      </c>
      <c r="E84" s="390" t="s">
        <v>223</v>
      </c>
      <c r="F84" s="402">
        <v>47</v>
      </c>
      <c r="G84" s="402"/>
      <c r="H84" s="390" t="s">
        <v>223</v>
      </c>
      <c r="I84" s="503">
        <f t="shared" si="9"/>
        <v>11109</v>
      </c>
      <c r="J84" s="399">
        <v>288</v>
      </c>
      <c r="K84" s="397" t="s">
        <v>223</v>
      </c>
      <c r="L84" s="401">
        <v>439</v>
      </c>
      <c r="M84" s="396" t="s">
        <v>223</v>
      </c>
      <c r="N84" s="502">
        <f>'[8]Ann Sumry'!AG11</f>
        <v>500</v>
      </c>
      <c r="O84" s="504">
        <f t="shared" si="11"/>
        <v>12336</v>
      </c>
      <c r="P84" s="404"/>
      <c r="Q84" s="505">
        <f t="shared" si="10"/>
        <v>12006.9</v>
      </c>
      <c r="R84" s="1126">
        <f t="shared" si="12"/>
        <v>196</v>
      </c>
      <c r="S84" s="398"/>
      <c r="T84" s="519">
        <f t="shared" ref="T84:T115" si="13">RANK(D84,$D$84:$D$134)</f>
        <v>44</v>
      </c>
      <c r="U84" s="398"/>
    </row>
    <row r="85" spans="1:21">
      <c r="A85" s="377">
        <v>1967</v>
      </c>
      <c r="B85" s="386">
        <v>10307</v>
      </c>
      <c r="C85" s="386">
        <v>13</v>
      </c>
      <c r="D85" s="503">
        <f t="shared" si="8"/>
        <v>10320</v>
      </c>
      <c r="E85" s="390" t="s">
        <v>223</v>
      </c>
      <c r="F85" s="402">
        <v>83</v>
      </c>
      <c r="G85" s="402"/>
      <c r="H85" s="390" t="s">
        <v>223</v>
      </c>
      <c r="I85" s="503">
        <f t="shared" si="9"/>
        <v>10403</v>
      </c>
      <c r="J85" s="399">
        <v>345</v>
      </c>
      <c r="K85" s="397" t="s">
        <v>223</v>
      </c>
      <c r="L85" s="401">
        <v>223</v>
      </c>
      <c r="M85" s="396" t="s">
        <v>223</v>
      </c>
      <c r="N85" s="502">
        <f>'[8]Ann Sumry'!AG12</f>
        <v>500</v>
      </c>
      <c r="O85" s="504">
        <f t="shared" si="11"/>
        <v>11471</v>
      </c>
      <c r="P85" s="404"/>
      <c r="Q85" s="505">
        <f t="shared" si="10"/>
        <v>12006.9</v>
      </c>
      <c r="R85" s="1126">
        <f t="shared" si="12"/>
        <v>196</v>
      </c>
      <c r="S85" s="398"/>
      <c r="T85" s="519">
        <f t="shared" si="13"/>
        <v>45</v>
      </c>
      <c r="U85" s="398"/>
    </row>
    <row r="86" spans="1:21">
      <c r="A86" s="377">
        <v>1968</v>
      </c>
      <c r="B86" s="386">
        <v>8960</v>
      </c>
      <c r="C86" s="386">
        <v>10</v>
      </c>
      <c r="D86" s="503">
        <f t="shared" si="8"/>
        <v>8970</v>
      </c>
      <c r="E86" s="390" t="s">
        <v>223</v>
      </c>
      <c r="F86" s="402">
        <v>11</v>
      </c>
      <c r="G86" s="402"/>
      <c r="H86" s="390" t="s">
        <v>223</v>
      </c>
      <c r="I86" s="503">
        <f t="shared" si="9"/>
        <v>8981</v>
      </c>
      <c r="J86" s="399">
        <v>512</v>
      </c>
      <c r="K86" s="397" t="s">
        <v>223</v>
      </c>
      <c r="L86" s="401">
        <v>411</v>
      </c>
      <c r="M86" s="396" t="s">
        <v>223</v>
      </c>
      <c r="N86" s="502">
        <f>'[8]Ann Sumry'!AG13</f>
        <v>500</v>
      </c>
      <c r="O86" s="504">
        <f t="shared" si="11"/>
        <v>10404</v>
      </c>
      <c r="P86" s="404"/>
      <c r="Q86" s="505">
        <f t="shared" si="10"/>
        <v>12006.9</v>
      </c>
      <c r="R86" s="1126">
        <f t="shared" si="12"/>
        <v>196</v>
      </c>
      <c r="S86" s="398"/>
      <c r="T86" s="519">
        <f t="shared" si="13"/>
        <v>49</v>
      </c>
      <c r="U86" s="398"/>
    </row>
    <row r="87" spans="1:21">
      <c r="A87" s="377">
        <v>1969</v>
      </c>
      <c r="B87" s="386">
        <v>14299</v>
      </c>
      <c r="C87" s="386">
        <v>44</v>
      </c>
      <c r="D87" s="503">
        <f t="shared" si="8"/>
        <v>14343</v>
      </c>
      <c r="E87" s="390" t="s">
        <v>223</v>
      </c>
      <c r="F87" s="402">
        <v>16</v>
      </c>
      <c r="G87" s="402"/>
      <c r="H87" s="390" t="s">
        <v>223</v>
      </c>
      <c r="I87" s="503">
        <f t="shared" si="9"/>
        <v>14359</v>
      </c>
      <c r="J87" s="399">
        <v>572</v>
      </c>
      <c r="K87" s="397" t="s">
        <v>223</v>
      </c>
      <c r="L87" s="401">
        <v>297</v>
      </c>
      <c r="M87" s="396" t="s">
        <v>223</v>
      </c>
      <c r="N87" s="502">
        <f>'[8]Ann Sumry'!AG14</f>
        <v>500</v>
      </c>
      <c r="O87" s="504">
        <f t="shared" si="11"/>
        <v>15728</v>
      </c>
      <c r="P87" s="404"/>
      <c r="Q87" s="505">
        <f t="shared" si="10"/>
        <v>12006.9</v>
      </c>
      <c r="R87" s="1126">
        <f t="shared" si="12"/>
        <v>196</v>
      </c>
      <c r="S87" s="398"/>
      <c r="T87" s="519">
        <f t="shared" si="13"/>
        <v>40</v>
      </c>
      <c r="U87" s="398"/>
    </row>
    <row r="88" spans="1:21">
      <c r="A88" s="377">
        <v>1970</v>
      </c>
      <c r="B88" s="386">
        <v>19346</v>
      </c>
      <c r="C88" s="386">
        <v>26</v>
      </c>
      <c r="D88" s="503">
        <f t="shared" si="8"/>
        <v>19372</v>
      </c>
      <c r="E88" s="390" t="s">
        <v>223</v>
      </c>
      <c r="F88" s="402">
        <v>66</v>
      </c>
      <c r="G88" s="402"/>
      <c r="H88" s="390" t="s">
        <v>223</v>
      </c>
      <c r="I88" s="503">
        <f t="shared" si="9"/>
        <v>19438</v>
      </c>
      <c r="J88" s="399">
        <v>422</v>
      </c>
      <c r="K88" s="397" t="s">
        <v>223</v>
      </c>
      <c r="L88" s="401">
        <v>128</v>
      </c>
      <c r="M88" s="396" t="s">
        <v>223</v>
      </c>
      <c r="N88" s="502">
        <f>'[8]Ann Sumry'!AG15</f>
        <v>600</v>
      </c>
      <c r="O88" s="504">
        <f t="shared" si="11"/>
        <v>20588</v>
      </c>
      <c r="P88" s="387"/>
      <c r="Q88" s="505">
        <f t="shared" si="10"/>
        <v>21656.2</v>
      </c>
      <c r="R88" s="1126">
        <f t="shared" si="12"/>
        <v>197</v>
      </c>
      <c r="S88" s="398"/>
      <c r="T88" s="519">
        <f t="shared" si="13"/>
        <v>35</v>
      </c>
      <c r="U88" s="398"/>
    </row>
    <row r="89" spans="1:21">
      <c r="A89" s="377">
        <v>1971</v>
      </c>
      <c r="B89" s="386">
        <v>16486</v>
      </c>
      <c r="C89" s="386">
        <v>105</v>
      </c>
      <c r="D89" s="503">
        <f t="shared" si="8"/>
        <v>16591</v>
      </c>
      <c r="E89" s="390" t="s">
        <v>223</v>
      </c>
      <c r="F89" s="390">
        <v>10</v>
      </c>
      <c r="G89" s="390"/>
      <c r="H89" s="390" t="s">
        <v>223</v>
      </c>
      <c r="I89" s="503">
        <f t="shared" si="9"/>
        <v>16601</v>
      </c>
      <c r="J89" s="399">
        <v>1367</v>
      </c>
      <c r="K89" s="397" t="s">
        <v>223</v>
      </c>
      <c r="L89" s="401">
        <v>383</v>
      </c>
      <c r="M89" s="396" t="s">
        <v>223</v>
      </c>
      <c r="N89" s="502">
        <f>'[8]Ann Sumry'!AG16</f>
        <v>600</v>
      </c>
      <c r="O89" s="504">
        <f t="shared" si="11"/>
        <v>18951</v>
      </c>
      <c r="P89" s="387"/>
      <c r="Q89" s="505">
        <f t="shared" si="10"/>
        <v>21656.2</v>
      </c>
      <c r="R89" s="1126">
        <f t="shared" si="12"/>
        <v>197</v>
      </c>
      <c r="S89" s="398"/>
      <c r="T89" s="519">
        <f t="shared" si="13"/>
        <v>39</v>
      </c>
      <c r="U89" s="398"/>
    </row>
    <row r="90" spans="1:21">
      <c r="A90" s="377">
        <v>1972</v>
      </c>
      <c r="B90" s="386">
        <v>22250</v>
      </c>
      <c r="C90" s="386">
        <v>107</v>
      </c>
      <c r="D90" s="503">
        <f t="shared" si="8"/>
        <v>22357</v>
      </c>
      <c r="E90" s="390" t="s">
        <v>223</v>
      </c>
      <c r="F90" s="390">
        <v>149</v>
      </c>
      <c r="G90" s="390"/>
      <c r="H90" s="390" t="s">
        <v>223</v>
      </c>
      <c r="I90" s="503">
        <f t="shared" si="9"/>
        <v>22506</v>
      </c>
      <c r="J90" s="399">
        <v>1412</v>
      </c>
      <c r="K90" s="397" t="s">
        <v>223</v>
      </c>
      <c r="L90" s="401">
        <v>385</v>
      </c>
      <c r="M90" s="396" t="s">
        <v>223</v>
      </c>
      <c r="N90" s="502">
        <f>'[8]Ann Sumry'!AG17</f>
        <v>750</v>
      </c>
      <c r="O90" s="504">
        <f t="shared" si="11"/>
        <v>25053</v>
      </c>
      <c r="P90" s="387"/>
      <c r="Q90" s="505">
        <f t="shared" si="10"/>
        <v>21656.2</v>
      </c>
      <c r="R90" s="1126">
        <f t="shared" si="12"/>
        <v>197</v>
      </c>
      <c r="S90" s="398"/>
      <c r="T90" s="519">
        <f t="shared" si="13"/>
        <v>29</v>
      </c>
      <c r="U90" s="398"/>
    </row>
    <row r="91" spans="1:21">
      <c r="A91" s="377">
        <v>1973</v>
      </c>
      <c r="B91" s="386">
        <v>19915</v>
      </c>
      <c r="C91" s="386">
        <v>285</v>
      </c>
      <c r="D91" s="503">
        <f t="shared" si="8"/>
        <v>20200</v>
      </c>
      <c r="E91" s="390" t="s">
        <v>223</v>
      </c>
      <c r="F91" s="390">
        <v>153</v>
      </c>
      <c r="G91" s="390"/>
      <c r="H91" s="390" t="s">
        <v>223</v>
      </c>
      <c r="I91" s="503">
        <f t="shared" si="9"/>
        <v>20353</v>
      </c>
      <c r="J91" s="399">
        <v>1312</v>
      </c>
      <c r="K91" s="397" t="s">
        <v>223</v>
      </c>
      <c r="L91" s="401">
        <v>703</v>
      </c>
      <c r="M91" s="396" t="s">
        <v>223</v>
      </c>
      <c r="N91" s="502">
        <f>'[8]Ann Sumry'!AG18</f>
        <v>850</v>
      </c>
      <c r="O91" s="504">
        <f t="shared" si="11"/>
        <v>23218</v>
      </c>
      <c r="P91" s="387"/>
      <c r="Q91" s="505">
        <f t="shared" si="10"/>
        <v>21656.2</v>
      </c>
      <c r="R91" s="1126">
        <f t="shared" si="12"/>
        <v>197</v>
      </c>
      <c r="S91" s="398"/>
      <c r="T91" s="519">
        <f t="shared" si="13"/>
        <v>33</v>
      </c>
      <c r="U91" s="398"/>
    </row>
    <row r="92" spans="1:21">
      <c r="A92" s="377">
        <v>1974</v>
      </c>
      <c r="B92" s="386">
        <v>18980</v>
      </c>
      <c r="C92" s="386">
        <v>32</v>
      </c>
      <c r="D92" s="503">
        <f t="shared" si="8"/>
        <v>19012</v>
      </c>
      <c r="E92" s="390" t="s">
        <v>223</v>
      </c>
      <c r="F92" s="390">
        <v>5</v>
      </c>
      <c r="G92" s="390"/>
      <c r="H92" s="390" t="s">
        <v>223</v>
      </c>
      <c r="I92" s="503">
        <f t="shared" si="9"/>
        <v>19017</v>
      </c>
      <c r="J92" s="399">
        <v>896</v>
      </c>
      <c r="K92" s="397" t="s">
        <v>223</v>
      </c>
      <c r="L92" s="401">
        <v>400</v>
      </c>
      <c r="M92" s="396" t="s">
        <v>223</v>
      </c>
      <c r="N92" s="502">
        <f>'[8]Ann Sumry'!AG19</f>
        <v>900</v>
      </c>
      <c r="O92" s="504">
        <f t="shared" si="11"/>
        <v>21213</v>
      </c>
      <c r="P92" s="387"/>
      <c r="Q92" s="505">
        <f t="shared" si="10"/>
        <v>21656.2</v>
      </c>
      <c r="R92" s="1126">
        <f t="shared" si="12"/>
        <v>197</v>
      </c>
      <c r="S92" s="398"/>
      <c r="T92" s="519">
        <f t="shared" si="13"/>
        <v>36</v>
      </c>
      <c r="U92" s="398"/>
    </row>
    <row r="93" spans="1:21">
      <c r="A93" s="377">
        <v>1975</v>
      </c>
      <c r="B93" s="386">
        <v>19644</v>
      </c>
      <c r="C93" s="386">
        <v>162</v>
      </c>
      <c r="D93" s="503">
        <f t="shared" si="8"/>
        <v>19806</v>
      </c>
      <c r="E93" s="390" t="s">
        <v>223</v>
      </c>
      <c r="F93" s="390">
        <v>0</v>
      </c>
      <c r="G93" s="390"/>
      <c r="H93" s="390" t="s">
        <v>223</v>
      </c>
      <c r="I93" s="503">
        <f t="shared" si="9"/>
        <v>19806</v>
      </c>
      <c r="J93" s="399">
        <v>1005</v>
      </c>
      <c r="K93" s="397" t="s">
        <v>223</v>
      </c>
      <c r="L93" s="401">
        <v>973</v>
      </c>
      <c r="M93" s="396" t="s">
        <v>223</v>
      </c>
      <c r="N93" s="502">
        <f>'[8]Ann Sumry'!AG20</f>
        <v>750</v>
      </c>
      <c r="O93" s="504">
        <f t="shared" si="11"/>
        <v>22534</v>
      </c>
      <c r="P93" s="387"/>
      <c r="Q93" s="505">
        <f t="shared" si="10"/>
        <v>21656.2</v>
      </c>
      <c r="R93" s="1126">
        <f t="shared" si="12"/>
        <v>197</v>
      </c>
      <c r="S93" s="398"/>
      <c r="T93" s="519">
        <f t="shared" si="13"/>
        <v>34</v>
      </c>
      <c r="U93" s="398"/>
    </row>
    <row r="94" spans="1:21">
      <c r="A94" s="377">
        <v>1976</v>
      </c>
      <c r="B94" s="386">
        <v>31479</v>
      </c>
      <c r="C94" s="386">
        <v>228</v>
      </c>
      <c r="D94" s="503">
        <f t="shared" si="8"/>
        <v>31707</v>
      </c>
      <c r="E94" s="390" t="s">
        <v>223</v>
      </c>
      <c r="F94" s="390">
        <v>1</v>
      </c>
      <c r="G94" s="390"/>
      <c r="H94" s="390" t="s">
        <v>223</v>
      </c>
      <c r="I94" s="503">
        <f t="shared" si="9"/>
        <v>31708</v>
      </c>
      <c r="J94" s="399">
        <v>1279</v>
      </c>
      <c r="K94" s="397" t="s">
        <v>223</v>
      </c>
      <c r="L94" s="401">
        <v>1056</v>
      </c>
      <c r="M94" s="396" t="s">
        <v>223</v>
      </c>
      <c r="N94" s="502">
        <f>'[8]Ann Sumry'!AG21</f>
        <v>400</v>
      </c>
      <c r="O94" s="504">
        <f t="shared" si="11"/>
        <v>34443</v>
      </c>
      <c r="P94" s="387"/>
      <c r="Q94" s="505">
        <f t="shared" si="10"/>
        <v>21656.2</v>
      </c>
      <c r="R94" s="1126">
        <f t="shared" si="12"/>
        <v>197</v>
      </c>
      <c r="S94" s="398"/>
      <c r="T94" s="519">
        <f t="shared" si="13"/>
        <v>21</v>
      </c>
      <c r="U94" s="398"/>
    </row>
    <row r="95" spans="1:21">
      <c r="A95" s="377">
        <v>1977</v>
      </c>
      <c r="B95" s="386">
        <v>21722</v>
      </c>
      <c r="C95" s="386">
        <v>127</v>
      </c>
      <c r="D95" s="503">
        <f t="shared" si="8"/>
        <v>21849</v>
      </c>
      <c r="E95" s="390" t="s">
        <v>223</v>
      </c>
      <c r="F95" s="390">
        <v>10</v>
      </c>
      <c r="G95" s="390"/>
      <c r="H95" s="390" t="s">
        <v>223</v>
      </c>
      <c r="I95" s="503">
        <f t="shared" si="9"/>
        <v>21859</v>
      </c>
      <c r="J95" s="399">
        <v>1698</v>
      </c>
      <c r="K95" s="397" t="s">
        <v>223</v>
      </c>
      <c r="L95" s="399">
        <v>857</v>
      </c>
      <c r="M95" s="396" t="s">
        <v>223</v>
      </c>
      <c r="N95" s="400">
        <v>532</v>
      </c>
      <c r="O95" s="504">
        <f t="shared" si="11"/>
        <v>24946</v>
      </c>
      <c r="P95" s="387"/>
      <c r="Q95" s="505">
        <f t="shared" si="10"/>
        <v>21656.2</v>
      </c>
      <c r="R95" s="1126">
        <f t="shared" si="12"/>
        <v>197</v>
      </c>
      <c r="S95" s="398"/>
      <c r="T95" s="519">
        <f t="shared" si="13"/>
        <v>30</v>
      </c>
      <c r="U95" s="398"/>
    </row>
    <row r="96" spans="1:21">
      <c r="A96" s="377">
        <v>1978</v>
      </c>
      <c r="B96" s="391">
        <v>29062</v>
      </c>
      <c r="C96" s="386">
        <v>331</v>
      </c>
      <c r="D96" s="503">
        <f t="shared" si="8"/>
        <v>29393</v>
      </c>
      <c r="E96" s="390" t="s">
        <v>223</v>
      </c>
      <c r="F96" s="390">
        <v>37</v>
      </c>
      <c r="G96" s="390"/>
      <c r="H96" s="390" t="s">
        <v>223</v>
      </c>
      <c r="I96" s="503">
        <f t="shared" si="9"/>
        <v>29430</v>
      </c>
      <c r="J96" s="399">
        <v>1786</v>
      </c>
      <c r="K96" s="397" t="s">
        <v>223</v>
      </c>
      <c r="L96" s="399">
        <v>453</v>
      </c>
      <c r="M96" s="396" t="s">
        <v>223</v>
      </c>
      <c r="N96" s="399">
        <v>641</v>
      </c>
      <c r="O96" s="504">
        <f t="shared" si="11"/>
        <v>32310</v>
      </c>
      <c r="P96" s="387"/>
      <c r="Q96" s="505">
        <f t="shared" si="10"/>
        <v>21656.2</v>
      </c>
      <c r="R96" s="1126">
        <f t="shared" si="12"/>
        <v>197</v>
      </c>
      <c r="S96" s="398"/>
      <c r="T96" s="519">
        <f t="shared" si="13"/>
        <v>27</v>
      </c>
      <c r="U96" s="398"/>
    </row>
    <row r="97" spans="1:21">
      <c r="A97" s="377">
        <v>1979</v>
      </c>
      <c r="B97" s="391">
        <v>17678</v>
      </c>
      <c r="C97" s="386">
        <v>385</v>
      </c>
      <c r="D97" s="503">
        <f t="shared" si="8"/>
        <v>18063</v>
      </c>
      <c r="E97" s="390" t="s">
        <v>223</v>
      </c>
      <c r="F97" s="390">
        <v>45</v>
      </c>
      <c r="G97" s="390"/>
      <c r="H97" s="390" t="s">
        <v>223</v>
      </c>
      <c r="I97" s="503">
        <f t="shared" si="9"/>
        <v>18108</v>
      </c>
      <c r="J97" s="399">
        <v>1820</v>
      </c>
      <c r="K97" s="397" t="s">
        <v>223</v>
      </c>
      <c r="L97" s="399">
        <v>1596</v>
      </c>
      <c r="M97" s="396" t="s">
        <v>223</v>
      </c>
      <c r="N97" s="399">
        <v>2948</v>
      </c>
      <c r="O97" s="504">
        <f t="shared" si="11"/>
        <v>24472</v>
      </c>
      <c r="P97" s="387"/>
      <c r="Q97" s="505">
        <f t="shared" si="10"/>
        <v>21656.2</v>
      </c>
      <c r="R97" s="1126">
        <f t="shared" si="12"/>
        <v>197</v>
      </c>
      <c r="S97" s="398"/>
      <c r="T97" s="519">
        <f t="shared" si="13"/>
        <v>38</v>
      </c>
      <c r="U97" s="398"/>
    </row>
    <row r="98" spans="1:21">
      <c r="A98" s="377">
        <v>1980</v>
      </c>
      <c r="B98" s="391">
        <v>8454</v>
      </c>
      <c r="C98" s="386">
        <v>0</v>
      </c>
      <c r="D98" s="503">
        <f t="shared" si="8"/>
        <v>8454</v>
      </c>
      <c r="E98" s="390" t="s">
        <v>223</v>
      </c>
      <c r="F98" s="390">
        <v>19</v>
      </c>
      <c r="G98" s="390"/>
      <c r="H98" s="390" t="s">
        <v>223</v>
      </c>
      <c r="I98" s="503">
        <f t="shared" si="9"/>
        <v>8473</v>
      </c>
      <c r="J98" s="388">
        <v>2190</v>
      </c>
      <c r="K98" s="397" t="s">
        <v>223</v>
      </c>
      <c r="L98" s="388">
        <v>845</v>
      </c>
      <c r="M98" s="396" t="s">
        <v>223</v>
      </c>
      <c r="N98" s="388">
        <v>2101</v>
      </c>
      <c r="O98" s="504">
        <f t="shared" si="11"/>
        <v>13609</v>
      </c>
      <c r="P98" s="387"/>
      <c r="Q98" s="505">
        <f t="shared" si="10"/>
        <v>35306.9</v>
      </c>
      <c r="R98" s="1126">
        <f t="shared" si="12"/>
        <v>198</v>
      </c>
      <c r="S98" s="398"/>
      <c r="T98" s="519">
        <f t="shared" si="13"/>
        <v>51</v>
      </c>
      <c r="U98" s="398"/>
    </row>
    <row r="99" spans="1:21">
      <c r="A99" s="377">
        <v>1981</v>
      </c>
      <c r="B99" s="391">
        <v>20178</v>
      </c>
      <c r="C99" s="386">
        <v>200</v>
      </c>
      <c r="D99" s="503">
        <f t="shared" si="8"/>
        <v>20378</v>
      </c>
      <c r="E99" s="390" t="s">
        <v>223</v>
      </c>
      <c r="F99" s="390">
        <v>48</v>
      </c>
      <c r="G99" s="390"/>
      <c r="H99" s="390" t="s">
        <v>223</v>
      </c>
      <c r="I99" s="503">
        <f t="shared" si="9"/>
        <v>20426</v>
      </c>
      <c r="J99" s="388">
        <v>1824</v>
      </c>
      <c r="K99" s="397" t="s">
        <v>223</v>
      </c>
      <c r="L99" s="388">
        <v>585</v>
      </c>
      <c r="M99" s="396" t="s">
        <v>223</v>
      </c>
      <c r="N99" s="388">
        <v>1717</v>
      </c>
      <c r="O99" s="504">
        <f t="shared" si="11"/>
        <v>24552</v>
      </c>
      <c r="P99" s="387"/>
      <c r="Q99" s="505">
        <f t="shared" si="10"/>
        <v>35306.9</v>
      </c>
      <c r="R99" s="1126">
        <f t="shared" si="12"/>
        <v>198</v>
      </c>
      <c r="S99" s="398"/>
      <c r="T99" s="519">
        <f t="shared" si="13"/>
        <v>32</v>
      </c>
      <c r="U99" s="398"/>
    </row>
    <row r="100" spans="1:21">
      <c r="A100" s="377">
        <v>1982</v>
      </c>
      <c r="B100" s="391">
        <v>47362</v>
      </c>
      <c r="C100" s="386">
        <v>254</v>
      </c>
      <c r="D100" s="503">
        <f t="shared" si="8"/>
        <v>47616</v>
      </c>
      <c r="E100" s="390" t="s">
        <v>223</v>
      </c>
      <c r="F100" s="390">
        <v>60</v>
      </c>
      <c r="G100" s="390"/>
      <c r="H100" s="390" t="s">
        <v>223</v>
      </c>
      <c r="I100" s="503">
        <f t="shared" si="9"/>
        <v>47676</v>
      </c>
      <c r="J100" s="388">
        <v>2083</v>
      </c>
      <c r="K100" s="397" t="s">
        <v>223</v>
      </c>
      <c r="L100" s="388">
        <v>681</v>
      </c>
      <c r="M100" s="396" t="s">
        <v>223</v>
      </c>
      <c r="N100" s="388">
        <v>1802</v>
      </c>
      <c r="O100" s="504">
        <f t="shared" si="11"/>
        <v>52242</v>
      </c>
      <c r="P100" s="387"/>
      <c r="Q100" s="505">
        <f t="shared" si="10"/>
        <v>35306.9</v>
      </c>
      <c r="R100" s="1126">
        <f t="shared" si="12"/>
        <v>198</v>
      </c>
      <c r="S100" s="398"/>
      <c r="T100" s="519">
        <f t="shared" si="13"/>
        <v>8</v>
      </c>
      <c r="U100" s="398"/>
    </row>
    <row r="101" spans="1:21">
      <c r="A101" s="377">
        <v>1983</v>
      </c>
      <c r="B101" s="391">
        <v>52500</v>
      </c>
      <c r="C101" s="386">
        <v>610</v>
      </c>
      <c r="D101" s="503">
        <f t="shared" si="8"/>
        <v>53110</v>
      </c>
      <c r="E101" s="390" t="s">
        <v>223</v>
      </c>
      <c r="F101" s="390">
        <v>79</v>
      </c>
      <c r="G101" s="390"/>
      <c r="H101" s="390" t="s">
        <v>223</v>
      </c>
      <c r="I101" s="503">
        <f t="shared" si="9"/>
        <v>53189</v>
      </c>
      <c r="J101" s="388">
        <v>4675</v>
      </c>
      <c r="K101" s="397" t="s">
        <v>223</v>
      </c>
      <c r="L101" s="388">
        <v>1275</v>
      </c>
      <c r="M101" s="396" t="s">
        <v>223</v>
      </c>
      <c r="N101" s="388">
        <v>2579</v>
      </c>
      <c r="O101" s="504">
        <f t="shared" si="11"/>
        <v>61718</v>
      </c>
      <c r="P101" s="387"/>
      <c r="Q101" s="505">
        <f t="shared" si="10"/>
        <v>35306.9</v>
      </c>
      <c r="R101" s="1126">
        <f t="shared" si="12"/>
        <v>198</v>
      </c>
      <c r="S101" s="398"/>
      <c r="T101" s="519">
        <f t="shared" si="13"/>
        <v>5</v>
      </c>
      <c r="U101" s="398"/>
    </row>
    <row r="102" spans="1:21">
      <c r="A102" s="377">
        <v>1984</v>
      </c>
      <c r="B102" s="391">
        <v>38957</v>
      </c>
      <c r="C102" s="386">
        <v>330</v>
      </c>
      <c r="D102" s="503">
        <f t="shared" si="8"/>
        <v>39287</v>
      </c>
      <c r="E102" s="390" t="s">
        <v>223</v>
      </c>
      <c r="F102" s="390">
        <v>68</v>
      </c>
      <c r="G102" s="390"/>
      <c r="H102" s="390" t="s">
        <v>223</v>
      </c>
      <c r="I102" s="503">
        <f t="shared" si="9"/>
        <v>39355</v>
      </c>
      <c r="J102" s="388">
        <v>1760</v>
      </c>
      <c r="K102" s="397" t="s">
        <v>223</v>
      </c>
      <c r="L102" s="388">
        <v>509</v>
      </c>
      <c r="M102" s="396" t="s">
        <v>223</v>
      </c>
      <c r="N102" s="388">
        <v>2787</v>
      </c>
      <c r="O102" s="504">
        <f t="shared" si="11"/>
        <v>44411</v>
      </c>
      <c r="P102" s="387"/>
      <c r="Q102" s="505">
        <f t="shared" si="10"/>
        <v>35306.9</v>
      </c>
      <c r="R102" s="1126">
        <f t="shared" si="12"/>
        <v>198</v>
      </c>
      <c r="S102" s="398"/>
      <c r="T102" s="519">
        <f t="shared" si="13"/>
        <v>15</v>
      </c>
      <c r="U102" s="398"/>
    </row>
    <row r="103" spans="1:21">
      <c r="A103" s="377">
        <v>1985</v>
      </c>
      <c r="B103" s="391">
        <v>42214</v>
      </c>
      <c r="C103" s="386">
        <v>215</v>
      </c>
      <c r="D103" s="503">
        <f t="shared" si="8"/>
        <v>42429</v>
      </c>
      <c r="E103" s="390" t="s">
        <v>223</v>
      </c>
      <c r="F103" s="390">
        <v>88</v>
      </c>
      <c r="G103" s="390"/>
      <c r="H103" s="390" t="s">
        <v>223</v>
      </c>
      <c r="I103" s="503">
        <f t="shared" si="9"/>
        <v>42517</v>
      </c>
      <c r="J103" s="389">
        <v>1329</v>
      </c>
      <c r="K103" s="397" t="s">
        <v>223</v>
      </c>
      <c r="L103" s="388">
        <v>629</v>
      </c>
      <c r="M103" s="396" t="s">
        <v>223</v>
      </c>
      <c r="N103" s="388">
        <v>1939</v>
      </c>
      <c r="O103" s="504">
        <f t="shared" si="11"/>
        <v>46414</v>
      </c>
      <c r="P103" s="387"/>
      <c r="Q103" s="505">
        <f t="shared" si="10"/>
        <v>35306.9</v>
      </c>
      <c r="R103" s="1126">
        <f t="shared" si="12"/>
        <v>198</v>
      </c>
      <c r="S103" s="398"/>
      <c r="T103" s="519">
        <f t="shared" si="13"/>
        <v>10</v>
      </c>
      <c r="U103" s="398"/>
    </row>
    <row r="104" spans="1:21">
      <c r="A104" s="377">
        <v>1986</v>
      </c>
      <c r="B104" s="391">
        <v>40670</v>
      </c>
      <c r="C104" s="386">
        <v>128</v>
      </c>
      <c r="D104" s="503">
        <f t="shared" ref="D104:D133" si="14">SUM(B104:C104)</f>
        <v>40798</v>
      </c>
      <c r="E104" s="390" t="s">
        <v>223</v>
      </c>
      <c r="F104" s="390">
        <v>86</v>
      </c>
      <c r="G104" s="390"/>
      <c r="H104" s="390" t="s">
        <v>223</v>
      </c>
      <c r="I104" s="503">
        <f t="shared" ref="I104:I133" si="15">SUM(D104:H104)</f>
        <v>40884</v>
      </c>
      <c r="J104" s="389">
        <v>2367</v>
      </c>
      <c r="K104" s="397" t="s">
        <v>223</v>
      </c>
      <c r="L104" s="388">
        <v>686</v>
      </c>
      <c r="M104" s="396" t="s">
        <v>223</v>
      </c>
      <c r="N104" s="388">
        <v>3663</v>
      </c>
      <c r="O104" s="504">
        <f t="shared" si="11"/>
        <v>47600</v>
      </c>
      <c r="P104" s="387"/>
      <c r="Q104" s="505">
        <f t="shared" ref="Q104:Q135" si="16">AVERAGEIF($R$8:$R$134,$R104,$B$8:$B$134)</f>
        <v>35306.9</v>
      </c>
      <c r="R104" s="1126">
        <f t="shared" si="12"/>
        <v>198</v>
      </c>
      <c r="S104" s="398"/>
      <c r="T104" s="519">
        <f t="shared" si="13"/>
        <v>12</v>
      </c>
      <c r="U104" s="398"/>
    </row>
    <row r="105" spans="1:21">
      <c r="A105" s="377">
        <v>1987</v>
      </c>
      <c r="B105" s="704">
        <v>41130</v>
      </c>
      <c r="C105" s="704">
        <v>34</v>
      </c>
      <c r="D105" s="503">
        <f t="shared" si="14"/>
        <v>41164</v>
      </c>
      <c r="E105" s="390" t="s">
        <v>223</v>
      </c>
      <c r="F105" s="390">
        <v>49</v>
      </c>
      <c r="G105" s="390"/>
      <c r="H105" s="698" t="s">
        <v>223</v>
      </c>
      <c r="I105" s="503">
        <f t="shared" si="15"/>
        <v>41213</v>
      </c>
      <c r="J105" s="389">
        <v>2968</v>
      </c>
      <c r="K105" s="397" t="s">
        <v>223</v>
      </c>
      <c r="L105" s="388">
        <v>813</v>
      </c>
      <c r="M105" s="396" t="s">
        <v>223</v>
      </c>
      <c r="N105" s="388">
        <v>2301</v>
      </c>
      <c r="O105" s="504">
        <f t="shared" si="11"/>
        <v>47295</v>
      </c>
      <c r="P105" s="387"/>
      <c r="Q105" s="505">
        <f t="shared" si="16"/>
        <v>35306.9</v>
      </c>
      <c r="R105" s="1126">
        <f t="shared" si="12"/>
        <v>198</v>
      </c>
      <c r="S105" s="398"/>
      <c r="T105" s="519">
        <f t="shared" si="13"/>
        <v>11</v>
      </c>
      <c r="U105" s="398"/>
    </row>
    <row r="106" spans="1:21">
      <c r="A106" s="377">
        <v>1988</v>
      </c>
      <c r="B106" s="697">
        <v>30741</v>
      </c>
      <c r="C106" s="718">
        <v>19</v>
      </c>
      <c r="D106" s="503">
        <f t="shared" si="14"/>
        <v>30760</v>
      </c>
      <c r="E106" s="390" t="s">
        <v>223</v>
      </c>
      <c r="F106" s="390">
        <v>59</v>
      </c>
      <c r="G106" s="390"/>
      <c r="H106" s="396" t="s">
        <v>223</v>
      </c>
      <c r="I106" s="503">
        <f t="shared" si="15"/>
        <v>30819</v>
      </c>
      <c r="J106" s="389">
        <v>2994</v>
      </c>
      <c r="K106" s="397" t="s">
        <v>223</v>
      </c>
      <c r="L106" s="388">
        <v>992</v>
      </c>
      <c r="M106" s="396" t="s">
        <v>223</v>
      </c>
      <c r="N106" s="388">
        <v>1562</v>
      </c>
      <c r="O106" s="504">
        <f t="shared" si="11"/>
        <v>36367</v>
      </c>
      <c r="P106" s="387"/>
      <c r="Q106" s="505">
        <f t="shared" si="16"/>
        <v>35306.9</v>
      </c>
      <c r="R106" s="1126">
        <f t="shared" si="12"/>
        <v>198</v>
      </c>
      <c r="S106" s="398"/>
      <c r="T106" s="519">
        <f t="shared" si="13"/>
        <v>24</v>
      </c>
      <c r="U106" s="398"/>
    </row>
    <row r="107" spans="1:21">
      <c r="A107" s="377">
        <v>1989</v>
      </c>
      <c r="B107" s="697">
        <v>30863</v>
      </c>
      <c r="C107" s="718">
        <v>30</v>
      </c>
      <c r="D107" s="503">
        <f t="shared" si="14"/>
        <v>30893</v>
      </c>
      <c r="E107" s="390" t="s">
        <v>223</v>
      </c>
      <c r="F107" s="390">
        <v>56</v>
      </c>
      <c r="G107" s="390"/>
      <c r="H107" s="396">
        <v>10</v>
      </c>
      <c r="I107" s="503">
        <f t="shared" si="15"/>
        <v>30959</v>
      </c>
      <c r="J107" s="389">
        <v>2251</v>
      </c>
      <c r="K107" s="397" t="s">
        <v>223</v>
      </c>
      <c r="L107" s="388">
        <v>787</v>
      </c>
      <c r="M107" s="396" t="s">
        <v>223</v>
      </c>
      <c r="N107" s="388">
        <v>2356</v>
      </c>
      <c r="O107" s="504">
        <f t="shared" si="11"/>
        <v>36353</v>
      </c>
      <c r="P107" s="387"/>
      <c r="Q107" s="505">
        <f t="shared" si="16"/>
        <v>35306.9</v>
      </c>
      <c r="R107" s="1126">
        <f t="shared" si="12"/>
        <v>198</v>
      </c>
      <c r="S107" s="398"/>
      <c r="T107" s="519">
        <f t="shared" si="13"/>
        <v>23</v>
      </c>
      <c r="U107" s="398"/>
    </row>
    <row r="108" spans="1:21">
      <c r="A108" s="377">
        <v>1990</v>
      </c>
      <c r="B108" s="697">
        <v>21704</v>
      </c>
      <c r="C108" s="718">
        <v>14</v>
      </c>
      <c r="D108" s="503">
        <f t="shared" si="14"/>
        <v>21718</v>
      </c>
      <c r="E108" s="390" t="s">
        <v>223</v>
      </c>
      <c r="F108" s="390">
        <v>60</v>
      </c>
      <c r="G108" s="390"/>
      <c r="H108" s="699">
        <v>32</v>
      </c>
      <c r="I108" s="503">
        <f t="shared" si="15"/>
        <v>21810</v>
      </c>
      <c r="J108" s="389">
        <v>2708</v>
      </c>
      <c r="K108" s="397" t="s">
        <v>223</v>
      </c>
      <c r="L108" s="388">
        <v>647</v>
      </c>
      <c r="M108" s="396" t="s">
        <v>223</v>
      </c>
      <c r="N108" s="388">
        <v>2302</v>
      </c>
      <c r="O108" s="504">
        <f t="shared" si="11"/>
        <v>27467</v>
      </c>
      <c r="P108" s="387"/>
      <c r="Q108" s="505">
        <f t="shared" si="16"/>
        <v>47705.7</v>
      </c>
      <c r="R108" s="1126">
        <f t="shared" si="12"/>
        <v>199</v>
      </c>
      <c r="S108" s="398"/>
      <c r="T108" s="519">
        <f t="shared" si="13"/>
        <v>31</v>
      </c>
      <c r="U108" s="398"/>
    </row>
    <row r="109" spans="1:21">
      <c r="A109" s="377">
        <v>1991</v>
      </c>
      <c r="B109" s="697">
        <v>34787</v>
      </c>
      <c r="C109" s="718">
        <v>28</v>
      </c>
      <c r="D109" s="503">
        <f t="shared" si="14"/>
        <v>34815</v>
      </c>
      <c r="E109" s="390" t="s">
        <v>223</v>
      </c>
      <c r="F109" s="390">
        <v>136</v>
      </c>
      <c r="G109" s="390"/>
      <c r="H109" s="699">
        <v>95</v>
      </c>
      <c r="I109" s="503">
        <f t="shared" si="15"/>
        <v>35046</v>
      </c>
      <c r="J109" s="389">
        <v>4056</v>
      </c>
      <c r="K109" s="397" t="s">
        <v>223</v>
      </c>
      <c r="L109" s="388">
        <v>1328</v>
      </c>
      <c r="M109" s="396" t="s">
        <v>223</v>
      </c>
      <c r="N109" s="388">
        <v>4884</v>
      </c>
      <c r="O109" s="504">
        <f t="shared" si="11"/>
        <v>45314</v>
      </c>
      <c r="P109" s="387"/>
      <c r="Q109" s="505">
        <f t="shared" si="16"/>
        <v>47705.7</v>
      </c>
      <c r="R109" s="1126">
        <f t="shared" si="12"/>
        <v>199</v>
      </c>
      <c r="S109" s="398"/>
      <c r="T109" s="519">
        <f t="shared" si="13"/>
        <v>20</v>
      </c>
      <c r="U109" s="398"/>
    </row>
    <row r="110" spans="1:21">
      <c r="A110" s="377">
        <v>1992</v>
      </c>
      <c r="B110" s="697">
        <v>39810</v>
      </c>
      <c r="C110" s="718">
        <v>21</v>
      </c>
      <c r="D110" s="503">
        <f t="shared" si="14"/>
        <v>39831</v>
      </c>
      <c r="E110" s="390" t="s">
        <v>223</v>
      </c>
      <c r="F110" s="390">
        <v>142</v>
      </c>
      <c r="G110" s="390"/>
      <c r="H110" s="396" t="s">
        <v>223</v>
      </c>
      <c r="I110" s="503">
        <f t="shared" si="15"/>
        <v>39973</v>
      </c>
      <c r="J110" s="389">
        <v>3405</v>
      </c>
      <c r="K110" s="397" t="s">
        <v>223</v>
      </c>
      <c r="L110" s="388">
        <v>1449</v>
      </c>
      <c r="M110" s="396" t="s">
        <v>223</v>
      </c>
      <c r="N110" s="388">
        <v>4412</v>
      </c>
      <c r="O110" s="504">
        <f t="shared" si="11"/>
        <v>49239</v>
      </c>
      <c r="P110" s="387"/>
      <c r="Q110" s="505">
        <f t="shared" si="16"/>
        <v>47705.7</v>
      </c>
      <c r="R110" s="1126">
        <f t="shared" si="12"/>
        <v>199</v>
      </c>
      <c r="S110" s="398"/>
      <c r="T110" s="519">
        <f t="shared" si="13"/>
        <v>13</v>
      </c>
      <c r="U110" s="398"/>
    </row>
    <row r="111" spans="1:21">
      <c r="A111" s="377">
        <v>1993</v>
      </c>
      <c r="B111" s="697">
        <v>29728</v>
      </c>
      <c r="C111" s="718">
        <v>130</v>
      </c>
      <c r="D111" s="503">
        <f t="shared" si="14"/>
        <v>29858</v>
      </c>
      <c r="E111" s="390" t="s">
        <v>223</v>
      </c>
      <c r="F111" s="390">
        <v>120</v>
      </c>
      <c r="G111" s="390"/>
      <c r="H111" s="396" t="s">
        <v>223</v>
      </c>
      <c r="I111" s="503">
        <f t="shared" si="15"/>
        <v>29978</v>
      </c>
      <c r="J111" s="389">
        <v>2846</v>
      </c>
      <c r="K111" s="397" t="s">
        <v>223</v>
      </c>
      <c r="L111" s="388">
        <v>1434</v>
      </c>
      <c r="M111" s="396" t="s">
        <v>223</v>
      </c>
      <c r="N111" s="388">
        <v>8217</v>
      </c>
      <c r="O111" s="504">
        <f t="shared" si="11"/>
        <v>42475</v>
      </c>
      <c r="P111" s="387"/>
      <c r="Q111" s="505">
        <f t="shared" si="16"/>
        <v>47705.7</v>
      </c>
      <c r="R111" s="1126">
        <f t="shared" si="12"/>
        <v>199</v>
      </c>
      <c r="S111" s="398"/>
      <c r="T111" s="519">
        <f t="shared" si="13"/>
        <v>26</v>
      </c>
      <c r="U111" s="398"/>
    </row>
    <row r="112" spans="1:21">
      <c r="A112" s="377">
        <v>1994</v>
      </c>
      <c r="B112" s="697">
        <v>47061</v>
      </c>
      <c r="C112" s="718">
        <v>121</v>
      </c>
      <c r="D112" s="503">
        <f t="shared" si="14"/>
        <v>47182</v>
      </c>
      <c r="E112" s="703">
        <v>751</v>
      </c>
      <c r="F112" s="390">
        <v>164</v>
      </c>
      <c r="G112" s="390"/>
      <c r="H112" s="396" t="s">
        <v>223</v>
      </c>
      <c r="I112" s="503">
        <f t="shared" si="15"/>
        <v>48097</v>
      </c>
      <c r="J112" s="389">
        <v>3743</v>
      </c>
      <c r="K112" s="397" t="s">
        <v>223</v>
      </c>
      <c r="L112" s="388">
        <v>1989</v>
      </c>
      <c r="M112" s="396" t="s">
        <v>223</v>
      </c>
      <c r="N112" s="388">
        <v>6431</v>
      </c>
      <c r="O112" s="504">
        <f t="shared" si="11"/>
        <v>60260</v>
      </c>
      <c r="P112" s="387"/>
      <c r="Q112" s="505">
        <f t="shared" si="16"/>
        <v>47705.7</v>
      </c>
      <c r="R112" s="1126">
        <f t="shared" si="12"/>
        <v>199</v>
      </c>
      <c r="S112" s="398"/>
      <c r="T112" s="519">
        <f t="shared" si="13"/>
        <v>9</v>
      </c>
      <c r="U112" s="398"/>
    </row>
    <row r="113" spans="1:21">
      <c r="A113" s="377">
        <v>1995</v>
      </c>
      <c r="B113" s="697">
        <v>65675</v>
      </c>
      <c r="C113" s="718">
        <v>44</v>
      </c>
      <c r="D113" s="503">
        <f t="shared" si="14"/>
        <v>65719</v>
      </c>
      <c r="E113" s="396">
        <v>1688</v>
      </c>
      <c r="F113" s="390">
        <v>154</v>
      </c>
      <c r="G113" s="390"/>
      <c r="H113" s="396" t="s">
        <v>223</v>
      </c>
      <c r="I113" s="503">
        <f t="shared" si="15"/>
        <v>67561</v>
      </c>
      <c r="J113" s="389">
        <v>4707</v>
      </c>
      <c r="K113" s="397" t="s">
        <v>223</v>
      </c>
      <c r="L113" s="388">
        <v>1892</v>
      </c>
      <c r="M113" s="396" t="s">
        <v>223</v>
      </c>
      <c r="N113" s="388">
        <v>6709</v>
      </c>
      <c r="O113" s="504">
        <f t="shared" si="11"/>
        <v>80869</v>
      </c>
      <c r="P113" s="387"/>
      <c r="Q113" s="505">
        <f t="shared" si="16"/>
        <v>47705.7</v>
      </c>
      <c r="R113" s="1126">
        <f t="shared" si="12"/>
        <v>199</v>
      </c>
      <c r="S113" s="398"/>
      <c r="T113" s="519">
        <f t="shared" si="13"/>
        <v>2</v>
      </c>
      <c r="U113" s="398"/>
    </row>
    <row r="114" spans="1:21">
      <c r="A114" s="377">
        <v>1996</v>
      </c>
      <c r="B114" s="697">
        <v>55653</v>
      </c>
      <c r="C114" s="718">
        <v>111</v>
      </c>
      <c r="D114" s="503">
        <f t="shared" si="14"/>
        <v>55764</v>
      </c>
      <c r="E114" s="396">
        <v>2169</v>
      </c>
      <c r="F114" s="390">
        <v>276</v>
      </c>
      <c r="G114" s="390"/>
      <c r="H114" s="396" t="s">
        <v>223</v>
      </c>
      <c r="I114" s="503">
        <f t="shared" si="15"/>
        <v>58209</v>
      </c>
      <c r="J114" s="389">
        <v>3584</v>
      </c>
      <c r="K114" s="397" t="s">
        <v>223</v>
      </c>
      <c r="L114" s="388">
        <v>1482</v>
      </c>
      <c r="M114" s="396" t="s">
        <v>223</v>
      </c>
      <c r="N114" s="388">
        <v>9116</v>
      </c>
      <c r="O114" s="504">
        <f t="shared" si="11"/>
        <v>72391</v>
      </c>
      <c r="P114" s="387"/>
      <c r="Q114" s="505">
        <f t="shared" si="16"/>
        <v>47705.7</v>
      </c>
      <c r="R114" s="1126">
        <f t="shared" si="12"/>
        <v>199</v>
      </c>
      <c r="S114" s="398"/>
      <c r="T114" s="519">
        <f t="shared" si="13"/>
        <v>4</v>
      </c>
      <c r="U114" s="398"/>
    </row>
    <row r="115" spans="1:21">
      <c r="A115" s="377">
        <v>1997</v>
      </c>
      <c r="B115" s="697">
        <v>51273</v>
      </c>
      <c r="C115" s="718">
        <v>23</v>
      </c>
      <c r="D115" s="503">
        <f t="shared" si="14"/>
        <v>51296</v>
      </c>
      <c r="E115" s="396">
        <v>1243</v>
      </c>
      <c r="F115" s="390">
        <v>200</v>
      </c>
      <c r="G115" s="390"/>
      <c r="H115" s="396" t="s">
        <v>223</v>
      </c>
      <c r="I115" s="503">
        <f t="shared" si="15"/>
        <v>52739</v>
      </c>
      <c r="J115" s="389">
        <v>5447</v>
      </c>
      <c r="K115" s="397" t="s">
        <v>223</v>
      </c>
      <c r="L115" s="388">
        <v>2583</v>
      </c>
      <c r="M115" s="396" t="s">
        <v>223</v>
      </c>
      <c r="N115" s="388">
        <v>8346</v>
      </c>
      <c r="O115" s="504">
        <f t="shared" si="11"/>
        <v>69115</v>
      </c>
      <c r="P115" s="387"/>
      <c r="Q115" s="505">
        <f t="shared" si="16"/>
        <v>47705.7</v>
      </c>
      <c r="R115" s="1126">
        <f t="shared" si="12"/>
        <v>199</v>
      </c>
      <c r="S115" s="398"/>
      <c r="T115" s="519">
        <f t="shared" si="13"/>
        <v>6</v>
      </c>
      <c r="U115" s="398"/>
    </row>
    <row r="116" spans="1:21">
      <c r="A116" s="377">
        <v>1998</v>
      </c>
      <c r="B116" s="697">
        <v>69015</v>
      </c>
      <c r="C116" s="718">
        <v>70</v>
      </c>
      <c r="D116" s="503">
        <f t="shared" si="14"/>
        <v>69085</v>
      </c>
      <c r="E116" s="396">
        <v>1411</v>
      </c>
      <c r="F116" s="390">
        <v>295</v>
      </c>
      <c r="G116" s="390"/>
      <c r="H116" s="396" t="s">
        <v>223</v>
      </c>
      <c r="I116" s="503">
        <f t="shared" si="15"/>
        <v>70791</v>
      </c>
      <c r="J116" s="389">
        <v>6723</v>
      </c>
      <c r="K116" s="397" t="s">
        <v>223</v>
      </c>
      <c r="L116" s="388">
        <v>1842</v>
      </c>
      <c r="M116" s="396" t="s">
        <v>223</v>
      </c>
      <c r="N116" s="388">
        <v>8245</v>
      </c>
      <c r="O116" s="504">
        <f t="shared" si="11"/>
        <v>87601</v>
      </c>
      <c r="P116" s="387"/>
      <c r="Q116" s="505">
        <f t="shared" si="16"/>
        <v>47705.7</v>
      </c>
      <c r="R116" s="1126">
        <f t="shared" si="12"/>
        <v>199</v>
      </c>
      <c r="S116" s="398"/>
      <c r="T116" s="519">
        <f t="shared" ref="T116:T136" si="17">RANK(D116,$D$84:$D$134)</f>
        <v>1</v>
      </c>
      <c r="U116" s="398"/>
    </row>
    <row r="117" spans="1:21">
      <c r="A117" s="377">
        <v>1999</v>
      </c>
      <c r="B117" s="697">
        <v>62351</v>
      </c>
      <c r="C117" s="718">
        <v>42</v>
      </c>
      <c r="D117" s="503">
        <f t="shared" si="14"/>
        <v>62393</v>
      </c>
      <c r="E117" s="396">
        <v>1115</v>
      </c>
      <c r="F117" s="390">
        <v>353</v>
      </c>
      <c r="G117" s="390"/>
      <c r="H117" s="396" t="s">
        <v>223</v>
      </c>
      <c r="I117" s="503">
        <f t="shared" si="15"/>
        <v>63861</v>
      </c>
      <c r="J117" s="389">
        <v>5913</v>
      </c>
      <c r="K117" s="397"/>
      <c r="L117" s="388">
        <v>3278</v>
      </c>
      <c r="M117" s="396"/>
      <c r="N117" s="388">
        <v>6742</v>
      </c>
      <c r="O117" s="504">
        <f t="shared" si="11"/>
        <v>79794</v>
      </c>
      <c r="P117" s="387"/>
      <c r="Q117" s="505">
        <f t="shared" si="16"/>
        <v>47705.7</v>
      </c>
      <c r="R117" s="1126">
        <f t="shared" si="12"/>
        <v>199</v>
      </c>
      <c r="S117" s="398"/>
      <c r="T117" s="519">
        <f t="shared" si="17"/>
        <v>3</v>
      </c>
      <c r="U117" s="398"/>
    </row>
    <row r="118" spans="1:21">
      <c r="A118" s="377">
        <v>2000</v>
      </c>
      <c r="B118" s="697">
        <v>31273</v>
      </c>
      <c r="C118" s="718">
        <v>5</v>
      </c>
      <c r="D118" s="503">
        <f t="shared" si="14"/>
        <v>31278</v>
      </c>
      <c r="E118" s="396">
        <v>740</v>
      </c>
      <c r="F118" s="390">
        <v>689</v>
      </c>
      <c r="G118" s="390"/>
      <c r="H118" s="396" t="s">
        <v>223</v>
      </c>
      <c r="I118" s="503">
        <f t="shared" si="15"/>
        <v>32707</v>
      </c>
      <c r="J118" s="389">
        <v>3168</v>
      </c>
      <c r="K118" s="397"/>
      <c r="L118" s="388">
        <v>4856</v>
      </c>
      <c r="M118" s="396"/>
      <c r="N118" s="388">
        <v>5531</v>
      </c>
      <c r="O118" s="504">
        <f t="shared" si="11"/>
        <v>46262</v>
      </c>
      <c r="P118" s="387"/>
      <c r="Q118" s="505">
        <f t="shared" si="16"/>
        <v>32042.9</v>
      </c>
      <c r="R118" s="1126">
        <f t="shared" si="12"/>
        <v>200</v>
      </c>
      <c r="T118" s="519">
        <f t="shared" si="17"/>
        <v>22</v>
      </c>
      <c r="U118" s="398"/>
    </row>
    <row r="119" spans="1:21">
      <c r="A119" s="377">
        <v>2001</v>
      </c>
      <c r="B119" s="697">
        <v>39524</v>
      </c>
      <c r="C119" s="718">
        <v>76</v>
      </c>
      <c r="D119" s="503">
        <f t="shared" si="14"/>
        <v>39600</v>
      </c>
      <c r="E119" s="396">
        <v>935</v>
      </c>
      <c r="F119" s="390">
        <v>826</v>
      </c>
      <c r="G119" s="390"/>
      <c r="H119" s="396" t="s">
        <v>223</v>
      </c>
      <c r="I119" s="503">
        <f t="shared" si="15"/>
        <v>41361</v>
      </c>
      <c r="J119" s="389">
        <v>3113</v>
      </c>
      <c r="K119" s="397"/>
      <c r="L119" s="388">
        <v>3553</v>
      </c>
      <c r="M119" s="396"/>
      <c r="N119" s="388">
        <v>4904</v>
      </c>
      <c r="O119" s="504">
        <f t="shared" si="11"/>
        <v>52931</v>
      </c>
      <c r="P119" s="387"/>
      <c r="Q119" s="505">
        <f t="shared" si="16"/>
        <v>32042.9</v>
      </c>
      <c r="R119" s="1126">
        <f t="shared" si="12"/>
        <v>200</v>
      </c>
      <c r="S119" s="561"/>
      <c r="T119" s="519">
        <f t="shared" si="17"/>
        <v>14</v>
      </c>
      <c r="U119" s="398"/>
    </row>
    <row r="120" spans="1:21">
      <c r="A120" s="377">
        <v>2002</v>
      </c>
      <c r="B120" s="697">
        <v>38740</v>
      </c>
      <c r="C120" s="718">
        <v>14</v>
      </c>
      <c r="D120" s="503">
        <f t="shared" si="14"/>
        <v>38754</v>
      </c>
      <c r="E120" s="396">
        <v>773</v>
      </c>
      <c r="F120" s="390">
        <v>549</v>
      </c>
      <c r="G120" s="390"/>
      <c r="H120" s="396">
        <v>25</v>
      </c>
      <c r="I120" s="503">
        <f t="shared" si="15"/>
        <v>40101</v>
      </c>
      <c r="J120" s="389">
        <v>2023</v>
      </c>
      <c r="K120" s="711">
        <v>33</v>
      </c>
      <c r="L120" s="388">
        <v>3653</v>
      </c>
      <c r="M120" s="714">
        <v>564</v>
      </c>
      <c r="N120" s="388">
        <v>5098</v>
      </c>
      <c r="O120" s="504">
        <f t="shared" si="11"/>
        <v>51472</v>
      </c>
      <c r="P120" s="387"/>
      <c r="Q120" s="505">
        <f t="shared" si="16"/>
        <v>32042.9</v>
      </c>
      <c r="R120" s="1126">
        <f t="shared" si="12"/>
        <v>200</v>
      </c>
      <c r="S120" s="1070">
        <f>D120/O120</f>
        <v>0.75291420578178425</v>
      </c>
      <c r="T120" s="519">
        <f t="shared" si="17"/>
        <v>17</v>
      </c>
      <c r="U120" s="398"/>
    </row>
    <row r="121" spans="1:21">
      <c r="A121" s="377">
        <v>2003</v>
      </c>
      <c r="B121" s="697">
        <v>47774</v>
      </c>
      <c r="C121" s="718">
        <v>151</v>
      </c>
      <c r="D121" s="503">
        <f t="shared" si="14"/>
        <v>47925</v>
      </c>
      <c r="E121" s="396">
        <v>1073</v>
      </c>
      <c r="F121" s="390">
        <v>710</v>
      </c>
      <c r="G121" s="390"/>
      <c r="H121" s="396">
        <v>83</v>
      </c>
      <c r="I121" s="503">
        <f t="shared" si="15"/>
        <v>49791</v>
      </c>
      <c r="J121" s="389">
        <v>1903</v>
      </c>
      <c r="K121" s="395">
        <v>18</v>
      </c>
      <c r="L121" s="388">
        <v>2538</v>
      </c>
      <c r="M121" s="388">
        <v>554</v>
      </c>
      <c r="N121" s="388">
        <v>5717</v>
      </c>
      <c r="O121" s="504">
        <f t="shared" si="11"/>
        <v>60521</v>
      </c>
      <c r="P121" s="387"/>
      <c r="Q121" s="505">
        <f t="shared" si="16"/>
        <v>32042.9</v>
      </c>
      <c r="R121" s="1126">
        <f t="shared" si="12"/>
        <v>200</v>
      </c>
      <c r="S121" s="1071">
        <f t="shared" ref="S121:S133" si="18">D121/O121</f>
        <v>0.79187389501164884</v>
      </c>
      <c r="T121" s="519">
        <f t="shared" si="17"/>
        <v>7</v>
      </c>
      <c r="U121" s="398"/>
    </row>
    <row r="122" spans="1:21">
      <c r="A122" s="377">
        <v>2004</v>
      </c>
      <c r="B122" s="697">
        <v>38198</v>
      </c>
      <c r="C122" s="718">
        <v>87</v>
      </c>
      <c r="D122" s="503">
        <f t="shared" si="14"/>
        <v>38285</v>
      </c>
      <c r="E122" s="396">
        <v>539</v>
      </c>
      <c r="F122" s="703">
        <v>1111</v>
      </c>
      <c r="G122" s="390"/>
      <c r="H122" s="396">
        <v>67</v>
      </c>
      <c r="I122" s="503">
        <f t="shared" si="15"/>
        <v>40002</v>
      </c>
      <c r="J122" s="389">
        <v>2495</v>
      </c>
      <c r="K122" s="394">
        <v>7</v>
      </c>
      <c r="L122" s="388">
        <v>3346</v>
      </c>
      <c r="M122" s="393">
        <v>636</v>
      </c>
      <c r="N122" s="388">
        <v>3435</v>
      </c>
      <c r="O122" s="504">
        <f t="shared" si="11"/>
        <v>49921</v>
      </c>
      <c r="P122" s="387"/>
      <c r="Q122" s="505">
        <f t="shared" si="16"/>
        <v>32042.9</v>
      </c>
      <c r="R122" s="1126">
        <f t="shared" si="12"/>
        <v>200</v>
      </c>
      <c r="S122" s="1071">
        <f t="shared" si="18"/>
        <v>0.76691172051841905</v>
      </c>
      <c r="T122" s="519">
        <f t="shared" si="17"/>
        <v>18</v>
      </c>
      <c r="U122" s="398"/>
    </row>
    <row r="123" spans="1:21">
      <c r="A123" s="377">
        <v>2005</v>
      </c>
      <c r="B123" s="697">
        <v>34635</v>
      </c>
      <c r="C123" s="718">
        <v>277</v>
      </c>
      <c r="D123" s="503">
        <f t="shared" si="14"/>
        <v>34912</v>
      </c>
      <c r="E123" s="396">
        <v>760</v>
      </c>
      <c r="F123" s="396">
        <v>260</v>
      </c>
      <c r="G123" s="703">
        <v>0</v>
      </c>
      <c r="H123" s="396">
        <v>92</v>
      </c>
      <c r="I123" s="503">
        <f t="shared" si="15"/>
        <v>36024</v>
      </c>
      <c r="J123" s="389">
        <v>2043</v>
      </c>
      <c r="K123" s="710">
        <v>51</v>
      </c>
      <c r="L123" s="388">
        <v>2229</v>
      </c>
      <c r="M123" s="713">
        <v>389</v>
      </c>
      <c r="N123" s="388">
        <v>4093</v>
      </c>
      <c r="O123" s="504">
        <f t="shared" si="11"/>
        <v>44829</v>
      </c>
      <c r="P123" s="387"/>
      <c r="Q123" s="505">
        <f t="shared" si="16"/>
        <v>32042.9</v>
      </c>
      <c r="R123" s="1126">
        <f t="shared" si="12"/>
        <v>200</v>
      </c>
      <c r="S123" s="1071">
        <f t="shared" si="18"/>
        <v>0.77878159227285904</v>
      </c>
      <c r="T123" s="519">
        <f t="shared" si="17"/>
        <v>19</v>
      </c>
      <c r="U123" s="398"/>
    </row>
    <row r="124" spans="1:21">
      <c r="A124" s="377">
        <v>2006</v>
      </c>
      <c r="B124" s="697">
        <v>30281</v>
      </c>
      <c r="C124" s="718">
        <v>238</v>
      </c>
      <c r="D124" s="503">
        <f t="shared" si="14"/>
        <v>30519</v>
      </c>
      <c r="E124" s="396">
        <v>779</v>
      </c>
      <c r="F124" s="396">
        <v>779</v>
      </c>
      <c r="G124" s="396">
        <v>0</v>
      </c>
      <c r="H124" s="396">
        <v>11</v>
      </c>
      <c r="I124" s="503">
        <f t="shared" si="15"/>
        <v>32088</v>
      </c>
      <c r="J124" s="389">
        <v>2663</v>
      </c>
      <c r="K124" s="389">
        <v>18</v>
      </c>
      <c r="L124" s="388">
        <v>2769</v>
      </c>
      <c r="M124" s="392">
        <v>460</v>
      </c>
      <c r="N124" s="971">
        <v>3425</v>
      </c>
      <c r="O124" s="504">
        <f t="shared" si="11"/>
        <v>41423</v>
      </c>
      <c r="P124" s="387"/>
      <c r="Q124" s="505">
        <f t="shared" si="16"/>
        <v>32042.9</v>
      </c>
      <c r="R124" s="1126">
        <f t="shared" si="12"/>
        <v>200</v>
      </c>
      <c r="S124" s="1071">
        <f t="shared" si="18"/>
        <v>0.73676459937715766</v>
      </c>
      <c r="T124" s="519">
        <f t="shared" si="17"/>
        <v>25</v>
      </c>
      <c r="U124" s="398"/>
    </row>
    <row r="125" spans="1:21">
      <c r="A125" s="377">
        <v>2007</v>
      </c>
      <c r="B125" s="697">
        <v>39097</v>
      </c>
      <c r="C125" s="718">
        <v>88</v>
      </c>
      <c r="D125" s="503">
        <f t="shared" si="14"/>
        <v>39185</v>
      </c>
      <c r="E125" s="396">
        <v>1019</v>
      </c>
      <c r="F125" s="396">
        <v>1148</v>
      </c>
      <c r="G125" s="396">
        <v>0</v>
      </c>
      <c r="H125" s="396">
        <v>70</v>
      </c>
      <c r="I125" s="503">
        <f t="shared" si="15"/>
        <v>41422</v>
      </c>
      <c r="J125" s="389">
        <v>2694</v>
      </c>
      <c r="K125" s="389">
        <v>28</v>
      </c>
      <c r="L125" s="388">
        <v>3276</v>
      </c>
      <c r="M125" s="712">
        <v>663</v>
      </c>
      <c r="N125" s="388">
        <v>5113</v>
      </c>
      <c r="O125" s="504">
        <f t="shared" si="11"/>
        <v>53196</v>
      </c>
      <c r="P125" s="387"/>
      <c r="Q125" s="505">
        <f t="shared" si="16"/>
        <v>32042.9</v>
      </c>
      <c r="R125" s="1126">
        <f t="shared" si="12"/>
        <v>200</v>
      </c>
      <c r="S125" s="1071">
        <f t="shared" si="18"/>
        <v>0.73661553500263177</v>
      </c>
      <c r="T125" s="519">
        <f t="shared" si="17"/>
        <v>16</v>
      </c>
      <c r="U125" s="398"/>
    </row>
    <row r="126" spans="1:21">
      <c r="A126" s="377">
        <v>2008</v>
      </c>
      <c r="B126" s="697">
        <v>11450</v>
      </c>
      <c r="C126" s="718">
        <v>46</v>
      </c>
      <c r="D126" s="503">
        <f t="shared" si="14"/>
        <v>11496</v>
      </c>
      <c r="E126" s="700">
        <v>537</v>
      </c>
      <c r="F126" s="700">
        <v>470</v>
      </c>
      <c r="G126" s="700">
        <v>0</v>
      </c>
      <c r="H126" s="700">
        <v>47</v>
      </c>
      <c r="I126" s="503">
        <f t="shared" si="15"/>
        <v>12550</v>
      </c>
      <c r="J126" s="389">
        <v>1999</v>
      </c>
      <c r="K126" s="389">
        <v>23</v>
      </c>
      <c r="L126" s="388">
        <v>2381</v>
      </c>
      <c r="M126" s="712">
        <v>837</v>
      </c>
      <c r="N126" s="388">
        <v>3618</v>
      </c>
      <c r="O126" s="504">
        <f t="shared" si="11"/>
        <v>21408</v>
      </c>
      <c r="P126" s="384"/>
      <c r="Q126" s="505">
        <f t="shared" si="16"/>
        <v>32042.9</v>
      </c>
      <c r="R126" s="1126">
        <f t="shared" si="12"/>
        <v>200</v>
      </c>
      <c r="S126" s="1071">
        <f t="shared" si="18"/>
        <v>0.53699551569506732</v>
      </c>
      <c r="T126" s="519">
        <f t="shared" si="17"/>
        <v>43</v>
      </c>
      <c r="U126" s="398"/>
    </row>
    <row r="127" spans="1:21">
      <c r="A127" s="377">
        <v>2009</v>
      </c>
      <c r="B127" s="697">
        <v>9457</v>
      </c>
      <c r="C127" s="718">
        <v>15</v>
      </c>
      <c r="D127" s="503">
        <f t="shared" si="14"/>
        <v>9472</v>
      </c>
      <c r="E127" s="396">
        <v>872</v>
      </c>
      <c r="F127" s="705">
        <v>212</v>
      </c>
      <c r="G127" s="396">
        <v>0</v>
      </c>
      <c r="H127" s="396">
        <v>50</v>
      </c>
      <c r="I127" s="503">
        <f t="shared" si="15"/>
        <v>10606</v>
      </c>
      <c r="J127" s="389">
        <v>214</v>
      </c>
      <c r="K127" s="389">
        <v>9</v>
      </c>
      <c r="L127" s="388">
        <v>2493</v>
      </c>
      <c r="M127" s="712">
        <v>543</v>
      </c>
      <c r="N127" s="388">
        <v>1355</v>
      </c>
      <c r="O127" s="504">
        <f t="shared" si="11"/>
        <v>15220</v>
      </c>
      <c r="P127" s="387"/>
      <c r="Q127" s="505">
        <f t="shared" si="16"/>
        <v>32042.9</v>
      </c>
      <c r="R127" s="1126">
        <f t="shared" si="12"/>
        <v>200</v>
      </c>
      <c r="S127" s="1071">
        <f t="shared" si="18"/>
        <v>0.62233902759526938</v>
      </c>
      <c r="T127" s="519">
        <f t="shared" si="17"/>
        <v>48</v>
      </c>
      <c r="U127" s="398"/>
    </row>
    <row r="128" spans="1:21">
      <c r="A128" s="377">
        <v>2010</v>
      </c>
      <c r="B128" s="697">
        <v>9645</v>
      </c>
      <c r="C128" s="718">
        <v>0</v>
      </c>
      <c r="D128" s="503">
        <f t="shared" si="14"/>
        <v>9645</v>
      </c>
      <c r="E128" s="700">
        <v>906</v>
      </c>
      <c r="F128" s="706">
        <v>278</v>
      </c>
      <c r="G128" s="700">
        <v>0</v>
      </c>
      <c r="H128" s="700">
        <v>32</v>
      </c>
      <c r="I128" s="503">
        <f t="shared" si="15"/>
        <v>10861</v>
      </c>
      <c r="J128" s="389">
        <v>700</v>
      </c>
      <c r="K128" s="389">
        <v>18</v>
      </c>
      <c r="L128" s="388">
        <v>2099</v>
      </c>
      <c r="M128" s="712">
        <v>326</v>
      </c>
      <c r="N128" s="388">
        <v>2409</v>
      </c>
      <c r="O128" s="504">
        <f t="shared" si="11"/>
        <v>16413</v>
      </c>
      <c r="P128" s="387"/>
      <c r="Q128" s="505">
        <f t="shared" si="16"/>
        <v>13399.428571428571</v>
      </c>
      <c r="R128" s="1126">
        <f t="shared" si="12"/>
        <v>201</v>
      </c>
      <c r="S128" s="1071">
        <f t="shared" si="18"/>
        <v>0.58764394077865112</v>
      </c>
      <c r="T128" s="519">
        <f t="shared" si="17"/>
        <v>47</v>
      </c>
      <c r="U128" s="398"/>
    </row>
    <row r="129" spans="1:21">
      <c r="A129" s="377">
        <v>2011</v>
      </c>
      <c r="B129" s="697">
        <v>18500</v>
      </c>
      <c r="C129" s="718">
        <v>1</v>
      </c>
      <c r="D129" s="503">
        <f t="shared" si="14"/>
        <v>18501</v>
      </c>
      <c r="E129" s="699">
        <v>1282</v>
      </c>
      <c r="F129" s="707">
        <v>212</v>
      </c>
      <c r="G129" s="701">
        <v>0</v>
      </c>
      <c r="H129" s="701">
        <v>6</v>
      </c>
      <c r="I129" s="503">
        <f t="shared" si="15"/>
        <v>20001</v>
      </c>
      <c r="J129" s="389">
        <v>1067</v>
      </c>
      <c r="K129" s="389">
        <v>13</v>
      </c>
      <c r="L129" s="388">
        <v>2319</v>
      </c>
      <c r="M129" s="712">
        <v>743</v>
      </c>
      <c r="N129" s="388">
        <v>1753</v>
      </c>
      <c r="O129" s="504">
        <f t="shared" si="11"/>
        <v>25896</v>
      </c>
      <c r="P129" s="387"/>
      <c r="Q129" s="505">
        <f t="shared" si="16"/>
        <v>13399.428571428571</v>
      </c>
      <c r="R129" s="1126">
        <f t="shared" si="12"/>
        <v>201</v>
      </c>
      <c r="S129" s="1071">
        <f t="shared" si="18"/>
        <v>0.71443466172381831</v>
      </c>
      <c r="T129" s="519">
        <f t="shared" si="17"/>
        <v>37</v>
      </c>
      <c r="U129" s="398"/>
    </row>
    <row r="130" spans="1:21">
      <c r="A130" s="377">
        <v>2012</v>
      </c>
      <c r="B130" s="697">
        <v>11764</v>
      </c>
      <c r="C130" s="718">
        <v>1</v>
      </c>
      <c r="D130" s="503">
        <f t="shared" si="14"/>
        <v>11765</v>
      </c>
      <c r="E130" s="699">
        <v>853</v>
      </c>
      <c r="F130" s="707">
        <v>237</v>
      </c>
      <c r="G130" s="701">
        <v>0</v>
      </c>
      <c r="H130" s="701">
        <v>6</v>
      </c>
      <c r="I130" s="503">
        <f t="shared" si="15"/>
        <v>12861</v>
      </c>
      <c r="J130" s="389">
        <v>567</v>
      </c>
      <c r="K130" s="389">
        <v>5</v>
      </c>
      <c r="L130" s="388">
        <v>2095</v>
      </c>
      <c r="M130" s="712">
        <v>415</v>
      </c>
      <c r="N130" s="388">
        <v>535</v>
      </c>
      <c r="O130" s="504">
        <f t="shared" ref="O130:O136" si="19">SUM(I130:N130)</f>
        <v>16478</v>
      </c>
      <c r="P130" s="387"/>
      <c r="Q130" s="505">
        <f t="shared" si="16"/>
        <v>13399.428571428571</v>
      </c>
      <c r="R130" s="1126">
        <f t="shared" si="12"/>
        <v>201</v>
      </c>
      <c r="S130" s="1071">
        <f t="shared" si="18"/>
        <v>0.7139822794028402</v>
      </c>
      <c r="T130" s="519">
        <f t="shared" si="17"/>
        <v>42</v>
      </c>
      <c r="U130" s="398"/>
    </row>
    <row r="131" spans="1:21">
      <c r="A131" s="377">
        <v>2013</v>
      </c>
      <c r="B131" s="697">
        <v>8826</v>
      </c>
      <c r="C131" s="718">
        <v>16</v>
      </c>
      <c r="D131" s="503">
        <f t="shared" si="14"/>
        <v>8842</v>
      </c>
      <c r="E131" s="395">
        <v>564</v>
      </c>
      <c r="F131" s="707">
        <v>860</v>
      </c>
      <c r="G131" s="701">
        <v>0</v>
      </c>
      <c r="H131" s="701">
        <v>55</v>
      </c>
      <c r="I131" s="503">
        <f t="shared" si="15"/>
        <v>10321</v>
      </c>
      <c r="J131" s="389">
        <v>744</v>
      </c>
      <c r="K131" s="389">
        <v>18</v>
      </c>
      <c r="L131" s="388">
        <v>2148</v>
      </c>
      <c r="M131" s="712">
        <v>374</v>
      </c>
      <c r="N131" s="388">
        <v>285</v>
      </c>
      <c r="O131" s="504">
        <f t="shared" si="19"/>
        <v>13890</v>
      </c>
      <c r="P131" s="387"/>
      <c r="Q131" s="505">
        <f t="shared" si="16"/>
        <v>13399.428571428571</v>
      </c>
      <c r="R131" s="1126">
        <f t="shared" si="12"/>
        <v>201</v>
      </c>
      <c r="S131" s="1071">
        <f t="shared" si="18"/>
        <v>0.63657307415406772</v>
      </c>
      <c r="T131" s="519">
        <f t="shared" si="17"/>
        <v>50</v>
      </c>
      <c r="U131" s="398"/>
    </row>
    <row r="132" spans="1:21">
      <c r="A132" s="377">
        <v>2014</v>
      </c>
      <c r="B132" s="697">
        <v>10207</v>
      </c>
      <c r="C132" s="718">
        <v>0</v>
      </c>
      <c r="D132" s="503">
        <f t="shared" si="14"/>
        <v>10207</v>
      </c>
      <c r="E132" s="395">
        <v>768</v>
      </c>
      <c r="F132" s="701">
        <v>153</v>
      </c>
      <c r="G132" s="701">
        <v>0</v>
      </c>
      <c r="H132" s="701">
        <v>36</v>
      </c>
      <c r="I132" s="503">
        <f t="shared" si="15"/>
        <v>11164</v>
      </c>
      <c r="J132" s="389">
        <v>719</v>
      </c>
      <c r="K132" s="389">
        <v>14</v>
      </c>
      <c r="L132" s="388">
        <v>1365</v>
      </c>
      <c r="M132" s="712">
        <v>420</v>
      </c>
      <c r="N132" s="388">
        <v>931</v>
      </c>
      <c r="O132" s="504">
        <f t="shared" si="19"/>
        <v>14613</v>
      </c>
      <c r="P132" s="384"/>
      <c r="Q132" s="505">
        <f t="shared" si="16"/>
        <v>13399.428571428571</v>
      </c>
      <c r="R132" s="1126">
        <f t="shared" si="12"/>
        <v>201</v>
      </c>
      <c r="S132" s="1071">
        <f t="shared" si="18"/>
        <v>0.69848764798467122</v>
      </c>
      <c r="T132" s="519">
        <f t="shared" si="17"/>
        <v>46</v>
      </c>
      <c r="U132" s="398"/>
    </row>
    <row r="133" spans="1:21">
      <c r="A133" s="377">
        <v>2015</v>
      </c>
      <c r="B133" s="697">
        <v>22506</v>
      </c>
      <c r="C133" s="718">
        <v>13</v>
      </c>
      <c r="D133" s="503">
        <f t="shared" si="14"/>
        <v>22519</v>
      </c>
      <c r="E133" s="395">
        <v>1145</v>
      </c>
      <c r="F133" s="701">
        <v>167</v>
      </c>
      <c r="G133" s="701">
        <v>0</v>
      </c>
      <c r="H133" s="708">
        <v>50</v>
      </c>
      <c r="I133" s="503">
        <f t="shared" si="15"/>
        <v>23881</v>
      </c>
      <c r="J133" s="389">
        <v>1570</v>
      </c>
      <c r="K133" s="389">
        <v>15</v>
      </c>
      <c r="L133" s="388">
        <v>2212</v>
      </c>
      <c r="M133" s="712">
        <v>402</v>
      </c>
      <c r="N133" s="393">
        <v>1343</v>
      </c>
      <c r="O133" s="504">
        <f t="shared" si="19"/>
        <v>29423</v>
      </c>
      <c r="P133" s="384"/>
      <c r="Q133" s="505">
        <f t="shared" si="16"/>
        <v>13399.428571428571</v>
      </c>
      <c r="R133" s="1126">
        <f t="shared" si="12"/>
        <v>201</v>
      </c>
      <c r="S133" s="1071">
        <f t="shared" si="18"/>
        <v>0.7653536349114638</v>
      </c>
      <c r="T133" s="519">
        <f t="shared" si="17"/>
        <v>28</v>
      </c>
      <c r="U133" s="398"/>
    </row>
    <row r="134" spans="1:21">
      <c r="A134" s="377">
        <v>2016</v>
      </c>
      <c r="B134" s="697">
        <v>12348</v>
      </c>
      <c r="C134" s="718">
        <v>52</v>
      </c>
      <c r="D134" s="385">
        <f>SUM(B134:C134)</f>
        <v>12400</v>
      </c>
      <c r="E134" s="395">
        <v>727</v>
      </c>
      <c r="F134" s="970">
        <v>73</v>
      </c>
      <c r="G134" s="701">
        <v>0</v>
      </c>
      <c r="H134" s="1275">
        <v>86</v>
      </c>
      <c r="I134" s="503">
        <f>SUM(D134:H134)</f>
        <v>13286</v>
      </c>
      <c r="J134" s="1276">
        <v>711</v>
      </c>
      <c r="K134" s="1275">
        <v>15</v>
      </c>
      <c r="L134" s="1276">
        <v>2075</v>
      </c>
      <c r="M134" s="1275">
        <v>396</v>
      </c>
      <c r="N134" s="1276">
        <v>327</v>
      </c>
      <c r="O134" s="504">
        <f t="shared" si="19"/>
        <v>16810</v>
      </c>
      <c r="P134" s="384"/>
      <c r="Q134" s="505">
        <f t="shared" si="16"/>
        <v>13399.428571428571</v>
      </c>
      <c r="R134" s="1126">
        <f>TRUNC(A134/10,0)</f>
        <v>201</v>
      </c>
      <c r="S134" s="1071">
        <f>D134/O134</f>
        <v>0.73765615704937537</v>
      </c>
      <c r="T134" s="519">
        <f t="shared" si="17"/>
        <v>41</v>
      </c>
      <c r="U134" s="398"/>
    </row>
    <row r="135" spans="1:21">
      <c r="A135" s="1115">
        <v>2017</v>
      </c>
      <c r="B135" s="398">
        <v>13834</v>
      </c>
      <c r="C135" s="375">
        <v>36</v>
      </c>
      <c r="D135" s="1274">
        <f>SUM(B135:C135)</f>
        <v>13870</v>
      </c>
      <c r="E135" s="375">
        <v>744</v>
      </c>
      <c r="F135" s="398">
        <v>778</v>
      </c>
      <c r="G135" s="701">
        <v>0</v>
      </c>
      <c r="H135" s="398">
        <v>50</v>
      </c>
      <c r="I135" s="503">
        <f>SUM(D135:H135)</f>
        <v>15442</v>
      </c>
      <c r="J135" s="398">
        <v>1961</v>
      </c>
      <c r="K135" s="398">
        <v>12</v>
      </c>
      <c r="L135" s="398">
        <v>2906</v>
      </c>
      <c r="M135" s="398">
        <v>431</v>
      </c>
      <c r="N135" s="398">
        <v>684</v>
      </c>
      <c r="O135" s="504">
        <f t="shared" si="19"/>
        <v>21436</v>
      </c>
      <c r="Q135" s="505">
        <f t="shared" si="16"/>
        <v>13399.428571428571</v>
      </c>
      <c r="R135" s="375">
        <f>TRUNC(A135/10,0)</f>
        <v>201</v>
      </c>
      <c r="T135" s="375" t="e">
        <f t="shared" si="17"/>
        <v>#N/A</v>
      </c>
    </row>
    <row r="136" spans="1:21">
      <c r="A136" s="1115">
        <v>2018</v>
      </c>
      <c r="B136" s="398">
        <v>7618</v>
      </c>
      <c r="C136" s="375">
        <v>5</v>
      </c>
      <c r="D136" s="1270">
        <f>SUM(B136:C136)</f>
        <v>7623</v>
      </c>
      <c r="E136" s="375">
        <v>85</v>
      </c>
      <c r="F136" s="1277">
        <v>778</v>
      </c>
      <c r="G136" s="701">
        <v>0</v>
      </c>
      <c r="H136" s="1277">
        <v>50</v>
      </c>
      <c r="I136" s="503">
        <f>SUM(D136:H136)</f>
        <v>8536</v>
      </c>
      <c r="J136" s="1277">
        <v>1961</v>
      </c>
      <c r="K136" s="1277">
        <v>12</v>
      </c>
      <c r="L136" s="1277">
        <v>2906</v>
      </c>
      <c r="M136" s="1277">
        <v>431</v>
      </c>
      <c r="N136" s="1277">
        <v>684</v>
      </c>
      <c r="O136" s="504">
        <f t="shared" si="19"/>
        <v>14530</v>
      </c>
      <c r="Q136" s="505"/>
      <c r="R136" s="375"/>
      <c r="T136" s="375" t="e">
        <f t="shared" si="17"/>
        <v>#N/A</v>
      </c>
    </row>
    <row r="137" spans="1:21" ht="13.5" thickBot="1">
      <c r="A137" s="377"/>
      <c r="B137" s="715"/>
      <c r="C137" s="1295"/>
      <c r="D137" s="1295"/>
      <c r="E137" s="1295"/>
      <c r="F137" s="385"/>
      <c r="G137" s="385"/>
      <c r="H137" s="385"/>
      <c r="I137" s="385"/>
      <c r="J137" s="384"/>
      <c r="K137" s="384"/>
      <c r="L137" s="384"/>
      <c r="M137" s="384"/>
      <c r="N137" s="384"/>
      <c r="O137" s="384"/>
      <c r="P137" s="384"/>
      <c r="Q137" s="1116"/>
      <c r="R137" s="1117"/>
      <c r="S137" s="506"/>
      <c r="T137" s="507"/>
    </row>
    <row r="138" spans="1:21">
      <c r="A138" s="999" t="str">
        <f>"10 Year Average Harvests "&amp;(FcastYR-10)&amp;"-"&amp;(FcastYR-1)</f>
        <v>10 Year Average Harvests 2008-2017</v>
      </c>
      <c r="B138" s="716"/>
      <c r="C138" s="716"/>
      <c r="D138" s="717"/>
      <c r="E138" s="383"/>
      <c r="F138" s="383"/>
      <c r="G138" s="383"/>
      <c r="H138" s="383"/>
      <c r="I138" s="383"/>
      <c r="J138" s="382"/>
      <c r="K138" s="382"/>
      <c r="L138" s="382"/>
      <c r="M138" s="382"/>
      <c r="N138" s="382"/>
      <c r="O138" s="382"/>
      <c r="P138" s="381"/>
      <c r="Q138" s="1118"/>
      <c r="R138" s="1119" t="s">
        <v>219</v>
      </c>
      <c r="S138" s="562"/>
    </row>
    <row r="139" spans="1:21">
      <c r="A139" s="379" t="s">
        <v>116</v>
      </c>
      <c r="B139" s="695">
        <f ca="1">AVERAGE(OFFSET(B27,COUNT(B27:B$137)-10,0,10,1))</f>
        <v>12470.5</v>
      </c>
      <c r="C139" s="695">
        <f ca="1">AVERAGE(OFFSET(C73,COUNT(C73:C$137)-10,0,10,1))</f>
        <v>13.9</v>
      </c>
      <c r="D139" s="695">
        <f ca="1">AVERAGE(OFFSET(D8,COUNT(D8:D$137)-10,0,10,1))</f>
        <v>12484.4</v>
      </c>
      <c r="E139" s="695">
        <f ca="1">AVERAGE(OFFSET(E112,COUNT(E112:E$137)-10,0,10,1))</f>
        <v>794.6</v>
      </c>
      <c r="F139" s="695">
        <f ca="1">AVERAGE(OFFSET(F78,COUNT(F78:F$137)-10,0,10,1))</f>
        <v>374.8</v>
      </c>
      <c r="G139" s="695"/>
      <c r="H139" s="695">
        <f ca="1">AVERAGE(OFFSET(H120,COUNT(H120:H$137)-10,0,10,1))</f>
        <v>42.1</v>
      </c>
      <c r="I139" s="695"/>
      <c r="J139" s="695">
        <f ca="1">AVERAGE(OFFSET(J78,COUNT(J78:J$137)-10,0,10,1))</f>
        <v>1021.4</v>
      </c>
      <c r="K139" s="695">
        <f ca="1">AVERAGE(OFFSET(K120,COUNT(K120:K$137)-10,0,10,1))</f>
        <v>13.1</v>
      </c>
      <c r="L139" s="695">
        <f ca="1">AVERAGE(OFFSET(L78,COUNT(L78:L$137)-10,0,10,1))</f>
        <v>2261.8000000000002</v>
      </c>
      <c r="M139" s="695">
        <f ca="1">AVERAGE(OFFSET(M120,COUNT(M120:M$137)-10,0,10,1))</f>
        <v>448.1</v>
      </c>
      <c r="N139" s="695">
        <f ca="1">AVERAGE(OFFSET(N84,COUNT(N84:N$137)-10,0,10,1))</f>
        <v>1030.5999999999999</v>
      </c>
      <c r="O139" s="695">
        <f ca="1">AVERAGE(OFFSET(O8,COUNT(O8:O$137)-10,0,10,1))</f>
        <v>18470.900000000001</v>
      </c>
      <c r="P139" s="380"/>
      <c r="Q139" s="1120"/>
      <c r="R139" s="1121">
        <v>5</v>
      </c>
      <c r="S139" s="1067">
        <f ca="1">AVERAGE(OFFSET(S$120,COUNT(S$120:S$137)-R139,0,R139,1))</f>
        <v>0.71041055870048364</v>
      </c>
    </row>
    <row r="140" spans="1:21" ht="13.5" thickBot="1">
      <c r="A140" s="379" t="s">
        <v>117</v>
      </c>
      <c r="B140" s="242">
        <f ca="1">MIN(OFFSET(B27,COUNT(B27:B$137)-10,0,10,1))</f>
        <v>7618</v>
      </c>
      <c r="C140" s="242">
        <f ca="1">MIN(OFFSET(C73,COUNT(C73:C$137)-10,0,10,1))</f>
        <v>0</v>
      </c>
      <c r="D140" s="242">
        <f ca="1">MIN(OFFSET(D8,COUNT(D8:D$137)-10,0,10,1))</f>
        <v>7623</v>
      </c>
      <c r="E140" s="242">
        <f ca="1">MIN(OFFSET(E112,COUNT(E112:E$137)-10,0,10,1))</f>
        <v>85</v>
      </c>
      <c r="F140" s="242">
        <f ca="1">MIN(OFFSET(F78,COUNT(F78:F$137)-10,0,10,1))</f>
        <v>73</v>
      </c>
      <c r="G140" s="242"/>
      <c r="H140" s="242">
        <f ca="1">MIN(OFFSET(H120,COUNT(H120:H$137)-10,0,10,1))</f>
        <v>6</v>
      </c>
      <c r="I140" s="242"/>
      <c r="J140" s="242">
        <f ca="1">MIN(OFFSET(J78,COUNT(J78:J$137)-10,0,10,1))</f>
        <v>214</v>
      </c>
      <c r="K140" s="242">
        <f ca="1">MIN(OFFSET(K120,COUNT(K120:K$137)-10,0,10,1))</f>
        <v>5</v>
      </c>
      <c r="L140" s="242">
        <f ca="1">MIN(OFFSET(L78,COUNT(L78:L$137)-10,0,10,1))</f>
        <v>1365</v>
      </c>
      <c r="M140" s="242">
        <f ca="1">MIN(OFFSET(M120,COUNT(M120:M$137)-10,0,10,1))</f>
        <v>326</v>
      </c>
      <c r="N140" s="242">
        <f ca="1">MIN(OFFSET(N84,COUNT(N84:N$137)-10,0,10,1))</f>
        <v>285</v>
      </c>
      <c r="O140" s="242">
        <f ca="1">MIN(OFFSET(O8,COUNT(O8:O$137)-10,0,10,1))</f>
        <v>13890</v>
      </c>
      <c r="P140" s="380"/>
      <c r="Q140" s="1120"/>
      <c r="R140" s="1122">
        <v>10</v>
      </c>
      <c r="S140" s="1068">
        <f ca="1">AVERAGE(OFFSET(S$120,COUNT(S$120:S$137)-R140,0,R140,1))</f>
        <v>0.67500814742978565</v>
      </c>
    </row>
    <row r="141" spans="1:21">
      <c r="A141" s="379" t="s">
        <v>118</v>
      </c>
      <c r="B141" s="242">
        <f ca="1">MAX(OFFSET(B27,COUNT(B27:B$137)-10,0,10,1))</f>
        <v>22506</v>
      </c>
      <c r="C141" s="242">
        <f ca="1">MAX(OFFSET(C73,COUNT(C73:C$137)-10,0,10,1))</f>
        <v>52</v>
      </c>
      <c r="D141" s="242">
        <f ca="1">MAX(OFFSET(D8,COUNT(D8:D$137)-10,0,10,1))</f>
        <v>22519</v>
      </c>
      <c r="E141" s="242">
        <f ca="1">MAX(OFFSET(E112,COUNT(E112:E$137)-10,0,10,1))</f>
        <v>1282</v>
      </c>
      <c r="F141" s="242">
        <f ca="1">MAX(OFFSET(F78,COUNT(F78:F$137)-10,0,10,1))</f>
        <v>860</v>
      </c>
      <c r="G141" s="242"/>
      <c r="H141" s="242">
        <f ca="1">MAX(OFFSET(H120,COUNT(H120:H$137)-10,0,10,1))</f>
        <v>86</v>
      </c>
      <c r="I141" s="242"/>
      <c r="J141" s="242">
        <f ca="1">MAX(OFFSET(J78,COUNT(J78:J$137)-10,0,10,1))</f>
        <v>1961</v>
      </c>
      <c r="K141" s="242">
        <f ca="1">MAX(OFFSET(K120,COUNT(K120:K$137)-10,0,10,1))</f>
        <v>18</v>
      </c>
      <c r="L141" s="242">
        <f ca="1">MAX(OFFSET(L78,COUNT(L78:L$137)-10,0,10,1))</f>
        <v>2906</v>
      </c>
      <c r="M141" s="242">
        <f ca="1">MAX(OFFSET(M120,COUNT(M120:M$137)-10,0,10,1))</f>
        <v>743</v>
      </c>
      <c r="N141" s="242">
        <f ca="1">MAX(OFFSET(N84,COUNT(N84:N$137)-10,0,10,1))</f>
        <v>2409</v>
      </c>
      <c r="O141" s="242">
        <f ca="1">MAX(OFFSET(O8,COUNT(O8:O$137)-10,0,10,1))</f>
        <v>29423</v>
      </c>
      <c r="P141" s="242"/>
      <c r="Q141" s="1123"/>
      <c r="R141" s="1115" t="s">
        <v>484</v>
      </c>
    </row>
    <row r="142" spans="1:21">
      <c r="A142" s="379" t="s">
        <v>266</v>
      </c>
      <c r="B142" s="242">
        <f ca="1">COUNT(OFFSET(B27,COUNT(B27:B$137)-10,0,10,1))</f>
        <v>10</v>
      </c>
      <c r="C142" s="242">
        <f ca="1">COUNT(OFFSET(C73,COUNT(C73:C$137)-10,0,10,1))</f>
        <v>10</v>
      </c>
      <c r="D142" s="242">
        <f ca="1">COUNT(OFFSET(D8,COUNT(D8:D$137)-10,0,10,1))</f>
        <v>10</v>
      </c>
      <c r="E142" s="242">
        <f ca="1">COUNT(OFFSET(E112,COUNT(E112:E$137)-10,0,10,1))</f>
        <v>10</v>
      </c>
      <c r="F142" s="242">
        <f ca="1">COUNT(OFFSET(F78,COUNT(F78:F$137)-10,0,10,1))</f>
        <v>10</v>
      </c>
      <c r="G142" s="242"/>
      <c r="H142" s="242">
        <f ca="1">COUNT(OFFSET(H120,COUNT(H120:H$137)-10,0,10,1))</f>
        <v>10</v>
      </c>
      <c r="I142" s="242"/>
      <c r="J142" s="242">
        <f ca="1">COUNT(OFFSET(J78,COUNT(J78:J$137)-10,0,10,1))</f>
        <v>10</v>
      </c>
      <c r="K142" s="242">
        <f ca="1">COUNT(OFFSET(K120,COUNT(K120:K$137)-10,0,10,1))</f>
        <v>10</v>
      </c>
      <c r="L142" s="242">
        <f ca="1">COUNT(OFFSET(L78,COUNT(L78:L$137)-10,0,10,1))</f>
        <v>10</v>
      </c>
      <c r="M142" s="242">
        <f ca="1">COUNT(OFFSET(M120,COUNT(M120:M$137)-10,0,10,1))</f>
        <v>10</v>
      </c>
      <c r="N142" s="242">
        <f ca="1">COUNT(OFFSET(N84,COUNT(N84:N$137)-10,0,10,1))</f>
        <v>10</v>
      </c>
      <c r="O142" s="242">
        <f ca="1">COUNT(OFFSET(O8,COUNT(O8:O$137)-10,0,10,1))</f>
        <v>10</v>
      </c>
      <c r="P142" s="242"/>
      <c r="Q142" s="1123"/>
      <c r="R142" s="1115">
        <v>5</v>
      </c>
      <c r="S142" s="1069">
        <f ca="1">SUM(OFFSET($D$8,COUNT($D$8:D$137)-R142,0,R142,1))/SUM(OFFSET($O$8,COUNT($O$8:O$137)-R142,0,R142,1))</f>
        <v>0.68812750485477003</v>
      </c>
    </row>
    <row r="143" spans="1:21">
      <c r="A143" s="378" t="s">
        <v>149</v>
      </c>
      <c r="B143" s="696">
        <f ca="1">STDEV(OFFSET(B27,COUNT(B27:B$137)-10,0,10,1))</f>
        <v>4695.8209848994693</v>
      </c>
      <c r="C143" s="696">
        <f ca="1">STDEV(OFFSET(C73,COUNT(C73:C$137)-10,0,10,1))</f>
        <v>17.463931083490021</v>
      </c>
      <c r="D143" s="696">
        <f ca="1">STDEV(OFFSET(D8,COUNT(D8:D$137)-10,0,10,1))</f>
        <v>4697.053501930759</v>
      </c>
      <c r="E143" s="696">
        <f ca="1">STDEV(OFFSET(E112,COUNT(E112:E$137)-10,0,10,1))</f>
        <v>324.32774918111608</v>
      </c>
      <c r="F143" s="696">
        <f ca="1">STDEV(OFFSET(F78,COUNT(F78:F$137)-10,0,10,1))</f>
        <v>302.83578241533996</v>
      </c>
      <c r="G143" s="696"/>
      <c r="H143" s="696">
        <f ca="1">STDEV(OFFSET(H120,COUNT(H120:H$137)-10,0,10,1))</f>
        <v>23.778842136095136</v>
      </c>
      <c r="I143" s="696"/>
      <c r="J143" s="696">
        <f ca="1">STDEV(OFFSET(J78,COUNT(J78:J$137)-10,0,10,1))</f>
        <v>605.08533833391357</v>
      </c>
      <c r="K143" s="696">
        <f ca="1">STDEV(OFFSET(K120,COUNT(K120:K$137)-10,0,10,1))</f>
        <v>3.9567101935263804</v>
      </c>
      <c r="L143" s="696">
        <f ca="1">STDEV(OFFSET(L78,COUNT(L78:L$137)-10,0,10,1))</f>
        <v>446.66835820575244</v>
      </c>
      <c r="M143" s="696">
        <f ca="1">STDEV(OFFSET(M120,COUNT(M120:M$137)-10,0,10,1))</f>
        <v>117.2276512697504</v>
      </c>
      <c r="N143" s="696">
        <f ca="1">STDEV(OFFSET(N84,COUNT(N84:N$137)-10,0,10,1))</f>
        <v>680.80445879203171</v>
      </c>
      <c r="O143" s="696">
        <f ca="1">STDEV(OFFSET(O8,COUNT(O8:O$137)-10,0,10,1))</f>
        <v>5341.7089951521039</v>
      </c>
      <c r="P143" s="242"/>
      <c r="Q143" s="1123"/>
      <c r="R143" s="1115">
        <v>10</v>
      </c>
      <c r="S143" s="1069">
        <f ca="1">SUM(OFFSET($D$8,COUNT($D$8:D$137)-R143,0,R143,1))/SUM(OFFSET($O$8,COUNT($O$8:O$137)-R143,0,R143,1))</f>
        <v>0.67589559794054432</v>
      </c>
    </row>
    <row r="144" spans="1:21">
      <c r="A144" s="377"/>
      <c r="B144" s="332"/>
      <c r="C144" s="332"/>
      <c r="D144" s="332"/>
      <c r="E144" s="332"/>
      <c r="F144" s="332"/>
      <c r="G144" s="332"/>
      <c r="H144" s="332"/>
      <c r="I144" s="332"/>
      <c r="J144" s="332"/>
      <c r="K144" s="332"/>
      <c r="L144" s="332"/>
      <c r="M144" s="332"/>
      <c r="N144" s="332"/>
      <c r="O144" s="332"/>
      <c r="P144" s="332"/>
      <c r="Q144" s="1124"/>
    </row>
    <row r="145" spans="1:17">
      <c r="A145" s="376"/>
      <c r="B145" s="332"/>
      <c r="C145" s="332"/>
      <c r="D145" s="332"/>
      <c r="E145" s="332"/>
      <c r="F145" s="332"/>
      <c r="G145" s="332"/>
      <c r="H145" s="332"/>
      <c r="I145" s="332"/>
      <c r="J145" s="332"/>
      <c r="K145" s="332"/>
      <c r="L145" s="332"/>
      <c r="M145" s="332"/>
      <c r="N145" s="332"/>
      <c r="O145" s="332"/>
      <c r="P145" s="332"/>
      <c r="Q145" s="1124"/>
    </row>
    <row r="146" spans="1:17">
      <c r="A146" s="376"/>
      <c r="B146" s="332"/>
      <c r="C146" s="332"/>
      <c r="D146" s="332"/>
      <c r="E146" s="332"/>
      <c r="F146" s="332"/>
      <c r="G146" s="332"/>
      <c r="H146" s="332"/>
      <c r="I146" s="332"/>
      <c r="J146" s="332"/>
      <c r="K146" s="332"/>
      <c r="L146" s="332"/>
      <c r="M146" s="332"/>
      <c r="N146" s="332"/>
      <c r="O146" s="332"/>
      <c r="P146" s="332"/>
      <c r="Q146" s="1124"/>
    </row>
    <row r="147" spans="1:17">
      <c r="A147" s="376" t="s">
        <v>367</v>
      </c>
      <c r="B147" s="332"/>
      <c r="C147" s="332"/>
      <c r="D147" s="525">
        <f>AVERAGE(D$8:D$137)</f>
        <v>18918.116279069767</v>
      </c>
      <c r="E147" s="332"/>
      <c r="F147" s="332"/>
      <c r="G147" s="332"/>
      <c r="H147" s="332"/>
      <c r="I147" s="332"/>
      <c r="J147" s="332"/>
      <c r="K147" s="332"/>
      <c r="L147" s="332"/>
      <c r="M147" s="332"/>
      <c r="N147" s="332"/>
      <c r="O147" s="332"/>
      <c r="P147" s="332"/>
      <c r="Q147" s="1124"/>
    </row>
    <row r="148" spans="1:17">
      <c r="A148" s="376" t="s">
        <v>368</v>
      </c>
      <c r="B148" s="376"/>
      <c r="C148" s="376"/>
      <c r="D148" s="525">
        <f>MEDIAN(D$8:D$137)</f>
        <v>14266</v>
      </c>
      <c r="E148" s="376"/>
      <c r="F148" s="376"/>
      <c r="G148" s="376"/>
      <c r="H148" s="376"/>
      <c r="I148" s="1113"/>
      <c r="J148" s="376"/>
      <c r="K148" s="376"/>
      <c r="L148" s="376"/>
      <c r="M148" s="376"/>
      <c r="N148" s="376"/>
      <c r="O148" s="376"/>
      <c r="P148" s="376"/>
      <c r="Q148" s="377"/>
    </row>
    <row r="149" spans="1:17">
      <c r="A149" s="375" t="s">
        <v>369</v>
      </c>
      <c r="D149" s="526">
        <f>MEDIAN(D$98:D$137)</f>
        <v>34815</v>
      </c>
    </row>
    <row r="153" spans="1:17">
      <c r="B153" s="557"/>
    </row>
  </sheetData>
  <mergeCells count="6">
    <mergeCell ref="C137:E137"/>
    <mergeCell ref="J6:K6"/>
    <mergeCell ref="L6:M6"/>
    <mergeCell ref="J5:M5"/>
    <mergeCell ref="B6:D6"/>
    <mergeCell ref="A5:H5"/>
  </mergeCells>
  <printOptions horizontalCentered="1"/>
  <pageMargins left="0.45" right="0.45" top="0.5" bottom="0.5" header="0.3" footer="0.3"/>
  <pageSetup fitToWidth="0" orientation="landscape" r:id="rId1"/>
  <headerFooter scaleWithDoc="0"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0">
    <tabColor rgb="FF00B0F0"/>
  </sheetPr>
  <dimension ref="A1:T75"/>
  <sheetViews>
    <sheetView zoomScale="70" zoomScaleNormal="70" workbookViewId="0">
      <pane ySplit="6" topLeftCell="A16" activePane="bottomLeft" state="frozen"/>
      <selection activeCell="D8" sqref="A1:XFD1048576"/>
      <selection pane="bottomLeft" activeCell="N46" sqref="N46:N47"/>
    </sheetView>
  </sheetViews>
  <sheetFormatPr defaultColWidth="9" defaultRowHeight="15.75"/>
  <cols>
    <col min="1" max="1" width="16.125" style="430" customWidth="1"/>
    <col min="2" max="2" width="23.625" style="430" customWidth="1"/>
    <col min="3" max="3" width="3.625" style="430" customWidth="1"/>
    <col min="4" max="7" width="14.75" style="430" customWidth="1"/>
    <col min="8" max="8" width="3.5" style="430" customWidth="1"/>
    <col min="9" max="9" width="13.625" style="430" customWidth="1"/>
    <col min="10" max="10" width="18.75" style="430" customWidth="1"/>
    <col min="11" max="11" width="15.625" style="430" customWidth="1"/>
    <col min="12" max="12" width="3.5" style="430" customWidth="1"/>
    <col min="13" max="14" width="20.625" style="430" customWidth="1"/>
    <col min="15" max="15" width="21.125" style="430" customWidth="1"/>
    <col min="16" max="16" width="4.125" style="430" customWidth="1"/>
    <col min="17" max="18" width="16.125" customWidth="1"/>
    <col min="19" max="16384" width="9" style="430"/>
  </cols>
  <sheetData>
    <row r="1" spans="1:18">
      <c r="A1" s="428" t="str">
        <f ca="1">CELL("filename")</f>
        <v>C:\Projects\Shiny App\Aging Error\[Copprt Chinook brood.xlsx]Brood_Tab</v>
      </c>
      <c r="B1" s="429"/>
      <c r="C1" s="429"/>
      <c r="D1" s="429"/>
      <c r="E1" s="429"/>
      <c r="F1" s="429"/>
      <c r="G1" s="429"/>
      <c r="H1" s="429"/>
      <c r="I1" s="429"/>
      <c r="J1" s="429"/>
      <c r="K1" s="429"/>
      <c r="L1" s="429"/>
    </row>
    <row r="2" spans="1:18">
      <c r="A2" s="429"/>
      <c r="B2" s="429"/>
      <c r="C2" s="429"/>
      <c r="D2" s="429"/>
      <c r="E2" s="429"/>
      <c r="F2" s="429"/>
      <c r="G2" s="429"/>
      <c r="H2" s="429"/>
      <c r="I2" s="429"/>
      <c r="J2" s="429"/>
      <c r="K2" s="429"/>
      <c r="L2" s="429"/>
    </row>
    <row r="3" spans="1:18" ht="18.75">
      <c r="A3" s="431" t="s">
        <v>176</v>
      </c>
      <c r="B3" s="431" t="s">
        <v>544</v>
      </c>
      <c r="C3" s="431"/>
      <c r="D3" s="431"/>
      <c r="E3" s="431"/>
      <c r="F3" s="431"/>
      <c r="G3" s="431"/>
      <c r="H3" s="431"/>
      <c r="I3" s="431"/>
      <c r="J3" s="431"/>
      <c r="K3" s="429"/>
      <c r="L3" s="429"/>
    </row>
    <row r="4" spans="1:18" ht="20.25">
      <c r="A4" s="432"/>
      <c r="B4" s="433" t="s">
        <v>284</v>
      </c>
      <c r="C4" s="432"/>
      <c r="D4" s="432"/>
      <c r="E4" s="432"/>
      <c r="F4" s="432"/>
      <c r="G4" s="432"/>
      <c r="H4" s="432"/>
      <c r="I4" s="432"/>
      <c r="J4" s="432"/>
      <c r="K4" s="432"/>
      <c r="L4" s="429"/>
    </row>
    <row r="5" spans="1:18" ht="18" customHeight="1" thickBot="1">
      <c r="A5" s="434"/>
      <c r="B5" s="435"/>
      <c r="C5" s="435"/>
      <c r="D5" s="1300" t="s">
        <v>303</v>
      </c>
      <c r="E5" s="1300"/>
      <c r="F5" s="1300"/>
      <c r="G5" s="1300"/>
      <c r="H5" s="435"/>
      <c r="I5" s="435"/>
      <c r="J5" s="1301" t="s">
        <v>285</v>
      </c>
      <c r="K5" s="1301"/>
      <c r="L5" s="436"/>
      <c r="M5" s="1301" t="s">
        <v>286</v>
      </c>
      <c r="N5" s="1301"/>
      <c r="O5" s="1301"/>
    </row>
    <row r="6" spans="1:18" ht="49.5" customHeight="1">
      <c r="A6" s="437" t="s">
        <v>276</v>
      </c>
      <c r="B6" s="438" t="s">
        <v>287</v>
      </c>
      <c r="C6" s="439"/>
      <c r="D6" s="440" t="s">
        <v>168</v>
      </c>
      <c r="E6" s="439" t="s">
        <v>167</v>
      </c>
      <c r="F6" s="439" t="s">
        <v>288</v>
      </c>
      <c r="G6" s="439" t="s">
        <v>0</v>
      </c>
      <c r="H6" s="439"/>
      <c r="I6" s="441" t="s">
        <v>289</v>
      </c>
      <c r="J6" s="438" t="s">
        <v>290</v>
      </c>
      <c r="K6" s="439" t="s">
        <v>169</v>
      </c>
      <c r="L6" s="437"/>
      <c r="M6" s="438" t="s">
        <v>290</v>
      </c>
      <c r="N6" s="1000" t="s">
        <v>169</v>
      </c>
      <c r="O6" s="442" t="s">
        <v>291</v>
      </c>
      <c r="Q6" s="1139" t="s">
        <v>499</v>
      </c>
      <c r="R6" s="1139" t="s">
        <v>500</v>
      </c>
    </row>
    <row r="7" spans="1:18" ht="15.75" customHeight="1">
      <c r="A7" s="443">
        <v>1978</v>
      </c>
      <c r="B7" s="444">
        <v>97074</v>
      </c>
      <c r="C7" s="444"/>
      <c r="D7" s="495">
        <v>1947</v>
      </c>
      <c r="E7" s="495">
        <v>22416</v>
      </c>
      <c r="F7" s="495">
        <v>587</v>
      </c>
      <c r="G7" s="445">
        <f>SUM(D7:F7)</f>
        <v>24950</v>
      </c>
      <c r="H7" s="444"/>
      <c r="I7" s="446">
        <f>D7/G7</f>
        <v>7.8036072144288579E-2</v>
      </c>
      <c r="J7" s="447">
        <f>I7*B7</f>
        <v>7575.2736673346699</v>
      </c>
      <c r="K7" s="448" t="s">
        <v>223</v>
      </c>
      <c r="L7" s="432"/>
      <c r="M7" s="445">
        <f>$J7-SUM(Harvests!J96:N96)</f>
        <v>4695.2736673346699</v>
      </c>
      <c r="N7" s="449" t="s">
        <v>223</v>
      </c>
      <c r="O7" s="449" t="s">
        <v>223</v>
      </c>
      <c r="Q7" s="209" t="str">
        <f>IFERROR(N7/1,O7)</f>
        <v>NA</v>
      </c>
      <c r="R7" s="1128">
        <f>IFERROR(K7/1,J7)</f>
        <v>7575.2736673346699</v>
      </c>
    </row>
    <row r="8" spans="1:18" ht="15.75" customHeight="1">
      <c r="A8" s="443">
        <v>1979</v>
      </c>
      <c r="B8" s="444">
        <v>328090</v>
      </c>
      <c r="C8" s="444"/>
      <c r="D8" s="495">
        <v>2515</v>
      </c>
      <c r="E8" s="495">
        <v>23599</v>
      </c>
      <c r="F8" s="495">
        <v>752</v>
      </c>
      <c r="G8" s="445">
        <f t="shared" ref="G8:G38" si="0">SUM(D8:F8)</f>
        <v>26866</v>
      </c>
      <c r="H8" s="444"/>
      <c r="I8" s="446">
        <f t="shared" ref="I8:I37" si="1">D8/G8</f>
        <v>9.3612744733119924E-2</v>
      </c>
      <c r="J8" s="447">
        <f t="shared" ref="J8:J39" si="2">I8*B8</f>
        <v>30713.405419489314</v>
      </c>
      <c r="K8" s="448" t="s">
        <v>223</v>
      </c>
      <c r="L8" s="432"/>
      <c r="M8" s="445">
        <f>$J8-SUM(Harvests!J97:N97)</f>
        <v>24349.405419489314</v>
      </c>
      <c r="N8" s="449" t="s">
        <v>223</v>
      </c>
      <c r="O8" s="449" t="s">
        <v>223</v>
      </c>
      <c r="Q8" s="209" t="str">
        <f t="shared" ref="Q8:Q44" si="3">IFERROR(N8/1,O8)</f>
        <v>NA</v>
      </c>
      <c r="R8" s="1128">
        <f t="shared" ref="R8:R44" si="4">IFERROR(K8/1,J8)</f>
        <v>30713.405419489314</v>
      </c>
    </row>
    <row r="9" spans="1:18">
      <c r="A9" s="443">
        <v>1980</v>
      </c>
      <c r="B9" s="450">
        <v>374091</v>
      </c>
      <c r="C9" s="450"/>
      <c r="D9" s="495">
        <v>2256</v>
      </c>
      <c r="E9" s="495">
        <v>21437</v>
      </c>
      <c r="F9" s="495">
        <v>639</v>
      </c>
      <c r="G9" s="445">
        <f t="shared" si="0"/>
        <v>24332</v>
      </c>
      <c r="H9" s="450"/>
      <c r="I9" s="446">
        <f t="shared" si="1"/>
        <v>9.2717409173105378E-2</v>
      </c>
      <c r="J9" s="447">
        <f t="shared" si="2"/>
        <v>34684.748314976161</v>
      </c>
      <c r="K9" s="448" t="s">
        <v>223</v>
      </c>
      <c r="L9" s="432"/>
      <c r="M9" s="445">
        <f>$J9-SUM(Harvests!J98:N98)</f>
        <v>29548.748314976161</v>
      </c>
      <c r="N9" s="449" t="s">
        <v>223</v>
      </c>
      <c r="O9" s="451">
        <v>14283</v>
      </c>
      <c r="Q9" s="209">
        <f t="shared" si="3"/>
        <v>14283</v>
      </c>
      <c r="R9" s="1128">
        <f t="shared" si="4"/>
        <v>34684.748314976161</v>
      </c>
    </row>
    <row r="10" spans="1:18">
      <c r="A10" s="443">
        <v>1981</v>
      </c>
      <c r="B10" s="450">
        <v>576681</v>
      </c>
      <c r="C10" s="450"/>
      <c r="D10" s="495">
        <v>1913</v>
      </c>
      <c r="E10" s="495">
        <v>53008</v>
      </c>
      <c r="F10" s="495">
        <v>849</v>
      </c>
      <c r="G10" s="445">
        <f t="shared" si="0"/>
        <v>55770</v>
      </c>
      <c r="H10" s="450"/>
      <c r="I10" s="446">
        <f t="shared" si="1"/>
        <v>3.4301595840057375E-2</v>
      </c>
      <c r="J10" s="447">
        <f t="shared" si="2"/>
        <v>19781.078590640129</v>
      </c>
      <c r="K10" s="448" t="s">
        <v>223</v>
      </c>
      <c r="L10" s="432"/>
      <c r="M10" s="445">
        <f>$J10-SUM(Harvests!J99:N99)</f>
        <v>15655.078590640129</v>
      </c>
      <c r="N10" s="449" t="s">
        <v>223</v>
      </c>
      <c r="O10" s="451">
        <v>15084</v>
      </c>
      <c r="Q10" s="209">
        <f t="shared" si="3"/>
        <v>15084</v>
      </c>
      <c r="R10" s="1128">
        <f>IFERROR(K10/1,J10)</f>
        <v>19781.078590640129</v>
      </c>
    </row>
    <row r="11" spans="1:18">
      <c r="A11" s="443">
        <v>1982</v>
      </c>
      <c r="B11" s="450">
        <v>517885</v>
      </c>
      <c r="C11" s="450"/>
      <c r="D11" s="495">
        <v>2532</v>
      </c>
      <c r="E11" s="495">
        <v>96799</v>
      </c>
      <c r="F11" s="495">
        <v>1246</v>
      </c>
      <c r="G11" s="445">
        <f t="shared" si="0"/>
        <v>100577</v>
      </c>
      <c r="H11" s="450"/>
      <c r="I11" s="446">
        <f t="shared" si="1"/>
        <v>2.5174741740159282E-2</v>
      </c>
      <c r="J11" s="447">
        <f t="shared" si="2"/>
        <v>13037.621126102389</v>
      </c>
      <c r="K11" s="448" t="s">
        <v>223</v>
      </c>
      <c r="L11" s="432"/>
      <c r="M11" s="445">
        <f>$J11-SUM(Harvests!J100:N100)</f>
        <v>8471.6211261023891</v>
      </c>
      <c r="N11" s="449" t="s">
        <v>223</v>
      </c>
      <c r="O11" s="451">
        <v>29956</v>
      </c>
      <c r="Q11" s="209">
        <f t="shared" si="3"/>
        <v>29956</v>
      </c>
      <c r="R11" s="1128">
        <f>IFERROR(K11/1,J11)</f>
        <v>13037.621126102389</v>
      </c>
    </row>
    <row r="12" spans="1:18">
      <c r="A12" s="443">
        <v>1983</v>
      </c>
      <c r="B12" s="450">
        <v>592563</v>
      </c>
      <c r="C12" s="450"/>
      <c r="D12" s="495">
        <v>5421</v>
      </c>
      <c r="E12" s="495">
        <v>100995</v>
      </c>
      <c r="F12" s="495">
        <v>1690</v>
      </c>
      <c r="G12" s="445">
        <f t="shared" si="0"/>
        <v>108106</v>
      </c>
      <c r="H12" s="450"/>
      <c r="I12" s="446">
        <f t="shared" si="1"/>
        <v>5.0145227831942724E-2</v>
      </c>
      <c r="J12" s="447">
        <f t="shared" si="2"/>
        <v>29714.206639779477</v>
      </c>
      <c r="K12" s="448" t="s">
        <v>223</v>
      </c>
      <c r="L12" s="432"/>
      <c r="M12" s="445">
        <f>$J12-SUM(Harvests!J101:N101)</f>
        <v>21185.206639779477</v>
      </c>
      <c r="N12" s="449" t="s">
        <v>223</v>
      </c>
      <c r="O12" s="451">
        <v>16757</v>
      </c>
      <c r="Q12" s="209">
        <f t="shared" si="3"/>
        <v>16757</v>
      </c>
      <c r="R12" s="1128">
        <f t="shared" si="4"/>
        <v>29714.206639779477</v>
      </c>
    </row>
    <row r="13" spans="1:18">
      <c r="A13" s="443">
        <v>1984</v>
      </c>
      <c r="B13" s="450">
        <v>618732</v>
      </c>
      <c r="C13" s="450"/>
      <c r="D13" s="495">
        <v>2007</v>
      </c>
      <c r="E13" s="495">
        <v>65078</v>
      </c>
      <c r="F13" s="495">
        <v>789</v>
      </c>
      <c r="G13" s="445">
        <f t="shared" si="0"/>
        <v>67874</v>
      </c>
      <c r="H13" s="450"/>
      <c r="I13" s="446">
        <f t="shared" si="1"/>
        <v>2.9569496419836756E-2</v>
      </c>
      <c r="J13" s="447">
        <f t="shared" si="2"/>
        <v>18295.593658838436</v>
      </c>
      <c r="K13" s="448" t="s">
        <v>223</v>
      </c>
      <c r="L13" s="432"/>
      <c r="M13" s="445">
        <f>$J13-SUM(Harvests!J102:N102)</f>
        <v>13239.593658838436</v>
      </c>
      <c r="N13" s="449" t="s">
        <v>223</v>
      </c>
      <c r="O13" s="451">
        <v>41962</v>
      </c>
      <c r="Q13" s="209">
        <f t="shared" si="3"/>
        <v>41962</v>
      </c>
      <c r="R13" s="1128">
        <f t="shared" si="4"/>
        <v>18295.593658838436</v>
      </c>
    </row>
    <row r="14" spans="1:18">
      <c r="A14" s="443">
        <v>1985</v>
      </c>
      <c r="B14" s="450">
        <v>466190</v>
      </c>
      <c r="C14" s="450"/>
      <c r="D14" s="495">
        <v>1673</v>
      </c>
      <c r="E14" s="495">
        <v>50488</v>
      </c>
      <c r="F14" s="495">
        <v>544</v>
      </c>
      <c r="G14" s="445">
        <f t="shared" si="0"/>
        <v>52705</v>
      </c>
      <c r="H14" s="450"/>
      <c r="I14" s="446">
        <f t="shared" si="1"/>
        <v>3.1742718907124559E-2</v>
      </c>
      <c r="J14" s="447">
        <f t="shared" si="2"/>
        <v>14798.138127312399</v>
      </c>
      <c r="K14" s="448" t="s">
        <v>223</v>
      </c>
      <c r="L14" s="432"/>
      <c r="M14" s="445">
        <f>$J14-SUM(Harvests!J103:N103)</f>
        <v>10901.138127312399</v>
      </c>
      <c r="N14" s="449" t="s">
        <v>223</v>
      </c>
      <c r="O14" s="451">
        <v>8254</v>
      </c>
      <c r="Q14" s="209">
        <f t="shared" si="3"/>
        <v>8254</v>
      </c>
      <c r="R14" s="1128">
        <f t="shared" si="4"/>
        <v>14798.138127312399</v>
      </c>
    </row>
    <row r="15" spans="1:18">
      <c r="A15" s="443">
        <v>1986</v>
      </c>
      <c r="B15" s="450">
        <v>481628</v>
      </c>
      <c r="C15" s="450"/>
      <c r="D15" s="495">
        <v>2916</v>
      </c>
      <c r="E15" s="495">
        <v>64684</v>
      </c>
      <c r="F15" s="495">
        <v>785</v>
      </c>
      <c r="G15" s="445">
        <f t="shared" si="0"/>
        <v>68385</v>
      </c>
      <c r="H15" s="450"/>
      <c r="I15" s="446">
        <f t="shared" si="1"/>
        <v>4.2640930028515024E-2</v>
      </c>
      <c r="J15" s="447">
        <f t="shared" si="2"/>
        <v>20537.065847773632</v>
      </c>
      <c r="K15" s="448" t="s">
        <v>223</v>
      </c>
      <c r="L15" s="432"/>
      <c r="M15" s="445">
        <f>$J15-SUM(Harvests!J104:N104)</f>
        <v>13821.065847773632</v>
      </c>
      <c r="N15" s="449" t="s">
        <v>223</v>
      </c>
      <c r="O15" s="451">
        <v>55424</v>
      </c>
      <c r="Q15" s="209">
        <f t="shared" si="3"/>
        <v>55424</v>
      </c>
      <c r="R15" s="1128">
        <f t="shared" si="4"/>
        <v>20537.065847773632</v>
      </c>
    </row>
    <row r="16" spans="1:18">
      <c r="A16" s="443">
        <v>1987</v>
      </c>
      <c r="B16" s="450">
        <v>523022</v>
      </c>
      <c r="C16" s="450"/>
      <c r="D16" s="495">
        <v>3280</v>
      </c>
      <c r="E16" s="495">
        <v>61900</v>
      </c>
      <c r="F16" s="495">
        <v>498</v>
      </c>
      <c r="G16" s="445">
        <f t="shared" si="0"/>
        <v>65678</v>
      </c>
      <c r="H16" s="450"/>
      <c r="I16" s="446">
        <f t="shared" si="1"/>
        <v>4.9940619385486766E-2</v>
      </c>
      <c r="J16" s="447">
        <f t="shared" si="2"/>
        <v>26120.042632236058</v>
      </c>
      <c r="K16" s="448" t="s">
        <v>223</v>
      </c>
      <c r="L16" s="432"/>
      <c r="M16" s="445">
        <f>$J16-SUM(Harvests!J105:N105)</f>
        <v>20038.042632236058</v>
      </c>
      <c r="N16" s="449" t="s">
        <v>223</v>
      </c>
      <c r="O16" s="451">
        <v>22744</v>
      </c>
      <c r="Q16" s="209">
        <f t="shared" si="3"/>
        <v>22744</v>
      </c>
      <c r="R16" s="1128">
        <f t="shared" si="4"/>
        <v>26120.042632236058</v>
      </c>
    </row>
    <row r="17" spans="1:20">
      <c r="A17" s="443">
        <v>1988</v>
      </c>
      <c r="B17" s="450">
        <v>528940</v>
      </c>
      <c r="C17" s="450"/>
      <c r="D17" s="495">
        <v>3417</v>
      </c>
      <c r="E17" s="495">
        <v>58905</v>
      </c>
      <c r="F17" s="495">
        <v>719</v>
      </c>
      <c r="G17" s="445">
        <f t="shared" si="0"/>
        <v>63041</v>
      </c>
      <c r="H17" s="450"/>
      <c r="I17" s="446">
        <f t="shared" si="1"/>
        <v>5.4202820386732443E-2</v>
      </c>
      <c r="J17" s="447">
        <f t="shared" si="2"/>
        <v>28670.039815358257</v>
      </c>
      <c r="K17" s="448" t="s">
        <v>223</v>
      </c>
      <c r="L17" s="432"/>
      <c r="M17" s="445">
        <f>$J17-SUM(Harvests!J106:N106)</f>
        <v>23122.039815358257</v>
      </c>
      <c r="N17" s="449" t="s">
        <v>223</v>
      </c>
      <c r="O17" s="451">
        <v>19434</v>
      </c>
      <c r="Q17" s="209">
        <f t="shared" si="3"/>
        <v>19434</v>
      </c>
      <c r="R17" s="1128">
        <f t="shared" si="4"/>
        <v>28670.039815358257</v>
      </c>
    </row>
    <row r="18" spans="1:20">
      <c r="A18" s="443">
        <v>1989</v>
      </c>
      <c r="B18" s="450">
        <v>643367</v>
      </c>
      <c r="C18" s="450"/>
      <c r="D18" s="495">
        <v>2913</v>
      </c>
      <c r="E18" s="495">
        <v>80557</v>
      </c>
      <c r="F18" s="495">
        <v>890</v>
      </c>
      <c r="G18" s="445">
        <f t="shared" si="0"/>
        <v>84360</v>
      </c>
      <c r="H18" s="450"/>
      <c r="I18" s="446">
        <f t="shared" si="1"/>
        <v>3.4530583214793742E-2</v>
      </c>
      <c r="J18" s="447">
        <f t="shared" si="2"/>
        <v>22215.837731152205</v>
      </c>
      <c r="K18" s="448" t="s">
        <v>223</v>
      </c>
      <c r="L18" s="432"/>
      <c r="M18" s="445">
        <f>$J18-SUM(Harvests!J107:N107)</f>
        <v>16821.837731152205</v>
      </c>
      <c r="N18" s="449" t="s">
        <v>223</v>
      </c>
      <c r="O18" s="451">
        <v>37080</v>
      </c>
      <c r="Q18" s="209">
        <f t="shared" si="3"/>
        <v>37080</v>
      </c>
      <c r="R18" s="1128">
        <f t="shared" si="4"/>
        <v>22215.837731152205</v>
      </c>
    </row>
    <row r="19" spans="1:20">
      <c r="A19" s="443">
        <v>1990</v>
      </c>
      <c r="B19" s="450">
        <v>624922</v>
      </c>
      <c r="C19" s="450"/>
      <c r="D19" s="495">
        <v>3221</v>
      </c>
      <c r="E19" s="495">
        <v>94001</v>
      </c>
      <c r="F19" s="495">
        <v>1544</v>
      </c>
      <c r="G19" s="445">
        <f t="shared" si="0"/>
        <v>98766</v>
      </c>
      <c r="H19" s="450"/>
      <c r="I19" s="446">
        <f t="shared" si="1"/>
        <v>3.2612437478484496E-2</v>
      </c>
      <c r="J19" s="447">
        <f t="shared" si="2"/>
        <v>20380.229653929488</v>
      </c>
      <c r="K19" s="448" t="s">
        <v>223</v>
      </c>
      <c r="L19" s="432"/>
      <c r="M19" s="445">
        <f>$J19-SUM(Harvests!J108:N108)</f>
        <v>14723.229653929488</v>
      </c>
      <c r="N19" s="449" t="s">
        <v>223</v>
      </c>
      <c r="O19" s="451">
        <v>25466</v>
      </c>
      <c r="Q19" s="209">
        <f t="shared" si="3"/>
        <v>25466</v>
      </c>
      <c r="R19" s="1128">
        <f t="shared" si="4"/>
        <v>20380.229653929488</v>
      </c>
    </row>
    <row r="20" spans="1:20">
      <c r="A20" s="443">
        <v>1991</v>
      </c>
      <c r="B20" s="450">
        <v>593185</v>
      </c>
      <c r="C20" s="450"/>
      <c r="D20" s="495">
        <v>5164</v>
      </c>
      <c r="E20" s="495">
        <v>111788</v>
      </c>
      <c r="F20" s="495">
        <v>3477</v>
      </c>
      <c r="G20" s="445">
        <f t="shared" si="0"/>
        <v>120429</v>
      </c>
      <c r="H20" s="450"/>
      <c r="I20" s="446">
        <f t="shared" si="1"/>
        <v>4.2880037200342114E-2</v>
      </c>
      <c r="J20" s="447">
        <f t="shared" si="2"/>
        <v>25435.794866684937</v>
      </c>
      <c r="K20" s="448" t="s">
        <v>223</v>
      </c>
      <c r="L20" s="432"/>
      <c r="M20" s="445">
        <f>$J20-SUM(Harvests!J109:N109)</f>
        <v>15167.794866684937</v>
      </c>
      <c r="N20" s="449" t="s">
        <v>223</v>
      </c>
      <c r="O20" s="451">
        <v>22956</v>
      </c>
      <c r="Q20" s="209">
        <f t="shared" si="3"/>
        <v>22956</v>
      </c>
      <c r="R20" s="1128">
        <f t="shared" si="4"/>
        <v>25435.794866684937</v>
      </c>
    </row>
    <row r="21" spans="1:20">
      <c r="A21" s="443">
        <v>1992</v>
      </c>
      <c r="B21" s="450">
        <v>604898</v>
      </c>
      <c r="C21" s="450"/>
      <c r="D21" s="495">
        <v>4705</v>
      </c>
      <c r="E21" s="495">
        <v>127670</v>
      </c>
      <c r="F21" s="495">
        <v>1817</v>
      </c>
      <c r="G21" s="445">
        <f t="shared" si="0"/>
        <v>134192</v>
      </c>
      <c r="H21" s="450"/>
      <c r="I21" s="446">
        <f t="shared" si="1"/>
        <v>3.5061702635030403E-2</v>
      </c>
      <c r="J21" s="447">
        <f t="shared" si="2"/>
        <v>21208.753800524621</v>
      </c>
      <c r="K21" s="448" t="s">
        <v>223</v>
      </c>
      <c r="L21" s="432"/>
      <c r="M21" s="445">
        <f>$J21-SUM(Harvests!J110:N110)</f>
        <v>11942.753800524621</v>
      </c>
      <c r="N21" s="449" t="s">
        <v>223</v>
      </c>
      <c r="O21" s="451">
        <v>14933</v>
      </c>
      <c r="Q21" s="209">
        <f t="shared" si="3"/>
        <v>14933</v>
      </c>
      <c r="R21" s="1128">
        <f t="shared" si="4"/>
        <v>21208.753800524621</v>
      </c>
    </row>
    <row r="22" spans="1:20">
      <c r="A22" s="443">
        <v>1993</v>
      </c>
      <c r="B22" s="450">
        <v>819700</v>
      </c>
      <c r="C22" s="450"/>
      <c r="D22" s="495">
        <v>4037</v>
      </c>
      <c r="E22" s="495">
        <v>138211</v>
      </c>
      <c r="F22" s="495">
        <v>1428</v>
      </c>
      <c r="G22" s="445">
        <f t="shared" si="0"/>
        <v>143676</v>
      </c>
      <c r="H22" s="450"/>
      <c r="I22" s="446">
        <f t="shared" si="1"/>
        <v>2.8097942593056601E-2</v>
      </c>
      <c r="J22" s="447">
        <f t="shared" si="2"/>
        <v>23031.883543528496</v>
      </c>
      <c r="K22" s="448" t="s">
        <v>223</v>
      </c>
      <c r="L22" s="452"/>
      <c r="M22" s="445">
        <f>$J22-SUM(Harvests!J111:N111)</f>
        <v>10534.883543528496</v>
      </c>
      <c r="N22" s="449" t="s">
        <v>223</v>
      </c>
      <c r="O22" s="451">
        <v>22827</v>
      </c>
      <c r="Q22" s="209">
        <f t="shared" si="3"/>
        <v>22827</v>
      </c>
      <c r="R22" s="1128">
        <f t="shared" si="4"/>
        <v>23031.883543528496</v>
      </c>
    </row>
    <row r="23" spans="1:20">
      <c r="A23" s="443">
        <v>1994</v>
      </c>
      <c r="B23" s="450">
        <v>738011</v>
      </c>
      <c r="C23" s="450"/>
      <c r="D23" s="495">
        <v>5423</v>
      </c>
      <c r="E23" s="495">
        <v>153049</v>
      </c>
      <c r="F23" s="495">
        <v>1958</v>
      </c>
      <c r="G23" s="445">
        <f t="shared" si="0"/>
        <v>160430</v>
      </c>
      <c r="H23" s="450"/>
      <c r="I23" s="446">
        <f t="shared" si="1"/>
        <v>3.3802904693635852E-2</v>
      </c>
      <c r="J23" s="447">
        <f t="shared" si="2"/>
        <v>24946.91549585489</v>
      </c>
      <c r="K23" s="448" t="s">
        <v>223</v>
      </c>
      <c r="L23" s="432"/>
      <c r="M23" s="445">
        <f>$J23-SUM(Harvests!J112:N112)</f>
        <v>12783.91549585489</v>
      </c>
      <c r="N23" s="449" t="s">
        <v>223</v>
      </c>
      <c r="O23" s="451">
        <v>29813</v>
      </c>
      <c r="Q23" s="209">
        <f t="shared" si="3"/>
        <v>29813</v>
      </c>
      <c r="R23" s="1128">
        <f t="shared" si="4"/>
        <v>24946.91549585489</v>
      </c>
    </row>
    <row r="24" spans="1:20">
      <c r="A24" s="443">
        <v>1995</v>
      </c>
      <c r="B24" s="450">
        <v>637293</v>
      </c>
      <c r="C24" s="450"/>
      <c r="D24" s="495">
        <v>6326</v>
      </c>
      <c r="E24" s="495">
        <v>125364</v>
      </c>
      <c r="F24" s="495">
        <v>5547</v>
      </c>
      <c r="G24" s="445">
        <f t="shared" si="0"/>
        <v>137237</v>
      </c>
      <c r="H24" s="450"/>
      <c r="I24" s="446">
        <f t="shared" si="1"/>
        <v>4.6095440733912869E-2</v>
      </c>
      <c r="J24" s="447">
        <f t="shared" si="2"/>
        <v>29376.301711637534</v>
      </c>
      <c r="K24" s="448" t="s">
        <v>223</v>
      </c>
      <c r="L24" s="432"/>
      <c r="M24" s="445">
        <f>$J24-SUM(Harvests!J113:N113)</f>
        <v>16068.301711637534</v>
      </c>
      <c r="N24" s="449" t="s">
        <v>223</v>
      </c>
      <c r="O24" s="451">
        <v>15841</v>
      </c>
      <c r="Q24" s="209">
        <f t="shared" si="3"/>
        <v>15841</v>
      </c>
      <c r="R24" s="1128">
        <f t="shared" si="4"/>
        <v>29376.301711637534</v>
      </c>
    </row>
    <row r="25" spans="1:20">
      <c r="A25" s="443">
        <v>1996</v>
      </c>
      <c r="B25" s="450">
        <v>907267</v>
      </c>
      <c r="C25" s="450"/>
      <c r="D25" s="495">
        <v>4881</v>
      </c>
      <c r="E25" s="495">
        <v>141337</v>
      </c>
      <c r="F25" s="495">
        <v>3817</v>
      </c>
      <c r="G25" s="445">
        <f t="shared" si="0"/>
        <v>150035</v>
      </c>
      <c r="H25" s="450"/>
      <c r="I25" s="446">
        <f t="shared" si="1"/>
        <v>3.2532409104542276E-2</v>
      </c>
      <c r="J25" s="447">
        <f t="shared" si="2"/>
        <v>29515.581211050758</v>
      </c>
      <c r="K25" s="448" t="s">
        <v>223</v>
      </c>
      <c r="L25" s="432"/>
      <c r="M25" s="445">
        <f>$J25-SUM(Harvests!J114:N114)</f>
        <v>15333.581211050758</v>
      </c>
      <c r="N25" s="449" t="s">
        <v>223</v>
      </c>
      <c r="O25" s="451">
        <v>41484</v>
      </c>
      <c r="Q25" s="209">
        <f t="shared" si="3"/>
        <v>41484</v>
      </c>
      <c r="R25" s="1128">
        <f t="shared" si="4"/>
        <v>29515.581211050758</v>
      </c>
    </row>
    <row r="26" spans="1:20">
      <c r="A26" s="443">
        <v>1997</v>
      </c>
      <c r="B26" s="450">
        <v>1164791</v>
      </c>
      <c r="C26" s="450"/>
      <c r="D26" s="495">
        <v>7798</v>
      </c>
      <c r="E26" s="495">
        <v>224611</v>
      </c>
      <c r="F26" s="495">
        <v>334</v>
      </c>
      <c r="G26" s="445">
        <f t="shared" si="0"/>
        <v>232743</v>
      </c>
      <c r="H26" s="450"/>
      <c r="I26" s="446">
        <f t="shared" si="1"/>
        <v>3.3504767060663479E-2</v>
      </c>
      <c r="J26" s="447">
        <f t="shared" si="2"/>
        <v>39026.051129357271</v>
      </c>
      <c r="K26" s="448" t="s">
        <v>223</v>
      </c>
      <c r="L26" s="432"/>
      <c r="M26" s="445">
        <f>$J26-SUM(Harvests!J115:N115)</f>
        <v>22650.051129357271</v>
      </c>
      <c r="N26" s="449" t="s">
        <v>223</v>
      </c>
      <c r="O26" s="451">
        <v>38642</v>
      </c>
      <c r="Q26" s="209">
        <f t="shared" si="3"/>
        <v>38642</v>
      </c>
      <c r="R26" s="1128">
        <f t="shared" si="4"/>
        <v>39026.051129357271</v>
      </c>
    </row>
    <row r="27" spans="1:20" ht="16.5" thickBot="1">
      <c r="A27" s="443">
        <v>1998</v>
      </c>
      <c r="B27" s="450">
        <v>865896</v>
      </c>
      <c r="C27" s="450"/>
      <c r="D27" s="495">
        <v>8334</v>
      </c>
      <c r="E27" s="495">
        <v>195567</v>
      </c>
      <c r="F27" s="495">
        <v>2607</v>
      </c>
      <c r="G27" s="445">
        <f t="shared" si="0"/>
        <v>206508</v>
      </c>
      <c r="H27" s="450"/>
      <c r="I27" s="446">
        <f t="shared" si="1"/>
        <v>4.0356790051717127E-2</v>
      </c>
      <c r="J27" s="447">
        <f t="shared" si="2"/>
        <v>34944.783078621651</v>
      </c>
      <c r="K27" s="448" t="s">
        <v>223</v>
      </c>
      <c r="L27" s="453"/>
      <c r="M27" s="445">
        <f>$J27-SUM(Harvests!J116:N116)</f>
        <v>18134.783078621651</v>
      </c>
      <c r="N27" s="449" t="s">
        <v>223</v>
      </c>
      <c r="O27" s="451">
        <v>24952</v>
      </c>
      <c r="Q27" s="209">
        <f t="shared" si="3"/>
        <v>24952</v>
      </c>
      <c r="R27" s="1128">
        <f t="shared" si="4"/>
        <v>34944.783078621651</v>
      </c>
    </row>
    <row r="28" spans="1:20">
      <c r="A28" s="443">
        <v>1999</v>
      </c>
      <c r="B28" s="450">
        <v>850597</v>
      </c>
      <c r="C28" s="450"/>
      <c r="D28" s="495">
        <v>8680</v>
      </c>
      <c r="E28" s="495">
        <v>208841</v>
      </c>
      <c r="F28" s="495">
        <v>3123</v>
      </c>
      <c r="G28" s="445">
        <f t="shared" si="0"/>
        <v>220644</v>
      </c>
      <c r="H28" s="450"/>
      <c r="I28" s="446">
        <f t="shared" si="1"/>
        <v>3.9339388335962004E-2</v>
      </c>
      <c r="J28" s="447">
        <f t="shared" si="2"/>
        <v>33461.965700404275</v>
      </c>
      <c r="K28" s="454">
        <v>32090</v>
      </c>
      <c r="L28" s="453"/>
      <c r="M28" s="445">
        <f>$J28-SUM(Harvests!J117:N117)</f>
        <v>17528.965700404275</v>
      </c>
      <c r="N28" s="445">
        <f>K28-SUM(Harvests!J117:N117)</f>
        <v>16157</v>
      </c>
      <c r="O28" s="451">
        <v>19019</v>
      </c>
      <c r="Q28" s="209">
        <f t="shared" si="3"/>
        <v>16157</v>
      </c>
      <c r="R28" s="1128">
        <f t="shared" si="4"/>
        <v>32090</v>
      </c>
      <c r="S28" s="1127">
        <f t="shared" ref="S28:S43" si="5">I28*B28</f>
        <v>33461.965700404275</v>
      </c>
      <c r="T28" s="968">
        <f t="shared" ref="T28:T43" si="6">S28-K28</f>
        <v>1371.9657004042747</v>
      </c>
    </row>
    <row r="29" spans="1:20">
      <c r="A29" s="443">
        <v>2000</v>
      </c>
      <c r="B29" s="455">
        <v>636837</v>
      </c>
      <c r="C29" s="455"/>
      <c r="D29" s="494">
        <v>7789</v>
      </c>
      <c r="E29" s="494">
        <v>161510</v>
      </c>
      <c r="F29" s="494">
        <v>4051</v>
      </c>
      <c r="G29" s="445">
        <f t="shared" si="0"/>
        <v>173350</v>
      </c>
      <c r="H29" s="455"/>
      <c r="I29" s="446">
        <f t="shared" si="1"/>
        <v>4.4932218055956159E-2</v>
      </c>
      <c r="J29" s="447">
        <f t="shared" si="2"/>
        <v>28614.498950100951</v>
      </c>
      <c r="K29" s="456">
        <v>38047</v>
      </c>
      <c r="L29" s="453"/>
      <c r="M29" s="445">
        <f>$J29-SUM(Harvests!J118:N118)</f>
        <v>15059.498950100951</v>
      </c>
      <c r="N29" s="445">
        <f>K29-SUM(Harvests!J118:N118)</f>
        <v>24492</v>
      </c>
      <c r="O29" s="449" t="s">
        <v>223</v>
      </c>
      <c r="Q29" s="209">
        <f t="shared" si="3"/>
        <v>24492</v>
      </c>
      <c r="R29" s="1128">
        <f t="shared" si="4"/>
        <v>38047</v>
      </c>
      <c r="S29" s="1127">
        <f t="shared" si="5"/>
        <v>28614.498950100951</v>
      </c>
      <c r="T29" s="968">
        <f t="shared" si="6"/>
        <v>-9432.5010498990487</v>
      </c>
    </row>
    <row r="30" spans="1:20">
      <c r="A30" s="443">
        <v>2001</v>
      </c>
      <c r="B30" s="455">
        <v>878205</v>
      </c>
      <c r="C30" s="455"/>
      <c r="D30" s="494">
        <v>6176</v>
      </c>
      <c r="E30" s="494">
        <v>200421</v>
      </c>
      <c r="F30" s="494">
        <v>3486</v>
      </c>
      <c r="G30" s="445">
        <f t="shared" si="0"/>
        <v>210083</v>
      </c>
      <c r="H30" s="455"/>
      <c r="I30" s="446">
        <f t="shared" si="1"/>
        <v>2.9397904637690816E-2</v>
      </c>
      <c r="J30" s="447">
        <f t="shared" si="2"/>
        <v>25817.386842343261</v>
      </c>
      <c r="K30" s="456">
        <v>39778</v>
      </c>
      <c r="L30" s="453"/>
      <c r="M30" s="445">
        <f>$J30-SUM(Harvests!J119:N119)</f>
        <v>14247.386842343261</v>
      </c>
      <c r="N30" s="445">
        <f>K30-SUM(Harvests!J119:N119)</f>
        <v>28208</v>
      </c>
      <c r="O30" s="449" t="s">
        <v>223</v>
      </c>
      <c r="Q30" s="209">
        <f t="shared" si="3"/>
        <v>28208</v>
      </c>
      <c r="R30" s="1128">
        <f t="shared" si="4"/>
        <v>39778</v>
      </c>
      <c r="S30" s="1127">
        <f t="shared" si="5"/>
        <v>25817.386842343261</v>
      </c>
      <c r="T30" s="968">
        <f t="shared" si="6"/>
        <v>-13960.613157656739</v>
      </c>
    </row>
    <row r="31" spans="1:20">
      <c r="A31" s="443">
        <v>2002</v>
      </c>
      <c r="B31" s="455">
        <v>830263</v>
      </c>
      <c r="C31" s="455"/>
      <c r="D31" s="494">
        <v>5766</v>
      </c>
      <c r="E31" s="494">
        <v>132164</v>
      </c>
      <c r="F31" s="494">
        <v>2317</v>
      </c>
      <c r="G31" s="445">
        <f t="shared" si="0"/>
        <v>140247</v>
      </c>
      <c r="H31" s="455"/>
      <c r="I31" s="446">
        <f t="shared" si="1"/>
        <v>4.1113178891527088E-2</v>
      </c>
      <c r="J31" s="447">
        <f t="shared" si="2"/>
        <v>34134.751246015956</v>
      </c>
      <c r="K31" s="456">
        <v>32873</v>
      </c>
      <c r="L31" s="453"/>
      <c r="M31" s="445">
        <f>$J31-SUM(Harvests!J120:N120)</f>
        <v>22763.751246015956</v>
      </c>
      <c r="N31" s="445">
        <f>K31-SUM(Harvests!J120:N120)</f>
        <v>21502</v>
      </c>
      <c r="O31" s="449" t="s">
        <v>223</v>
      </c>
      <c r="Q31" s="209">
        <f t="shared" si="3"/>
        <v>21502</v>
      </c>
      <c r="R31" s="1128">
        <f t="shared" si="4"/>
        <v>32873</v>
      </c>
      <c r="S31" s="1127">
        <f t="shared" si="5"/>
        <v>34134.751246015956</v>
      </c>
      <c r="T31" s="968">
        <f t="shared" si="6"/>
        <v>1261.751246015956</v>
      </c>
    </row>
    <row r="32" spans="1:20">
      <c r="A32" s="443">
        <v>2003</v>
      </c>
      <c r="B32" s="457">
        <v>747091</v>
      </c>
      <c r="C32" s="457"/>
      <c r="D32" s="496">
        <v>4611</v>
      </c>
      <c r="E32" s="496">
        <v>129595</v>
      </c>
      <c r="F32" s="496">
        <v>2840</v>
      </c>
      <c r="G32" s="445">
        <f t="shared" si="0"/>
        <v>137046</v>
      </c>
      <c r="H32" s="457"/>
      <c r="I32" s="446">
        <f t="shared" si="1"/>
        <v>3.3645637231294601E-2</v>
      </c>
      <c r="J32" s="447">
        <f t="shared" si="2"/>
        <v>25136.352764765114</v>
      </c>
      <c r="K32" s="456">
        <v>44764</v>
      </c>
      <c r="L32" s="453"/>
      <c r="M32" s="445">
        <f>$J32-SUM(Harvests!J121:N121)</f>
        <v>14406.352764765114</v>
      </c>
      <c r="N32" s="445">
        <f>K32-SUM(Harvests!J121:N121)</f>
        <v>34034</v>
      </c>
      <c r="O32" s="449" t="s">
        <v>223</v>
      </c>
      <c r="Q32" s="209">
        <f t="shared" si="3"/>
        <v>34034</v>
      </c>
      <c r="R32" s="1128">
        <f t="shared" si="4"/>
        <v>44764</v>
      </c>
      <c r="S32" s="1127">
        <f t="shared" si="5"/>
        <v>25136.352764765114</v>
      </c>
      <c r="T32" s="968">
        <f t="shared" si="6"/>
        <v>-19627.647235234886</v>
      </c>
    </row>
    <row r="33" spans="1:20">
      <c r="A33" s="443">
        <v>2004</v>
      </c>
      <c r="B33" s="457">
        <v>684103</v>
      </c>
      <c r="C33" s="457"/>
      <c r="D33" s="496">
        <v>5917</v>
      </c>
      <c r="E33" s="496">
        <v>164231</v>
      </c>
      <c r="F33" s="496">
        <v>3015</v>
      </c>
      <c r="G33" s="445">
        <f t="shared" si="0"/>
        <v>173163</v>
      </c>
      <c r="H33" s="457"/>
      <c r="I33" s="446">
        <f t="shared" si="1"/>
        <v>3.4170117172837154E-2</v>
      </c>
      <c r="J33" s="447">
        <f t="shared" si="2"/>
        <v>23375.879668289417</v>
      </c>
      <c r="K33" s="456">
        <v>40564</v>
      </c>
      <c r="L33" s="453"/>
      <c r="M33" s="445">
        <f>$J33-SUM(Harvests!J122:N122)</f>
        <v>13456.879668289417</v>
      </c>
      <c r="N33" s="445">
        <f>K33-SUM(Harvests!J122:N122)</f>
        <v>30645</v>
      </c>
      <c r="O33" s="449" t="s">
        <v>223</v>
      </c>
      <c r="Q33" s="209">
        <f t="shared" si="3"/>
        <v>30645</v>
      </c>
      <c r="R33" s="1128">
        <f t="shared" si="4"/>
        <v>40564</v>
      </c>
      <c r="S33" s="1127">
        <f t="shared" si="5"/>
        <v>23375.879668289417</v>
      </c>
      <c r="T33" s="968">
        <f t="shared" si="6"/>
        <v>-17188.120331710583</v>
      </c>
    </row>
    <row r="34" spans="1:20">
      <c r="A34" s="443">
        <v>2005</v>
      </c>
      <c r="B34" s="455">
        <v>855125.30056050722</v>
      </c>
      <c r="C34" s="455"/>
      <c r="D34" s="494">
        <v>4220</v>
      </c>
      <c r="E34" s="494">
        <v>189001</v>
      </c>
      <c r="F34" s="494">
        <v>1729</v>
      </c>
      <c r="G34" s="445">
        <f t="shared" si="0"/>
        <v>194950</v>
      </c>
      <c r="H34" s="455"/>
      <c r="I34" s="446">
        <f t="shared" si="1"/>
        <v>2.1646576045139778E-2</v>
      </c>
      <c r="J34" s="447">
        <f t="shared" si="2"/>
        <v>18510.534846706028</v>
      </c>
      <c r="K34" s="458">
        <v>30333</v>
      </c>
      <c r="L34" s="453"/>
      <c r="M34" s="445">
        <f>$J34-SUM(Harvests!J123:N123)</f>
        <v>9705.5348467060285</v>
      </c>
      <c r="N34" s="445">
        <f>K34-SUM(Harvests!J123:N123)</f>
        <v>21528</v>
      </c>
      <c r="O34" s="449" t="s">
        <v>223</v>
      </c>
      <c r="Q34" s="209">
        <f t="shared" si="3"/>
        <v>21528</v>
      </c>
      <c r="R34" s="1128">
        <f t="shared" si="4"/>
        <v>30333</v>
      </c>
      <c r="S34" s="1127">
        <f t="shared" si="5"/>
        <v>18510.534846706028</v>
      </c>
      <c r="T34" s="968">
        <f t="shared" si="6"/>
        <v>-11822.465153293972</v>
      </c>
    </row>
    <row r="35" spans="1:20">
      <c r="A35" s="443">
        <v>2006</v>
      </c>
      <c r="B35" s="455">
        <v>959706</v>
      </c>
      <c r="C35" s="455"/>
      <c r="D35" s="494">
        <v>4958</v>
      </c>
      <c r="E35" s="494">
        <v>173292</v>
      </c>
      <c r="F35" s="494">
        <v>2144</v>
      </c>
      <c r="G35" s="445">
        <f t="shared" si="0"/>
        <v>180394</v>
      </c>
      <c r="H35" s="455"/>
      <c r="I35" s="446">
        <f t="shared" si="1"/>
        <v>2.7484284399702873E-2</v>
      </c>
      <c r="J35" s="447">
        <f t="shared" si="2"/>
        <v>26376.832644101247</v>
      </c>
      <c r="K35" s="458">
        <v>67789</v>
      </c>
      <c r="L35" s="453"/>
      <c r="M35" s="445">
        <f>$J35-SUM(Harvests!J124:N124)</f>
        <v>17041.832644101247</v>
      </c>
      <c r="N35" s="445">
        <f>K35-SUM(Harvests!J124:N124)</f>
        <v>58454</v>
      </c>
      <c r="O35" s="449" t="s">
        <v>223</v>
      </c>
      <c r="Q35" s="209">
        <f t="shared" si="3"/>
        <v>58454</v>
      </c>
      <c r="R35" s="1128">
        <f t="shared" si="4"/>
        <v>67789</v>
      </c>
      <c r="S35" s="1127">
        <f t="shared" si="5"/>
        <v>26376.832644101247</v>
      </c>
      <c r="T35" s="968">
        <f t="shared" si="6"/>
        <v>-41412.167355898753</v>
      </c>
    </row>
    <row r="36" spans="1:20">
      <c r="A36" s="443">
        <v>2007</v>
      </c>
      <c r="B36" s="455">
        <v>919601</v>
      </c>
      <c r="C36" s="455"/>
      <c r="D36" s="494">
        <v>6089</v>
      </c>
      <c r="E36" s="494">
        <v>190384</v>
      </c>
      <c r="F36" s="494">
        <v>1797</v>
      </c>
      <c r="G36" s="445">
        <f t="shared" si="0"/>
        <v>198270</v>
      </c>
      <c r="H36" s="455"/>
      <c r="I36" s="446">
        <f t="shared" si="1"/>
        <v>3.0710647097392445E-2</v>
      </c>
      <c r="J36" s="447">
        <f t="shared" si="2"/>
        <v>28241.541781409189</v>
      </c>
      <c r="K36" s="458">
        <v>46349</v>
      </c>
      <c r="L36" s="453"/>
      <c r="M36" s="445">
        <f>$J36-SUM(Harvests!J125:N125)</f>
        <v>16467.541781409189</v>
      </c>
      <c r="N36" s="445">
        <f>K36-SUM(Harvests!J125:N125)</f>
        <v>34575</v>
      </c>
      <c r="O36" s="449" t="s">
        <v>223</v>
      </c>
      <c r="Q36" s="209">
        <f t="shared" si="3"/>
        <v>34575</v>
      </c>
      <c r="R36" s="1128">
        <f t="shared" si="4"/>
        <v>46349</v>
      </c>
      <c r="S36" s="1127">
        <f t="shared" si="5"/>
        <v>28241.541781409189</v>
      </c>
      <c r="T36" s="968">
        <f t="shared" si="6"/>
        <v>-18107.458218590811</v>
      </c>
    </row>
    <row r="37" spans="1:20">
      <c r="A37" s="459">
        <v>2008</v>
      </c>
      <c r="B37" s="455">
        <v>718344</v>
      </c>
      <c r="C37" s="455"/>
      <c r="D37" s="494">
        <v>4655</v>
      </c>
      <c r="E37" s="494">
        <v>122937</v>
      </c>
      <c r="F37" s="494">
        <v>3058</v>
      </c>
      <c r="G37" s="445">
        <f t="shared" si="0"/>
        <v>130650</v>
      </c>
      <c r="H37" s="455"/>
      <c r="I37" s="446">
        <f t="shared" si="1"/>
        <v>3.5629544584768462E-2</v>
      </c>
      <c r="J37" s="447">
        <f t="shared" si="2"/>
        <v>25594.269575200917</v>
      </c>
      <c r="K37" s="458">
        <v>41343</v>
      </c>
      <c r="L37" s="453"/>
      <c r="M37" s="445">
        <f>$J37-SUM(Harvests!J126:N126)</f>
        <v>16736.269575200917</v>
      </c>
      <c r="N37" s="445">
        <f>K37-SUM(Harvests!J126:N126)</f>
        <v>32485</v>
      </c>
      <c r="O37" s="449" t="s">
        <v>223</v>
      </c>
      <c r="Q37" s="209">
        <f t="shared" si="3"/>
        <v>32485</v>
      </c>
      <c r="R37" s="1128">
        <f t="shared" si="4"/>
        <v>41343</v>
      </c>
      <c r="S37" s="1127">
        <f t="shared" si="5"/>
        <v>25594.269575200917</v>
      </c>
      <c r="T37" s="968">
        <f t="shared" si="6"/>
        <v>-15748.730424799083</v>
      </c>
    </row>
    <row r="38" spans="1:20">
      <c r="A38" s="459">
        <v>2009</v>
      </c>
      <c r="B38" s="455">
        <v>709748</v>
      </c>
      <c r="C38" s="455"/>
      <c r="D38" s="494">
        <v>3031</v>
      </c>
      <c r="E38" s="494">
        <v>137823</v>
      </c>
      <c r="F38" s="494">
        <v>1691</v>
      </c>
      <c r="G38" s="445">
        <f t="shared" si="0"/>
        <v>142545</v>
      </c>
      <c r="H38" s="455"/>
      <c r="I38" s="446">
        <f t="shared" ref="I38:I43" si="7">D38/G38</f>
        <v>2.1263460661545476E-2</v>
      </c>
      <c r="J38" s="447">
        <f t="shared" si="2"/>
        <v>15091.698677610579</v>
      </c>
      <c r="K38" s="458">
        <v>32401</v>
      </c>
      <c r="L38" s="453"/>
      <c r="M38" s="445">
        <f>$J38-SUM(Harvests!J127:N127)</f>
        <v>10477.698677610579</v>
      </c>
      <c r="N38" s="445">
        <f>K38-SUM(Harvests!J127:N127)</f>
        <v>27787</v>
      </c>
      <c r="O38" s="449" t="s">
        <v>223</v>
      </c>
      <c r="Q38" s="209">
        <f t="shared" si="3"/>
        <v>27787</v>
      </c>
      <c r="R38" s="1128">
        <f t="shared" si="4"/>
        <v>32401</v>
      </c>
      <c r="S38" s="1127">
        <f t="shared" si="5"/>
        <v>15091.698677610579</v>
      </c>
      <c r="T38" s="968">
        <f t="shared" si="6"/>
        <v>-17309.301322389423</v>
      </c>
    </row>
    <row r="39" spans="1:20">
      <c r="A39" s="459">
        <v>2010</v>
      </c>
      <c r="B39" s="455">
        <v>923811</v>
      </c>
      <c r="C39" s="455"/>
      <c r="D39" s="494">
        <v>2843</v>
      </c>
      <c r="E39" s="494">
        <v>166797</v>
      </c>
      <c r="F39" s="494">
        <v>2193</v>
      </c>
      <c r="G39" s="445">
        <f t="shared" ref="G39:G44" si="8">SUM(D39:F39)</f>
        <v>171833</v>
      </c>
      <c r="H39" s="455"/>
      <c r="I39" s="446">
        <f t="shared" si="7"/>
        <v>1.6545133938184166E-2</v>
      </c>
      <c r="J39" s="447">
        <f t="shared" si="2"/>
        <v>15284.576728567852</v>
      </c>
      <c r="K39" s="458">
        <v>22323</v>
      </c>
      <c r="L39" s="453"/>
      <c r="M39" s="445">
        <f>$J39-SUM(Harvests!J128:N128)</f>
        <v>9732.5767285678521</v>
      </c>
      <c r="N39" s="445">
        <f>K39-SUM(Harvests!J128:N128)</f>
        <v>16771</v>
      </c>
      <c r="O39" s="449" t="s">
        <v>223</v>
      </c>
      <c r="Q39" s="209">
        <f t="shared" si="3"/>
        <v>16771</v>
      </c>
      <c r="R39" s="1128">
        <f t="shared" si="4"/>
        <v>22323</v>
      </c>
      <c r="S39" s="1127">
        <f t="shared" si="5"/>
        <v>15284.576728567852</v>
      </c>
      <c r="T39" s="968">
        <f t="shared" si="6"/>
        <v>-7038.4232714321479</v>
      </c>
    </row>
    <row r="40" spans="1:20">
      <c r="A40" s="459">
        <v>2011</v>
      </c>
      <c r="B40" s="455">
        <v>914231</v>
      </c>
      <c r="C40" s="455"/>
      <c r="D40" s="455">
        <v>3816</v>
      </c>
      <c r="E40" s="455">
        <v>182076</v>
      </c>
      <c r="F40" s="455">
        <v>3060</v>
      </c>
      <c r="G40" s="445">
        <f t="shared" si="8"/>
        <v>188952</v>
      </c>
      <c r="H40" s="455"/>
      <c r="I40" s="446">
        <f t="shared" si="7"/>
        <v>2.0195605233075068E-2</v>
      </c>
      <c r="J40" s="447">
        <f>I40*B40</f>
        <v>18463.448367839454</v>
      </c>
      <c r="K40" s="458">
        <v>33889</v>
      </c>
      <c r="L40" s="453"/>
      <c r="M40" s="445">
        <f>$J40-SUM(Harvests!J129:N129)</f>
        <v>12568.448367839454</v>
      </c>
      <c r="N40" s="445">
        <f>K40-SUM(Harvests!J129:N129)</f>
        <v>27994</v>
      </c>
      <c r="O40" s="449" t="s">
        <v>223</v>
      </c>
      <c r="Q40" s="209">
        <f t="shared" si="3"/>
        <v>27994</v>
      </c>
      <c r="R40" s="1128">
        <f t="shared" si="4"/>
        <v>33889</v>
      </c>
      <c r="S40" s="1127">
        <f t="shared" si="5"/>
        <v>18463.448367839454</v>
      </c>
      <c r="T40" s="968">
        <f t="shared" si="6"/>
        <v>-15425.551632160546</v>
      </c>
    </row>
    <row r="41" spans="1:20">
      <c r="A41" s="459">
        <v>2012</v>
      </c>
      <c r="B41" s="455">
        <v>1294400</v>
      </c>
      <c r="C41" s="455"/>
      <c r="D41" s="455">
        <v>2756</v>
      </c>
      <c r="E41" s="455">
        <v>190705</v>
      </c>
      <c r="F41" s="528">
        <v>1561</v>
      </c>
      <c r="G41" s="445">
        <f t="shared" si="8"/>
        <v>195022</v>
      </c>
      <c r="H41" s="455"/>
      <c r="I41" s="446">
        <f t="shared" si="7"/>
        <v>1.4131738983294192E-2</v>
      </c>
      <c r="J41" s="447">
        <f>I41*B41</f>
        <v>18292.122939976001</v>
      </c>
      <c r="K41" s="458">
        <v>33582</v>
      </c>
      <c r="L41" s="453"/>
      <c r="M41" s="445">
        <f>$J41-SUM(Harvests!J130:N130)</f>
        <v>14675.122939976001</v>
      </c>
      <c r="N41" s="445">
        <f>K41-SUM(Harvests!J130:N130)</f>
        <v>29965</v>
      </c>
      <c r="O41" s="449" t="s">
        <v>223</v>
      </c>
      <c r="Q41" s="209">
        <f t="shared" si="3"/>
        <v>29965</v>
      </c>
      <c r="R41" s="1128">
        <f t="shared" si="4"/>
        <v>33582</v>
      </c>
      <c r="S41" s="1127">
        <f t="shared" si="5"/>
        <v>18292.122939976001</v>
      </c>
      <c r="T41" s="968">
        <f t="shared" si="6"/>
        <v>-15289.877060023999</v>
      </c>
    </row>
    <row r="42" spans="1:20">
      <c r="A42" s="459">
        <v>2013</v>
      </c>
      <c r="B42" s="455">
        <v>1267060</v>
      </c>
      <c r="C42" s="455"/>
      <c r="D42" s="467">
        <v>2884</v>
      </c>
      <c r="E42" s="467">
        <v>232638</v>
      </c>
      <c r="F42" s="467">
        <v>864</v>
      </c>
      <c r="G42" s="445">
        <f t="shared" si="8"/>
        <v>236386</v>
      </c>
      <c r="H42" s="455"/>
      <c r="I42" s="446">
        <f t="shared" si="7"/>
        <v>1.2200384117502728E-2</v>
      </c>
      <c r="J42" s="447">
        <f>I42*B42</f>
        <v>15458.618699923007</v>
      </c>
      <c r="K42" s="458">
        <v>32581</v>
      </c>
      <c r="L42" s="453"/>
      <c r="M42" s="445">
        <f>$J42-SUM(Harvests!J131:N131)</f>
        <v>11889.618699923007</v>
      </c>
      <c r="N42" s="445">
        <f>K42-SUM(Harvests!J131:N131)</f>
        <v>29012</v>
      </c>
      <c r="O42" s="449" t="s">
        <v>223</v>
      </c>
      <c r="Q42" s="209">
        <f t="shared" si="3"/>
        <v>29012</v>
      </c>
      <c r="R42" s="1128">
        <f t="shared" si="4"/>
        <v>32581</v>
      </c>
      <c r="S42" s="1127">
        <f t="shared" si="5"/>
        <v>15458.618699923007</v>
      </c>
      <c r="T42" s="968">
        <f t="shared" si="6"/>
        <v>-17122.381300076995</v>
      </c>
    </row>
    <row r="43" spans="1:20" ht="16.5" thickBot="1">
      <c r="A43" s="459">
        <v>2014</v>
      </c>
      <c r="B43" s="455">
        <v>1218418</v>
      </c>
      <c r="C43" s="455"/>
      <c r="D43" s="681">
        <f>AVERAGE(D38:D42)</f>
        <v>3066</v>
      </c>
      <c r="E43" s="681">
        <f>AVERAGE(E38:E42)</f>
        <v>182007.8</v>
      </c>
      <c r="F43" s="681">
        <f>AVERAGE(F38:F42)</f>
        <v>1873.8</v>
      </c>
      <c r="G43" s="445">
        <f t="shared" si="8"/>
        <v>186947.59999999998</v>
      </c>
      <c r="H43" s="455"/>
      <c r="I43" s="446">
        <f t="shared" si="7"/>
        <v>1.6400317522129199E-2</v>
      </c>
      <c r="J43" s="447">
        <f>I43*B43</f>
        <v>19982.442074677612</v>
      </c>
      <c r="K43" s="824">
        <v>24158</v>
      </c>
      <c r="L43" s="453"/>
      <c r="M43" s="445">
        <f>$J43-SUM(Harvests!J132:N132)</f>
        <v>16533.442074677612</v>
      </c>
      <c r="N43" s="445">
        <f>K43-SUM(Harvests!J132:N132)</f>
        <v>20709</v>
      </c>
      <c r="O43" s="449" t="s">
        <v>223</v>
      </c>
      <c r="Q43" s="209">
        <f t="shared" si="3"/>
        <v>20709</v>
      </c>
      <c r="R43" s="1128">
        <f t="shared" si="4"/>
        <v>24158</v>
      </c>
      <c r="S43" s="1127">
        <f t="shared" si="5"/>
        <v>19982.442074677612</v>
      </c>
      <c r="T43" s="968">
        <f t="shared" si="6"/>
        <v>-4175.5579253223877</v>
      </c>
    </row>
    <row r="44" spans="1:20">
      <c r="A44" s="459">
        <v>2015</v>
      </c>
      <c r="B44" s="972"/>
      <c r="C44" s="455"/>
      <c r="D44" s="972"/>
      <c r="E44" s="972"/>
      <c r="F44" s="972"/>
      <c r="G44" s="973">
        <f t="shared" si="8"/>
        <v>0</v>
      </c>
      <c r="H44" s="972"/>
      <c r="I44" s="972"/>
      <c r="J44" s="972"/>
      <c r="K44" s="969">
        <v>32306</v>
      </c>
      <c r="L44" s="453"/>
      <c r="M44" s="445">
        <f>$J44-SUM(Harvests!J133:N133)</f>
        <v>-5542</v>
      </c>
      <c r="N44" s="445">
        <f>K44-SUM(Harvests!J133:N133)</f>
        <v>26764</v>
      </c>
      <c r="O44" s="449" t="s">
        <v>223</v>
      </c>
      <c r="Q44" s="209">
        <f t="shared" si="3"/>
        <v>26764</v>
      </c>
      <c r="R44" s="1128">
        <f t="shared" si="4"/>
        <v>32306</v>
      </c>
    </row>
    <row r="45" spans="1:20">
      <c r="A45" s="459">
        <v>2016</v>
      </c>
      <c r="B45" s="972"/>
      <c r="C45" s="455"/>
      <c r="D45" s="972"/>
      <c r="E45" s="972"/>
      <c r="F45" s="972"/>
      <c r="G45" s="973"/>
      <c r="H45" s="972"/>
      <c r="I45" s="972"/>
      <c r="J45" s="972"/>
      <c r="K45" s="969">
        <v>16009</v>
      </c>
      <c r="L45" s="453"/>
      <c r="M45" s="445">
        <f>$J45-SUM(Harvests!J134:N134)</f>
        <v>-3524</v>
      </c>
      <c r="N45" s="445">
        <f>K45-SUM(Harvests!J134:N134)</f>
        <v>12485</v>
      </c>
      <c r="O45" s="449" t="s">
        <v>223</v>
      </c>
      <c r="Q45" s="1128">
        <f>IFERROR(N45/1,O45)</f>
        <v>12485</v>
      </c>
      <c r="R45" s="1128">
        <f>IFERROR(K45/1,J45)</f>
        <v>16009</v>
      </c>
    </row>
    <row r="46" spans="1:20">
      <c r="A46" s="459">
        <v>2017</v>
      </c>
      <c r="K46" s="451">
        <v>40725</v>
      </c>
      <c r="M46" s="445">
        <f>$J46-SUM(Harvests!J135:N135)</f>
        <v>-5994</v>
      </c>
      <c r="N46" s="445">
        <f>K46-SUM(Harvests!J135:N135)</f>
        <v>34731</v>
      </c>
      <c r="Q46" s="430"/>
      <c r="R46" s="430">
        <f>IFERROR(K46/1,J46)</f>
        <v>40725</v>
      </c>
    </row>
    <row r="47" spans="1:20">
      <c r="A47" s="459"/>
      <c r="K47" s="451">
        <v>52524</v>
      </c>
      <c r="M47" s="445"/>
      <c r="N47" s="445">
        <f>K47-SUM(Harvests!J136:N136)</f>
        <v>46530</v>
      </c>
      <c r="Q47" s="430"/>
      <c r="R47" s="430">
        <f>IFERROR(K47/1,J47)</f>
        <v>52524</v>
      </c>
    </row>
    <row r="48" spans="1:20">
      <c r="A48" s="443"/>
      <c r="B48" s="455"/>
      <c r="C48" s="455"/>
      <c r="D48" s="455"/>
      <c r="E48" s="455"/>
      <c r="F48" s="455"/>
      <c r="G48" s="455"/>
      <c r="H48" s="455"/>
      <c r="I48" s="455"/>
      <c r="J48" s="455"/>
      <c r="K48" s="455"/>
      <c r="L48" s="432"/>
    </row>
    <row r="49" spans="1:14">
      <c r="A49" s="460" t="s">
        <v>219</v>
      </c>
      <c r="B49" s="455"/>
      <c r="C49" s="455"/>
      <c r="D49" s="455"/>
      <c r="E49" s="455"/>
      <c r="F49" s="455"/>
      <c r="G49" s="455"/>
      <c r="H49" s="455"/>
      <c r="I49" s="455"/>
      <c r="J49" s="455"/>
      <c r="K49" s="455"/>
      <c r="L49" s="429"/>
    </row>
    <row r="50" spans="1:14">
      <c r="A50" s="1003" t="s">
        <v>487</v>
      </c>
      <c r="B50" s="461">
        <f>AVERAGE(B9:B49)</f>
        <v>762474.35144458595</v>
      </c>
      <c r="C50" s="461"/>
      <c r="D50" s="461">
        <f>AVERAGE(D9:D49)</f>
        <v>4442.1142857142859</v>
      </c>
      <c r="E50" s="461">
        <f>AVERAGE(E9:E49)</f>
        <v>135139.19428571427</v>
      </c>
      <c r="F50" s="461">
        <f>AVERAGE(F9:F49)</f>
        <v>1999.4514285714286</v>
      </c>
      <c r="G50" s="461">
        <f>AVERAGE(G9:G49)</f>
        <v>137647.9611111111</v>
      </c>
      <c r="H50" s="461"/>
      <c r="I50" s="530">
        <f>AVERAGE(I9:I49)</f>
        <v>3.4534763182489756E-2</v>
      </c>
      <c r="J50" s="461">
        <f>AVERAGE(J9:J49)</f>
        <v>24215.931099522568</v>
      </c>
      <c r="K50" s="461">
        <f>AVERAGE(K9:K49)</f>
        <v>36721.4</v>
      </c>
      <c r="L50" s="461"/>
      <c r="M50" s="461">
        <f>AVERAGE(M9:M49)</f>
        <v>13904.594433770775</v>
      </c>
      <c r="N50" s="461">
        <f>AVERAGE(N9:N49)</f>
        <v>28741.4</v>
      </c>
    </row>
    <row r="51" spans="1:14">
      <c r="A51" s="1003" t="s">
        <v>485</v>
      </c>
      <c r="B51" s="462">
        <f>AVERAGE(B24:B49)</f>
        <v>899139.36502802535</v>
      </c>
      <c r="C51" s="462"/>
      <c r="D51" s="462">
        <f t="shared" ref="D51:N51" si="9">AVERAGE(D24:D49)</f>
        <v>5229.8</v>
      </c>
      <c r="E51" s="462">
        <f t="shared" si="9"/>
        <v>172565.09</v>
      </c>
      <c r="F51" s="462">
        <f t="shared" si="9"/>
        <v>2555.3900000000003</v>
      </c>
      <c r="G51" s="462">
        <f t="shared" si="9"/>
        <v>171762.17142857143</v>
      </c>
      <c r="H51" s="462"/>
      <c r="I51" s="531">
        <f t="shared" si="9"/>
        <v>2.9564777192941892E-2</v>
      </c>
      <c r="J51" s="462">
        <f t="shared" si="9"/>
        <v>25234.981931929899</v>
      </c>
      <c r="K51" s="462">
        <f t="shared" si="9"/>
        <v>36721.4</v>
      </c>
      <c r="L51" s="462"/>
      <c r="M51" s="462">
        <f t="shared" si="9"/>
        <v>12626.853853852088</v>
      </c>
      <c r="N51" s="462">
        <f t="shared" si="9"/>
        <v>28741.4</v>
      </c>
    </row>
    <row r="52" spans="1:14">
      <c r="A52" s="1003" t="s">
        <v>486</v>
      </c>
      <c r="B52" s="463">
        <f>AVERAGE(B28:B49)</f>
        <v>900471.26878503175</v>
      </c>
      <c r="C52" s="463"/>
      <c r="D52" s="463">
        <f>AVERAGE(D28:D49)</f>
        <v>4828.5625</v>
      </c>
      <c r="E52" s="463">
        <f>AVERAGE(E28:E49)</f>
        <v>172776.42499999999</v>
      </c>
      <c r="F52" s="463">
        <f>AVERAGE(F28:F49)</f>
        <v>2425.1750000000002</v>
      </c>
      <c r="G52" s="463">
        <f>AVERAGE(G28:G49)</f>
        <v>169440.15294117646</v>
      </c>
      <c r="H52" s="463"/>
      <c r="I52" s="532">
        <f>AVERAGE(I28:I49)</f>
        <v>2.7425383556750144E-2</v>
      </c>
      <c r="J52" s="463">
        <f>AVERAGE(J28:J49)</f>
        <v>23239.807594245674</v>
      </c>
      <c r="K52" s="463">
        <f>AVERAGE(K28:K49)</f>
        <v>36721.4</v>
      </c>
      <c r="L52" s="463"/>
      <c r="M52" s="463">
        <f>AVERAGE(M28:M49)</f>
        <v>11485.837974101623</v>
      </c>
      <c r="N52" s="463">
        <f>AVERAGE(N28:N49)</f>
        <v>28741.4</v>
      </c>
    </row>
    <row r="53" spans="1:14">
      <c r="A53" s="1004"/>
      <c r="B53" s="447"/>
      <c r="C53" s="447"/>
      <c r="D53" s="447"/>
      <c r="E53" s="447"/>
      <c r="F53" s="447"/>
      <c r="G53" s="447"/>
      <c r="H53" s="447"/>
      <c r="I53" s="447"/>
      <c r="J53" s="447"/>
      <c r="K53" s="447"/>
      <c r="L53" s="429"/>
    </row>
    <row r="54" spans="1:14">
      <c r="A54" s="443"/>
      <c r="B54" s="447"/>
      <c r="C54" s="447"/>
      <c r="D54" s="447"/>
      <c r="E54" s="447"/>
      <c r="F54" s="447"/>
      <c r="G54" s="447"/>
      <c r="H54" s="447"/>
      <c r="I54" s="447"/>
      <c r="J54" s="447"/>
      <c r="K54" s="447"/>
      <c r="L54" s="429"/>
    </row>
    <row r="55" spans="1:14">
      <c r="A55" s="443"/>
      <c r="B55" s="447"/>
      <c r="C55" s="447"/>
      <c r="D55" s="447"/>
      <c r="E55" s="447"/>
      <c r="F55" s="447"/>
      <c r="G55" s="447"/>
      <c r="H55" s="447"/>
      <c r="I55" s="447"/>
      <c r="J55" s="447"/>
      <c r="K55" s="464"/>
      <c r="L55" s="429"/>
    </row>
    <row r="56" spans="1:14">
      <c r="A56" s="429"/>
      <c r="B56" s="429"/>
      <c r="C56" s="429"/>
      <c r="D56" s="429"/>
      <c r="E56" s="429"/>
      <c r="F56" s="429"/>
      <c r="G56" s="429"/>
      <c r="H56" s="429"/>
      <c r="I56" s="429"/>
      <c r="J56" s="429"/>
      <c r="K56" s="464"/>
      <c r="L56" s="429"/>
    </row>
    <row r="57" spans="1:14">
      <c r="A57" s="429"/>
      <c r="B57" s="429"/>
      <c r="C57" s="429"/>
      <c r="D57" s="429"/>
      <c r="E57" s="429"/>
      <c r="F57" s="429"/>
      <c r="G57" s="429"/>
      <c r="H57" s="429"/>
      <c r="I57" s="429"/>
      <c r="J57" s="429"/>
      <c r="K57" s="464"/>
      <c r="L57" s="429"/>
    </row>
    <row r="58" spans="1:14">
      <c r="A58" s="429"/>
      <c r="B58" s="429"/>
      <c r="C58" s="429"/>
      <c r="D58" s="429"/>
      <c r="E58" s="429"/>
      <c r="F58" s="429"/>
      <c r="G58" s="429"/>
      <c r="H58" s="429"/>
      <c r="I58" s="429"/>
      <c r="J58" s="429"/>
      <c r="K58" s="464"/>
      <c r="L58" s="429"/>
    </row>
    <row r="59" spans="1:14">
      <c r="A59" s="429"/>
      <c r="B59" s="429"/>
      <c r="C59" s="429"/>
      <c r="D59" s="429"/>
      <c r="E59" s="429"/>
      <c r="F59" s="429"/>
      <c r="G59" s="429"/>
      <c r="H59" s="429"/>
      <c r="I59" s="429"/>
      <c r="J59" s="429"/>
      <c r="K59" s="465"/>
      <c r="L59" s="429"/>
    </row>
    <row r="60" spans="1:14">
      <c r="A60" s="429"/>
      <c r="B60" s="429"/>
      <c r="C60" s="429"/>
      <c r="D60" s="429"/>
      <c r="E60" s="429"/>
      <c r="F60" s="429"/>
      <c r="G60" s="429"/>
      <c r="H60" s="429"/>
      <c r="I60" s="429"/>
      <c r="J60" s="429"/>
      <c r="K60" s="465"/>
      <c r="L60" s="429"/>
    </row>
    <row r="61" spans="1:14">
      <c r="A61" s="429"/>
      <c r="B61" s="429"/>
      <c r="C61" s="429"/>
      <c r="D61" s="429"/>
      <c r="E61" s="429"/>
      <c r="F61" s="429"/>
      <c r="G61" s="429"/>
      <c r="H61" s="429"/>
      <c r="I61" s="429"/>
      <c r="J61" s="429"/>
      <c r="K61" s="465"/>
      <c r="L61" s="429"/>
    </row>
    <row r="62" spans="1:14">
      <c r="A62" s="429"/>
      <c r="B62" s="429"/>
      <c r="C62" s="429"/>
      <c r="D62" s="429"/>
      <c r="E62" s="429"/>
      <c r="F62" s="429"/>
      <c r="G62" s="429"/>
      <c r="H62" s="429"/>
      <c r="I62" s="429"/>
      <c r="J62" s="429"/>
      <c r="K62" s="465"/>
      <c r="L62" s="429"/>
    </row>
    <row r="63" spans="1:14">
      <c r="A63" s="429"/>
      <c r="B63" s="429"/>
      <c r="C63" s="429"/>
      <c r="D63" s="429"/>
      <c r="E63" s="429"/>
      <c r="F63" s="429"/>
      <c r="G63" s="429"/>
      <c r="H63" s="429"/>
      <c r="I63" s="429"/>
      <c r="J63" s="429"/>
      <c r="K63" s="465"/>
      <c r="L63" s="429"/>
    </row>
    <row r="64" spans="1:14">
      <c r="A64" s="429"/>
      <c r="B64" s="429"/>
      <c r="C64" s="429"/>
      <c r="D64" s="429"/>
      <c r="E64" s="429"/>
      <c r="F64" s="429"/>
      <c r="G64" s="429"/>
      <c r="H64" s="429"/>
      <c r="I64" s="429"/>
      <c r="J64" s="429"/>
      <c r="K64" s="465"/>
      <c r="L64" s="429"/>
    </row>
    <row r="65" spans="1:12">
      <c r="A65" s="429"/>
      <c r="B65" s="429"/>
      <c r="C65" s="429"/>
      <c r="D65" s="429"/>
      <c r="E65" s="429"/>
      <c r="F65" s="429"/>
      <c r="G65" s="429"/>
      <c r="H65" s="429"/>
      <c r="I65" s="429"/>
      <c r="J65" s="429"/>
      <c r="K65" s="465"/>
      <c r="L65" s="429"/>
    </row>
    <row r="66" spans="1:12">
      <c r="A66" s="429"/>
      <c r="B66" s="429"/>
      <c r="C66" s="429"/>
      <c r="D66" s="429"/>
      <c r="E66" s="429"/>
      <c r="F66" s="429"/>
      <c r="G66" s="429"/>
      <c r="H66" s="429"/>
      <c r="I66" s="429"/>
      <c r="J66" s="429"/>
      <c r="K66" s="465"/>
      <c r="L66" s="429"/>
    </row>
    <row r="67" spans="1:12">
      <c r="A67" s="429"/>
      <c r="B67" s="429"/>
      <c r="C67" s="429"/>
      <c r="D67" s="429"/>
      <c r="E67" s="429"/>
      <c r="F67" s="429"/>
      <c r="G67" s="429"/>
      <c r="H67" s="429"/>
      <c r="I67" s="429"/>
      <c r="J67" s="429"/>
      <c r="K67" s="466"/>
      <c r="L67" s="429"/>
    </row>
    <row r="68" spans="1:12">
      <c r="A68" s="429"/>
      <c r="B68" s="429"/>
      <c r="C68" s="429"/>
      <c r="D68" s="429"/>
      <c r="E68" s="429"/>
      <c r="F68" s="429"/>
      <c r="G68" s="429"/>
      <c r="H68" s="429"/>
      <c r="I68" s="429"/>
      <c r="J68" s="429"/>
      <c r="K68" s="466"/>
      <c r="L68" s="429"/>
    </row>
    <row r="69" spans="1:12">
      <c r="A69" s="429"/>
      <c r="B69" s="429"/>
      <c r="C69" s="429"/>
      <c r="D69" s="429"/>
      <c r="E69" s="429"/>
      <c r="F69" s="429"/>
      <c r="G69" s="429"/>
      <c r="H69" s="429"/>
      <c r="I69" s="429"/>
      <c r="J69" s="429"/>
      <c r="K69" s="466"/>
      <c r="L69" s="429"/>
    </row>
    <row r="70" spans="1:12">
      <c r="A70" s="429"/>
      <c r="B70" s="429"/>
      <c r="C70" s="429"/>
      <c r="D70" s="429"/>
      <c r="E70" s="429"/>
      <c r="F70" s="429"/>
      <c r="G70" s="429"/>
      <c r="H70" s="429"/>
      <c r="I70" s="429"/>
      <c r="J70" s="429"/>
      <c r="K70" s="467"/>
      <c r="L70" s="429"/>
    </row>
    <row r="71" spans="1:12">
      <c r="A71" s="429"/>
      <c r="B71" s="429"/>
      <c r="C71" s="429"/>
      <c r="D71" s="429"/>
      <c r="E71" s="429"/>
      <c r="F71" s="429"/>
      <c r="G71" s="429"/>
      <c r="H71" s="429"/>
      <c r="I71" s="429"/>
      <c r="J71" s="429"/>
      <c r="K71" s="466"/>
      <c r="L71" s="429"/>
    </row>
    <row r="72" spans="1:12">
      <c r="A72" s="429"/>
      <c r="B72" s="429"/>
      <c r="C72" s="429"/>
      <c r="D72" s="429"/>
      <c r="E72" s="429"/>
      <c r="F72" s="429"/>
      <c r="G72" s="429"/>
      <c r="H72" s="429"/>
      <c r="I72" s="429"/>
      <c r="J72" s="429"/>
      <c r="K72" s="429"/>
      <c r="L72" s="429"/>
    </row>
    <row r="73" spans="1:12">
      <c r="A73" s="429"/>
      <c r="B73" s="429"/>
      <c r="C73" s="429"/>
      <c r="D73" s="429"/>
      <c r="E73" s="429"/>
      <c r="F73" s="429"/>
      <c r="G73" s="429"/>
      <c r="H73" s="429"/>
      <c r="I73" s="429"/>
      <c r="J73" s="429"/>
      <c r="K73" s="429"/>
      <c r="L73" s="429"/>
    </row>
    <row r="74" spans="1:12">
      <c r="A74" s="429"/>
      <c r="B74" s="429"/>
      <c r="C74" s="429"/>
      <c r="D74" s="429"/>
      <c r="E74" s="429"/>
      <c r="F74" s="429"/>
      <c r="G74" s="429"/>
      <c r="H74" s="429"/>
      <c r="I74" s="429"/>
      <c r="J74" s="429"/>
      <c r="K74" s="429"/>
      <c r="L74" s="429"/>
    </row>
    <row r="75" spans="1:12">
      <c r="A75" s="429"/>
      <c r="B75" s="429"/>
      <c r="C75" s="429"/>
      <c r="D75" s="429"/>
      <c r="E75" s="429"/>
      <c r="F75" s="429"/>
      <c r="G75" s="429"/>
      <c r="H75" s="429"/>
      <c r="I75" s="429"/>
      <c r="J75" s="429"/>
      <c r="K75" s="429"/>
      <c r="L75" s="429"/>
    </row>
  </sheetData>
  <mergeCells count="3">
    <mergeCell ref="D5:G5"/>
    <mergeCell ref="J5:K5"/>
    <mergeCell ref="M5:O5"/>
  </mergeCells>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tabColor rgb="FF00B0F0"/>
  </sheetPr>
  <dimension ref="A1:N150"/>
  <sheetViews>
    <sheetView zoomScale="75" zoomScaleNormal="75" workbookViewId="0">
      <pane ySplit="5" topLeftCell="A102" activePane="bottomLeft" state="frozen"/>
      <selection activeCell="D8" sqref="A1:XFD1048576"/>
      <selection pane="bottomLeft" activeCell="D115" sqref="D115:D134"/>
    </sheetView>
  </sheetViews>
  <sheetFormatPr defaultColWidth="9" defaultRowHeight="12.75" outlineLevelRow="1"/>
  <cols>
    <col min="1" max="1" width="16.25" style="430" customWidth="1"/>
    <col min="2" max="7" width="15.625" style="430" customWidth="1"/>
    <col min="8" max="8" width="9" style="430"/>
    <col min="9" max="9" width="3.625" style="430" customWidth="1"/>
    <col min="10" max="10" width="13.125" style="430" customWidth="1"/>
    <col min="11" max="11" width="9" style="430"/>
    <col min="12" max="12" width="15.625" style="430" customWidth="1"/>
    <col min="13" max="13" width="20" style="430" customWidth="1"/>
    <col min="14" max="14" width="14.625" style="430" customWidth="1"/>
    <col min="15" max="16384" width="9" style="430"/>
  </cols>
  <sheetData>
    <row r="1" spans="1:14" ht="15.75">
      <c r="A1" s="445" t="str">
        <f ca="1">CELL("filename")</f>
        <v>C:\Projects\Shiny App\Aging Error\[Copprt Chinook brood.xlsx]Brood_Tab</v>
      </c>
    </row>
    <row r="2" spans="1:14" ht="15.75">
      <c r="A2" s="429"/>
    </row>
    <row r="3" spans="1:14" ht="18.75">
      <c r="A3" s="468" t="s">
        <v>176</v>
      </c>
      <c r="B3" s="469" t="s">
        <v>543</v>
      </c>
    </row>
    <row r="4" spans="1:14" ht="15.75">
      <c r="A4" s="443"/>
      <c r="B4" s="470"/>
      <c r="C4" s="471"/>
    </row>
    <row r="5" spans="1:14" ht="45" customHeight="1">
      <c r="A5" s="472" t="s">
        <v>12</v>
      </c>
      <c r="B5" s="473" t="s">
        <v>292</v>
      </c>
      <c r="C5" s="474" t="s">
        <v>293</v>
      </c>
      <c r="D5" s="475" t="s">
        <v>294</v>
      </c>
      <c r="E5" s="476" t="s">
        <v>295</v>
      </c>
      <c r="F5" s="477" t="s">
        <v>191</v>
      </c>
      <c r="G5" s="477" t="s">
        <v>189</v>
      </c>
      <c r="J5" s="501" t="s">
        <v>299</v>
      </c>
      <c r="L5" s="430" t="s">
        <v>361</v>
      </c>
      <c r="M5" s="684" t="s">
        <v>362</v>
      </c>
      <c r="N5" s="685" t="s">
        <v>363</v>
      </c>
    </row>
    <row r="6" spans="1:14" ht="15.75" customHeight="1" outlineLevel="1">
      <c r="A6" s="443">
        <v>1890</v>
      </c>
      <c r="B6" s="447">
        <f>Harvests!O8</f>
        <v>5491</v>
      </c>
      <c r="C6" s="442" t="s">
        <v>223</v>
      </c>
      <c r="D6" s="442" t="s">
        <v>223</v>
      </c>
      <c r="E6" s="442" t="s">
        <v>223</v>
      </c>
      <c r="F6" s="442" t="s">
        <v>223</v>
      </c>
      <c r="G6" s="442" t="s">
        <v>223</v>
      </c>
    </row>
    <row r="7" spans="1:14" ht="15.75" customHeight="1" outlineLevel="1">
      <c r="A7" s="443">
        <v>1891</v>
      </c>
      <c r="B7" s="447">
        <f>Harvests!O9</f>
        <v>6185</v>
      </c>
      <c r="C7" s="442" t="s">
        <v>223</v>
      </c>
      <c r="D7" s="442" t="s">
        <v>223</v>
      </c>
      <c r="E7" s="442" t="s">
        <v>223</v>
      </c>
      <c r="F7" s="442" t="s">
        <v>223</v>
      </c>
      <c r="G7" s="442" t="s">
        <v>223</v>
      </c>
    </row>
    <row r="8" spans="1:14" ht="15.75" outlineLevel="1">
      <c r="A8" s="443">
        <v>1892</v>
      </c>
      <c r="B8" s="447">
        <f>Harvests!O10</f>
        <v>0</v>
      </c>
      <c r="C8" s="442" t="s">
        <v>223</v>
      </c>
      <c r="D8" s="442" t="s">
        <v>223</v>
      </c>
      <c r="E8" s="442" t="s">
        <v>223</v>
      </c>
      <c r="F8" s="442" t="s">
        <v>223</v>
      </c>
      <c r="G8" s="442" t="s">
        <v>223</v>
      </c>
    </row>
    <row r="9" spans="1:14" ht="15.75" outlineLevel="1">
      <c r="A9" s="443">
        <v>1893</v>
      </c>
      <c r="B9" s="447">
        <f>Harvests!O11</f>
        <v>8674</v>
      </c>
      <c r="C9" s="442" t="s">
        <v>223</v>
      </c>
      <c r="D9" s="442" t="s">
        <v>223</v>
      </c>
      <c r="E9" s="442" t="s">
        <v>223</v>
      </c>
      <c r="F9" s="442" t="s">
        <v>223</v>
      </c>
      <c r="G9" s="442" t="s">
        <v>223</v>
      </c>
    </row>
    <row r="10" spans="1:14" ht="15.75" outlineLevel="1">
      <c r="A10" s="443">
        <v>1894</v>
      </c>
      <c r="B10" s="447">
        <f>Harvests!O12</f>
        <v>7494</v>
      </c>
      <c r="C10" s="442" t="s">
        <v>223</v>
      </c>
      <c r="D10" s="442" t="s">
        <v>223</v>
      </c>
      <c r="E10" s="442" t="s">
        <v>223</v>
      </c>
      <c r="F10" s="442" t="s">
        <v>223</v>
      </c>
      <c r="G10" s="442" t="s">
        <v>223</v>
      </c>
    </row>
    <row r="11" spans="1:14" ht="15.75" outlineLevel="1">
      <c r="A11" s="443">
        <v>1895</v>
      </c>
      <c r="B11" s="447">
        <f>Harvests!O13</f>
        <v>10248</v>
      </c>
      <c r="C11" s="442" t="s">
        <v>223</v>
      </c>
      <c r="D11" s="442" t="s">
        <v>223</v>
      </c>
      <c r="E11" s="442" t="s">
        <v>223</v>
      </c>
      <c r="F11" s="442" t="s">
        <v>223</v>
      </c>
      <c r="G11" s="442" t="s">
        <v>223</v>
      </c>
    </row>
    <row r="12" spans="1:14" ht="15.75" outlineLevel="1">
      <c r="A12" s="443">
        <v>1896</v>
      </c>
      <c r="B12" s="447">
        <f>Harvests!O14</f>
        <v>1407</v>
      </c>
      <c r="C12" s="442" t="s">
        <v>223</v>
      </c>
      <c r="D12" s="442" t="s">
        <v>223</v>
      </c>
      <c r="E12" s="442" t="s">
        <v>223</v>
      </c>
      <c r="F12" s="442" t="s">
        <v>223</v>
      </c>
      <c r="G12" s="442" t="s">
        <v>223</v>
      </c>
    </row>
    <row r="13" spans="1:14" ht="15.75" outlineLevel="1">
      <c r="A13" s="443">
        <v>1897</v>
      </c>
      <c r="B13" s="447">
        <f>Harvests!O15</f>
        <v>2044</v>
      </c>
      <c r="C13" s="442" t="s">
        <v>223</v>
      </c>
      <c r="D13" s="442" t="s">
        <v>223</v>
      </c>
      <c r="E13" s="442" t="s">
        <v>223</v>
      </c>
      <c r="F13" s="442" t="s">
        <v>223</v>
      </c>
      <c r="G13" s="442" t="s">
        <v>223</v>
      </c>
    </row>
    <row r="14" spans="1:14" ht="15.75" outlineLevel="1">
      <c r="A14" s="443">
        <v>1898</v>
      </c>
      <c r="B14" s="447">
        <f>Harvests!O16</f>
        <v>1850</v>
      </c>
      <c r="C14" s="442" t="s">
        <v>223</v>
      </c>
      <c r="D14" s="442" t="s">
        <v>223</v>
      </c>
      <c r="E14" s="442" t="s">
        <v>223</v>
      </c>
      <c r="F14" s="442" t="s">
        <v>223</v>
      </c>
      <c r="G14" s="442" t="s">
        <v>223</v>
      </c>
    </row>
    <row r="15" spans="1:14" ht="15.75" outlineLevel="1">
      <c r="A15" s="443">
        <v>1899</v>
      </c>
      <c r="B15" s="447">
        <f>Harvests!O17</f>
        <v>4682</v>
      </c>
      <c r="C15" s="442" t="s">
        <v>223</v>
      </c>
      <c r="D15" s="442" t="s">
        <v>223</v>
      </c>
      <c r="E15" s="442" t="s">
        <v>223</v>
      </c>
      <c r="F15" s="442" t="s">
        <v>223</v>
      </c>
      <c r="G15" s="442" t="s">
        <v>223</v>
      </c>
    </row>
    <row r="16" spans="1:14" ht="15.75" outlineLevel="1">
      <c r="A16" s="443">
        <v>1900</v>
      </c>
      <c r="B16" s="447">
        <f>Harvests!O18</f>
        <v>3462</v>
      </c>
      <c r="C16" s="442" t="s">
        <v>223</v>
      </c>
      <c r="D16" s="442" t="s">
        <v>223</v>
      </c>
      <c r="E16" s="442" t="s">
        <v>223</v>
      </c>
      <c r="F16" s="442" t="s">
        <v>223</v>
      </c>
      <c r="G16" s="442" t="s">
        <v>223</v>
      </c>
    </row>
    <row r="17" spans="1:7" ht="15.75" outlineLevel="1">
      <c r="A17" s="443">
        <v>1901</v>
      </c>
      <c r="B17" s="447">
        <f>Harvests!O19</f>
        <v>6558</v>
      </c>
      <c r="C17" s="442" t="s">
        <v>223</v>
      </c>
      <c r="D17" s="442" t="s">
        <v>223</v>
      </c>
      <c r="E17" s="442" t="s">
        <v>223</v>
      </c>
      <c r="F17" s="442" t="s">
        <v>223</v>
      </c>
      <c r="G17" s="442" t="s">
        <v>223</v>
      </c>
    </row>
    <row r="18" spans="1:7" ht="15.75" outlineLevel="1">
      <c r="A18" s="443">
        <v>1902</v>
      </c>
      <c r="B18" s="447">
        <f>Harvests!O20</f>
        <v>2500</v>
      </c>
      <c r="C18" s="442" t="s">
        <v>223</v>
      </c>
      <c r="D18" s="442" t="s">
        <v>223</v>
      </c>
      <c r="E18" s="442" t="s">
        <v>223</v>
      </c>
      <c r="F18" s="442" t="s">
        <v>223</v>
      </c>
      <c r="G18" s="442" t="s">
        <v>223</v>
      </c>
    </row>
    <row r="19" spans="1:7" ht="15.75" outlineLevel="1">
      <c r="A19" s="443">
        <v>1903</v>
      </c>
      <c r="B19" s="447">
        <f>Harvests!O21</f>
        <v>4600</v>
      </c>
      <c r="C19" s="442" t="s">
        <v>223</v>
      </c>
      <c r="D19" s="442" t="s">
        <v>223</v>
      </c>
      <c r="E19" s="442" t="s">
        <v>223</v>
      </c>
      <c r="F19" s="442" t="s">
        <v>223</v>
      </c>
      <c r="G19" s="442" t="s">
        <v>223</v>
      </c>
    </row>
    <row r="20" spans="1:7" ht="15.75" outlineLevel="1">
      <c r="A20" s="443">
        <v>1904</v>
      </c>
      <c r="B20" s="447">
        <f>Harvests!O22</f>
        <v>5014</v>
      </c>
      <c r="C20" s="442" t="s">
        <v>223</v>
      </c>
      <c r="D20" s="442" t="s">
        <v>223</v>
      </c>
      <c r="E20" s="442" t="s">
        <v>223</v>
      </c>
      <c r="F20" s="442" t="s">
        <v>223</v>
      </c>
      <c r="G20" s="442" t="s">
        <v>223</v>
      </c>
    </row>
    <row r="21" spans="1:7" ht="15.75" outlineLevel="1">
      <c r="A21" s="443">
        <v>1905</v>
      </c>
      <c r="B21" s="447">
        <f>Harvests!O23</f>
        <v>20000</v>
      </c>
      <c r="C21" s="442" t="s">
        <v>223</v>
      </c>
      <c r="D21" s="442" t="s">
        <v>223</v>
      </c>
      <c r="E21" s="442" t="s">
        <v>223</v>
      </c>
      <c r="F21" s="442" t="s">
        <v>223</v>
      </c>
      <c r="G21" s="442" t="s">
        <v>223</v>
      </c>
    </row>
    <row r="22" spans="1:7" ht="15.75" outlineLevel="1">
      <c r="A22" s="443">
        <v>1906</v>
      </c>
      <c r="B22" s="447">
        <f>Harvests!O24</f>
        <v>2165</v>
      </c>
      <c r="C22" s="442" t="s">
        <v>223</v>
      </c>
      <c r="D22" s="442" t="s">
        <v>223</v>
      </c>
      <c r="E22" s="442" t="s">
        <v>223</v>
      </c>
      <c r="F22" s="442" t="s">
        <v>223</v>
      </c>
      <c r="G22" s="442" t="s">
        <v>223</v>
      </c>
    </row>
    <row r="23" spans="1:7" ht="15.75" outlineLevel="1">
      <c r="A23" s="443">
        <v>1907</v>
      </c>
      <c r="B23" s="447">
        <f>Harvests!O25</f>
        <v>869</v>
      </c>
      <c r="C23" s="442" t="s">
        <v>223</v>
      </c>
      <c r="D23" s="442" t="s">
        <v>223</v>
      </c>
      <c r="E23" s="442" t="s">
        <v>223</v>
      </c>
      <c r="F23" s="442" t="s">
        <v>223</v>
      </c>
      <c r="G23" s="442" t="s">
        <v>223</v>
      </c>
    </row>
    <row r="24" spans="1:7" ht="15.75" outlineLevel="1">
      <c r="A24" s="443">
        <v>1908</v>
      </c>
      <c r="B24" s="447">
        <f>Harvests!O26</f>
        <v>0</v>
      </c>
      <c r="C24" s="442" t="s">
        <v>223</v>
      </c>
      <c r="D24" s="442" t="s">
        <v>223</v>
      </c>
      <c r="E24" s="442" t="s">
        <v>223</v>
      </c>
      <c r="F24" s="442" t="s">
        <v>223</v>
      </c>
      <c r="G24" s="442" t="s">
        <v>223</v>
      </c>
    </row>
    <row r="25" spans="1:7" ht="15.75" outlineLevel="1">
      <c r="A25" s="443">
        <v>1909</v>
      </c>
      <c r="B25" s="447">
        <f>Harvests!O27</f>
        <v>3067</v>
      </c>
      <c r="C25" s="442" t="s">
        <v>223</v>
      </c>
      <c r="D25" s="442" t="s">
        <v>223</v>
      </c>
      <c r="E25" s="442" t="s">
        <v>223</v>
      </c>
      <c r="F25" s="442" t="s">
        <v>223</v>
      </c>
      <c r="G25" s="442" t="s">
        <v>223</v>
      </c>
    </row>
    <row r="26" spans="1:7" ht="15.75" outlineLevel="1">
      <c r="A26" s="443">
        <v>1910</v>
      </c>
      <c r="B26" s="447">
        <f>Harvests!O28</f>
        <v>974</v>
      </c>
      <c r="C26" s="442" t="s">
        <v>223</v>
      </c>
      <c r="D26" s="442" t="s">
        <v>223</v>
      </c>
      <c r="E26" s="442" t="s">
        <v>223</v>
      </c>
      <c r="F26" s="442" t="s">
        <v>223</v>
      </c>
      <c r="G26" s="442" t="s">
        <v>223</v>
      </c>
    </row>
    <row r="27" spans="1:7" ht="15.75" outlineLevel="1">
      <c r="A27" s="443">
        <v>1911</v>
      </c>
      <c r="B27" s="447">
        <f>Harvests!O29</f>
        <v>1358</v>
      </c>
      <c r="C27" s="442" t="s">
        <v>223</v>
      </c>
      <c r="D27" s="442" t="s">
        <v>223</v>
      </c>
      <c r="E27" s="442" t="s">
        <v>223</v>
      </c>
      <c r="F27" s="442" t="s">
        <v>223</v>
      </c>
      <c r="G27" s="442" t="s">
        <v>223</v>
      </c>
    </row>
    <row r="28" spans="1:7" ht="15.75" outlineLevel="1">
      <c r="A28" s="443">
        <v>1912</v>
      </c>
      <c r="B28" s="447">
        <f>Harvests!O30</f>
        <v>6181</v>
      </c>
      <c r="C28" s="442" t="s">
        <v>223</v>
      </c>
      <c r="D28" s="442" t="s">
        <v>223</v>
      </c>
      <c r="E28" s="442" t="s">
        <v>223</v>
      </c>
      <c r="F28" s="442" t="s">
        <v>223</v>
      </c>
      <c r="G28" s="442" t="s">
        <v>223</v>
      </c>
    </row>
    <row r="29" spans="1:7" ht="15.75" outlineLevel="1">
      <c r="A29" s="443">
        <v>1913</v>
      </c>
      <c r="B29" s="447">
        <f>Harvests!O31</f>
        <v>2307</v>
      </c>
      <c r="C29" s="442" t="s">
        <v>223</v>
      </c>
      <c r="D29" s="442" t="s">
        <v>223</v>
      </c>
      <c r="E29" s="442" t="s">
        <v>223</v>
      </c>
      <c r="F29" s="442" t="s">
        <v>223</v>
      </c>
      <c r="G29" s="442" t="s">
        <v>223</v>
      </c>
    </row>
    <row r="30" spans="1:7" ht="15.75" outlineLevel="1">
      <c r="A30" s="443">
        <v>1914</v>
      </c>
      <c r="B30" s="447">
        <f>Harvests!O32</f>
        <v>3043</v>
      </c>
      <c r="C30" s="442" t="s">
        <v>223</v>
      </c>
      <c r="D30" s="442" t="s">
        <v>223</v>
      </c>
      <c r="E30" s="442" t="s">
        <v>223</v>
      </c>
      <c r="F30" s="442" t="s">
        <v>223</v>
      </c>
      <c r="G30" s="442" t="s">
        <v>223</v>
      </c>
    </row>
    <row r="31" spans="1:7" ht="15.75" outlineLevel="1">
      <c r="A31" s="443">
        <v>1915</v>
      </c>
      <c r="B31" s="447">
        <f>Harvests!O33</f>
        <v>7338</v>
      </c>
      <c r="C31" s="442" t="s">
        <v>223</v>
      </c>
      <c r="D31" s="442" t="s">
        <v>223</v>
      </c>
      <c r="E31" s="442" t="s">
        <v>223</v>
      </c>
      <c r="F31" s="442" t="s">
        <v>223</v>
      </c>
      <c r="G31" s="442" t="s">
        <v>223</v>
      </c>
    </row>
    <row r="32" spans="1:7" ht="15.75" outlineLevel="1">
      <c r="A32" s="443">
        <v>1916</v>
      </c>
      <c r="B32" s="447">
        <f>Harvests!O34</f>
        <v>14266</v>
      </c>
      <c r="C32" s="442" t="s">
        <v>223</v>
      </c>
      <c r="D32" s="442" t="s">
        <v>223</v>
      </c>
      <c r="E32" s="442" t="s">
        <v>223</v>
      </c>
      <c r="F32" s="442" t="s">
        <v>223</v>
      </c>
      <c r="G32" s="442" t="s">
        <v>223</v>
      </c>
    </row>
    <row r="33" spans="1:7" ht="15.75" outlineLevel="1">
      <c r="A33" s="443">
        <v>1917</v>
      </c>
      <c r="B33" s="447">
        <f>Harvests!O35</f>
        <v>14251</v>
      </c>
      <c r="C33" s="442" t="s">
        <v>223</v>
      </c>
      <c r="D33" s="442" t="s">
        <v>223</v>
      </c>
      <c r="E33" s="442" t="s">
        <v>223</v>
      </c>
      <c r="F33" s="442" t="s">
        <v>223</v>
      </c>
      <c r="G33" s="442" t="s">
        <v>223</v>
      </c>
    </row>
    <row r="34" spans="1:7" ht="15.75" outlineLevel="1">
      <c r="A34" s="443">
        <v>1918</v>
      </c>
      <c r="B34" s="447">
        <f>Harvests!O36</f>
        <v>19766</v>
      </c>
      <c r="C34" s="442" t="s">
        <v>223</v>
      </c>
      <c r="D34" s="442" t="s">
        <v>223</v>
      </c>
      <c r="E34" s="442" t="s">
        <v>223</v>
      </c>
      <c r="F34" s="442" t="s">
        <v>223</v>
      </c>
      <c r="G34" s="442" t="s">
        <v>223</v>
      </c>
    </row>
    <row r="35" spans="1:7" ht="15.75" outlineLevel="1">
      <c r="A35" s="443">
        <v>1919</v>
      </c>
      <c r="B35" s="447">
        <f>Harvests!O37</f>
        <v>13338</v>
      </c>
      <c r="C35" s="442" t="s">
        <v>223</v>
      </c>
      <c r="D35" s="442" t="s">
        <v>223</v>
      </c>
      <c r="E35" s="442" t="s">
        <v>223</v>
      </c>
      <c r="F35" s="442" t="s">
        <v>223</v>
      </c>
      <c r="G35" s="442" t="s">
        <v>223</v>
      </c>
    </row>
    <row r="36" spans="1:7" ht="15.75" outlineLevel="1">
      <c r="A36" s="443">
        <v>1920</v>
      </c>
      <c r="B36" s="447">
        <f>Harvests!O38</f>
        <v>23117</v>
      </c>
      <c r="C36" s="442" t="s">
        <v>223</v>
      </c>
      <c r="D36" s="442" t="s">
        <v>223</v>
      </c>
      <c r="E36" s="442" t="s">
        <v>223</v>
      </c>
      <c r="F36" s="442" t="s">
        <v>223</v>
      </c>
      <c r="G36" s="442" t="s">
        <v>223</v>
      </c>
    </row>
    <row r="37" spans="1:7" ht="15.75" outlineLevel="1">
      <c r="A37" s="443">
        <v>1921</v>
      </c>
      <c r="B37" s="447">
        <f>Harvests!O39</f>
        <v>11469</v>
      </c>
      <c r="C37" s="442" t="s">
        <v>223</v>
      </c>
      <c r="D37" s="442" t="s">
        <v>223</v>
      </c>
      <c r="E37" s="442" t="s">
        <v>223</v>
      </c>
      <c r="F37" s="442" t="s">
        <v>223</v>
      </c>
      <c r="G37" s="442" t="s">
        <v>223</v>
      </c>
    </row>
    <row r="38" spans="1:7" ht="15.75" outlineLevel="1">
      <c r="A38" s="443">
        <v>1922</v>
      </c>
      <c r="B38" s="447">
        <f>Harvests!O40</f>
        <v>10147</v>
      </c>
      <c r="C38" s="442" t="s">
        <v>223</v>
      </c>
      <c r="D38" s="442" t="s">
        <v>223</v>
      </c>
      <c r="E38" s="442" t="s">
        <v>223</v>
      </c>
      <c r="F38" s="442" t="s">
        <v>223</v>
      </c>
      <c r="G38" s="442" t="s">
        <v>223</v>
      </c>
    </row>
    <row r="39" spans="1:7" ht="15.75" outlineLevel="1">
      <c r="A39" s="443">
        <v>1923</v>
      </c>
      <c r="B39" s="447">
        <f>Harvests!O41</f>
        <v>10425</v>
      </c>
      <c r="C39" s="442" t="s">
        <v>223</v>
      </c>
      <c r="D39" s="442" t="s">
        <v>223</v>
      </c>
      <c r="E39" s="442" t="s">
        <v>223</v>
      </c>
      <c r="F39" s="442" t="s">
        <v>223</v>
      </c>
      <c r="G39" s="442" t="s">
        <v>223</v>
      </c>
    </row>
    <row r="40" spans="1:7" ht="15.75" outlineLevel="1">
      <c r="A40" s="443">
        <v>1924</v>
      </c>
      <c r="B40" s="447">
        <f>Harvests!O42</f>
        <v>15973</v>
      </c>
      <c r="C40" s="442" t="s">
        <v>223</v>
      </c>
      <c r="D40" s="442" t="s">
        <v>223</v>
      </c>
      <c r="E40" s="442" t="s">
        <v>223</v>
      </c>
      <c r="F40" s="442" t="s">
        <v>223</v>
      </c>
      <c r="G40" s="442" t="s">
        <v>223</v>
      </c>
    </row>
    <row r="41" spans="1:7" ht="15.75" outlineLevel="1">
      <c r="A41" s="443">
        <v>1925</v>
      </c>
      <c r="B41" s="447">
        <f>Harvests!O43</f>
        <v>19805</v>
      </c>
      <c r="C41" s="442" t="s">
        <v>223</v>
      </c>
      <c r="D41" s="442" t="s">
        <v>223</v>
      </c>
      <c r="E41" s="442" t="s">
        <v>223</v>
      </c>
      <c r="F41" s="442" t="s">
        <v>223</v>
      </c>
      <c r="G41" s="442" t="s">
        <v>223</v>
      </c>
    </row>
    <row r="42" spans="1:7" ht="15.75" outlineLevel="1">
      <c r="A42" s="443">
        <v>1926</v>
      </c>
      <c r="B42" s="447">
        <f>Harvests!O44</f>
        <v>21414</v>
      </c>
      <c r="C42" s="442" t="s">
        <v>223</v>
      </c>
      <c r="D42" s="442" t="s">
        <v>223</v>
      </c>
      <c r="E42" s="442" t="s">
        <v>223</v>
      </c>
      <c r="F42" s="442" t="s">
        <v>223</v>
      </c>
      <c r="G42" s="442" t="s">
        <v>223</v>
      </c>
    </row>
    <row r="43" spans="1:7" ht="15.75" outlineLevel="1">
      <c r="A43" s="443">
        <v>1927</v>
      </c>
      <c r="B43" s="447">
        <f>Harvests!O45</f>
        <v>35598</v>
      </c>
      <c r="C43" s="442" t="s">
        <v>223</v>
      </c>
      <c r="D43" s="442" t="s">
        <v>223</v>
      </c>
      <c r="E43" s="442" t="s">
        <v>223</v>
      </c>
      <c r="F43" s="442" t="s">
        <v>223</v>
      </c>
      <c r="G43" s="442" t="s">
        <v>223</v>
      </c>
    </row>
    <row r="44" spans="1:7" ht="15.75" outlineLevel="1">
      <c r="A44" s="443">
        <v>1928</v>
      </c>
      <c r="B44" s="447">
        <f>Harvests!O46</f>
        <v>42144</v>
      </c>
      <c r="C44" s="442" t="s">
        <v>223</v>
      </c>
      <c r="D44" s="442" t="s">
        <v>223</v>
      </c>
      <c r="E44" s="442" t="s">
        <v>223</v>
      </c>
      <c r="F44" s="442" t="s">
        <v>223</v>
      </c>
      <c r="G44" s="442" t="s">
        <v>223</v>
      </c>
    </row>
    <row r="45" spans="1:7" ht="15.75" outlineLevel="1">
      <c r="A45" s="443">
        <v>1929</v>
      </c>
      <c r="B45" s="447">
        <f>Harvests!O47</f>
        <v>43866</v>
      </c>
      <c r="C45" s="442" t="s">
        <v>223</v>
      </c>
      <c r="D45" s="442" t="s">
        <v>223</v>
      </c>
      <c r="E45" s="442" t="s">
        <v>223</v>
      </c>
      <c r="F45" s="442" t="s">
        <v>223</v>
      </c>
      <c r="G45" s="442" t="s">
        <v>223</v>
      </c>
    </row>
    <row r="46" spans="1:7" ht="15.75" outlineLevel="1">
      <c r="A46" s="443">
        <v>1930</v>
      </c>
      <c r="B46" s="447">
        <f>Harvests!O48</f>
        <v>23181</v>
      </c>
      <c r="C46" s="442" t="s">
        <v>223</v>
      </c>
      <c r="D46" s="442" t="s">
        <v>223</v>
      </c>
      <c r="E46" s="442" t="s">
        <v>223</v>
      </c>
      <c r="F46" s="442" t="s">
        <v>223</v>
      </c>
      <c r="G46" s="442" t="s">
        <v>223</v>
      </c>
    </row>
    <row r="47" spans="1:7" ht="15.75" outlineLevel="1">
      <c r="A47" s="443">
        <v>1931</v>
      </c>
      <c r="B47" s="447">
        <f>Harvests!O49</f>
        <v>35268</v>
      </c>
      <c r="C47" s="442" t="s">
        <v>223</v>
      </c>
      <c r="D47" s="442" t="s">
        <v>223</v>
      </c>
      <c r="E47" s="442" t="s">
        <v>223</v>
      </c>
      <c r="F47" s="442" t="s">
        <v>223</v>
      </c>
      <c r="G47" s="442" t="s">
        <v>223</v>
      </c>
    </row>
    <row r="48" spans="1:7" ht="15.75" outlineLevel="1">
      <c r="A48" s="443">
        <v>1932</v>
      </c>
      <c r="B48" s="447">
        <f>Harvests!O50</f>
        <v>29403</v>
      </c>
      <c r="C48" s="442" t="s">
        <v>223</v>
      </c>
      <c r="D48" s="442" t="s">
        <v>223</v>
      </c>
      <c r="E48" s="442" t="s">
        <v>223</v>
      </c>
      <c r="F48" s="442" t="s">
        <v>223</v>
      </c>
      <c r="G48" s="442" t="s">
        <v>223</v>
      </c>
    </row>
    <row r="49" spans="1:7" ht="15.75" outlineLevel="1">
      <c r="A49" s="443">
        <v>1933</v>
      </c>
      <c r="B49" s="447">
        <f>Harvests!O51</f>
        <v>14073</v>
      </c>
      <c r="C49" s="442" t="s">
        <v>223</v>
      </c>
      <c r="D49" s="442" t="s">
        <v>223</v>
      </c>
      <c r="E49" s="442" t="s">
        <v>223</v>
      </c>
      <c r="F49" s="442" t="s">
        <v>223</v>
      </c>
      <c r="G49" s="442" t="s">
        <v>223</v>
      </c>
    </row>
    <row r="50" spans="1:7" ht="15.75" outlineLevel="1">
      <c r="A50" s="443">
        <v>1934</v>
      </c>
      <c r="B50" s="447">
        <f>Harvests!O52</f>
        <v>10407</v>
      </c>
      <c r="C50" s="442" t="s">
        <v>223</v>
      </c>
      <c r="D50" s="442" t="s">
        <v>223</v>
      </c>
      <c r="E50" s="442" t="s">
        <v>223</v>
      </c>
      <c r="F50" s="442" t="s">
        <v>223</v>
      </c>
      <c r="G50" s="442" t="s">
        <v>223</v>
      </c>
    </row>
    <row r="51" spans="1:7" ht="15.75" outlineLevel="1">
      <c r="A51" s="443">
        <v>1935</v>
      </c>
      <c r="B51" s="447">
        <f>Harvests!O53</f>
        <v>2352</v>
      </c>
      <c r="C51" s="442" t="s">
        <v>223</v>
      </c>
      <c r="D51" s="442" t="s">
        <v>223</v>
      </c>
      <c r="E51" s="442" t="s">
        <v>223</v>
      </c>
      <c r="F51" s="442" t="s">
        <v>223</v>
      </c>
      <c r="G51" s="442" t="s">
        <v>223</v>
      </c>
    </row>
    <row r="52" spans="1:7" ht="15.75" outlineLevel="1">
      <c r="A52" s="443">
        <v>1936</v>
      </c>
      <c r="B52" s="447">
        <f>Harvests!O54</f>
        <v>6939</v>
      </c>
      <c r="C52" s="442" t="s">
        <v>223</v>
      </c>
      <c r="D52" s="442" t="s">
        <v>223</v>
      </c>
      <c r="E52" s="442" t="s">
        <v>223</v>
      </c>
      <c r="F52" s="442" t="s">
        <v>223</v>
      </c>
      <c r="G52" s="442" t="s">
        <v>223</v>
      </c>
    </row>
    <row r="53" spans="1:7" ht="15.75" outlineLevel="1">
      <c r="A53" s="443">
        <v>1937</v>
      </c>
      <c r="B53" s="447">
        <f>Harvests!O55</f>
        <v>11538</v>
      </c>
      <c r="C53" s="442" t="s">
        <v>223</v>
      </c>
      <c r="D53" s="442" t="s">
        <v>223</v>
      </c>
      <c r="E53" s="442" t="s">
        <v>223</v>
      </c>
      <c r="F53" s="442" t="s">
        <v>223</v>
      </c>
      <c r="G53" s="442" t="s">
        <v>223</v>
      </c>
    </row>
    <row r="54" spans="1:7" ht="15.75" outlineLevel="1">
      <c r="A54" s="443">
        <v>1938</v>
      </c>
      <c r="B54" s="447">
        <f>Harvests!O56</f>
        <v>7614</v>
      </c>
      <c r="C54" s="442" t="s">
        <v>223</v>
      </c>
      <c r="D54" s="442" t="s">
        <v>223</v>
      </c>
      <c r="E54" s="442" t="s">
        <v>223</v>
      </c>
      <c r="F54" s="442" t="s">
        <v>223</v>
      </c>
      <c r="G54" s="442" t="s">
        <v>223</v>
      </c>
    </row>
    <row r="55" spans="1:7" ht="15.75" outlineLevel="1">
      <c r="A55" s="443">
        <v>1939</v>
      </c>
      <c r="B55" s="447">
        <f>Harvests!O57</f>
        <v>6555</v>
      </c>
      <c r="C55" s="442" t="s">
        <v>223</v>
      </c>
      <c r="D55" s="442" t="s">
        <v>223</v>
      </c>
      <c r="E55" s="442" t="s">
        <v>223</v>
      </c>
      <c r="F55" s="442" t="s">
        <v>223</v>
      </c>
      <c r="G55" s="442" t="s">
        <v>223</v>
      </c>
    </row>
    <row r="56" spans="1:7" ht="15.75" outlineLevel="1">
      <c r="A56" s="443">
        <v>1940</v>
      </c>
      <c r="B56" s="447">
        <f>Harvests!O58</f>
        <v>3876</v>
      </c>
      <c r="C56" s="442" t="s">
        <v>223</v>
      </c>
      <c r="D56" s="442" t="s">
        <v>223</v>
      </c>
      <c r="E56" s="442" t="s">
        <v>223</v>
      </c>
      <c r="F56" s="442" t="s">
        <v>223</v>
      </c>
      <c r="G56" s="442" t="s">
        <v>223</v>
      </c>
    </row>
    <row r="57" spans="1:7" ht="15.75" outlineLevel="1">
      <c r="A57" s="443">
        <v>1941</v>
      </c>
      <c r="B57" s="447">
        <f>Harvests!O59</f>
        <v>9225</v>
      </c>
      <c r="C57" s="442" t="s">
        <v>223</v>
      </c>
      <c r="D57" s="442" t="s">
        <v>223</v>
      </c>
      <c r="E57" s="442" t="s">
        <v>223</v>
      </c>
      <c r="F57" s="442" t="s">
        <v>223</v>
      </c>
      <c r="G57" s="442" t="s">
        <v>223</v>
      </c>
    </row>
    <row r="58" spans="1:7" ht="15.75" outlineLevel="1">
      <c r="A58" s="443">
        <v>1942</v>
      </c>
      <c r="B58" s="447">
        <f>Harvests!O60</f>
        <v>15762</v>
      </c>
      <c r="C58" s="442" t="s">
        <v>223</v>
      </c>
      <c r="D58" s="442" t="s">
        <v>223</v>
      </c>
      <c r="E58" s="442" t="s">
        <v>223</v>
      </c>
      <c r="F58" s="442" t="s">
        <v>223</v>
      </c>
      <c r="G58" s="442" t="s">
        <v>223</v>
      </c>
    </row>
    <row r="59" spans="1:7" ht="15.75" outlineLevel="1">
      <c r="A59" s="443">
        <v>1943</v>
      </c>
      <c r="B59" s="447">
        <f>Harvests!O61</f>
        <v>14670</v>
      </c>
      <c r="C59" s="442" t="s">
        <v>223</v>
      </c>
      <c r="D59" s="442" t="s">
        <v>223</v>
      </c>
      <c r="E59" s="442" t="s">
        <v>223</v>
      </c>
      <c r="F59" s="442" t="s">
        <v>223</v>
      </c>
      <c r="G59" s="442" t="s">
        <v>223</v>
      </c>
    </row>
    <row r="60" spans="1:7" ht="15.75" outlineLevel="1">
      <c r="A60" s="443">
        <v>1944</v>
      </c>
      <c r="B60" s="447">
        <f>Harvests!O62</f>
        <v>7638</v>
      </c>
      <c r="C60" s="442" t="s">
        <v>223</v>
      </c>
      <c r="D60" s="442" t="s">
        <v>223</v>
      </c>
      <c r="E60" s="442" t="s">
        <v>223</v>
      </c>
      <c r="F60" s="442" t="s">
        <v>223</v>
      </c>
      <c r="G60" s="442" t="s">
        <v>223</v>
      </c>
    </row>
    <row r="61" spans="1:7" ht="15.75" outlineLevel="1">
      <c r="A61" s="443">
        <v>1945</v>
      </c>
      <c r="B61" s="447">
        <f>Harvests!O63</f>
        <v>18063</v>
      </c>
      <c r="C61" s="442" t="s">
        <v>223</v>
      </c>
      <c r="D61" s="442" t="s">
        <v>223</v>
      </c>
      <c r="E61" s="442" t="s">
        <v>223</v>
      </c>
      <c r="F61" s="442" t="s">
        <v>223</v>
      </c>
      <c r="G61" s="442" t="s">
        <v>223</v>
      </c>
    </row>
    <row r="62" spans="1:7" ht="15.75" outlineLevel="1">
      <c r="A62" s="443">
        <v>1946</v>
      </c>
      <c r="B62" s="447">
        <f>Harvests!O64</f>
        <v>23329</v>
      </c>
      <c r="C62" s="442" t="s">
        <v>223</v>
      </c>
      <c r="D62" s="442" t="s">
        <v>223</v>
      </c>
      <c r="E62" s="442" t="s">
        <v>223</v>
      </c>
      <c r="F62" s="442" t="s">
        <v>223</v>
      </c>
      <c r="G62" s="442" t="s">
        <v>223</v>
      </c>
    </row>
    <row r="63" spans="1:7" ht="15.75" outlineLevel="1">
      <c r="A63" s="443">
        <v>1947</v>
      </c>
      <c r="B63" s="447">
        <f>Harvests!O65</f>
        <v>15182</v>
      </c>
      <c r="C63" s="442" t="s">
        <v>223</v>
      </c>
      <c r="D63" s="442" t="s">
        <v>223</v>
      </c>
      <c r="E63" s="442" t="s">
        <v>223</v>
      </c>
      <c r="F63" s="442" t="s">
        <v>223</v>
      </c>
      <c r="G63" s="442" t="s">
        <v>223</v>
      </c>
    </row>
    <row r="64" spans="1:7" ht="15.75" outlineLevel="1">
      <c r="A64" s="443">
        <v>1948</v>
      </c>
      <c r="B64" s="447">
        <f>Harvests!O66</f>
        <v>4367</v>
      </c>
      <c r="C64" s="442" t="s">
        <v>223</v>
      </c>
      <c r="D64" s="442" t="s">
        <v>223</v>
      </c>
      <c r="E64" s="442" t="s">
        <v>223</v>
      </c>
      <c r="F64" s="442" t="s">
        <v>223</v>
      </c>
      <c r="G64" s="442" t="s">
        <v>223</v>
      </c>
    </row>
    <row r="65" spans="1:7" ht="15.75" outlineLevel="1">
      <c r="A65" s="443">
        <v>1949</v>
      </c>
      <c r="B65" s="447">
        <f>Harvests!O67</f>
        <v>9300</v>
      </c>
      <c r="C65" s="442" t="s">
        <v>223</v>
      </c>
      <c r="D65" s="442" t="s">
        <v>223</v>
      </c>
      <c r="E65" s="442" t="s">
        <v>223</v>
      </c>
      <c r="F65" s="442" t="s">
        <v>223</v>
      </c>
      <c r="G65" s="442" t="s">
        <v>223</v>
      </c>
    </row>
    <row r="66" spans="1:7" ht="15.75" outlineLevel="1">
      <c r="A66" s="443">
        <v>1950</v>
      </c>
      <c r="B66" s="447">
        <f>Harvests!O68</f>
        <v>17777</v>
      </c>
      <c r="C66" s="442" t="s">
        <v>223</v>
      </c>
      <c r="D66" s="442" t="s">
        <v>223</v>
      </c>
      <c r="E66" s="442" t="s">
        <v>223</v>
      </c>
      <c r="F66" s="442" t="s">
        <v>223</v>
      </c>
      <c r="G66" s="442" t="s">
        <v>223</v>
      </c>
    </row>
    <row r="67" spans="1:7" ht="15.75" outlineLevel="1">
      <c r="A67" s="443">
        <v>1951</v>
      </c>
      <c r="B67" s="447">
        <f>Harvests!O69</f>
        <v>17473</v>
      </c>
      <c r="C67" s="442" t="s">
        <v>223</v>
      </c>
      <c r="D67" s="442" t="s">
        <v>223</v>
      </c>
      <c r="E67" s="442" t="s">
        <v>223</v>
      </c>
      <c r="F67" s="442" t="s">
        <v>223</v>
      </c>
      <c r="G67" s="442" t="s">
        <v>223</v>
      </c>
    </row>
    <row r="68" spans="1:7" ht="15.75" outlineLevel="1">
      <c r="A68" s="443">
        <v>1952</v>
      </c>
      <c r="B68" s="447">
        <f>Harvests!O70</f>
        <v>29890</v>
      </c>
      <c r="C68" s="442" t="s">
        <v>223</v>
      </c>
      <c r="D68" s="442" t="s">
        <v>223</v>
      </c>
      <c r="E68" s="442" t="s">
        <v>223</v>
      </c>
      <c r="F68" s="442" t="s">
        <v>223</v>
      </c>
      <c r="G68" s="442" t="s">
        <v>223</v>
      </c>
    </row>
    <row r="69" spans="1:7" ht="15.75" outlineLevel="1">
      <c r="A69" s="443">
        <v>1953</v>
      </c>
      <c r="B69" s="447">
        <f>Harvests!O71</f>
        <v>12224</v>
      </c>
      <c r="C69" s="442" t="s">
        <v>223</v>
      </c>
      <c r="D69" s="442" t="s">
        <v>223</v>
      </c>
      <c r="E69" s="442" t="s">
        <v>223</v>
      </c>
      <c r="F69" s="442" t="s">
        <v>223</v>
      </c>
      <c r="G69" s="442" t="s">
        <v>223</v>
      </c>
    </row>
    <row r="70" spans="1:7" ht="15.75" outlineLevel="1">
      <c r="A70" s="443">
        <v>1954</v>
      </c>
      <c r="B70" s="447">
        <f>Harvests!O72</f>
        <v>15852</v>
      </c>
      <c r="C70" s="442" t="s">
        <v>223</v>
      </c>
      <c r="D70" s="442" t="s">
        <v>223</v>
      </c>
      <c r="E70" s="442" t="s">
        <v>223</v>
      </c>
      <c r="F70" s="442" t="s">
        <v>223</v>
      </c>
      <c r="G70" s="442" t="s">
        <v>223</v>
      </c>
    </row>
    <row r="71" spans="1:7" ht="15.75" outlineLevel="1">
      <c r="A71" s="443">
        <v>1955</v>
      </c>
      <c r="B71" s="447">
        <f>Harvests!O73</f>
        <v>20872</v>
      </c>
      <c r="C71" s="442" t="s">
        <v>223</v>
      </c>
      <c r="D71" s="442" t="s">
        <v>223</v>
      </c>
      <c r="E71" s="442" t="s">
        <v>223</v>
      </c>
      <c r="F71" s="442" t="s">
        <v>223</v>
      </c>
      <c r="G71" s="442" t="s">
        <v>223</v>
      </c>
    </row>
    <row r="72" spans="1:7" ht="15.75" outlineLevel="1">
      <c r="A72" s="443">
        <v>1956</v>
      </c>
      <c r="B72" s="447">
        <f>Harvests!O74</f>
        <v>11849</v>
      </c>
      <c r="C72" s="442" t="s">
        <v>223</v>
      </c>
      <c r="D72" s="442" t="s">
        <v>223</v>
      </c>
      <c r="E72" s="442" t="s">
        <v>223</v>
      </c>
      <c r="F72" s="442" t="s">
        <v>223</v>
      </c>
      <c r="G72" s="442" t="s">
        <v>223</v>
      </c>
    </row>
    <row r="73" spans="1:7" ht="15.75" outlineLevel="1">
      <c r="A73" s="443">
        <v>1957</v>
      </c>
      <c r="B73" s="447">
        <f>Harvests!O75</f>
        <v>8503</v>
      </c>
      <c r="C73" s="442" t="s">
        <v>223</v>
      </c>
      <c r="D73" s="442" t="s">
        <v>223</v>
      </c>
      <c r="E73" s="442" t="s">
        <v>223</v>
      </c>
      <c r="F73" s="442" t="s">
        <v>223</v>
      </c>
      <c r="G73" s="442" t="s">
        <v>223</v>
      </c>
    </row>
    <row r="74" spans="1:7" ht="15.75" outlineLevel="1">
      <c r="A74" s="443">
        <v>1958</v>
      </c>
      <c r="B74" s="447">
        <f>Harvests!O76</f>
        <v>7037</v>
      </c>
      <c r="C74" s="442" t="s">
        <v>223</v>
      </c>
      <c r="D74" s="442" t="s">
        <v>223</v>
      </c>
      <c r="E74" s="442" t="s">
        <v>223</v>
      </c>
      <c r="F74" s="442" t="s">
        <v>223</v>
      </c>
      <c r="G74" s="442" t="s">
        <v>223</v>
      </c>
    </row>
    <row r="75" spans="1:7" ht="15.75" outlineLevel="1">
      <c r="A75" s="443">
        <v>1959</v>
      </c>
      <c r="B75" s="447">
        <f>Harvests!O77</f>
        <v>9910</v>
      </c>
      <c r="C75" s="442" t="s">
        <v>223</v>
      </c>
      <c r="D75" s="442" t="s">
        <v>223</v>
      </c>
      <c r="E75" s="442" t="s">
        <v>223</v>
      </c>
      <c r="F75" s="442" t="s">
        <v>223</v>
      </c>
      <c r="G75" s="442" t="s">
        <v>223</v>
      </c>
    </row>
    <row r="76" spans="1:7" ht="15.75" outlineLevel="1">
      <c r="A76" s="443">
        <v>1960</v>
      </c>
      <c r="B76" s="447">
        <f>Harvests!O78</f>
        <v>14292</v>
      </c>
      <c r="C76" s="442" t="s">
        <v>223</v>
      </c>
      <c r="D76" s="442" t="s">
        <v>223</v>
      </c>
      <c r="E76" s="442" t="s">
        <v>223</v>
      </c>
      <c r="F76" s="442" t="s">
        <v>223</v>
      </c>
      <c r="G76" s="442" t="s">
        <v>223</v>
      </c>
    </row>
    <row r="77" spans="1:7" ht="15.75" outlineLevel="1">
      <c r="A77" s="443">
        <v>1961</v>
      </c>
      <c r="B77" s="447">
        <f>Harvests!O79</f>
        <v>8203</v>
      </c>
      <c r="C77" s="442" t="s">
        <v>223</v>
      </c>
      <c r="D77" s="442" t="s">
        <v>223</v>
      </c>
      <c r="E77" s="442" t="s">
        <v>223</v>
      </c>
      <c r="F77" s="442" t="s">
        <v>223</v>
      </c>
      <c r="G77" s="442" t="s">
        <v>223</v>
      </c>
    </row>
    <row r="78" spans="1:7" ht="15.75" outlineLevel="1">
      <c r="A78" s="443">
        <v>1962</v>
      </c>
      <c r="B78" s="447">
        <f>Harvests!O80</f>
        <v>16165</v>
      </c>
      <c r="C78" s="442" t="s">
        <v>223</v>
      </c>
      <c r="D78" s="442" t="s">
        <v>223</v>
      </c>
      <c r="E78" s="442" t="s">
        <v>223</v>
      </c>
      <c r="F78" s="442" t="s">
        <v>223</v>
      </c>
      <c r="G78" s="442" t="s">
        <v>223</v>
      </c>
    </row>
    <row r="79" spans="1:7" ht="15.75" outlineLevel="1">
      <c r="A79" s="443">
        <v>1963</v>
      </c>
      <c r="B79" s="447">
        <f>Harvests!O81</f>
        <v>11647</v>
      </c>
      <c r="C79" s="442" t="s">
        <v>223</v>
      </c>
      <c r="D79" s="442" t="s">
        <v>223</v>
      </c>
      <c r="E79" s="442" t="s">
        <v>223</v>
      </c>
      <c r="F79" s="442" t="s">
        <v>223</v>
      </c>
      <c r="G79" s="442" t="s">
        <v>223</v>
      </c>
    </row>
    <row r="80" spans="1:7" ht="15.75" outlineLevel="1">
      <c r="A80" s="443">
        <v>1964</v>
      </c>
      <c r="B80" s="447">
        <f>Harvests!O82</f>
        <v>13794</v>
      </c>
      <c r="C80" s="442" t="s">
        <v>223</v>
      </c>
      <c r="D80" s="442" t="s">
        <v>223</v>
      </c>
      <c r="E80" s="442" t="s">
        <v>223</v>
      </c>
      <c r="F80" s="442" t="s">
        <v>223</v>
      </c>
      <c r="G80" s="442" t="s">
        <v>223</v>
      </c>
    </row>
    <row r="81" spans="1:10" ht="15.75" outlineLevel="1">
      <c r="A81" s="443">
        <v>1965</v>
      </c>
      <c r="B81" s="447">
        <f>Harvests!O83</f>
        <v>16233</v>
      </c>
      <c r="C81" s="442" t="s">
        <v>223</v>
      </c>
      <c r="D81" s="442" t="s">
        <v>223</v>
      </c>
      <c r="E81" s="442" t="s">
        <v>223</v>
      </c>
      <c r="F81" s="442" t="s">
        <v>223</v>
      </c>
      <c r="G81" s="442" t="s">
        <v>223</v>
      </c>
    </row>
    <row r="82" spans="1:10" ht="15.75" outlineLevel="1">
      <c r="A82" s="443">
        <v>1966</v>
      </c>
      <c r="B82" s="447">
        <f>Harvests!O84</f>
        <v>12336</v>
      </c>
      <c r="C82" s="442" t="s">
        <v>223</v>
      </c>
      <c r="D82" s="442" t="s">
        <v>223</v>
      </c>
      <c r="E82" s="442" t="s">
        <v>223</v>
      </c>
      <c r="F82" s="442" t="s">
        <v>223</v>
      </c>
      <c r="G82" s="442" t="s">
        <v>223</v>
      </c>
    </row>
    <row r="83" spans="1:10" ht="15.75" outlineLevel="1">
      <c r="A83" s="443">
        <v>1967</v>
      </c>
      <c r="B83" s="447">
        <f>Harvests!O85</f>
        <v>11471</v>
      </c>
      <c r="C83" s="442" t="s">
        <v>223</v>
      </c>
      <c r="D83" s="442" t="s">
        <v>223</v>
      </c>
      <c r="E83" s="442" t="s">
        <v>223</v>
      </c>
      <c r="F83" s="442" t="s">
        <v>223</v>
      </c>
      <c r="G83" s="442" t="s">
        <v>223</v>
      </c>
    </row>
    <row r="84" spans="1:10" ht="15.75" outlineLevel="1">
      <c r="A84" s="443">
        <v>1968</v>
      </c>
      <c r="B84" s="447">
        <f>Harvests!O86</f>
        <v>10404</v>
      </c>
      <c r="C84" s="442" t="s">
        <v>223</v>
      </c>
      <c r="D84" s="442" t="s">
        <v>223</v>
      </c>
      <c r="E84" s="442" t="s">
        <v>223</v>
      </c>
      <c r="F84" s="442" t="s">
        <v>223</v>
      </c>
      <c r="G84" s="442" t="s">
        <v>223</v>
      </c>
    </row>
    <row r="85" spans="1:10" ht="15.75" outlineLevel="1">
      <c r="A85" s="443">
        <v>1969</v>
      </c>
      <c r="B85" s="447">
        <f>Harvests!O87</f>
        <v>15728</v>
      </c>
      <c r="C85" s="442" t="s">
        <v>223</v>
      </c>
      <c r="D85" s="442" t="s">
        <v>223</v>
      </c>
      <c r="E85" s="442" t="s">
        <v>223</v>
      </c>
      <c r="F85" s="442" t="s">
        <v>223</v>
      </c>
      <c r="G85" s="442" t="s">
        <v>223</v>
      </c>
    </row>
    <row r="86" spans="1:10" ht="15.75" outlineLevel="1">
      <c r="A86" s="443">
        <v>1970</v>
      </c>
      <c r="B86" s="447">
        <f>Harvests!O88</f>
        <v>20588</v>
      </c>
      <c r="C86" s="442" t="s">
        <v>223</v>
      </c>
      <c r="D86" s="442" t="s">
        <v>223</v>
      </c>
      <c r="E86" s="442" t="s">
        <v>223</v>
      </c>
      <c r="F86" s="442" t="s">
        <v>223</v>
      </c>
      <c r="G86" s="442" t="s">
        <v>223</v>
      </c>
    </row>
    <row r="87" spans="1:10" ht="15.75" outlineLevel="1">
      <c r="A87" s="443">
        <v>1971</v>
      </c>
      <c r="B87" s="447">
        <f>Harvests!O89</f>
        <v>18951</v>
      </c>
      <c r="C87" s="442" t="s">
        <v>223</v>
      </c>
      <c r="D87" s="442" t="s">
        <v>223</v>
      </c>
      <c r="E87" s="442" t="s">
        <v>223</v>
      </c>
      <c r="F87" s="442" t="s">
        <v>223</v>
      </c>
      <c r="G87" s="442" t="s">
        <v>223</v>
      </c>
    </row>
    <row r="88" spans="1:10" ht="15.75" outlineLevel="1">
      <c r="A88" s="443">
        <v>1972</v>
      </c>
      <c r="B88" s="447">
        <f>Harvests!O90</f>
        <v>25053</v>
      </c>
      <c r="C88" s="442" t="s">
        <v>223</v>
      </c>
      <c r="D88" s="442" t="s">
        <v>223</v>
      </c>
      <c r="E88" s="442" t="s">
        <v>223</v>
      </c>
      <c r="F88" s="442" t="s">
        <v>223</v>
      </c>
      <c r="G88" s="442" t="s">
        <v>223</v>
      </c>
    </row>
    <row r="89" spans="1:10" ht="15.75" outlineLevel="1">
      <c r="A89" s="443">
        <v>1973</v>
      </c>
      <c r="B89" s="447">
        <f>Harvests!O91</f>
        <v>23218</v>
      </c>
      <c r="C89" s="442" t="s">
        <v>223</v>
      </c>
      <c r="D89" s="442" t="s">
        <v>223</v>
      </c>
      <c r="E89" s="442" t="s">
        <v>223</v>
      </c>
      <c r="F89" s="442" t="s">
        <v>223</v>
      </c>
      <c r="G89" s="442" t="s">
        <v>223</v>
      </c>
    </row>
    <row r="90" spans="1:10" ht="15.75" outlineLevel="1">
      <c r="A90" s="443">
        <v>1974</v>
      </c>
      <c r="B90" s="447">
        <f>Harvests!O92</f>
        <v>21213</v>
      </c>
      <c r="C90" s="442" t="s">
        <v>223</v>
      </c>
      <c r="D90" s="442" t="s">
        <v>223</v>
      </c>
      <c r="E90" s="442" t="s">
        <v>223</v>
      </c>
      <c r="F90" s="442" t="s">
        <v>223</v>
      </c>
      <c r="G90" s="442" t="s">
        <v>223</v>
      </c>
    </row>
    <row r="91" spans="1:10" ht="15.75" outlineLevel="1">
      <c r="A91" s="443">
        <v>1975</v>
      </c>
      <c r="B91" s="447">
        <f>Harvests!O93</f>
        <v>22534</v>
      </c>
      <c r="C91" s="442" t="s">
        <v>223</v>
      </c>
      <c r="D91" s="442" t="s">
        <v>223</v>
      </c>
      <c r="E91" s="442" t="s">
        <v>223</v>
      </c>
      <c r="F91" s="442" t="s">
        <v>223</v>
      </c>
      <c r="G91" s="442" t="s">
        <v>223</v>
      </c>
    </row>
    <row r="92" spans="1:10" ht="15.75" outlineLevel="1">
      <c r="A92" s="443">
        <v>1976</v>
      </c>
      <c r="B92" s="447">
        <f>Harvests!O94</f>
        <v>34443</v>
      </c>
      <c r="C92" s="442" t="s">
        <v>223</v>
      </c>
      <c r="D92" s="442" t="s">
        <v>223</v>
      </c>
      <c r="E92" s="442" t="s">
        <v>223</v>
      </c>
      <c r="F92" s="442" t="s">
        <v>223</v>
      </c>
      <c r="G92" s="442" t="s">
        <v>223</v>
      </c>
    </row>
    <row r="93" spans="1:10" ht="15.75" outlineLevel="1">
      <c r="A93" s="443">
        <v>1977</v>
      </c>
      <c r="B93" s="447">
        <f>Harvests!O95</f>
        <v>24946</v>
      </c>
      <c r="C93" s="448" t="s">
        <v>223</v>
      </c>
      <c r="D93" s="442" t="s">
        <v>223</v>
      </c>
      <c r="E93" s="442" t="s">
        <v>223</v>
      </c>
      <c r="F93" s="442" t="s">
        <v>223</v>
      </c>
      <c r="G93" s="442" t="s">
        <v>223</v>
      </c>
    </row>
    <row r="94" spans="1:10" ht="15.75">
      <c r="A94" s="443">
        <v>1978</v>
      </c>
      <c r="B94" s="447">
        <f>Harvests!O96</f>
        <v>32310</v>
      </c>
      <c r="C94" s="448" t="s">
        <v>223</v>
      </c>
      <c r="D94" s="442" t="s">
        <v>223</v>
      </c>
      <c r="E94" s="442" t="s">
        <v>223</v>
      </c>
      <c r="F94" s="442" t="s">
        <v>223</v>
      </c>
      <c r="G94" s="442" t="s">
        <v>223</v>
      </c>
    </row>
    <row r="95" spans="1:10" ht="16.5" thickBot="1">
      <c r="A95" s="443">
        <v>1979</v>
      </c>
      <c r="B95" s="447">
        <f>Harvests!O97</f>
        <v>24472</v>
      </c>
      <c r="C95" s="448" t="s">
        <v>223</v>
      </c>
      <c r="D95" s="442" t="s">
        <v>223</v>
      </c>
      <c r="E95" s="442" t="s">
        <v>223</v>
      </c>
      <c r="F95" s="442" t="s">
        <v>223</v>
      </c>
      <c r="G95" s="442" t="s">
        <v>223</v>
      </c>
    </row>
    <row r="96" spans="1:10" ht="15.75">
      <c r="A96" s="443">
        <v>1980</v>
      </c>
      <c r="B96" s="447">
        <f>Harvests!O98</f>
        <v>13609</v>
      </c>
      <c r="C96" s="478">
        <f>Escapements!O9</f>
        <v>14283</v>
      </c>
      <c r="D96" s="445">
        <f t="shared" ref="D96:D127" si="0">SUM(B96:C96)</f>
        <v>27892</v>
      </c>
      <c r="E96" s="479">
        <f>Brood_Tab!W11</f>
        <v>31569.090722734436</v>
      </c>
      <c r="F96" s="479">
        <f>E96-C96</f>
        <v>17286.090722734436</v>
      </c>
      <c r="G96" s="480">
        <f>E96/C96</f>
        <v>2.2102562992882753</v>
      </c>
      <c r="J96" s="519"/>
    </row>
    <row r="97" spans="1:10" ht="15.75">
      <c r="A97" s="443">
        <v>1981</v>
      </c>
      <c r="B97" s="447">
        <f>Harvests!O99</f>
        <v>24552</v>
      </c>
      <c r="C97" s="481">
        <f>Escapements!O10</f>
        <v>15084</v>
      </c>
      <c r="D97" s="445">
        <f t="shared" si="0"/>
        <v>39636</v>
      </c>
      <c r="E97" s="479">
        <f>Brood_Tab!W12</f>
        <v>54703.554232678274</v>
      </c>
      <c r="F97" s="479">
        <f t="shared" ref="F97:F126" si="1">E97-C97</f>
        <v>39619.554232678274</v>
      </c>
      <c r="G97" s="480">
        <f t="shared" ref="G97:G120" si="2">E97/C97</f>
        <v>3.6265946852743487</v>
      </c>
      <c r="J97" s="519"/>
    </row>
    <row r="98" spans="1:10" ht="15.75">
      <c r="A98" s="443">
        <v>1982</v>
      </c>
      <c r="B98" s="447">
        <f>Harvests!O100</f>
        <v>52242</v>
      </c>
      <c r="C98" s="481">
        <f>Escapements!O11</f>
        <v>29956</v>
      </c>
      <c r="D98" s="445">
        <f t="shared" si="0"/>
        <v>82198</v>
      </c>
      <c r="E98" s="479">
        <f>Brood_Tab!W13</f>
        <v>34799.143939023423</v>
      </c>
      <c r="F98" s="479">
        <f t="shared" si="1"/>
        <v>4843.1439390234227</v>
      </c>
      <c r="G98" s="480">
        <f t="shared" si="2"/>
        <v>1.161675255008126</v>
      </c>
      <c r="J98" s="519"/>
    </row>
    <row r="99" spans="1:10" ht="15.75">
      <c r="A99" s="443">
        <v>1983</v>
      </c>
      <c r="B99" s="447">
        <f>Harvests!O101</f>
        <v>61718</v>
      </c>
      <c r="C99" s="481">
        <f>Escapements!O12</f>
        <v>16757</v>
      </c>
      <c r="D99" s="445">
        <f t="shared" si="0"/>
        <v>78475</v>
      </c>
      <c r="E99" s="479">
        <f>Brood_Tab!W14</f>
        <v>30861.744712144631</v>
      </c>
      <c r="F99" s="479">
        <f t="shared" si="1"/>
        <v>14104.744712144631</v>
      </c>
      <c r="G99" s="480">
        <f t="shared" si="2"/>
        <v>1.8417225465265041</v>
      </c>
      <c r="J99" s="519"/>
    </row>
    <row r="100" spans="1:10" ht="15.75">
      <c r="A100" s="443">
        <v>1984</v>
      </c>
      <c r="B100" s="447">
        <f>Harvests!O102</f>
        <v>44411</v>
      </c>
      <c r="C100" s="481">
        <f>Escapements!O13</f>
        <v>41962</v>
      </c>
      <c r="D100" s="445">
        <f t="shared" si="0"/>
        <v>86373</v>
      </c>
      <c r="E100" s="479">
        <f>Brood_Tab!W15</f>
        <v>21850.475802032008</v>
      </c>
      <c r="F100" s="479">
        <f t="shared" si="1"/>
        <v>-20111.524197967992</v>
      </c>
      <c r="G100" s="480">
        <f t="shared" si="2"/>
        <v>0.5207205519763598</v>
      </c>
      <c r="J100" s="519"/>
    </row>
    <row r="101" spans="1:10" ht="15.75">
      <c r="A101" s="443">
        <v>1985</v>
      </c>
      <c r="B101" s="447">
        <f>Harvests!O103</f>
        <v>46414</v>
      </c>
      <c r="C101" s="481">
        <f>Escapements!O14</f>
        <v>8254</v>
      </c>
      <c r="D101" s="445">
        <f t="shared" si="0"/>
        <v>54668</v>
      </c>
      <c r="E101" s="479">
        <f>Brood_Tab!W16</f>
        <v>21687.643160790587</v>
      </c>
      <c r="F101" s="479">
        <f t="shared" si="1"/>
        <v>13433.643160790587</v>
      </c>
      <c r="G101" s="480">
        <f t="shared" si="2"/>
        <v>2.6275312770524093</v>
      </c>
      <c r="J101" s="519"/>
    </row>
    <row r="102" spans="1:10" ht="15.75">
      <c r="A102" s="443">
        <v>1986</v>
      </c>
      <c r="B102" s="447">
        <f>Harvests!O104</f>
        <v>47600</v>
      </c>
      <c r="C102" s="481">
        <f>Escapements!O15</f>
        <v>55424</v>
      </c>
      <c r="D102" s="445">
        <f t="shared" si="0"/>
        <v>103024</v>
      </c>
      <c r="E102" s="479">
        <f>Brood_Tab!W17</f>
        <v>67617.186023071525</v>
      </c>
      <c r="F102" s="479">
        <f t="shared" si="1"/>
        <v>12193.186023071525</v>
      </c>
      <c r="G102" s="480">
        <f t="shared" si="2"/>
        <v>1.2199983044001068</v>
      </c>
      <c r="J102" s="519"/>
    </row>
    <row r="103" spans="1:10" ht="15.75">
      <c r="A103" s="443">
        <v>1987</v>
      </c>
      <c r="B103" s="447">
        <f>Harvests!O105</f>
        <v>47295</v>
      </c>
      <c r="C103" s="481">
        <f>Escapements!O16</f>
        <v>22744</v>
      </c>
      <c r="D103" s="445">
        <f t="shared" si="0"/>
        <v>70039</v>
      </c>
      <c r="E103" s="479">
        <f>Brood_Tab!W18</f>
        <v>27552.606274832029</v>
      </c>
      <c r="F103" s="479">
        <f t="shared" si="1"/>
        <v>4808.6062748320292</v>
      </c>
      <c r="G103" s="480">
        <f t="shared" si="2"/>
        <v>1.2114230687140357</v>
      </c>
      <c r="J103" s="519"/>
    </row>
    <row r="104" spans="1:10" ht="15.75">
      <c r="A104" s="443">
        <v>1988</v>
      </c>
      <c r="B104" s="447">
        <f>Harvests!O106</f>
        <v>36367</v>
      </c>
      <c r="C104" s="481">
        <f>Escapements!O17</f>
        <v>19434</v>
      </c>
      <c r="D104" s="445">
        <f t="shared" si="0"/>
        <v>55801</v>
      </c>
      <c r="E104" s="479">
        <f>Brood_Tab!W19</f>
        <v>72770.786095734482</v>
      </c>
      <c r="F104" s="479">
        <f t="shared" si="1"/>
        <v>53336.786095734482</v>
      </c>
      <c r="G104" s="480">
        <f t="shared" si="2"/>
        <v>3.7445089068505961</v>
      </c>
      <c r="J104" s="519"/>
    </row>
    <row r="105" spans="1:10" ht="15.75">
      <c r="A105" s="443">
        <v>1989</v>
      </c>
      <c r="B105" s="447">
        <f>Harvests!O107</f>
        <v>36353</v>
      </c>
      <c r="C105" s="481">
        <f>Escapements!O18</f>
        <v>37080</v>
      </c>
      <c r="D105" s="445">
        <f t="shared" si="0"/>
        <v>73433</v>
      </c>
      <c r="E105" s="479">
        <f>Brood_Tab!W20</f>
        <v>69641.215009319392</v>
      </c>
      <c r="F105" s="479">
        <f t="shared" si="1"/>
        <v>32561.215009319392</v>
      </c>
      <c r="G105" s="480">
        <f t="shared" si="2"/>
        <v>1.8781341696148703</v>
      </c>
      <c r="J105" s="519"/>
    </row>
    <row r="106" spans="1:10" ht="15.75">
      <c r="A106" s="443">
        <v>1990</v>
      </c>
      <c r="B106" s="447">
        <f>Harvests!O108</f>
        <v>27467</v>
      </c>
      <c r="C106" s="481">
        <f>Escapements!O19</f>
        <v>25466</v>
      </c>
      <c r="D106" s="445">
        <f t="shared" si="0"/>
        <v>52933</v>
      </c>
      <c r="E106" s="479">
        <f>Brood_Tab!W21</f>
        <v>97683.094564226747</v>
      </c>
      <c r="F106" s="479">
        <f t="shared" si="1"/>
        <v>72217.094564226747</v>
      </c>
      <c r="G106" s="480">
        <f t="shared" si="2"/>
        <v>3.8358240227843692</v>
      </c>
      <c r="J106" s="519"/>
    </row>
    <row r="107" spans="1:10" ht="15.75">
      <c r="A107" s="443">
        <v>1991</v>
      </c>
      <c r="B107" s="447">
        <f>Harvests!O109</f>
        <v>45314</v>
      </c>
      <c r="C107" s="481">
        <f>Escapements!O20</f>
        <v>22956</v>
      </c>
      <c r="D107" s="445">
        <f t="shared" si="0"/>
        <v>68270</v>
      </c>
      <c r="E107" s="479">
        <f>Brood_Tab!W22</f>
        <v>78766.170557210105</v>
      </c>
      <c r="F107" s="479">
        <f t="shared" si="1"/>
        <v>55810.170557210105</v>
      </c>
      <c r="G107" s="480">
        <f t="shared" si="2"/>
        <v>3.4311801079112261</v>
      </c>
      <c r="J107" s="519"/>
    </row>
    <row r="108" spans="1:10" ht="15.75">
      <c r="A108" s="443">
        <v>1992</v>
      </c>
      <c r="B108" s="447">
        <f>Harvests!O110</f>
        <v>49239</v>
      </c>
      <c r="C108" s="481">
        <f>Escapements!O21</f>
        <v>14933</v>
      </c>
      <c r="D108" s="445">
        <f t="shared" si="0"/>
        <v>64172</v>
      </c>
      <c r="E108" s="479">
        <f>Brood_Tab!W23</f>
        <v>92840.022641191565</v>
      </c>
      <c r="F108" s="479">
        <f t="shared" si="1"/>
        <v>77907.022641191565</v>
      </c>
      <c r="G108" s="480">
        <f t="shared" si="2"/>
        <v>6.2171045765212325</v>
      </c>
      <c r="J108" s="519"/>
    </row>
    <row r="109" spans="1:10" ht="15.75">
      <c r="A109" s="443">
        <v>1993</v>
      </c>
      <c r="B109" s="447">
        <f>Harvests!O111</f>
        <v>42475</v>
      </c>
      <c r="C109" s="481">
        <f>Escapements!O22</f>
        <v>22827</v>
      </c>
      <c r="D109" s="445">
        <f t="shared" si="0"/>
        <v>65302</v>
      </c>
      <c r="E109" s="479">
        <f>Brood_Tab!W24</f>
        <v>106550.38387986002</v>
      </c>
      <c r="F109" s="479">
        <f t="shared" si="1"/>
        <v>83723.383879860019</v>
      </c>
      <c r="G109" s="480">
        <f t="shared" si="2"/>
        <v>4.6677348701038248</v>
      </c>
      <c r="J109" s="519"/>
    </row>
    <row r="110" spans="1:10" ht="15.75">
      <c r="A110" s="443">
        <v>1994</v>
      </c>
      <c r="B110" s="447">
        <f>Harvests!O112</f>
        <v>60260</v>
      </c>
      <c r="C110" s="481">
        <f>Escapements!O23</f>
        <v>29813</v>
      </c>
      <c r="D110" s="445">
        <f t="shared" si="0"/>
        <v>90073</v>
      </c>
      <c r="E110" s="479">
        <f>Brood_Tab!W25</f>
        <v>79065.859967906421</v>
      </c>
      <c r="F110" s="479">
        <f t="shared" si="1"/>
        <v>49252.859967906421</v>
      </c>
      <c r="G110" s="480">
        <f t="shared" si="2"/>
        <v>2.652059838590763</v>
      </c>
      <c r="J110" s="519"/>
    </row>
    <row r="111" spans="1:10" ht="15.75">
      <c r="A111" s="443">
        <v>1995</v>
      </c>
      <c r="B111" s="447">
        <f>Harvests!O113</f>
        <v>80869</v>
      </c>
      <c r="C111" s="481">
        <f>Escapements!O24</f>
        <v>15841</v>
      </c>
      <c r="D111" s="445">
        <f t="shared" si="0"/>
        <v>96710</v>
      </c>
      <c r="E111" s="479">
        <f>Brood_Tab!W26</f>
        <v>76295.764779792546</v>
      </c>
      <c r="F111" s="479">
        <f t="shared" si="1"/>
        <v>60454.764779792546</v>
      </c>
      <c r="G111" s="480">
        <f t="shared" si="2"/>
        <v>4.816347754547853</v>
      </c>
      <c r="J111" s="519"/>
    </row>
    <row r="112" spans="1:10" ht="15.75">
      <c r="A112" s="443">
        <v>1996</v>
      </c>
      <c r="B112" s="447">
        <f>Harvests!O114</f>
        <v>72391</v>
      </c>
      <c r="C112" s="481">
        <f>Escapements!O25</f>
        <v>41484</v>
      </c>
      <c r="D112" s="967">
        <f t="shared" si="0"/>
        <v>113875</v>
      </c>
      <c r="E112" s="479">
        <f>Brood_Tab!W27</f>
        <v>76981.436272685023</v>
      </c>
      <c r="F112" s="479">
        <f t="shared" si="1"/>
        <v>35497.436272685023</v>
      </c>
      <c r="G112" s="480">
        <f t="shared" si="2"/>
        <v>1.8556898146920504</v>
      </c>
      <c r="J112" s="519"/>
    </row>
    <row r="113" spans="1:14" ht="15.75">
      <c r="A113" s="443">
        <v>1997</v>
      </c>
      <c r="B113" s="447">
        <f>Harvests!O115</f>
        <v>69115</v>
      </c>
      <c r="C113" s="481">
        <f>Escapements!O26</f>
        <v>38642</v>
      </c>
      <c r="D113" s="967">
        <f t="shared" si="0"/>
        <v>107757</v>
      </c>
      <c r="E113" s="479">
        <f>Brood_Tab!W28</f>
        <v>84475.667195828166</v>
      </c>
      <c r="F113" s="479">
        <f t="shared" si="1"/>
        <v>45833.667195828166</v>
      </c>
      <c r="G113" s="480">
        <f t="shared" si="2"/>
        <v>2.1861101184159248</v>
      </c>
      <c r="J113" s="519">
        <f t="shared" ref="J113:J133" si="3">RANK(D113,$D$113:$D$132)</f>
        <v>2</v>
      </c>
    </row>
    <row r="114" spans="1:14" ht="16.5" thickBot="1">
      <c r="A114" s="443">
        <v>1998</v>
      </c>
      <c r="B114" s="447">
        <f>Harvests!O116</f>
        <v>87601</v>
      </c>
      <c r="C114" s="482">
        <f>Escapements!O27</f>
        <v>24952</v>
      </c>
      <c r="D114" s="967">
        <f t="shared" si="0"/>
        <v>112553</v>
      </c>
      <c r="E114" s="479">
        <f>Brood_Tab!W29</f>
        <v>96516.897046991828</v>
      </c>
      <c r="F114" s="479">
        <f t="shared" si="1"/>
        <v>71564.897046991828</v>
      </c>
      <c r="G114" s="480">
        <f t="shared" si="2"/>
        <v>3.8681026389464503</v>
      </c>
      <c r="J114" s="519">
        <f t="shared" si="3"/>
        <v>1</v>
      </c>
    </row>
    <row r="115" spans="1:14" ht="15.75">
      <c r="A115" s="443">
        <v>1999</v>
      </c>
      <c r="B115" s="447">
        <f>Harvests!O117</f>
        <v>79794</v>
      </c>
      <c r="C115" s="483">
        <f>Escapements!N28</f>
        <v>16157</v>
      </c>
      <c r="D115" s="445">
        <f t="shared" si="0"/>
        <v>95951</v>
      </c>
      <c r="E115" s="479">
        <f>Brood_Tab!W30</f>
        <v>76611.972532084939</v>
      </c>
      <c r="F115" s="479">
        <f t="shared" si="1"/>
        <v>60454.972532084939</v>
      </c>
      <c r="G115" s="480">
        <f t="shared" si="2"/>
        <v>4.7417201542418113</v>
      </c>
      <c r="J115" s="519">
        <f t="shared" si="3"/>
        <v>4</v>
      </c>
      <c r="N115" s="500">
        <f t="shared" ref="N115:N130" si="4">B115/D115</f>
        <v>0.83161196860897746</v>
      </c>
    </row>
    <row r="116" spans="1:14" ht="15.75">
      <c r="A116" s="443">
        <v>2000</v>
      </c>
      <c r="B116" s="447">
        <f>Harvests!O118</f>
        <v>46262</v>
      </c>
      <c r="C116" s="483">
        <f>Escapements!N29</f>
        <v>24492</v>
      </c>
      <c r="D116" s="445">
        <f t="shared" si="0"/>
        <v>70754</v>
      </c>
      <c r="E116" s="479">
        <f>Brood_Tab!W31</f>
        <v>63827.439787779818</v>
      </c>
      <c r="F116" s="479">
        <f t="shared" si="1"/>
        <v>39335.439787779818</v>
      </c>
      <c r="G116" s="480">
        <f t="shared" si="2"/>
        <v>2.6060525799354819</v>
      </c>
      <c r="J116" s="519">
        <f t="shared" si="3"/>
        <v>10</v>
      </c>
      <c r="L116" s="553">
        <f>Harvests!B118</f>
        <v>31273</v>
      </c>
      <c r="M116" s="554">
        <f t="shared" ref="M116:M130" si="5">L116/D116</f>
        <v>0.44199621222828389</v>
      </c>
      <c r="N116" s="500">
        <f t="shared" si="4"/>
        <v>0.65384289227464176</v>
      </c>
    </row>
    <row r="117" spans="1:14" ht="15.75">
      <c r="A117" s="443">
        <v>2001</v>
      </c>
      <c r="B117" s="447">
        <f>Harvests!O119</f>
        <v>52931</v>
      </c>
      <c r="C117" s="483">
        <f>Escapements!N30</f>
        <v>28208</v>
      </c>
      <c r="D117" s="445">
        <f t="shared" si="0"/>
        <v>81139</v>
      </c>
      <c r="E117" s="479">
        <f>Brood_Tab!W32</f>
        <v>98779.587729427003</v>
      </c>
      <c r="F117" s="479">
        <f t="shared" si="1"/>
        <v>70571.587729427003</v>
      </c>
      <c r="G117" s="480">
        <f t="shared" si="2"/>
        <v>3.5018288332893861</v>
      </c>
      <c r="J117" s="519">
        <f t="shared" si="3"/>
        <v>7</v>
      </c>
      <c r="L117" s="553">
        <f>Harvests!B119</f>
        <v>39524</v>
      </c>
      <c r="M117" s="554">
        <f t="shared" si="5"/>
        <v>0.48711470439615967</v>
      </c>
      <c r="N117" s="500">
        <f t="shared" si="4"/>
        <v>0.65234967155128853</v>
      </c>
    </row>
    <row r="118" spans="1:14" ht="15.75">
      <c r="A118" s="443">
        <v>2002</v>
      </c>
      <c r="B118" s="447">
        <f>Harvests!O120</f>
        <v>51472</v>
      </c>
      <c r="C118" s="483">
        <f>Escapements!N31</f>
        <v>21502</v>
      </c>
      <c r="D118" s="445">
        <f t="shared" si="0"/>
        <v>72974</v>
      </c>
      <c r="E118" s="479">
        <f>Brood_Tab!W33</f>
        <v>86656.05226517719</v>
      </c>
      <c r="F118" s="479">
        <f t="shared" si="1"/>
        <v>65154.05226517719</v>
      </c>
      <c r="G118" s="480">
        <f t="shared" si="2"/>
        <v>4.0301391621792018</v>
      </c>
      <c r="J118" s="519">
        <f t="shared" si="3"/>
        <v>9</v>
      </c>
      <c r="L118" s="553">
        <f>Harvests!B120</f>
        <v>38740</v>
      </c>
      <c r="M118" s="554">
        <f t="shared" si="5"/>
        <v>0.53087400992134182</v>
      </c>
      <c r="N118" s="500">
        <f t="shared" si="4"/>
        <v>0.70534710992956395</v>
      </c>
    </row>
    <row r="119" spans="1:14" ht="15.75">
      <c r="A119" s="443">
        <v>2003</v>
      </c>
      <c r="B119" s="447">
        <f>Harvests!O121</f>
        <v>60521</v>
      </c>
      <c r="C119" s="483">
        <f>Escapements!N32</f>
        <v>34034</v>
      </c>
      <c r="D119" s="445">
        <f t="shared" si="0"/>
        <v>94555</v>
      </c>
      <c r="E119" s="479">
        <f>Brood_Tab!W34</f>
        <v>48149.609636566769</v>
      </c>
      <c r="F119" s="479">
        <f t="shared" si="1"/>
        <v>14115.609636566769</v>
      </c>
      <c r="G119" s="480">
        <f t="shared" si="2"/>
        <v>1.4147502390717157</v>
      </c>
      <c r="J119" s="519">
        <f t="shared" si="3"/>
        <v>5</v>
      </c>
      <c r="L119" s="553">
        <f>Harvests!B121</f>
        <v>47774</v>
      </c>
      <c r="M119" s="554">
        <f t="shared" si="5"/>
        <v>0.50525091216752149</v>
      </c>
      <c r="N119" s="500">
        <f t="shared" si="4"/>
        <v>0.64006133996086934</v>
      </c>
    </row>
    <row r="120" spans="1:14" ht="15.75">
      <c r="A120" s="443">
        <v>2004</v>
      </c>
      <c r="B120" s="447">
        <f>Harvests!O122</f>
        <v>49921</v>
      </c>
      <c r="C120" s="483">
        <f>Escapements!N33</f>
        <v>30645</v>
      </c>
      <c r="D120" s="445">
        <f t="shared" si="0"/>
        <v>80566</v>
      </c>
      <c r="E120" s="479">
        <f>Brood_Tab!W35</f>
        <v>38721.333157232359</v>
      </c>
      <c r="F120" s="479">
        <f t="shared" si="1"/>
        <v>8076.3331572323586</v>
      </c>
      <c r="G120" s="480">
        <f t="shared" si="2"/>
        <v>1.263544890103846</v>
      </c>
      <c r="J120" s="519">
        <f t="shared" si="3"/>
        <v>8</v>
      </c>
      <c r="L120" s="553">
        <f>Harvests!B122</f>
        <v>38198</v>
      </c>
      <c r="M120" s="554">
        <f t="shared" si="5"/>
        <v>0.47412059677779711</v>
      </c>
      <c r="N120" s="500">
        <f t="shared" si="4"/>
        <v>0.61962862746071545</v>
      </c>
    </row>
    <row r="121" spans="1:14" ht="15.75">
      <c r="A121" s="443">
        <v>2005</v>
      </c>
      <c r="B121" s="447">
        <f>Harvests!O123</f>
        <v>44829</v>
      </c>
      <c r="C121" s="483">
        <f>Escapements!N34</f>
        <v>21528</v>
      </c>
      <c r="D121" s="445">
        <f t="shared" si="0"/>
        <v>66357</v>
      </c>
      <c r="E121" s="479">
        <f>Brood_Tab!W36</f>
        <v>32647.431888888754</v>
      </c>
      <c r="F121" s="479">
        <f t="shared" si="1"/>
        <v>11119.431888888754</v>
      </c>
      <c r="G121" s="480">
        <f t="shared" ref="G121:G126" si="6">E121/C121</f>
        <v>1.5165102140881064</v>
      </c>
      <c r="J121" s="519">
        <f t="shared" si="3"/>
        <v>11</v>
      </c>
      <c r="L121" s="553">
        <f>Harvests!B123</f>
        <v>34635</v>
      </c>
      <c r="M121" s="554">
        <f t="shared" si="5"/>
        <v>0.52194945521949454</v>
      </c>
      <c r="N121" s="500">
        <f t="shared" si="4"/>
        <v>0.67557303675573033</v>
      </c>
    </row>
    <row r="122" spans="1:14" ht="15.75">
      <c r="A122" s="443">
        <v>2006</v>
      </c>
      <c r="B122" s="447">
        <f>Harvests!O124</f>
        <v>41423</v>
      </c>
      <c r="C122" s="483">
        <f>Escapements!N35</f>
        <v>58454</v>
      </c>
      <c r="D122" s="445">
        <f t="shared" si="0"/>
        <v>99877</v>
      </c>
      <c r="E122" s="479">
        <f>Brood_Tab!W37</f>
        <v>53244.534331394883</v>
      </c>
      <c r="F122" s="479">
        <f t="shared" si="1"/>
        <v>-5209.4656686051167</v>
      </c>
      <c r="G122" s="480">
        <f t="shared" si="6"/>
        <v>0.91087922693733336</v>
      </c>
      <c r="J122" s="519">
        <f t="shared" si="3"/>
        <v>3</v>
      </c>
      <c r="L122" s="553">
        <f>Harvests!B124</f>
        <v>30281</v>
      </c>
      <c r="M122" s="554">
        <f t="shared" si="5"/>
        <v>0.30318291498543209</v>
      </c>
      <c r="N122" s="500">
        <f t="shared" si="4"/>
        <v>0.41474013036034324</v>
      </c>
    </row>
    <row r="123" spans="1:14" ht="15.75">
      <c r="A123" s="443">
        <v>2007</v>
      </c>
      <c r="B123" s="447">
        <f>Harvests!O125</f>
        <v>53196</v>
      </c>
      <c r="C123" s="483">
        <f>Escapements!N36</f>
        <v>34575</v>
      </c>
      <c r="D123" s="445">
        <f t="shared" si="0"/>
        <v>87771</v>
      </c>
      <c r="E123" s="479">
        <f>Brood_Tab!W38</f>
        <v>47436.244390504151</v>
      </c>
      <c r="F123" s="479">
        <f t="shared" si="1"/>
        <v>12861.244390504151</v>
      </c>
      <c r="G123" s="480">
        <f t="shared" si="6"/>
        <v>1.3719810380478423</v>
      </c>
      <c r="J123" s="519">
        <f t="shared" si="3"/>
        <v>6</v>
      </c>
      <c r="L123" s="553">
        <f>Harvests!B125</f>
        <v>39097</v>
      </c>
      <c r="M123" s="554">
        <f t="shared" si="5"/>
        <v>0.44544325574506388</v>
      </c>
      <c r="N123" s="500">
        <f t="shared" si="4"/>
        <v>0.60607717811122119</v>
      </c>
    </row>
    <row r="124" spans="1:14" ht="15.75">
      <c r="A124" s="443">
        <v>2008</v>
      </c>
      <c r="B124" s="447">
        <f>Harvests!O126</f>
        <v>21408</v>
      </c>
      <c r="C124" s="483">
        <f>Escapements!N37</f>
        <v>32485</v>
      </c>
      <c r="D124" s="445">
        <f t="shared" si="0"/>
        <v>53893</v>
      </c>
      <c r="E124" s="479">
        <f>Brood_Tab!W39</f>
        <v>40148.550618680703</v>
      </c>
      <c r="F124" s="479">
        <f t="shared" si="1"/>
        <v>7663.5506186807033</v>
      </c>
      <c r="G124" s="480">
        <f t="shared" si="6"/>
        <v>1.235910439239055</v>
      </c>
      <c r="J124" s="519">
        <f t="shared" si="3"/>
        <v>13</v>
      </c>
      <c r="L124" s="553">
        <f>Harvests!B126</f>
        <v>11450</v>
      </c>
      <c r="M124" s="554">
        <f t="shared" si="5"/>
        <v>0.21245801866661718</v>
      </c>
      <c r="N124" s="500">
        <f t="shared" si="4"/>
        <v>0.39723155140741839</v>
      </c>
    </row>
    <row r="125" spans="1:14" ht="15.75">
      <c r="A125" s="443">
        <v>2009</v>
      </c>
      <c r="B125" s="447">
        <f>Harvests!O127</f>
        <v>15220</v>
      </c>
      <c r="C125" s="483">
        <f>Escapements!N38</f>
        <v>27787</v>
      </c>
      <c r="D125" s="445">
        <f t="shared" si="0"/>
        <v>43007</v>
      </c>
      <c r="E125" s="479">
        <f>Brood_Tab!W40</f>
        <v>34295.951914890451</v>
      </c>
      <c r="F125" s="479">
        <f t="shared" si="1"/>
        <v>6508.951914890451</v>
      </c>
      <c r="G125" s="480">
        <f t="shared" si="6"/>
        <v>1.2342444997621351</v>
      </c>
      <c r="J125" s="519">
        <f t="shared" si="3"/>
        <v>16</v>
      </c>
      <c r="L125" s="553">
        <f>Harvests!B127</f>
        <v>9457</v>
      </c>
      <c r="M125" s="554">
        <f t="shared" si="5"/>
        <v>0.21989443578952264</v>
      </c>
      <c r="N125" s="500">
        <f t="shared" si="4"/>
        <v>0.35389587741530448</v>
      </c>
    </row>
    <row r="126" spans="1:14" ht="15.75">
      <c r="A126" s="443">
        <v>2010</v>
      </c>
      <c r="B126" s="447">
        <f>Harvests!O128</f>
        <v>16413</v>
      </c>
      <c r="C126" s="483">
        <f>Escapements!N39</f>
        <v>16771</v>
      </c>
      <c r="D126" s="445">
        <f>SUM(B126:C126)</f>
        <v>33184</v>
      </c>
      <c r="E126" s="479">
        <f>Brood_Tab!W41</f>
        <v>56489.116198613876</v>
      </c>
      <c r="F126" s="479">
        <f t="shared" si="1"/>
        <v>39718.116198613876</v>
      </c>
      <c r="G126" s="480">
        <f t="shared" si="6"/>
        <v>3.3682616539630241</v>
      </c>
      <c r="J126" s="519">
        <f t="shared" si="3"/>
        <v>19</v>
      </c>
      <c r="L126" s="553">
        <f>Harvests!B128</f>
        <v>9645</v>
      </c>
      <c r="M126" s="554">
        <f t="shared" si="5"/>
        <v>0.29065212150433944</v>
      </c>
      <c r="N126" s="500">
        <f t="shared" si="4"/>
        <v>0.49460583413693349</v>
      </c>
    </row>
    <row r="127" spans="1:14" ht="15.75">
      <c r="A127" s="443">
        <v>2011</v>
      </c>
      <c r="B127" s="447">
        <f>Harvests!O129</f>
        <v>25896</v>
      </c>
      <c r="C127" s="483">
        <f>Escapements!N40</f>
        <v>27994</v>
      </c>
      <c r="D127" s="445">
        <f t="shared" si="0"/>
        <v>53890</v>
      </c>
      <c r="E127" s="484" t="s">
        <v>223</v>
      </c>
      <c r="F127" s="484" t="s">
        <v>223</v>
      </c>
      <c r="G127" s="484" t="s">
        <v>223</v>
      </c>
      <c r="J127" s="519">
        <f t="shared" si="3"/>
        <v>14</v>
      </c>
      <c r="L127" s="553">
        <f>Harvests!B129</f>
        <v>18500</v>
      </c>
      <c r="M127" s="554">
        <f t="shared" si="5"/>
        <v>0.34329189088884765</v>
      </c>
      <c r="N127" s="500">
        <f t="shared" si="4"/>
        <v>0.48053442197068102</v>
      </c>
    </row>
    <row r="128" spans="1:14" ht="15.75">
      <c r="A128" s="443">
        <v>2012</v>
      </c>
      <c r="B128" s="447">
        <f>Harvests!O130</f>
        <v>16478</v>
      </c>
      <c r="C128" s="483">
        <f>Escapements!N41</f>
        <v>29965</v>
      </c>
      <c r="D128" s="445">
        <f t="shared" ref="D128:D133" si="7">SUM(B128:C128)</f>
        <v>46443</v>
      </c>
      <c r="E128" s="484" t="s">
        <v>223</v>
      </c>
      <c r="F128" s="484" t="s">
        <v>223</v>
      </c>
      <c r="G128" s="484" t="s">
        <v>223</v>
      </c>
      <c r="J128" s="519">
        <f t="shared" si="3"/>
        <v>15</v>
      </c>
      <c r="L128" s="553">
        <f>Harvests!B130</f>
        <v>11764</v>
      </c>
      <c r="M128" s="554">
        <f t="shared" si="5"/>
        <v>0.25329974377193548</v>
      </c>
      <c r="N128" s="500">
        <f t="shared" si="4"/>
        <v>0.35480050814977498</v>
      </c>
    </row>
    <row r="129" spans="1:14" ht="15.75">
      <c r="A129" s="443">
        <v>2013</v>
      </c>
      <c r="B129" s="447">
        <f>Harvests!O131</f>
        <v>13890</v>
      </c>
      <c r="C129" s="483">
        <f>Escapements!N42</f>
        <v>29012</v>
      </c>
      <c r="D129" s="445">
        <f t="shared" si="7"/>
        <v>42902</v>
      </c>
      <c r="E129" s="484" t="s">
        <v>223</v>
      </c>
      <c r="F129" s="484" t="s">
        <v>223</v>
      </c>
      <c r="G129" s="484" t="s">
        <v>223</v>
      </c>
      <c r="J129" s="519">
        <f t="shared" si="3"/>
        <v>17</v>
      </c>
      <c r="L129" s="553">
        <f>Harvests!B131</f>
        <v>8826</v>
      </c>
      <c r="M129" s="554">
        <f t="shared" si="5"/>
        <v>0.20572467484033377</v>
      </c>
      <c r="N129" s="500">
        <f t="shared" si="4"/>
        <v>0.3237611300172486</v>
      </c>
    </row>
    <row r="130" spans="1:14" ht="15.75">
      <c r="A130" s="443">
        <v>2014</v>
      </c>
      <c r="B130" s="447">
        <f>Harvests!O132</f>
        <v>14613</v>
      </c>
      <c r="C130" s="483">
        <f>Escapements!N43</f>
        <v>20709</v>
      </c>
      <c r="D130" s="445">
        <f t="shared" si="7"/>
        <v>35322</v>
      </c>
      <c r="E130" s="484" t="s">
        <v>223</v>
      </c>
      <c r="F130" s="484" t="s">
        <v>223</v>
      </c>
      <c r="G130" s="484" t="s">
        <v>223</v>
      </c>
      <c r="J130" s="519">
        <f t="shared" si="3"/>
        <v>18</v>
      </c>
      <c r="L130" s="553">
        <f>Harvests!B132</f>
        <v>10207</v>
      </c>
      <c r="M130" s="554">
        <f t="shared" si="5"/>
        <v>0.28897004699620632</v>
      </c>
      <c r="N130" s="500">
        <f t="shared" si="4"/>
        <v>0.41370817054526926</v>
      </c>
    </row>
    <row r="131" spans="1:14" ht="15.75">
      <c r="A131" s="443">
        <v>2015</v>
      </c>
      <c r="B131" s="447">
        <f>Harvests!O133</f>
        <v>29423</v>
      </c>
      <c r="C131" s="483">
        <f>Escapements!N44</f>
        <v>26764</v>
      </c>
      <c r="D131" s="445">
        <f t="shared" si="7"/>
        <v>56187</v>
      </c>
      <c r="E131" s="484" t="s">
        <v>223</v>
      </c>
      <c r="F131" s="484" t="s">
        <v>223</v>
      </c>
      <c r="G131" s="484" t="s">
        <v>223</v>
      </c>
      <c r="J131" s="519">
        <f t="shared" si="3"/>
        <v>12</v>
      </c>
      <c r="L131" s="553">
        <f>Harvests!B133</f>
        <v>22506</v>
      </c>
      <c r="M131" s="554">
        <f>L131/D131</f>
        <v>0.40055528858988731</v>
      </c>
      <c r="N131" s="500">
        <f>B131/D131</f>
        <v>0.52366205705946212</v>
      </c>
    </row>
    <row r="132" spans="1:14" ht="15.75">
      <c r="A132" s="443">
        <v>2016</v>
      </c>
      <c r="B132" s="447">
        <f>Harvests!O134</f>
        <v>16810</v>
      </c>
      <c r="C132" s="483">
        <f>Escapements!N45</f>
        <v>12485</v>
      </c>
      <c r="D132" s="445">
        <f t="shared" si="7"/>
        <v>29295</v>
      </c>
      <c r="E132" s="484" t="s">
        <v>223</v>
      </c>
      <c r="F132" s="484" t="s">
        <v>223</v>
      </c>
      <c r="G132" s="484" t="s">
        <v>223</v>
      </c>
      <c r="J132" s="966">
        <f t="shared" si="3"/>
        <v>20</v>
      </c>
      <c r="L132" s="553">
        <f>Harvests!B134</f>
        <v>12348</v>
      </c>
      <c r="M132" s="554">
        <f>L132/D132</f>
        <v>0.42150537634408602</v>
      </c>
      <c r="N132" s="974">
        <f>B132/D132</f>
        <v>0.57381805768902538</v>
      </c>
    </row>
    <row r="133" spans="1:14" ht="15.75">
      <c r="A133" s="443">
        <v>2017</v>
      </c>
      <c r="B133" s="447">
        <f>Harvests!O135</f>
        <v>21436</v>
      </c>
      <c r="C133" s="483">
        <f>Escapements!N46</f>
        <v>34731</v>
      </c>
      <c r="D133" s="445">
        <f t="shared" si="7"/>
        <v>56167</v>
      </c>
      <c r="E133" s="484" t="s">
        <v>223</v>
      </c>
      <c r="F133" s="484" t="s">
        <v>223</v>
      </c>
      <c r="G133" s="484" t="s">
        <v>223</v>
      </c>
      <c r="J133" s="966" t="e">
        <f t="shared" si="3"/>
        <v>#N/A</v>
      </c>
      <c r="L133" s="553">
        <f>Harvests!B135</f>
        <v>13834</v>
      </c>
      <c r="M133" s="554">
        <f>L133/D133</f>
        <v>0.2463012088949027</v>
      </c>
      <c r="N133" s="974">
        <f>B133/D133</f>
        <v>0.38164758666120674</v>
      </c>
    </row>
    <row r="134" spans="1:14" ht="15.75">
      <c r="A134" s="443">
        <v>2018</v>
      </c>
      <c r="B134" s="447">
        <f>Harvests!O136</f>
        <v>14530</v>
      </c>
      <c r="C134" s="483">
        <f>Escapements!N47</f>
        <v>46530</v>
      </c>
      <c r="D134" s="445">
        <f t="shared" ref="D134" si="8">SUM(B134:C134)</f>
        <v>61060</v>
      </c>
      <c r="E134" s="484"/>
      <c r="F134" s="484"/>
      <c r="G134" s="484"/>
      <c r="J134" s="966"/>
      <c r="L134" s="553"/>
      <c r="M134" s="554"/>
      <c r="N134" s="974"/>
    </row>
    <row r="135" spans="1:14" ht="15.75">
      <c r="A135" s="429"/>
      <c r="B135" s="429"/>
      <c r="C135" s="429"/>
      <c r="D135" s="429"/>
      <c r="E135" s="429"/>
      <c r="F135" s="429"/>
      <c r="G135" s="429"/>
      <c r="H135" s="429"/>
    </row>
    <row r="136" spans="1:14" ht="16.5" thickBot="1">
      <c r="A136" s="485" t="s">
        <v>301</v>
      </c>
      <c r="B136" s="486"/>
      <c r="C136" s="486"/>
      <c r="D136" s="486"/>
      <c r="E136" s="486"/>
      <c r="F136" s="436"/>
      <c r="G136" s="436"/>
      <c r="H136" s="429"/>
    </row>
    <row r="137" spans="1:14" ht="15.75">
      <c r="A137" s="432" t="s">
        <v>147</v>
      </c>
      <c r="B137" s="487">
        <f t="shared" ref="B137:G137" si="9">COUNT(B115:B135)</f>
        <v>20</v>
      </c>
      <c r="C137" s="487">
        <f t="shared" si="9"/>
        <v>20</v>
      </c>
      <c r="D137" s="487">
        <f t="shared" si="9"/>
        <v>20</v>
      </c>
      <c r="E137" s="487">
        <f t="shared" si="9"/>
        <v>12</v>
      </c>
      <c r="F137" s="487">
        <f t="shared" si="9"/>
        <v>12</v>
      </c>
      <c r="G137" s="487">
        <f t="shared" si="9"/>
        <v>12</v>
      </c>
      <c r="H137" s="429"/>
      <c r="L137" s="558" t="s">
        <v>219</v>
      </c>
      <c r="M137" s="688"/>
      <c r="N137" s="686"/>
    </row>
    <row r="138" spans="1:14" ht="15.75">
      <c r="A138" s="432" t="s">
        <v>219</v>
      </c>
      <c r="B138" s="447">
        <f t="shared" ref="B138:G138" si="10">AVERAGE(B115:B135)</f>
        <v>34323.300000000003</v>
      </c>
      <c r="C138" s="447">
        <f t="shared" si="10"/>
        <v>28741.4</v>
      </c>
      <c r="D138" s="447">
        <f t="shared" si="10"/>
        <v>63064.7</v>
      </c>
      <c r="E138" s="447">
        <f t="shared" si="10"/>
        <v>56417.318704270081</v>
      </c>
      <c r="F138" s="447">
        <f t="shared" si="10"/>
        <v>27530.818704270074</v>
      </c>
      <c r="G138" s="488">
        <f t="shared" si="10"/>
        <v>2.2663185775715782</v>
      </c>
      <c r="L138" s="559">
        <v>5</v>
      </c>
      <c r="M138" s="687">
        <f ca="1">AVERAGE(OFFSET(M$116,COUNT(M$116:M$132)-$L138,0,$L138,1))</f>
        <v>0.31401102610848974</v>
      </c>
      <c r="N138" s="690">
        <f ca="1">AVERAGE(OFFSET(N$115,COUNT(N$115:N$132)-$L138,0,$L138,1))</f>
        <v>0.43794998469215607</v>
      </c>
    </row>
    <row r="139" spans="1:14" ht="16.5" thickBot="1">
      <c r="A139" s="432" t="s">
        <v>261</v>
      </c>
      <c r="B139" s="447">
        <f t="shared" ref="B139:G139" si="11">MEDIAN(B115:B135)</f>
        <v>27659.5</v>
      </c>
      <c r="C139" s="447">
        <f t="shared" si="11"/>
        <v>28101</v>
      </c>
      <c r="D139" s="447">
        <f t="shared" si="11"/>
        <v>58623.5</v>
      </c>
      <c r="E139" s="447">
        <f t="shared" si="11"/>
        <v>50697.07198398083</v>
      </c>
      <c r="F139" s="447">
        <f t="shared" si="11"/>
        <v>13488.42701353546</v>
      </c>
      <c r="G139" s="488">
        <f t="shared" si="11"/>
        <v>1.465630226579911</v>
      </c>
      <c r="L139" s="560">
        <v>10</v>
      </c>
      <c r="M139" s="689">
        <f ca="1">AVERAGE(OFFSET(M$116,COUNT(M$116:M$132)-$L139,0,$L139,1))</f>
        <v>0.308179485313684</v>
      </c>
      <c r="N139" s="691">
        <f ca="1">AVERAGE(OFFSET(N$115,COUNT(N$115:N$132)-$L139,0,$L139,1))</f>
        <v>0.45220947865023386</v>
      </c>
    </row>
    <row r="140" spans="1:14" ht="15.75">
      <c r="A140" s="432" t="s">
        <v>117</v>
      </c>
      <c r="B140" s="447">
        <f t="shared" ref="B140:G140" si="12">MIN(B115:B135)</f>
        <v>13890</v>
      </c>
      <c r="C140" s="447">
        <f t="shared" si="12"/>
        <v>12485</v>
      </c>
      <c r="D140" s="447">
        <f t="shared" si="12"/>
        <v>29295</v>
      </c>
      <c r="E140" s="447">
        <f t="shared" si="12"/>
        <v>32647.431888888754</v>
      </c>
      <c r="F140" s="447">
        <f t="shared" si="12"/>
        <v>-5209.4656686051167</v>
      </c>
      <c r="G140" s="488">
        <f t="shared" si="12"/>
        <v>0.91087922693733336</v>
      </c>
    </row>
    <row r="141" spans="1:14" ht="15.75">
      <c r="A141" s="432" t="s">
        <v>118</v>
      </c>
      <c r="B141" s="447">
        <f t="shared" ref="B141:G141" si="13">MAX(B115:B135)</f>
        <v>79794</v>
      </c>
      <c r="C141" s="447">
        <f t="shared" si="13"/>
        <v>58454</v>
      </c>
      <c r="D141" s="447">
        <f t="shared" si="13"/>
        <v>99877</v>
      </c>
      <c r="E141" s="447">
        <f t="shared" si="13"/>
        <v>98779.587729427003</v>
      </c>
      <c r="F141" s="447">
        <f t="shared" si="13"/>
        <v>70571.587729427003</v>
      </c>
      <c r="G141" s="488">
        <f t="shared" si="13"/>
        <v>4.7417201542418113</v>
      </c>
    </row>
    <row r="142" spans="1:14" ht="15.75">
      <c r="A142" s="489" t="s">
        <v>149</v>
      </c>
      <c r="B142" s="463">
        <f t="shared" ref="B142:G142" si="14">STDEV(B115:B135)</f>
        <v>19511.938399753868</v>
      </c>
      <c r="C142" s="463">
        <f t="shared" si="14"/>
        <v>10450.410495085322</v>
      </c>
      <c r="D142" s="463">
        <f t="shared" si="14"/>
        <v>21758.310047331095</v>
      </c>
      <c r="E142" s="463">
        <f t="shared" si="14"/>
        <v>21240.926007012829</v>
      </c>
      <c r="F142" s="463">
        <f t="shared" si="14"/>
        <v>26270.313389775278</v>
      </c>
      <c r="G142" s="490">
        <f t="shared" si="14"/>
        <v>1.3194960792687027</v>
      </c>
    </row>
    <row r="143" spans="1:14">
      <c r="A143" s="491"/>
      <c r="B143" s="491"/>
      <c r="C143" s="491"/>
      <c r="D143" s="491"/>
      <c r="E143" s="491"/>
      <c r="F143" s="491"/>
      <c r="G143" s="491"/>
    </row>
    <row r="144" spans="1:14" ht="15.75">
      <c r="A144" s="492" t="s">
        <v>302</v>
      </c>
      <c r="B144" s="436"/>
      <c r="C144" s="436"/>
      <c r="D144" s="436"/>
      <c r="E144" s="436"/>
      <c r="F144" s="436"/>
      <c r="G144" s="436"/>
    </row>
    <row r="145" spans="1:7" ht="15.75">
      <c r="A145" s="432" t="s">
        <v>147</v>
      </c>
      <c r="B145" s="487">
        <f t="shared" ref="B145:G145" si="15">COUNT(B96:B135)</f>
        <v>39</v>
      </c>
      <c r="C145" s="487">
        <f t="shared" si="15"/>
        <v>39</v>
      </c>
      <c r="D145" s="487">
        <f t="shared" si="15"/>
        <v>39</v>
      </c>
      <c r="E145" s="487">
        <f t="shared" si="15"/>
        <v>31</v>
      </c>
      <c r="F145" s="487">
        <f t="shared" si="15"/>
        <v>31</v>
      </c>
      <c r="G145" s="487">
        <f t="shared" si="15"/>
        <v>31</v>
      </c>
    </row>
    <row r="146" spans="1:7" ht="15.75">
      <c r="A146" s="432" t="s">
        <v>219</v>
      </c>
      <c r="B146" s="447">
        <f t="shared" ref="B146:G146" si="16">AVERAGE(B96:B135)</f>
        <v>41839.948717948719</v>
      </c>
      <c r="C146" s="447">
        <f t="shared" si="16"/>
        <v>27505.641025641027</v>
      </c>
      <c r="D146" s="447">
        <f t="shared" si="16"/>
        <v>69345.58974358975</v>
      </c>
      <c r="E146" s="447">
        <f t="shared" si="16"/>
        <v>61265.695720299809</v>
      </c>
      <c r="F146" s="447">
        <f t="shared" si="16"/>
        <v>34022.792494493355</v>
      </c>
      <c r="G146" s="488">
        <f t="shared" si="16"/>
        <v>2.6054368302605888</v>
      </c>
    </row>
    <row r="147" spans="1:7" ht="15.75">
      <c r="A147" s="432" t="s">
        <v>261</v>
      </c>
      <c r="B147" s="447">
        <f t="shared" ref="B147:G147" si="17">MEDIAN(B96:B135)</f>
        <v>44829</v>
      </c>
      <c r="C147" s="447">
        <f t="shared" si="17"/>
        <v>26764</v>
      </c>
      <c r="D147" s="447">
        <f t="shared" si="17"/>
        <v>68270</v>
      </c>
      <c r="E147" s="447">
        <f t="shared" si="17"/>
        <v>63827.439787779818</v>
      </c>
      <c r="F147" s="447">
        <f t="shared" si="17"/>
        <v>35497.436272685023</v>
      </c>
      <c r="G147" s="488">
        <f t="shared" si="17"/>
        <v>2.2102562992882753</v>
      </c>
    </row>
    <row r="148" spans="1:7" ht="15.75">
      <c r="A148" s="432" t="s">
        <v>117</v>
      </c>
      <c r="B148" s="447">
        <f t="shared" ref="B148:G148" si="18">MIN(B96:B135)</f>
        <v>13609</v>
      </c>
      <c r="C148" s="447">
        <f t="shared" si="18"/>
        <v>8254</v>
      </c>
      <c r="D148" s="447">
        <f t="shared" si="18"/>
        <v>27892</v>
      </c>
      <c r="E148" s="447">
        <f t="shared" si="18"/>
        <v>21687.643160790587</v>
      </c>
      <c r="F148" s="447">
        <f t="shared" si="18"/>
        <v>-20111.524197967992</v>
      </c>
      <c r="G148" s="488">
        <f t="shared" si="18"/>
        <v>0.5207205519763598</v>
      </c>
    </row>
    <row r="149" spans="1:7" ht="15.75">
      <c r="A149" s="432" t="s">
        <v>118</v>
      </c>
      <c r="B149" s="447">
        <f t="shared" ref="B149:G149" si="19">MAX(B96:B135)</f>
        <v>87601</v>
      </c>
      <c r="C149" s="447">
        <f t="shared" si="19"/>
        <v>58454</v>
      </c>
      <c r="D149" s="447">
        <f t="shared" si="19"/>
        <v>113875</v>
      </c>
      <c r="E149" s="447">
        <f t="shared" si="19"/>
        <v>106550.38387986002</v>
      </c>
      <c r="F149" s="447">
        <f t="shared" si="19"/>
        <v>83723.383879860019</v>
      </c>
      <c r="G149" s="488">
        <f t="shared" si="19"/>
        <v>6.2171045765212325</v>
      </c>
    </row>
    <row r="150" spans="1:7" ht="15.75">
      <c r="A150" s="489" t="s">
        <v>149</v>
      </c>
      <c r="B150" s="463">
        <f t="shared" ref="B150:G150" si="20">STDEV(B96:B135)</f>
        <v>20533.067227931992</v>
      </c>
      <c r="C150" s="463">
        <f t="shared" si="20"/>
        <v>11200.2201470074</v>
      </c>
      <c r="D150" s="463">
        <f t="shared" si="20"/>
        <v>23670.518276092713</v>
      </c>
      <c r="E150" s="463">
        <f t="shared" si="20"/>
        <v>25524.815440163704</v>
      </c>
      <c r="F150" s="463">
        <f t="shared" si="20"/>
        <v>28004.494564874203</v>
      </c>
      <c r="G150" s="490">
        <f t="shared" si="20"/>
        <v>1.4276977146980419</v>
      </c>
    </row>
  </sheetData>
  <pageMargins left="0.75" right="0.75" top="1" bottom="1" header="0.5" footer="0.5"/>
  <pageSetup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tabColor rgb="FF00B0F0"/>
  </sheetPr>
  <dimension ref="A1:H36"/>
  <sheetViews>
    <sheetView zoomScale="110" zoomScaleNormal="110" workbookViewId="0">
      <pane ySplit="7" topLeftCell="A8" activePane="bottomLeft" state="frozen"/>
      <selection activeCell="D8" sqref="A1:XFD1048576"/>
      <selection pane="bottomLeft" activeCell="A4" sqref="A4"/>
    </sheetView>
  </sheetViews>
  <sheetFormatPr defaultRowHeight="15.75"/>
  <cols>
    <col min="1" max="1" width="14.5" customWidth="1"/>
    <col min="2" max="2" width="10.5" customWidth="1"/>
    <col min="3" max="3" width="13" customWidth="1"/>
    <col min="4" max="4" width="1.625" customWidth="1"/>
    <col min="5" max="5" width="11.25" customWidth="1"/>
    <col min="6" max="6" width="11.125" customWidth="1"/>
    <col min="7" max="7" width="8.75" customWidth="1"/>
    <col min="8" max="8" width="9.375" customWidth="1"/>
  </cols>
  <sheetData>
    <row r="1" spans="1:8">
      <c r="A1" s="255" t="str">
        <f ca="1">CELL("filename",A1)</f>
        <v>C:\Projects\Shiny App\Aging Error\[Copprt Chinook brood.xlsx]Exploitation rates</v>
      </c>
    </row>
    <row r="2" spans="1:8">
      <c r="A2" s="255"/>
    </row>
    <row r="3" spans="1:8">
      <c r="A3" s="1085" t="s">
        <v>542</v>
      </c>
    </row>
    <row r="4" spans="1:8">
      <c r="A4" s="1085" t="s">
        <v>470</v>
      </c>
    </row>
    <row r="5" spans="1:8">
      <c r="A5" s="1080"/>
      <c r="B5" s="1081" t="s">
        <v>471</v>
      </c>
      <c r="C5" s="1081"/>
      <c r="D5" s="1081"/>
      <c r="E5" s="1081"/>
      <c r="F5" s="1081"/>
      <c r="G5" s="1081"/>
      <c r="H5" s="1097"/>
    </row>
    <row r="6" spans="1:8" ht="18">
      <c r="A6" s="1082"/>
      <c r="B6" s="1083" t="s">
        <v>472</v>
      </c>
      <c r="C6" s="1083"/>
      <c r="D6" s="1096"/>
      <c r="E6" s="1095" t="s">
        <v>222</v>
      </c>
      <c r="F6" s="1095"/>
      <c r="G6" s="1095"/>
      <c r="H6" s="1082"/>
    </row>
    <row r="7" spans="1:8">
      <c r="A7" s="961" t="s">
        <v>12</v>
      </c>
      <c r="B7" s="961" t="s">
        <v>164</v>
      </c>
      <c r="C7" s="636" t="s">
        <v>473</v>
      </c>
      <c r="D7" s="636"/>
      <c r="E7" s="962" t="s">
        <v>210</v>
      </c>
      <c r="F7" s="962" t="s">
        <v>209</v>
      </c>
      <c r="G7" s="962" t="s">
        <v>135</v>
      </c>
      <c r="H7" s="1084" t="s">
        <v>0</v>
      </c>
    </row>
    <row r="8" spans="1:8">
      <c r="A8" s="1089">
        <v>1999</v>
      </c>
      <c r="B8" s="1090">
        <f>Harvests!D117/(Harvests!O117+Escapements!N28)</f>
        <v>0.65025898635762003</v>
      </c>
      <c r="C8" s="1092">
        <f>Harvests!I117/(Harvests!O117+Escapements!N28)</f>
        <v>0.6655584621317131</v>
      </c>
      <c r="D8" s="1090"/>
      <c r="E8" s="1090">
        <f>(Harvests!K117+Harvests!L117+Harvests!M117)/(Harvests!O117+Escapements!N28)</f>
        <v>3.4163270836155953E-2</v>
      </c>
      <c r="F8" s="1090">
        <f>Harvests!J117/(Harvests!O117+Escapements!N28)</f>
        <v>6.1625204531479606E-2</v>
      </c>
      <c r="G8" s="1090">
        <f>Harvests!N117/(Harvests!O117+Escapements!N28)</f>
        <v>7.0265031109628867E-2</v>
      </c>
      <c r="H8" s="1090">
        <f>Harvests!O117/(Harvests!O117+Escapements!N28)</f>
        <v>0.83161196860897746</v>
      </c>
    </row>
    <row r="9" spans="1:8">
      <c r="A9" s="1091">
        <v>2000</v>
      </c>
      <c r="B9" s="1092">
        <f>Harvests!D118/(Harvests!O118+Escapements!N29)</f>
        <v>0.44206687961104674</v>
      </c>
      <c r="C9" s="1092">
        <f>Harvests!I118/(Harvests!O118+Escapements!N29)</f>
        <v>0.46226361760465839</v>
      </c>
      <c r="D9" s="1092"/>
      <c r="E9" s="1092">
        <f>(Harvests!K118+Harvests!L118+Harvests!M118)/(Harvests!O118+Escapements!N29)</f>
        <v>6.8632162139243016E-2</v>
      </c>
      <c r="F9" s="1092">
        <f>Harvests!J118/(Harvests!O118+Escapements!N29)</f>
        <v>4.4774853718517679E-2</v>
      </c>
      <c r="G9" s="1092">
        <f>Harvests!N118/(Harvests!O118+Escapements!N29)</f>
        <v>7.8172258812222631E-2</v>
      </c>
      <c r="H9" s="1092">
        <f>Harvests!O118/(Harvests!O118+Escapements!N29)</f>
        <v>0.65384289227464176</v>
      </c>
    </row>
    <row r="10" spans="1:8">
      <c r="A10" s="1091">
        <v>2001</v>
      </c>
      <c r="B10" s="1092">
        <f>Harvests!D119/(Harvests!O119+Escapements!N30)</f>
        <v>0.48805136863900223</v>
      </c>
      <c r="C10" s="1092">
        <f>Harvests!I119/(Harvests!O119+Escapements!N30)</f>
        <v>0.50975486510802448</v>
      </c>
      <c r="D10" s="1092"/>
      <c r="E10" s="1092">
        <f>(Harvests!K119+Harvests!L119+Harvests!M119)/(Harvests!O119+Escapements!N30)</f>
        <v>4.3789053352888255E-2</v>
      </c>
      <c r="F10" s="1092">
        <f>Harvests!J119/(Harvests!O119+Escapements!N30)</f>
        <v>3.8366260368010448E-2</v>
      </c>
      <c r="G10" s="1092">
        <f>Harvests!N119/(Harvests!O119+Escapements!N30)</f>
        <v>6.0439492722365325E-2</v>
      </c>
      <c r="H10" s="1092">
        <f>Harvests!O119/(Harvests!O119+Escapements!N30)</f>
        <v>0.65234967155128853</v>
      </c>
    </row>
    <row r="11" spans="1:8">
      <c r="A11" s="1091">
        <v>2002</v>
      </c>
      <c r="B11" s="1092">
        <f>Harvests!D120/(Harvests!O120+Escapements!N31)</f>
        <v>0.53106585907309456</v>
      </c>
      <c r="C11" s="1092">
        <f>Harvests!I120/(Harvests!O120+Escapements!N31)</f>
        <v>0.54952448817387012</v>
      </c>
      <c r="D11" s="1092"/>
      <c r="E11" s="1092">
        <f>(Harvests!K120+Harvests!L120+Harvests!M120)/(Harvests!O120+Escapements!N31)</f>
        <v>5.8239921067777561E-2</v>
      </c>
      <c r="F11" s="1092">
        <f>Harvests!J120/(Harvests!O120+Escapements!N31)</f>
        <v>2.7722202428262122E-2</v>
      </c>
      <c r="G11" s="1092">
        <f>Harvests!N120/(Harvests!O120+Escapements!N31)</f>
        <v>6.9860498259654125E-2</v>
      </c>
      <c r="H11" s="1092">
        <f>Harvests!O120/(Harvests!O120+Escapements!N31)</f>
        <v>0.70534710992956395</v>
      </c>
    </row>
    <row r="12" spans="1:8">
      <c r="A12" s="1091">
        <v>2003</v>
      </c>
      <c r="B12" s="1092">
        <f>Harvests!D121/(Harvests!O121+Escapements!N32)</f>
        <v>0.50684786632118872</v>
      </c>
      <c r="C12" s="1092">
        <f>Harvests!I121/(Harvests!O121+Escapements!N32)</f>
        <v>0.52658241235259906</v>
      </c>
      <c r="D12" s="1092"/>
      <c r="E12" s="1092">
        <f>(Harvests!K121+Harvests!L121+Harvests!M121)/(Harvests!O121+Escapements!N32)</f>
        <v>3.289091005235048E-2</v>
      </c>
      <c r="F12" s="1092">
        <f>Harvests!J121/(Harvests!O121+Escapements!N32)</f>
        <v>2.012585267833536E-2</v>
      </c>
      <c r="G12" s="1092">
        <f>Harvests!N121/(Harvests!O121+Escapements!N32)</f>
        <v>6.0462164877584476E-2</v>
      </c>
      <c r="H12" s="1092">
        <f>Harvests!O121/(Harvests!O121+Escapements!N32)</f>
        <v>0.64006133996086934</v>
      </c>
    </row>
    <row r="13" spans="1:8">
      <c r="A13" s="1091">
        <v>2004</v>
      </c>
      <c r="B13" s="1092">
        <f>Harvests!D122/(Harvests!O122+Escapements!N33)</f>
        <v>0.47520045676836381</v>
      </c>
      <c r="C13" s="1092">
        <f>Harvests!I122/(Harvests!O122+Escapements!N33)</f>
        <v>0.49651217635230743</v>
      </c>
      <c r="D13" s="1092"/>
      <c r="E13" s="1092">
        <f>(Harvests!K122+Harvests!L122+Harvests!M122)/(Harvests!O122+Escapements!N33)</f>
        <v>4.9512201176675028E-2</v>
      </c>
      <c r="F13" s="1092">
        <f>Harvests!J122/(Harvests!O122+Escapements!N33)</f>
        <v>3.0968398580046172E-2</v>
      </c>
      <c r="G13" s="1092">
        <f>Harvests!N122/(Harvests!O122+Escapements!N33)</f>
        <v>4.2635851351686814E-2</v>
      </c>
      <c r="H13" s="1092">
        <f>Harvests!O122/(Harvests!O122+Escapements!N33)</f>
        <v>0.61962862746071545</v>
      </c>
    </row>
    <row r="14" spans="1:8">
      <c r="A14" s="1091">
        <v>2005</v>
      </c>
      <c r="B14" s="1092">
        <f>Harvests!D123/(Harvests!O123+Escapements!N34)</f>
        <v>0.52612384526123845</v>
      </c>
      <c r="C14" s="1092">
        <f>Harvests!I123/(Harvests!O123+Escapements!N34)</f>
        <v>0.54288168542881687</v>
      </c>
      <c r="D14" s="1092"/>
      <c r="E14" s="1092">
        <f>(Harvests!K123+Harvests!L123+Harvests!M123)/(Harvests!O123+Escapements!N34)</f>
        <v>4.0221830402218307E-2</v>
      </c>
      <c r="F14" s="1092">
        <f>Harvests!J123/(Harvests!O123+Escapements!N34)</f>
        <v>3.0788010307880104E-2</v>
      </c>
      <c r="G14" s="1092">
        <f>Harvests!N123/(Harvests!O123+Escapements!N34)</f>
        <v>6.1681510616815108E-2</v>
      </c>
      <c r="H14" s="1092">
        <f>Harvests!O123/(Harvests!O123+Escapements!N34)</f>
        <v>0.67557303675573033</v>
      </c>
    </row>
    <row r="15" spans="1:8">
      <c r="A15" s="1091">
        <v>2006</v>
      </c>
      <c r="B15" s="1092">
        <f>Harvests!D124/(Harvests!O124+Escapements!N35)</f>
        <v>0.30556584599056841</v>
      </c>
      <c r="C15" s="1092">
        <f>Harvests!I124/(Harvests!O124+Escapements!N35)</f>
        <v>0.32127516845720233</v>
      </c>
      <c r="D15" s="1092"/>
      <c r="E15" s="1092">
        <f>(Harvests!K124+Harvests!L124+Harvests!M124)/(Harvests!O124+Escapements!N35)</f>
        <v>3.2509987284359762E-2</v>
      </c>
      <c r="F15" s="1092">
        <f>Harvests!J124/(Harvests!O124+Escapements!N35)</f>
        <v>2.6662795238142915E-2</v>
      </c>
      <c r="G15" s="1092">
        <f>Harvests!N124/(Harvests!O124+Escapements!N35)</f>
        <v>3.4292179380638187E-2</v>
      </c>
      <c r="H15" s="1092">
        <f>Harvests!O124/(Harvests!O124+Escapements!N35)</f>
        <v>0.41474013036034324</v>
      </c>
    </row>
    <row r="16" spans="1:8">
      <c r="A16" s="1091">
        <v>2007</v>
      </c>
      <c r="B16" s="1092">
        <f>Harvests!D125/(Harvests!O125+Escapements!N36)</f>
        <v>0.4464458648072826</v>
      </c>
      <c r="C16" s="1092">
        <f>Harvests!I125/(Harvests!O125+Escapements!N36)</f>
        <v>0.47193264290027459</v>
      </c>
      <c r="D16" s="1092"/>
      <c r="E16" s="1092">
        <f>(Harvests!K125+Harvests!L125+Harvests!M125)/(Harvests!O125+Escapements!N36)</f>
        <v>4.5197160793428351E-2</v>
      </c>
      <c r="F16" s="1092">
        <f>Harvests!J125/(Harvests!O125+Escapements!N36)</f>
        <v>3.0693509245650615E-2</v>
      </c>
      <c r="G16" s="1092">
        <f>Harvests!N125/(Harvests!O125+Escapements!N36)</f>
        <v>5.8253865171867703E-2</v>
      </c>
      <c r="H16" s="1092">
        <f>Harvests!O125/(Harvests!O125+Escapements!N36)</f>
        <v>0.60607717811122119</v>
      </c>
    </row>
    <row r="17" spans="1:8">
      <c r="A17" s="1091">
        <v>2008</v>
      </c>
      <c r="B17" s="1092">
        <f>Harvests!D126/(Harvests!O126+Escapements!N37)</f>
        <v>0.21331156179837826</v>
      </c>
      <c r="C17" s="1092">
        <f>Harvests!I126/(Harvests!O126+Escapements!N37)</f>
        <v>0.23286883268699088</v>
      </c>
      <c r="D17" s="1092"/>
      <c r="E17" s="1092">
        <f>(Harvests!K126+Harvests!L126+Harvests!M126)/(Harvests!O126+Escapements!N37)</f>
        <v>6.0137680218210157E-2</v>
      </c>
      <c r="F17" s="1092">
        <f>Harvests!J126/(Harvests!O126+Escapements!N37)</f>
        <v>3.7092015660660942E-2</v>
      </c>
      <c r="G17" s="1092">
        <f>Harvests!N126/(Harvests!O126+Escapements!N37)</f>
        <v>6.7133022841556422E-2</v>
      </c>
      <c r="H17" s="1092">
        <f>Harvests!O126/(Harvests!O126+Escapements!N37)</f>
        <v>0.39723155140741839</v>
      </c>
    </row>
    <row r="18" spans="1:8">
      <c r="A18" s="1091">
        <v>2009</v>
      </c>
      <c r="B18" s="1092">
        <f>Harvests!D127/(Harvests!O127+Escapements!N38)</f>
        <v>0.22024321622061524</v>
      </c>
      <c r="C18" s="1092">
        <f>Harvests!I127/(Harvests!O127+Escapements!N38)</f>
        <v>0.24661101681121678</v>
      </c>
      <c r="D18" s="1092"/>
      <c r="E18" s="1092">
        <f>(Harvests!K127+Harvests!L127+Harvests!M127)/(Harvests!O127+Escapements!N38)</f>
        <v>7.0802427511800409E-2</v>
      </c>
      <c r="F18" s="1092">
        <f>Harvests!J127/(Harvests!O127+Escapements!N38)</f>
        <v>4.9759341502546095E-3</v>
      </c>
      <c r="G18" s="1092">
        <f>Harvests!N127/(Harvests!O127+Escapements!N38)</f>
        <v>3.1506498942032696E-2</v>
      </c>
      <c r="H18" s="1092">
        <f>Harvests!O127/(Harvests!O127+Escapements!N38)</f>
        <v>0.35389587741530448</v>
      </c>
    </row>
    <row r="19" spans="1:8">
      <c r="A19" s="1091">
        <v>2010</v>
      </c>
      <c r="B19" s="1092">
        <f>Harvests!D128/(Harvests!O128+Escapements!N39)</f>
        <v>0.29065212150433944</v>
      </c>
      <c r="C19" s="1092">
        <f>Harvests!I128/(Harvests!O128+Escapements!N39)</f>
        <v>0.32729628736740596</v>
      </c>
      <c r="D19" s="1092"/>
      <c r="E19" s="1092">
        <f>(Harvests!K128+Harvests!L128+Harvests!M128)/(Harvests!O128+Escapements!N39)</f>
        <v>7.3619816779170691E-2</v>
      </c>
      <c r="F19" s="1092">
        <f>Harvests!J128/(Harvests!O128+Escapements!N39)</f>
        <v>2.1094503375120539E-2</v>
      </c>
      <c r="G19" s="1092">
        <f>Harvests!N128/(Harvests!O128+Escapements!N39)</f>
        <v>7.2595226615236264E-2</v>
      </c>
      <c r="H19" s="1092">
        <f>Harvests!O128/(Harvests!O128+Escapements!N39)</f>
        <v>0.49460583413693349</v>
      </c>
    </row>
    <row r="20" spans="1:8">
      <c r="A20" s="1091">
        <v>2011</v>
      </c>
      <c r="B20" s="1092">
        <f>Harvests!D129/(Harvests!O129+Escapements!N40)</f>
        <v>0.34331044720727405</v>
      </c>
      <c r="C20" s="1092">
        <f>Harvests!I129/(Harvests!O129+Escapements!N40)</f>
        <v>0.37114492484691036</v>
      </c>
      <c r="D20" s="1092"/>
      <c r="E20" s="1092">
        <f>(Harvests!K129+Harvests!L129+Harvests!M129)/(Harvests!O129+Escapements!N40)</f>
        <v>5.7060679161254409E-2</v>
      </c>
      <c r="F20" s="1092">
        <f>Harvests!J129/(Harvests!O129+Escapements!N40)</f>
        <v>1.979959176099462E-2</v>
      </c>
      <c r="G20" s="1092">
        <f>Harvests!N129/(Harvests!O129+Escapements!N40)</f>
        <v>3.252922620152162E-2</v>
      </c>
      <c r="H20" s="1092">
        <f>Harvests!O129/(Harvests!O129+Escapements!N40)</f>
        <v>0.48053442197068102</v>
      </c>
    </row>
    <row r="21" spans="1:8">
      <c r="A21" s="1091">
        <v>2012</v>
      </c>
      <c r="B21" s="1092">
        <f>Harvests!D130/(Harvests!O130+Escapements!N41)</f>
        <v>0.2533212755420623</v>
      </c>
      <c r="C21" s="1092">
        <f>Harvests!I130/(Harvests!O130+Escapements!N41)</f>
        <v>0.27692009560105935</v>
      </c>
      <c r="D21" s="1092"/>
      <c r="E21" s="1092">
        <f>(Harvests!K130+Harvests!L130+Harvests!M130)/(Harvests!O130+Escapements!N41)</f>
        <v>5.4152401868957645E-2</v>
      </c>
      <c r="F21" s="1092">
        <f>Harvests!J130/(Harvests!O130+Escapements!N41)</f>
        <v>1.2208513661908145E-2</v>
      </c>
      <c r="G21" s="1092">
        <f>Harvests!N130/(Harvests!O130+Escapements!N41)</f>
        <v>1.1519497017849838E-2</v>
      </c>
      <c r="H21" s="1092">
        <f>Harvests!O130/(Harvests!O130+Escapements!N41)</f>
        <v>0.35480050814977498</v>
      </c>
    </row>
    <row r="22" spans="1:8">
      <c r="A22" s="1091">
        <v>2013</v>
      </c>
      <c r="B22" s="1092">
        <f>Harvests!D131/(Harvests!O131+Escapements!N42)</f>
        <v>0.20609761782667474</v>
      </c>
      <c r="C22" s="1092">
        <f>Harvests!I131/(Harvests!O131+Escapements!N42)</f>
        <v>0.24057153512656754</v>
      </c>
      <c r="D22" s="1092"/>
      <c r="E22" s="1092">
        <f>(Harvests!K131+Harvests!L131+Harvests!M131)/(Harvests!O131+Escapements!N42)</f>
        <v>5.9204699081627898E-2</v>
      </c>
      <c r="F22" s="1092">
        <f>Harvests!J131/(Harvests!O131+Escapements!N42)</f>
        <v>1.7341848864854785E-2</v>
      </c>
      <c r="G22" s="1092">
        <f>Harvests!N131/(Harvests!O131+Escapements!N42)</f>
        <v>6.6430469441984058E-3</v>
      </c>
      <c r="H22" s="1092">
        <f>Harvests!O131/(Harvests!O131+Escapements!N42)</f>
        <v>0.3237611300172486</v>
      </c>
    </row>
    <row r="23" spans="1:8">
      <c r="A23" s="1091">
        <v>2014</v>
      </c>
      <c r="B23" s="1092">
        <f>Harvests!D132/(Harvests!O132+Escapements!N43)</f>
        <v>0.28897004699620632</v>
      </c>
      <c r="C23" s="1092">
        <f>Harvests!I132/(Harvests!O132+Escapements!N43)</f>
        <v>0.31606364305531964</v>
      </c>
      <c r="D23" s="1092"/>
      <c r="E23" s="1092">
        <f>(Harvests!K132+Harvests!L132+Harvests!M132)/(Harvests!O132+Escapements!N43)</f>
        <v>5.0931430836305983E-2</v>
      </c>
      <c r="F23" s="1092">
        <f>Harvests!J132/(Harvests!O132+Escapements!N43)</f>
        <v>2.035558575392107E-2</v>
      </c>
      <c r="G23" s="1092">
        <f>Harvests!N132/(Harvests!O132+Escapements!N43)</f>
        <v>2.6357510899722554E-2</v>
      </c>
      <c r="H23" s="1092">
        <f>Harvests!O132/(Harvests!O132+Escapements!N43)</f>
        <v>0.41370817054526926</v>
      </c>
    </row>
    <row r="24" spans="1:8">
      <c r="A24" s="1091">
        <v>2015</v>
      </c>
      <c r="B24" s="1092">
        <f>Harvests!D133/(Harvests!O133+Escapements!N44)</f>
        <v>0.40078665883567371</v>
      </c>
      <c r="C24" s="1092">
        <f>Harvests!I133/(Harvests!O133+Escapements!N44)</f>
        <v>0.42502714150960186</v>
      </c>
      <c r="D24" s="1092"/>
      <c r="E24" s="1092">
        <f>(Harvests!K133+Harvests!L133+Harvests!M133)/(Harvests!O133+Escapements!N44)</f>
        <v>4.6790182782494173E-2</v>
      </c>
      <c r="F24" s="1092">
        <f>Harvests!J133/(Harvests!O133+Escapements!N44)</f>
        <v>2.7942406606510404E-2</v>
      </c>
      <c r="G24" s="1092">
        <f>Harvests!N133/(Harvests!O133+Escapements!N44)</f>
        <v>2.3902326160855716E-2</v>
      </c>
      <c r="H24" s="1092">
        <f>Harvests!O133/(Harvests!O133+Escapements!N44)</f>
        <v>0.52366205705946212</v>
      </c>
    </row>
    <row r="25" spans="1:8">
      <c r="A25" s="1093">
        <v>2016</v>
      </c>
      <c r="B25" s="1094">
        <f>Harvests!D134/(Harvests!O134+Escapements!N45)</f>
        <v>0.42328042328042326</v>
      </c>
      <c r="C25" s="1094">
        <f>Harvests!I134/(Harvests!O134+Escapements!N45)</f>
        <v>0.45352449223416963</v>
      </c>
      <c r="D25" s="1094"/>
      <c r="E25" s="1094">
        <f>(Harvests!K134+Harvests!L134+Harvests!M134)/(Harvests!O134+Escapements!N45)</f>
        <v>8.4860897764123575E-2</v>
      </c>
      <c r="F25" s="1094">
        <f>Harvests!J134/(Harvests!O134+Escapements!N45)</f>
        <v>2.4270353302611368E-2</v>
      </c>
      <c r="G25" s="1094">
        <f>Harvests!N134/(Harvests!O134+Escapements!N45)</f>
        <v>1.1162314388120841E-2</v>
      </c>
      <c r="H25" s="1094">
        <f>Harvests!O134/(Harvests!O134+Escapements!N45)</f>
        <v>0.57381805768902538</v>
      </c>
    </row>
    <row r="26" spans="1:8">
      <c r="A26" s="1091">
        <v>2017</v>
      </c>
      <c r="B26" s="1094">
        <f>Harvests!D135/(Harvests!O135+Escapements!N46)</f>
        <v>0.2469421546459665</v>
      </c>
      <c r="C26" s="1094">
        <f>Harvests!I135/(Harvests!O135+Escapements!N46)</f>
        <v>0.27493011910908538</v>
      </c>
      <c r="D26" s="1094"/>
      <c r="E26" s="1094">
        <f>(Harvests!K135+Harvests!L135+Harvests!M135)/(Harvests!O135+Escapements!N46)</f>
        <v>5.9625758897573308E-2</v>
      </c>
      <c r="F26" s="1094">
        <f>Harvests!J135/(Harvests!O135+Escapements!N46)</f>
        <v>3.4913739384336E-2</v>
      </c>
      <c r="G26" s="1094">
        <f>Harvests!N135/(Harvests!O135+Escapements!N46)</f>
        <v>1.2177969270212046E-2</v>
      </c>
      <c r="H26" s="1094">
        <f>Harvests!O135/(Harvests!O135+Escapements!N46)</f>
        <v>0.38164758666120674</v>
      </c>
    </row>
    <row r="27" spans="1:8">
      <c r="A27" s="1085" t="s">
        <v>219</v>
      </c>
      <c r="B27" s="1086"/>
      <c r="C27" s="1086"/>
      <c r="D27" s="1086"/>
      <c r="E27" s="1086"/>
      <c r="F27" s="1086"/>
      <c r="G27" s="1086"/>
      <c r="H27" s="1086"/>
    </row>
    <row r="28" spans="1:8">
      <c r="A28" s="1080" t="s">
        <v>257</v>
      </c>
      <c r="B28" s="1087">
        <f>AVERAGE(B8:B26)</f>
        <v>0.38202855245721162</v>
      </c>
      <c r="C28" s="1087">
        <f>AVERAGE(C8:C26)</f>
        <v>0.40585492667672596</v>
      </c>
      <c r="D28" s="1087"/>
      <c r="E28" s="1087">
        <f>AVERAGE(E8:E26)</f>
        <v>5.3807498526663958E-2</v>
      </c>
      <c r="F28" s="1087">
        <f>AVERAGE(F8:F26)</f>
        <v>2.798534629565776E-2</v>
      </c>
      <c r="G28" s="1087">
        <f>AVERAGE(G8:G26)</f>
        <v>4.3767867978093143E-2</v>
      </c>
      <c r="H28" s="1087">
        <f>AVERAGE(H8:H26)</f>
        <v>0.53141563947714088</v>
      </c>
    </row>
    <row r="29" spans="1:8">
      <c r="A29" s="960" t="str">
        <f>"Last 5 ("&amp;MAX(A8:A25)-5+1&amp;"–"&amp;MAX(A8:A25)&amp;")"</f>
        <v>Last 5 (2012–2016)</v>
      </c>
      <c r="B29" s="1088">
        <f ca="1">AVERAGE(OFFSET(B8,COUNT(B8:B26)-5,0,5,1))</f>
        <v>0.31321538031698892</v>
      </c>
      <c r="C29" s="1088">
        <f ca="1">AVERAGE(OFFSET(C8,COUNT(C8:C26)-5,0,5,1))</f>
        <v>0.34202338620694883</v>
      </c>
      <c r="D29" s="1088"/>
      <c r="E29" s="1088">
        <f ca="1">AVERAGE(OFFSET(E8,COUNT(E8:E26)-5,0,5,1))</f>
        <v>6.0282593872424996E-2</v>
      </c>
      <c r="F29" s="1088">
        <f ca="1">AVERAGE(OFFSET(F8,COUNT(F8:F26)-5,0,5,1))</f>
        <v>2.4964786782446725E-2</v>
      </c>
      <c r="G29" s="1088">
        <f ca="1">AVERAGE(OFFSET(G8,COUNT(G8:G26)-5,0,5,1))</f>
        <v>1.6048633532621912E-2</v>
      </c>
      <c r="H29" s="1088">
        <f ca="1">AVERAGE(OFFSET(H8,COUNT(H8:H26)-5,0,5,1))</f>
        <v>0.44331940039444245</v>
      </c>
    </row>
    <row r="30" spans="1:8" ht="16.5">
      <c r="A30" s="608" t="s">
        <v>476</v>
      </c>
    </row>
    <row r="31" spans="1:8">
      <c r="A31" s="608" t="s">
        <v>474</v>
      </c>
    </row>
    <row r="32" spans="1:8">
      <c r="A32" s="608" t="s">
        <v>475</v>
      </c>
    </row>
    <row r="33" spans="1:4">
      <c r="A33" s="608"/>
    </row>
    <row r="34" spans="1:4">
      <c r="A34" s="608"/>
    </row>
    <row r="35" spans="1:4">
      <c r="B35" s="692">
        <f>B28/H28</f>
        <v>0.71888842570212841</v>
      </c>
      <c r="C35" s="319"/>
      <c r="D35" s="319"/>
    </row>
    <row r="36" spans="1:4" ht="51.75">
      <c r="A36" s="367" t="s">
        <v>264</v>
      </c>
      <c r="B36" s="975">
        <f ca="1">B29/H29</f>
        <v>0.70652306223978967</v>
      </c>
      <c r="C36" s="319"/>
      <c r="D36" s="319"/>
    </row>
  </sheetData>
  <phoneticPr fontId="47"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8">
    <tabColor rgb="FF92D050"/>
    <pageSetUpPr fitToPage="1"/>
  </sheetPr>
  <dimension ref="A1:AB29"/>
  <sheetViews>
    <sheetView zoomScaleNormal="100" workbookViewId="0">
      <selection activeCell="F8" sqref="F8"/>
    </sheetView>
  </sheetViews>
  <sheetFormatPr defaultRowHeight="15.75"/>
  <cols>
    <col min="1" max="1" width="1.875" customWidth="1"/>
    <col min="2" max="2" width="26.5" customWidth="1"/>
    <col min="3" max="3" width="4.625" customWidth="1"/>
    <col min="4" max="8" width="7.625" customWidth="1"/>
    <col min="9" max="9" width="9.875" customWidth="1"/>
    <col min="10" max="10" width="1.625" customWidth="1"/>
    <col min="11" max="14" width="7.625" customWidth="1"/>
    <col min="15" max="15" width="1.625" customWidth="1"/>
    <col min="16" max="18" width="7.625" customWidth="1"/>
    <col min="20" max="20" width="35.5" customWidth="1"/>
    <col min="24" max="24" width="44.625" customWidth="1"/>
    <col min="25" max="25" width="10.875" customWidth="1"/>
    <col min="26" max="26" width="12.875" customWidth="1"/>
    <col min="27" max="27" width="14" customWidth="1"/>
    <col min="28" max="28" width="16.125" customWidth="1"/>
  </cols>
  <sheetData>
    <row r="1" spans="1:21" ht="16.5" customHeight="1">
      <c r="A1" s="822" t="str">
        <f ca="1">CELL("filename",A1)</f>
        <v>C:\Projects\Shiny App\Aging Error\[Copprt Chinook brood.xlsx]Forecasts_Summary</v>
      </c>
      <c r="B1" s="822"/>
      <c r="T1" s="1079" t="s">
        <v>407</v>
      </c>
      <c r="U1" s="1072">
        <f ca="1">Harvests!S139</f>
        <v>0.71041055870048364</v>
      </c>
    </row>
    <row r="2" spans="1:21" ht="9.75" customHeight="1"/>
    <row r="3" spans="1:21">
      <c r="A3" s="998" t="s">
        <v>464</v>
      </c>
      <c r="B3" s="998"/>
    </row>
    <row r="4" spans="1:21" ht="9" customHeight="1">
      <c r="A4" s="4"/>
      <c r="B4" s="4"/>
    </row>
    <row r="5" spans="1:21" ht="19.5" thickBot="1">
      <c r="A5" s="1219"/>
      <c r="B5" s="1219"/>
      <c r="C5" s="1220"/>
      <c r="D5" s="1305" t="s">
        <v>491</v>
      </c>
      <c r="E5" s="1306"/>
      <c r="F5" s="1306"/>
      <c r="G5" s="1220"/>
      <c r="H5" s="1220"/>
      <c r="I5" s="1219"/>
      <c r="J5" s="1219"/>
      <c r="K5" s="1307" t="s">
        <v>406</v>
      </c>
      <c r="L5" s="1306" t="s">
        <v>408</v>
      </c>
      <c r="M5" s="1306" t="s">
        <v>232</v>
      </c>
      <c r="N5" s="1306"/>
      <c r="O5" s="1219"/>
      <c r="P5" s="1305" t="s">
        <v>466</v>
      </c>
      <c r="Q5" s="1306" t="s">
        <v>232</v>
      </c>
      <c r="R5" s="1306"/>
    </row>
    <row r="6" spans="1:21" ht="30.75" customHeight="1">
      <c r="A6" s="1221" t="s">
        <v>388</v>
      </c>
      <c r="B6" s="1221"/>
      <c r="C6" s="1222" t="s">
        <v>148</v>
      </c>
      <c r="D6" s="1223" t="s">
        <v>489</v>
      </c>
      <c r="E6" s="1223" t="s">
        <v>78</v>
      </c>
      <c r="F6" s="1223" t="s">
        <v>490</v>
      </c>
      <c r="G6" s="1223" t="s">
        <v>334</v>
      </c>
      <c r="H6" s="1224" t="s">
        <v>400</v>
      </c>
      <c r="I6" s="1225" t="s">
        <v>488</v>
      </c>
      <c r="J6" s="1224"/>
      <c r="K6" s="1308"/>
      <c r="L6" s="1223" t="s">
        <v>391</v>
      </c>
      <c r="M6" s="1223" t="s">
        <v>78</v>
      </c>
      <c r="N6" s="1223" t="s">
        <v>392</v>
      </c>
      <c r="O6" s="1224"/>
      <c r="P6" s="1223" t="s">
        <v>391</v>
      </c>
      <c r="Q6" s="1223" t="s">
        <v>78</v>
      </c>
      <c r="R6" s="1223" t="s">
        <v>392</v>
      </c>
      <c r="T6" s="1134" t="s">
        <v>498</v>
      </c>
    </row>
    <row r="7" spans="1:21" ht="24.95" customHeight="1" thickBot="1">
      <c r="A7" s="1226" t="s">
        <v>389</v>
      </c>
      <c r="B7" s="1226"/>
      <c r="C7" s="1227">
        <f>COUNT(Mean_run_forecasts!Z7:Z27)</f>
        <v>17</v>
      </c>
      <c r="D7" s="1228">
        <f>MROUND(Mean_Run_Performance!B27-Mean_Run_Performance!C40,1000)</f>
        <v>3000</v>
      </c>
      <c r="E7" s="1228">
        <f>MROUND(Mean_run_forecasts!T33,1000)</f>
        <v>29000</v>
      </c>
      <c r="F7" s="1228">
        <f>MROUND(Mean_Run_Performance!B27+Mean_Run_Performance!C40,1000)</f>
        <v>56000</v>
      </c>
      <c r="G7" s="1229">
        <f>Mean_run_forecasts!AN33</f>
        <v>0.29364388017074883</v>
      </c>
      <c r="H7" s="1229">
        <f>Mean_run_forecasts!AO33</f>
        <v>0.20944336121851539</v>
      </c>
      <c r="I7" s="1229">
        <f>Mean_run_forecasts!AP33</f>
        <v>2.0987237694272944</v>
      </c>
      <c r="J7" s="1229"/>
      <c r="K7" s="1230">
        <v>24000</v>
      </c>
      <c r="L7" s="1228">
        <f t="shared" ref="L7" si="0">IF(D7-$K7&lt;0,0, D7-$K7)</f>
        <v>0</v>
      </c>
      <c r="M7" s="1228">
        <f t="shared" ref="M7" si="1">IF(E7-$K7&lt;0,0, E7-$K7)</f>
        <v>5000</v>
      </c>
      <c r="N7" s="1228">
        <f t="shared" ref="N7" si="2">IF(F7-$K7&lt;0,0, F7-$K7)</f>
        <v>32000</v>
      </c>
      <c r="O7" s="1229"/>
      <c r="P7" s="1228">
        <f ca="1">MROUND(L7*$U$1,1000)</f>
        <v>0</v>
      </c>
      <c r="Q7" s="1228">
        <f ca="1">MROUND(M7*$U$1,1000)</f>
        <v>4000</v>
      </c>
      <c r="R7" s="1228">
        <f ca="1">MROUND(N7*$U$1,1000)</f>
        <v>23000</v>
      </c>
      <c r="T7" s="1137" t="s">
        <v>496</v>
      </c>
    </row>
    <row r="8" spans="1:21" ht="24.95" customHeight="1" thickBot="1">
      <c r="A8" s="1231" t="s">
        <v>402</v>
      </c>
      <c r="B8" s="1231"/>
      <c r="C8" s="1232">
        <f>COUNT(Mean_run_forecasts!AA7:AA27)</f>
        <v>16</v>
      </c>
      <c r="D8" s="1233">
        <f>MROUND(Mean_Run_Performance!H27-Mean_Run_Performance!C41,1000)</f>
        <v>19000</v>
      </c>
      <c r="E8" s="1233">
        <f>MROUND(Mean_run_forecasts!T34,1000)</f>
        <v>43000</v>
      </c>
      <c r="F8" s="1233">
        <f>MROUND(Mean_Run_Performance!H27+Mean_Run_Performance!C41,1000)</f>
        <v>67000</v>
      </c>
      <c r="G8" s="1234">
        <f>Mean_run_forecasts!AN34</f>
        <v>0.27720107546012235</v>
      </c>
      <c r="H8" s="1234">
        <f>Mean_run_forecasts!AO34</f>
        <v>0.22468365924420636</v>
      </c>
      <c r="I8" s="1234">
        <f>Mean_run_forecasts!AP34</f>
        <v>2.1083203286228809</v>
      </c>
      <c r="J8" s="1234"/>
      <c r="K8" s="1235">
        <v>24000</v>
      </c>
      <c r="L8" s="1233">
        <f t="shared" ref="L8:L13" si="3">IF(D8-$K8&lt;0,0, D8-$K8)</f>
        <v>0</v>
      </c>
      <c r="M8" s="1233">
        <f t="shared" ref="M8:M13" si="4">IF(E8-$K8&lt;0,0, E8-$K8)</f>
        <v>19000</v>
      </c>
      <c r="N8" s="1233">
        <f t="shared" ref="N8:N13" si="5">IF(F8-$K8&lt;0,0, F8-$K8)</f>
        <v>43000</v>
      </c>
      <c r="O8" s="1234"/>
      <c r="P8" s="1236">
        <f t="shared" ref="P8:R13" ca="1" si="6">MROUND(L8*$U$1,1000)</f>
        <v>0</v>
      </c>
      <c r="Q8" s="1236">
        <f t="shared" ca="1" si="6"/>
        <v>13000</v>
      </c>
      <c r="R8" s="1236">
        <f t="shared" ca="1" si="6"/>
        <v>31000</v>
      </c>
    </row>
    <row r="9" spans="1:21" ht="24.95" customHeight="1">
      <c r="A9" s="1231" t="s">
        <v>403</v>
      </c>
      <c r="B9" s="1231"/>
      <c r="C9" s="1232">
        <f>COUNT(Mean_run_forecasts!AB7:AB27)</f>
        <v>15</v>
      </c>
      <c r="D9" s="1233">
        <f>MROUND(Mean_Run_Performance!N27-Mean_Run_Performance!C42,1000)</f>
        <v>15000</v>
      </c>
      <c r="E9" s="1233">
        <f>MROUND(Mean_run_forecasts!T35,1000)</f>
        <v>40000</v>
      </c>
      <c r="F9" s="1233">
        <f>MROUND(Mean_Run_Performance!N27+Mean_Run_Performance!C42,1000)</f>
        <v>65000</v>
      </c>
      <c r="G9" s="1234">
        <f>Mean_run_forecasts!AN35</f>
        <v>0.30721133343660517</v>
      </c>
      <c r="H9" s="1234">
        <f>Mean_run_forecasts!AO35</f>
        <v>0.27689243390535978</v>
      </c>
      <c r="I9" s="1234">
        <f>Mean_run_forecasts!AP35</f>
        <v>2.6345159013060666</v>
      </c>
      <c r="J9" s="1234"/>
      <c r="K9" s="1235">
        <v>24000</v>
      </c>
      <c r="L9" s="1233">
        <f t="shared" si="3"/>
        <v>0</v>
      </c>
      <c r="M9" s="1233">
        <f t="shared" si="4"/>
        <v>16000</v>
      </c>
      <c r="N9" s="1233">
        <f t="shared" si="5"/>
        <v>41000</v>
      </c>
      <c r="O9" s="1234"/>
      <c r="P9" s="1236">
        <f t="shared" ca="1" si="6"/>
        <v>0</v>
      </c>
      <c r="Q9" s="1236">
        <f t="shared" ca="1" si="6"/>
        <v>11000</v>
      </c>
      <c r="R9" s="1236">
        <f t="shared" ca="1" si="6"/>
        <v>29000</v>
      </c>
      <c r="T9" s="1135" t="s">
        <v>497</v>
      </c>
    </row>
    <row r="10" spans="1:21" ht="24.95" customHeight="1" thickBot="1">
      <c r="A10" s="1231" t="s">
        <v>404</v>
      </c>
      <c r="B10" s="1231"/>
      <c r="C10" s="1232">
        <f>COUNT(Mean_run_forecasts!AC7:AC27)</f>
        <v>14</v>
      </c>
      <c r="D10" s="1233">
        <f>MROUND(Mean_Run_Performance!T27-Mean_Run_Performance!C43,1000)</f>
        <v>15000</v>
      </c>
      <c r="E10" s="1233">
        <f>MROUND(Mean_run_forecasts!T36,1000)</f>
        <v>41000</v>
      </c>
      <c r="F10" s="1233">
        <f>MROUND(Mean_Run_Performance!T27+Mean_Run_Performance!C43,1000)</f>
        <v>67000</v>
      </c>
      <c r="G10" s="1234">
        <f>Mean_run_forecasts!AN36</f>
        <v>0.29774517519442956</v>
      </c>
      <c r="H10" s="1234">
        <f>Mean_run_forecasts!AO36</f>
        <v>0.34083669127345884</v>
      </c>
      <c r="I10" s="1234">
        <f>Mean_run_forecasts!AP36</f>
        <v>2.9365751452066742</v>
      </c>
      <c r="J10" s="1234"/>
      <c r="K10" s="1235">
        <v>24000</v>
      </c>
      <c r="L10" s="1233">
        <f t="shared" si="3"/>
        <v>0</v>
      </c>
      <c r="M10" s="1233">
        <f t="shared" si="4"/>
        <v>17000</v>
      </c>
      <c r="N10" s="1233">
        <f t="shared" si="5"/>
        <v>43000</v>
      </c>
      <c r="O10" s="1234"/>
      <c r="P10" s="1236">
        <f t="shared" ca="1" si="6"/>
        <v>0</v>
      </c>
      <c r="Q10" s="1236">
        <f t="shared" ca="1" si="6"/>
        <v>12000</v>
      </c>
      <c r="R10" s="1236">
        <f t="shared" ca="1" si="6"/>
        <v>31000</v>
      </c>
      <c r="T10" s="1136">
        <f>IF(T7="Hybrid sibling",7,IF(T7="10 year",6,VALUE(LEFT(T7,FIND(" ",T7)-1))))</f>
        <v>1</v>
      </c>
    </row>
    <row r="11" spans="1:21" ht="24.95" customHeight="1">
      <c r="A11" s="1231" t="s">
        <v>405</v>
      </c>
      <c r="B11" s="1231"/>
      <c r="C11" s="1232">
        <f>COUNT(Mean_run_forecasts!AD7:AD27)</f>
        <v>13</v>
      </c>
      <c r="D11" s="1233">
        <f>MROUND(Mean_Run_Performance!Z27-Mean_Run_Performance!C44,1000)</f>
        <v>15000</v>
      </c>
      <c r="E11" s="1233">
        <f>MROUND(Mean_run_forecasts!T37,1000)</f>
        <v>42000</v>
      </c>
      <c r="F11" s="1233">
        <f>MROUND(Mean_Run_Performance!Z27+Mean_Run_Performance!C44,1000)</f>
        <v>69000</v>
      </c>
      <c r="G11" s="1234">
        <f>Mean_run_forecasts!AN37</f>
        <v>0.34791236061616854</v>
      </c>
      <c r="H11" s="1234">
        <f>Mean_run_forecasts!AO37</f>
        <v>0.32846034243796762</v>
      </c>
      <c r="I11" s="1234">
        <f>Mean_run_forecasts!AP37</f>
        <v>3.5027750988204893</v>
      </c>
      <c r="J11" s="1234"/>
      <c r="K11" s="1235">
        <v>24000</v>
      </c>
      <c r="L11" s="1233">
        <f t="shared" si="3"/>
        <v>0</v>
      </c>
      <c r="M11" s="1233">
        <f t="shared" si="4"/>
        <v>18000</v>
      </c>
      <c r="N11" s="1233">
        <f t="shared" si="5"/>
        <v>45000</v>
      </c>
      <c r="O11" s="1234"/>
      <c r="P11" s="1236">
        <f t="shared" ca="1" si="6"/>
        <v>0</v>
      </c>
      <c r="Q11" s="1236">
        <f t="shared" ca="1" si="6"/>
        <v>13000</v>
      </c>
      <c r="R11" s="1236">
        <f t="shared" ca="1" si="6"/>
        <v>32000</v>
      </c>
    </row>
    <row r="12" spans="1:21" ht="24.95" customHeight="1">
      <c r="A12" s="1237" t="s">
        <v>461</v>
      </c>
      <c r="B12" s="1237"/>
      <c r="C12" s="1238">
        <f>COUNT(Mean_run_forecasts!AE7:AE27)</f>
        <v>8</v>
      </c>
      <c r="D12" s="1233">
        <f>MROUND(Mean_Run_Performance!AF27-Mean_Run_Performance!C45,1000)</f>
        <v>10000</v>
      </c>
      <c r="E12" s="1233">
        <f>MROUND(Mean_run_forecasts!T38,1000)</f>
        <v>48000</v>
      </c>
      <c r="F12" s="1233">
        <f>MROUND(Mean_Run_Performance!AF27+Mean_Run_Performance!C45,1000)</f>
        <v>86000</v>
      </c>
      <c r="G12" s="1234">
        <f>Mean_run_forecasts!AN38</f>
        <v>0.6329746134729779</v>
      </c>
      <c r="H12" s="1234">
        <f>Mean_run_forecasts!AO38</f>
        <v>0.38725060977248821</v>
      </c>
      <c r="I12" s="1234">
        <f>Mean_run_forecasts!AP38</f>
        <v>5.0637969077838232</v>
      </c>
      <c r="J12" s="1239"/>
      <c r="K12" s="1235">
        <v>24000</v>
      </c>
      <c r="L12" s="1233">
        <f t="shared" si="3"/>
        <v>0</v>
      </c>
      <c r="M12" s="1233">
        <f t="shared" si="4"/>
        <v>24000</v>
      </c>
      <c r="N12" s="1233">
        <f t="shared" si="5"/>
        <v>62000</v>
      </c>
      <c r="O12" s="1239"/>
      <c r="P12" s="1236">
        <f t="shared" ca="1" si="6"/>
        <v>0</v>
      </c>
      <c r="Q12" s="1236">
        <f t="shared" ca="1" si="6"/>
        <v>17000</v>
      </c>
      <c r="R12" s="1236">
        <f t="shared" ca="1" si="6"/>
        <v>44000</v>
      </c>
    </row>
    <row r="13" spans="1:21" ht="52.5" customHeight="1">
      <c r="A13" s="1309" t="s">
        <v>467</v>
      </c>
      <c r="B13" s="1309"/>
      <c r="C13" s="1240">
        <f>COUNT(Brood_Forecasts!A6:A23)</f>
        <v>18</v>
      </c>
      <c r="D13" s="1241">
        <f>Brood_Forecasts!C34</f>
        <v>30000</v>
      </c>
      <c r="E13" s="1241">
        <f>Brood_Forecasts!C35</f>
        <v>44000</v>
      </c>
      <c r="F13" s="1241">
        <f>Brood_Forecasts!C36</f>
        <v>68000</v>
      </c>
      <c r="G13" s="1242">
        <f>Brood_Forecasts!Z29</f>
        <v>0.34961422256723218</v>
      </c>
      <c r="H13" s="1242">
        <f>Brood_Forecasts!Z30</f>
        <v>0.32656558571429545</v>
      </c>
      <c r="I13" s="1242">
        <f>Brood_Forecasts!Y28</f>
        <v>4.9179540251327172</v>
      </c>
      <c r="J13" s="1242"/>
      <c r="K13" s="1243">
        <v>24000</v>
      </c>
      <c r="L13" s="1241">
        <f t="shared" si="3"/>
        <v>6000</v>
      </c>
      <c r="M13" s="1241">
        <f t="shared" si="4"/>
        <v>20000</v>
      </c>
      <c r="N13" s="1241">
        <f t="shared" si="5"/>
        <v>44000</v>
      </c>
      <c r="O13" s="1244"/>
      <c r="P13" s="1241">
        <f t="shared" ca="1" si="6"/>
        <v>4000</v>
      </c>
      <c r="Q13" s="1241">
        <f t="shared" ca="1" si="6"/>
        <v>14000</v>
      </c>
      <c r="R13" s="1241">
        <f t="shared" ca="1" si="6"/>
        <v>31000</v>
      </c>
    </row>
    <row r="14" spans="1:21">
      <c r="A14" s="1245" t="s">
        <v>463</v>
      </c>
      <c r="B14" s="1246"/>
      <c r="C14" s="1247"/>
      <c r="D14" s="1247"/>
      <c r="E14" s="1247"/>
      <c r="F14" s="1247"/>
      <c r="G14" s="1247"/>
      <c r="H14" s="1247"/>
      <c r="I14" s="1247"/>
      <c r="J14" s="1246"/>
      <c r="K14" s="1246"/>
      <c r="L14" s="1246"/>
      <c r="M14" s="1246"/>
      <c r="N14" s="1246"/>
      <c r="O14" s="1246"/>
      <c r="P14" s="1246"/>
      <c r="Q14" s="1246"/>
      <c r="R14" s="1246"/>
    </row>
    <row r="15" spans="1:21" ht="18">
      <c r="A15" s="1248" t="s">
        <v>19</v>
      </c>
      <c r="B15" s="1302" t="s">
        <v>493</v>
      </c>
      <c r="C15" s="1302"/>
      <c r="D15" s="1302"/>
      <c r="E15" s="1302"/>
      <c r="F15" s="1302"/>
      <c r="G15" s="1302"/>
      <c r="H15" s="1302"/>
      <c r="I15" s="1302"/>
      <c r="J15" s="1302"/>
      <c r="K15" s="1302"/>
      <c r="L15" s="1302"/>
      <c r="M15" s="1302"/>
      <c r="N15" s="1302"/>
      <c r="O15" s="1302"/>
      <c r="P15" s="1302"/>
      <c r="Q15" s="1302"/>
      <c r="R15" s="1302"/>
    </row>
    <row r="16" spans="1:21" ht="18">
      <c r="A16" s="1248" t="s">
        <v>21</v>
      </c>
      <c r="B16" s="1302" t="s">
        <v>523</v>
      </c>
      <c r="C16" s="1302"/>
      <c r="D16" s="1302"/>
      <c r="E16" s="1302"/>
      <c r="F16" s="1302"/>
      <c r="G16" s="1302"/>
      <c r="H16" s="1302"/>
      <c r="I16" s="1302"/>
      <c r="J16" s="1302"/>
      <c r="K16" s="1302"/>
      <c r="L16" s="1302"/>
      <c r="M16" s="1302"/>
      <c r="N16" s="1302"/>
      <c r="O16" s="1302"/>
      <c r="P16" s="1302"/>
      <c r="Q16" s="1302"/>
      <c r="R16" s="1302"/>
    </row>
    <row r="17" spans="1:28" ht="18">
      <c r="A17" s="1248" t="s">
        <v>492</v>
      </c>
      <c r="B17" s="1302" t="str">
        <f ca="1">"The commercial harvest is the 5-year average proportion of the total harvest ("&amp;TEXT(Harvests!S139,"0.000")&amp;") multiplied by the maximum total harvest."</f>
        <v>The commercial harvest is the 5-year average proportion of the total harvest (0.710) multiplied by the maximum total harvest.</v>
      </c>
      <c r="C17" s="1302"/>
      <c r="D17" s="1302"/>
      <c r="E17" s="1302"/>
      <c r="F17" s="1302"/>
      <c r="G17" s="1302"/>
      <c r="H17" s="1302"/>
      <c r="I17" s="1302"/>
      <c r="J17" s="1302"/>
      <c r="K17" s="1302"/>
      <c r="L17" s="1302"/>
      <c r="M17" s="1302"/>
      <c r="N17" s="1302"/>
      <c r="O17" s="1302"/>
      <c r="P17" s="1302"/>
      <c r="Q17" s="1302"/>
      <c r="R17" s="1302"/>
    </row>
    <row r="18" spans="1:28" ht="31.5" customHeight="1">
      <c r="A18" s="1248" t="s">
        <v>227</v>
      </c>
      <c r="B18" s="1303" t="s">
        <v>494</v>
      </c>
      <c r="C18" s="1303"/>
      <c r="D18" s="1303"/>
      <c r="E18" s="1303"/>
      <c r="F18" s="1303"/>
      <c r="G18" s="1303"/>
      <c r="H18" s="1303"/>
      <c r="I18" s="1303"/>
      <c r="J18" s="1303"/>
      <c r="K18" s="1303"/>
      <c r="L18" s="1303"/>
      <c r="M18" s="1303"/>
      <c r="N18" s="1303"/>
      <c r="O18" s="1303"/>
      <c r="P18" s="1303"/>
      <c r="Q18" s="1303"/>
      <c r="R18" s="1303"/>
    </row>
    <row r="19" spans="1:28" ht="51" customHeight="1">
      <c r="A19" s="1249" t="s">
        <v>228</v>
      </c>
      <c r="B19" s="1304" t="s">
        <v>495</v>
      </c>
      <c r="C19" s="1304"/>
      <c r="D19" s="1304"/>
      <c r="E19" s="1304"/>
      <c r="F19" s="1304"/>
      <c r="G19" s="1304"/>
      <c r="H19" s="1304"/>
      <c r="I19" s="1304"/>
      <c r="J19" s="1304"/>
      <c r="K19" s="1304"/>
      <c r="L19" s="1304"/>
      <c r="M19" s="1304"/>
      <c r="N19" s="1304"/>
      <c r="O19" s="1304"/>
      <c r="P19" s="1304"/>
      <c r="Q19" s="1304"/>
      <c r="R19" s="1304"/>
    </row>
    <row r="20" spans="1:28">
      <c r="A20" s="1132"/>
      <c r="B20" s="1132"/>
      <c r="C20" s="1133"/>
      <c r="D20" s="1133"/>
      <c r="E20" s="1133"/>
      <c r="F20" s="1133"/>
      <c r="G20" s="1133"/>
      <c r="H20" s="1133"/>
      <c r="I20" s="1133"/>
      <c r="J20" s="1133"/>
      <c r="K20" s="1133"/>
      <c r="L20" s="1133"/>
      <c r="M20" s="1133"/>
      <c r="N20" s="1133"/>
      <c r="O20" s="1133"/>
      <c r="P20" s="1133"/>
      <c r="Q20" s="1133"/>
      <c r="R20" s="1133"/>
    </row>
    <row r="21" spans="1:28">
      <c r="A21" s="1132"/>
      <c r="B21" s="1132"/>
      <c r="C21" s="1133"/>
      <c r="D21" s="1133"/>
      <c r="E21" s="1133"/>
      <c r="F21" s="1133"/>
      <c r="G21" s="1133"/>
      <c r="H21" s="1133"/>
      <c r="I21" s="1133"/>
      <c r="J21" s="1133"/>
      <c r="K21" s="1133"/>
      <c r="L21" s="1133"/>
      <c r="M21" s="1133"/>
      <c r="N21" s="1133"/>
      <c r="O21" s="1133"/>
      <c r="P21" s="1133"/>
      <c r="Q21" s="1133"/>
      <c r="R21" s="1133"/>
    </row>
    <row r="25" spans="1:28" ht="78" customHeight="1">
      <c r="X25" s="1098" t="s">
        <v>478</v>
      </c>
      <c r="Y25" s="1099" t="s">
        <v>391</v>
      </c>
      <c r="Z25" s="1100" t="s">
        <v>479</v>
      </c>
      <c r="AA25" s="1099" t="s">
        <v>392</v>
      </c>
      <c r="AB25" s="1101" t="s">
        <v>477</v>
      </c>
    </row>
    <row r="26" spans="1:28" ht="26.25">
      <c r="X26" s="1102" t="s">
        <v>294</v>
      </c>
      <c r="Y26" s="1103">
        <f ca="1">OFFSET(D$6,$T$10,0)</f>
        <v>3000</v>
      </c>
      <c r="Z26" s="1104">
        <f ca="1">OFFSET(E$6,$T$10,0)</f>
        <v>29000</v>
      </c>
      <c r="AA26" s="1103">
        <f ca="1">OFFSET(F$6,$T$10,0)</f>
        <v>56000</v>
      </c>
      <c r="AB26" s="1105">
        <f ca="1">OFFSET(G$6,$T$10,0)</f>
        <v>0.29364388017074883</v>
      </c>
    </row>
    <row r="27" spans="1:28" ht="26.25">
      <c r="X27" s="1106" t="s">
        <v>480</v>
      </c>
      <c r="Y27" s="1107"/>
      <c r="Z27" s="1108">
        <f ca="1">OFFSET(K$6,$T$10,0)</f>
        <v>24000</v>
      </c>
      <c r="AA27" s="1107"/>
      <c r="AB27" s="1106"/>
    </row>
    <row r="28" spans="1:28" ht="26.25">
      <c r="X28" s="1106" t="s">
        <v>481</v>
      </c>
      <c r="Y28" s="1107">
        <f ca="1">OFFSET(L$6,$T$10,0)</f>
        <v>0</v>
      </c>
      <c r="Z28" s="1108">
        <f ca="1">OFFSET(M$6,$T$10,0)</f>
        <v>5000</v>
      </c>
      <c r="AA28" s="1107">
        <f ca="1">OFFSET(N$6,$T$10,0)</f>
        <v>32000</v>
      </c>
      <c r="AB28" s="1106"/>
    </row>
    <row r="29" spans="1:28" ht="26.25">
      <c r="E29" s="523"/>
      <c r="X29" s="1109" t="s">
        <v>482</v>
      </c>
      <c r="Y29" s="1110">
        <f ca="1">OFFSET(P$6,$T$10,0)</f>
        <v>0</v>
      </c>
      <c r="Z29" s="1111">
        <f ca="1">OFFSET(Q$6,$T$10,0)</f>
        <v>4000</v>
      </c>
      <c r="AA29" s="1110">
        <f ca="1">OFFSET(R$6,$T$10,0)</f>
        <v>23000</v>
      </c>
      <c r="AB29" s="1109"/>
    </row>
  </sheetData>
  <mergeCells count="10">
    <mergeCell ref="D5:F5"/>
    <mergeCell ref="L5:N5"/>
    <mergeCell ref="P5:R5"/>
    <mergeCell ref="K5:K6"/>
    <mergeCell ref="A13:B13"/>
    <mergeCell ref="B15:R15"/>
    <mergeCell ref="B16:R16"/>
    <mergeCell ref="B17:R17"/>
    <mergeCell ref="B18:R18"/>
    <mergeCell ref="B19:R19"/>
  </mergeCells>
  <conditionalFormatting sqref="A7:R7">
    <cfRule type="expression" dxfId="14" priority="11">
      <formula>$T$10=1</formula>
    </cfRule>
  </conditionalFormatting>
  <conditionalFormatting sqref="A8:R8">
    <cfRule type="expression" dxfId="13" priority="6">
      <formula>$T$10=2</formula>
    </cfRule>
  </conditionalFormatting>
  <conditionalFormatting sqref="A9:R9">
    <cfRule type="expression" dxfId="12" priority="5">
      <formula>$T$10=3</formula>
    </cfRule>
  </conditionalFormatting>
  <conditionalFormatting sqref="A10:R10">
    <cfRule type="expression" dxfId="11" priority="4">
      <formula>$T$10=4</formula>
    </cfRule>
  </conditionalFormatting>
  <conditionalFormatting sqref="A11:R11">
    <cfRule type="expression" dxfId="10" priority="3">
      <formula>$T$10=5</formula>
    </cfRule>
  </conditionalFormatting>
  <conditionalFormatting sqref="A12:R12">
    <cfRule type="expression" dxfId="9" priority="2">
      <formula>$T$10=6</formula>
    </cfRule>
  </conditionalFormatting>
  <conditionalFormatting sqref="A13:R13">
    <cfRule type="expression" dxfId="8" priority="1">
      <formula>$T$10=7</formula>
    </cfRule>
  </conditionalFormatting>
  <dataValidations disablePrompts="1" count="1">
    <dataValidation type="list" allowBlank="1" showInputMessage="1" showErrorMessage="1" sqref="T7" xr:uid="{00000000-0002-0000-0500-000000000000}">
      <formula1>"1 year, 2 year, 3 year, 4 year, 5 year, 10 year, Hybrid sibling"</formula1>
    </dataValidation>
  </dataValidations>
  <pageMargins left="0.7" right="0.7" top="0.75" bottom="0.75" header="0.3" footer="0.3"/>
  <pageSetup scale="83" fitToHeight="0"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tabColor rgb="FFFFC000"/>
    <pageSetUpPr fitToPage="1"/>
  </sheetPr>
  <dimension ref="A1:CS92"/>
  <sheetViews>
    <sheetView zoomScale="75" zoomScaleNormal="75" workbookViewId="0">
      <selection activeCell="C25" sqref="C25"/>
    </sheetView>
  </sheetViews>
  <sheetFormatPr defaultRowHeight="15.75"/>
  <cols>
    <col min="1" max="1" width="10.25" customWidth="1"/>
    <col min="2" max="2" width="14.75" customWidth="1"/>
    <col min="3" max="3" width="16" customWidth="1"/>
    <col min="4" max="4" width="16.25" customWidth="1"/>
    <col min="5" max="5" width="15.125" customWidth="1"/>
    <col min="6" max="6" width="11.25" customWidth="1"/>
    <col min="7" max="7" width="12.75" customWidth="1"/>
    <col min="8" max="8" width="24.5" customWidth="1"/>
    <col min="9" max="9" width="19.25" customWidth="1"/>
    <col min="10" max="10" width="15.25" customWidth="1"/>
    <col min="11" max="11" width="1.625" customWidth="1"/>
    <col min="12" max="12" width="18.25" customWidth="1"/>
    <col min="13" max="13" width="3.125" customWidth="1"/>
    <col min="14" max="14" width="16.25" customWidth="1"/>
    <col min="15" max="15" width="1.625" customWidth="1"/>
    <col min="16" max="20" width="12.625" customWidth="1"/>
    <col min="25" max="25" width="1.625" customWidth="1"/>
    <col min="26" max="26" width="12.25" customWidth="1"/>
    <col min="27" max="27" width="12.5" customWidth="1"/>
    <col min="28" max="28" width="11" customWidth="1"/>
    <col min="29" max="29" width="14" customWidth="1"/>
    <col min="30" max="31" width="11.625" customWidth="1"/>
    <col min="32" max="32" width="1.625" customWidth="1"/>
    <col min="33" max="33" width="12.625" customWidth="1"/>
    <col min="34" max="34" width="14.625" customWidth="1"/>
    <col min="35" max="38" width="12.625" customWidth="1"/>
    <col min="39" max="39" width="1.625" customWidth="1"/>
    <col min="40" max="40" width="14" customWidth="1"/>
    <col min="41" max="41" width="13.25" customWidth="1"/>
    <col min="60" max="60" width="4.625" customWidth="1"/>
    <col min="70" max="70" width="14" customWidth="1"/>
    <col min="71" max="71" width="13.25" customWidth="1"/>
    <col min="72" max="75" width="10.625" bestFit="1" customWidth="1"/>
  </cols>
  <sheetData>
    <row r="1" spans="1:97">
      <c r="A1" s="509" t="str">
        <f ca="1">CELL("filename",A1)</f>
        <v>C:\Projects\Shiny App\Aging Error\[Copprt Chinook brood.xlsx]Mean_run_forecasts</v>
      </c>
      <c r="B1" s="292"/>
      <c r="C1" s="292"/>
      <c r="D1" s="292"/>
      <c r="E1" s="292"/>
      <c r="F1" s="292"/>
      <c r="G1" s="292"/>
      <c r="H1" s="292"/>
      <c r="I1" s="292"/>
      <c r="J1" s="292"/>
      <c r="K1" s="292"/>
      <c r="L1" s="292"/>
      <c r="M1" s="292"/>
      <c r="N1" s="292"/>
      <c r="O1" s="292"/>
      <c r="P1" s="292"/>
      <c r="Q1" s="292"/>
    </row>
    <row r="2" spans="1:97">
      <c r="A2" s="292"/>
      <c r="B2" s="292"/>
      <c r="C2" s="292"/>
      <c r="D2" s="292"/>
      <c r="E2" s="292"/>
      <c r="F2" s="292"/>
      <c r="G2" s="292"/>
      <c r="H2" s="292"/>
      <c r="I2" s="292"/>
      <c r="J2" s="292"/>
      <c r="K2" s="292"/>
      <c r="L2" s="292"/>
      <c r="M2" s="292"/>
      <c r="N2" s="292"/>
      <c r="O2" s="292"/>
      <c r="P2" s="292"/>
      <c r="Q2" s="292"/>
    </row>
    <row r="3" spans="1:97" ht="36" customHeight="1">
      <c r="A3" s="239" t="s">
        <v>224</v>
      </c>
      <c r="B3" s="210" t="s">
        <v>411</v>
      </c>
      <c r="C3" s="292"/>
      <c r="D3" s="292"/>
      <c r="E3" s="292"/>
      <c r="F3" s="292"/>
      <c r="G3" s="292"/>
      <c r="H3" s="292"/>
      <c r="I3" s="292"/>
      <c r="J3" s="292"/>
      <c r="K3" s="292"/>
      <c r="L3" s="292"/>
      <c r="M3" s="292"/>
      <c r="N3" s="292"/>
      <c r="O3" s="292"/>
      <c r="P3" s="509"/>
      <c r="Q3" s="509"/>
      <c r="X3" s="963" t="s">
        <v>409</v>
      </c>
      <c r="Z3" s="965">
        <f t="shared" ref="Z3:AE3" si="0">SUM(Z8:Z24)</f>
        <v>66614</v>
      </c>
      <c r="AA3" s="964">
        <f t="shared" si="0"/>
        <v>61321.5</v>
      </c>
      <c r="AB3" s="964">
        <f t="shared" si="0"/>
        <v>81680.333333333343</v>
      </c>
      <c r="AC3" s="964">
        <f t="shared" si="0"/>
        <v>93301</v>
      </c>
      <c r="AD3" s="964">
        <f t="shared" si="0"/>
        <v>127021</v>
      </c>
      <c r="AE3" s="964">
        <f t="shared" si="0"/>
        <v>192813.90000000002</v>
      </c>
    </row>
    <row r="4" spans="1:97">
      <c r="A4" s="292"/>
      <c r="B4" s="292"/>
      <c r="C4" s="292"/>
      <c r="D4" s="292"/>
      <c r="E4" s="292"/>
      <c r="F4" s="292"/>
      <c r="G4" s="292"/>
      <c r="H4" s="292"/>
      <c r="I4" s="292"/>
      <c r="J4" s="292"/>
      <c r="K4" s="292"/>
      <c r="L4" s="294"/>
      <c r="M4" s="292"/>
      <c r="N4" s="292"/>
      <c r="O4" s="292"/>
      <c r="P4" s="292"/>
      <c r="Q4" s="292"/>
      <c r="CI4" t="s">
        <v>539</v>
      </c>
    </row>
    <row r="5" spans="1:97">
      <c r="A5" s="302"/>
      <c r="B5" s="304" t="s">
        <v>208</v>
      </c>
      <c r="C5" s="299"/>
      <c r="D5" s="299"/>
      <c r="E5" s="299"/>
      <c r="F5" s="299"/>
      <c r="G5" s="303" t="s">
        <v>226</v>
      </c>
      <c r="H5" s="303" t="s">
        <v>222</v>
      </c>
      <c r="I5" s="299" t="s">
        <v>232</v>
      </c>
      <c r="J5" s="299"/>
      <c r="K5" s="302"/>
      <c r="L5" s="299" t="s">
        <v>225</v>
      </c>
      <c r="M5" s="299"/>
      <c r="N5" s="299"/>
      <c r="O5" s="302"/>
      <c r="P5" s="311" t="s">
        <v>229</v>
      </c>
      <c r="Q5" s="311"/>
      <c r="S5" s="725" t="s">
        <v>246</v>
      </c>
      <c r="T5" s="726"/>
      <c r="U5" s="726"/>
      <c r="V5" s="726"/>
      <c r="W5" s="726"/>
      <c r="X5" s="726"/>
      <c r="Y5" s="283"/>
      <c r="Z5" s="727" t="s">
        <v>247</v>
      </c>
      <c r="AA5" s="727"/>
      <c r="AB5" s="727"/>
      <c r="AC5" s="727"/>
      <c r="AD5" s="727"/>
      <c r="AE5" s="727"/>
      <c r="AF5" s="4"/>
      <c r="AG5" s="727" t="s">
        <v>248</v>
      </c>
      <c r="AH5" s="727"/>
      <c r="AI5" s="727"/>
      <c r="AJ5" s="727"/>
      <c r="AK5" s="727"/>
      <c r="AL5" s="727"/>
      <c r="AM5" s="4"/>
      <c r="AN5" s="727" t="s">
        <v>249</v>
      </c>
      <c r="AO5" s="727"/>
      <c r="AP5" s="727"/>
      <c r="AQ5" s="727"/>
      <c r="AR5" s="727"/>
      <c r="AS5" s="727"/>
      <c r="BQ5" s="1310" t="s">
        <v>526</v>
      </c>
      <c r="BR5" s="1258" t="s">
        <v>525</v>
      </c>
      <c r="BS5" s="1258"/>
      <c r="BT5" s="727"/>
      <c r="BU5" s="727"/>
      <c r="BV5" s="727"/>
      <c r="BW5" s="727"/>
      <c r="BZ5" t="s">
        <v>533</v>
      </c>
      <c r="CI5" t="s">
        <v>537</v>
      </c>
    </row>
    <row r="6" spans="1:97" ht="18.75">
      <c r="A6" s="250" t="s">
        <v>12</v>
      </c>
      <c r="B6" s="295" t="s">
        <v>164</v>
      </c>
      <c r="C6" s="295" t="s">
        <v>209</v>
      </c>
      <c r="D6" s="295" t="s">
        <v>210</v>
      </c>
      <c r="E6" s="295" t="s">
        <v>211</v>
      </c>
      <c r="F6" s="295" t="s">
        <v>220</v>
      </c>
      <c r="G6" s="295" t="s">
        <v>221</v>
      </c>
      <c r="H6" s="306" t="s">
        <v>234</v>
      </c>
      <c r="I6" s="306" t="s">
        <v>235</v>
      </c>
      <c r="J6" s="306" t="s">
        <v>233</v>
      </c>
      <c r="K6" s="293"/>
      <c r="L6" s="295" t="s">
        <v>230</v>
      </c>
      <c r="M6" s="293"/>
      <c r="N6" s="295" t="s">
        <v>231</v>
      </c>
      <c r="O6" s="293"/>
      <c r="P6" s="312" t="s">
        <v>54</v>
      </c>
      <c r="Q6" s="508" t="s">
        <v>300</v>
      </c>
      <c r="R6" s="1" t="s">
        <v>12</v>
      </c>
      <c r="S6" s="285" t="s">
        <v>250</v>
      </c>
      <c r="T6" s="285" t="s">
        <v>242</v>
      </c>
      <c r="U6" s="285" t="s">
        <v>243</v>
      </c>
      <c r="V6" s="285" t="s">
        <v>244</v>
      </c>
      <c r="W6" s="285" t="s">
        <v>245</v>
      </c>
      <c r="X6" s="285" t="s">
        <v>390</v>
      </c>
      <c r="Y6" s="285"/>
      <c r="Z6" s="728" t="s">
        <v>250</v>
      </c>
      <c r="AA6" s="728" t="s">
        <v>242</v>
      </c>
      <c r="AB6" s="728" t="s">
        <v>243</v>
      </c>
      <c r="AC6" s="728" t="s">
        <v>244</v>
      </c>
      <c r="AD6" s="728" t="s">
        <v>245</v>
      </c>
      <c r="AE6" s="728" t="s">
        <v>390</v>
      </c>
      <c r="AF6" s="729"/>
      <c r="AG6" s="728" t="s">
        <v>250</v>
      </c>
      <c r="AH6" s="728" t="s">
        <v>242</v>
      </c>
      <c r="AI6" s="728" t="s">
        <v>243</v>
      </c>
      <c r="AJ6" s="728" t="s">
        <v>244</v>
      </c>
      <c r="AK6" s="728" t="s">
        <v>245</v>
      </c>
      <c r="AL6" s="728" t="s">
        <v>390</v>
      </c>
      <c r="AM6" s="729"/>
      <c r="AN6" s="728" t="s">
        <v>250</v>
      </c>
      <c r="AO6" s="728" t="s">
        <v>242</v>
      </c>
      <c r="AP6" s="728" t="s">
        <v>243</v>
      </c>
      <c r="AQ6" s="728" t="s">
        <v>244</v>
      </c>
      <c r="AR6" s="728" t="s">
        <v>245</v>
      </c>
      <c r="AS6" s="728" t="s">
        <v>390</v>
      </c>
      <c r="AV6" s="1006" t="str">
        <f ca="1">CELL("filename",A1)</f>
        <v>C:\Projects\Shiny App\Aging Error\[Copprt Chinook brood.xlsx]Mean_run_forecasts</v>
      </c>
      <c r="BP6" s="1" t="s">
        <v>527</v>
      </c>
      <c r="BQ6" s="1310"/>
      <c r="BR6" s="728" t="s">
        <v>250</v>
      </c>
      <c r="BS6" s="728" t="s">
        <v>242</v>
      </c>
      <c r="BT6" s="728" t="s">
        <v>243</v>
      </c>
      <c r="BU6" s="728" t="s">
        <v>244</v>
      </c>
      <c r="BV6" s="728" t="s">
        <v>245</v>
      </c>
      <c r="BW6" s="728" t="s">
        <v>390</v>
      </c>
      <c r="BZ6" s="728" t="s">
        <v>250</v>
      </c>
      <c r="CA6" s="728" t="s">
        <v>242</v>
      </c>
      <c r="CB6" s="728" t="s">
        <v>243</v>
      </c>
      <c r="CC6" s="728" t="s">
        <v>244</v>
      </c>
      <c r="CD6" s="728" t="s">
        <v>245</v>
      </c>
      <c r="CE6" s="728" t="s">
        <v>390</v>
      </c>
      <c r="CI6" s="728" t="s">
        <v>250</v>
      </c>
      <c r="CJ6" s="728" t="s">
        <v>242</v>
      </c>
      <c r="CK6" s="728" t="s">
        <v>243</v>
      </c>
      <c r="CL6" s="728" t="s">
        <v>244</v>
      </c>
      <c r="CM6" s="728" t="s">
        <v>245</v>
      </c>
      <c r="CN6" s="728" t="s">
        <v>390</v>
      </c>
    </row>
    <row r="7" spans="1:97" ht="18.75">
      <c r="A7" s="278">
        <v>1999</v>
      </c>
      <c r="B7" s="510">
        <f>Harvests!B117</f>
        <v>62351</v>
      </c>
      <c r="C7" s="510">
        <f>Harvests!E117</f>
        <v>1115</v>
      </c>
      <c r="D7" s="510">
        <f>Harvests!F117</f>
        <v>353</v>
      </c>
      <c r="E7" s="511" t="str">
        <f>Harvests!H117</f>
        <v>NA</v>
      </c>
      <c r="F7" s="511"/>
      <c r="G7" s="510">
        <f>Harvests!N117</f>
        <v>6742</v>
      </c>
      <c r="H7" s="510">
        <f>SUM(Harvests!J117:M117)</f>
        <v>9191</v>
      </c>
      <c r="I7" s="510">
        <f>H7+G7</f>
        <v>15933</v>
      </c>
      <c r="J7" s="510">
        <f>SUM(B7:H7)</f>
        <v>79752</v>
      </c>
      <c r="K7" s="291"/>
      <c r="L7" s="513">
        <f>Escapements!K28</f>
        <v>32090</v>
      </c>
      <c r="M7" s="426" t="s">
        <v>227</v>
      </c>
      <c r="N7" s="513">
        <f>L7-I7</f>
        <v>16157</v>
      </c>
      <c r="O7" s="292"/>
      <c r="P7" s="510">
        <f>L7+SUM(B7:F7)</f>
        <v>95909</v>
      </c>
      <c r="Q7" s="510">
        <f>RANK(P7,$P$7:$P$24)</f>
        <v>2</v>
      </c>
      <c r="R7" s="720">
        <f>A7</f>
        <v>1999</v>
      </c>
      <c r="S7" s="509"/>
      <c r="T7" s="509"/>
      <c r="U7" s="509"/>
      <c r="V7" s="509"/>
      <c r="W7" s="509"/>
      <c r="X7" s="509"/>
      <c r="Y7" s="509"/>
      <c r="Z7" s="721"/>
      <c r="AA7" s="721"/>
      <c r="AB7" s="721"/>
      <c r="AC7" s="721"/>
      <c r="AD7" s="721"/>
      <c r="AE7" s="721"/>
      <c r="AF7" s="509"/>
      <c r="AG7" s="509"/>
      <c r="AH7" s="509"/>
      <c r="AI7" s="509"/>
      <c r="AJ7" s="509"/>
      <c r="AK7" s="509"/>
      <c r="AL7" s="509"/>
      <c r="AM7" s="509"/>
      <c r="AN7" s="509"/>
      <c r="AO7" s="509"/>
      <c r="AP7" s="509"/>
      <c r="AQ7" s="509"/>
      <c r="AR7" s="509"/>
      <c r="AS7" s="4"/>
      <c r="AT7" s="4"/>
      <c r="AU7" s="4"/>
      <c r="BR7" s="509"/>
      <c r="BS7" s="509"/>
      <c r="BT7" s="509"/>
      <c r="BU7" s="509"/>
      <c r="BV7" s="509"/>
      <c r="BW7" s="4"/>
      <c r="BX7" s="4"/>
    </row>
    <row r="8" spans="1:97" ht="18.75">
      <c r="A8" s="278">
        <v>2000</v>
      </c>
      <c r="B8" s="510">
        <f>Harvests!B118</f>
        <v>31273</v>
      </c>
      <c r="C8" s="510">
        <f>Harvests!E118</f>
        <v>740</v>
      </c>
      <c r="D8" s="510">
        <f>Harvests!F118</f>
        <v>689</v>
      </c>
      <c r="E8" s="511" t="str">
        <f>Harvests!H118</f>
        <v>NA</v>
      </c>
      <c r="F8" s="511"/>
      <c r="G8" s="510">
        <f>Harvests!N118</f>
        <v>5531</v>
      </c>
      <c r="H8" s="510">
        <f>SUM(Harvests!J118:M118)</f>
        <v>8024</v>
      </c>
      <c r="I8" s="510">
        <f t="shared" ref="I8:I15" si="1">H8+G8</f>
        <v>13555</v>
      </c>
      <c r="J8" s="510">
        <f t="shared" ref="J8:J17" si="2">SUM(B8:H8)</f>
        <v>46257</v>
      </c>
      <c r="K8" s="291"/>
      <c r="L8" s="513">
        <f>Escapements!K29</f>
        <v>38047</v>
      </c>
      <c r="M8" s="426" t="s">
        <v>227</v>
      </c>
      <c r="N8" s="513">
        <f t="shared" ref="N8:N17" si="3">L8-I8</f>
        <v>24492</v>
      </c>
      <c r="O8" s="292"/>
      <c r="P8" s="510">
        <f t="shared" ref="P8:P21" si="4">L8+SUM(B8:F8)</f>
        <v>70749</v>
      </c>
      <c r="Q8" s="510">
        <f t="shared" ref="Q8:Q24" si="5">RANK(P8,$P$7:$P$24)</f>
        <v>8</v>
      </c>
      <c r="R8" s="720">
        <f t="shared" ref="R8:R18" si="6">A8</f>
        <v>2000</v>
      </c>
      <c r="S8" s="510">
        <f>P7</f>
        <v>95909</v>
      </c>
      <c r="T8" s="509"/>
      <c r="U8" s="509"/>
      <c r="V8" s="509"/>
      <c r="W8" s="509"/>
      <c r="X8" s="509"/>
      <c r="Y8" s="509"/>
      <c r="Z8" s="721">
        <f>S8-P8</f>
        <v>25160</v>
      </c>
      <c r="AA8" s="721"/>
      <c r="AB8" s="721"/>
      <c r="AC8" s="721"/>
      <c r="AD8" s="721"/>
      <c r="AE8" s="721"/>
      <c r="AF8" s="509"/>
      <c r="AG8" s="1254">
        <f>Z8/$P8</f>
        <v>0.35562340103747048</v>
      </c>
      <c r="AH8" s="722"/>
      <c r="AI8" s="722"/>
      <c r="AJ8" s="722"/>
      <c r="AK8" s="722"/>
      <c r="AL8" s="722"/>
      <c r="AM8" s="509"/>
      <c r="AN8" s="1254">
        <f t="shared" ref="AN8:AN13" si="7">ABS(AG8)</f>
        <v>0.35562340103747048</v>
      </c>
      <c r="AO8" s="517"/>
      <c r="AP8" s="517"/>
      <c r="AQ8" s="517"/>
      <c r="AR8" s="517"/>
      <c r="AS8" s="4"/>
      <c r="AT8" s="1252">
        <f t="shared" ref="AT8:AT24" si="8">(AN8-AN$28)^2</f>
        <v>3.8414610068683843E-3</v>
      </c>
      <c r="AU8" s="4"/>
      <c r="BP8">
        <v>1</v>
      </c>
      <c r="BQ8" s="35">
        <f t="shared" ref="BQ8:BQ24" si="9">ABS(P8-P7)</f>
        <v>25160</v>
      </c>
      <c r="BR8" s="1160">
        <f t="shared" ref="BR8:BR24" si="10">ABS(Z8)/BR$29</f>
        <v>1.5774171048816232</v>
      </c>
      <c r="BS8" s="517"/>
      <c r="BT8" s="517"/>
      <c r="BU8" s="517"/>
      <c r="BV8" s="517"/>
      <c r="BW8" s="4"/>
      <c r="BX8" s="1252"/>
      <c r="BY8" s="1253"/>
      <c r="BZ8" s="1253">
        <f>LN(S8/$P8)</f>
        <v>0.30426142309620979</v>
      </c>
      <c r="CA8" s="1253"/>
      <c r="CB8" s="1253"/>
      <c r="CC8" s="1253"/>
      <c r="CD8" s="1253"/>
      <c r="CE8" s="1253"/>
      <c r="CH8" s="1253"/>
      <c r="CI8" s="1253">
        <f>ABS(BZ8)</f>
        <v>0.30426142309620979</v>
      </c>
      <c r="CJ8" s="1253"/>
      <c r="CK8" s="1253"/>
      <c r="CL8" s="1253"/>
      <c r="CM8" s="1253"/>
      <c r="CN8" s="1253"/>
    </row>
    <row r="9" spans="1:97" ht="18.75">
      <c r="A9" s="278">
        <v>2001</v>
      </c>
      <c r="B9" s="510">
        <f>Harvests!B119</f>
        <v>39524</v>
      </c>
      <c r="C9" s="510">
        <f>Harvests!E119</f>
        <v>935</v>
      </c>
      <c r="D9" s="510">
        <f>Harvests!F119</f>
        <v>826</v>
      </c>
      <c r="E9" s="511" t="str">
        <f>Harvests!H119</f>
        <v>NA</v>
      </c>
      <c r="F9" s="511"/>
      <c r="G9" s="510">
        <f>Harvests!N119</f>
        <v>4904</v>
      </c>
      <c r="H9" s="510">
        <f>SUM(Harvests!J119:M119)</f>
        <v>6666</v>
      </c>
      <c r="I9" s="510">
        <f t="shared" si="1"/>
        <v>11570</v>
      </c>
      <c r="J9" s="510">
        <f t="shared" si="2"/>
        <v>52855</v>
      </c>
      <c r="K9" s="291"/>
      <c r="L9" s="513">
        <f>Escapements!K30</f>
        <v>39778</v>
      </c>
      <c r="M9" s="426" t="s">
        <v>227</v>
      </c>
      <c r="N9" s="513">
        <f t="shared" si="3"/>
        <v>28208</v>
      </c>
      <c r="O9" s="292"/>
      <c r="P9" s="510">
        <f t="shared" si="4"/>
        <v>81063</v>
      </c>
      <c r="Q9" s="510">
        <f t="shared" si="5"/>
        <v>5</v>
      </c>
      <c r="R9" s="720">
        <f t="shared" si="6"/>
        <v>2001</v>
      </c>
      <c r="S9" s="510">
        <f t="shared" ref="S9:S12" si="11">P8</f>
        <v>70749</v>
      </c>
      <c r="T9" s="510">
        <f>AVERAGE(P7:P8)</f>
        <v>83329</v>
      </c>
      <c r="U9" s="509"/>
      <c r="V9" s="509"/>
      <c r="W9" s="509"/>
      <c r="X9" s="509"/>
      <c r="Y9" s="509"/>
      <c r="Z9" s="721">
        <f>S9-P9</f>
        <v>-10314</v>
      </c>
      <c r="AA9" s="721">
        <f>T9-P9</f>
        <v>2266</v>
      </c>
      <c r="AB9" s="721"/>
      <c r="AC9" s="721"/>
      <c r="AD9" s="721"/>
      <c r="AE9" s="721"/>
      <c r="AF9" s="509"/>
      <c r="AG9" s="1254">
        <f t="shared" ref="AG9:AG24" si="12">Z9/$P9</f>
        <v>-0.12723437326523815</v>
      </c>
      <c r="AH9" s="722">
        <f>AA9/$P9</f>
        <v>2.7953566978769599E-2</v>
      </c>
      <c r="AI9" s="722"/>
      <c r="AJ9" s="722"/>
      <c r="AK9" s="722"/>
      <c r="AL9" s="722"/>
      <c r="AM9" s="509"/>
      <c r="AN9" s="1254">
        <f t="shared" si="7"/>
        <v>0.12723437326523815</v>
      </c>
      <c r="AO9" s="517">
        <f t="shared" ref="AO9:AR13" si="13">ABS(AH9)</f>
        <v>2.7953566978769599E-2</v>
      </c>
      <c r="AP9" s="517"/>
      <c r="AQ9" s="517"/>
      <c r="AR9" s="517"/>
      <c r="AS9" s="4"/>
      <c r="AT9" s="1252">
        <f t="shared" si="8"/>
        <v>2.7692123988535208E-2</v>
      </c>
      <c r="AU9" s="4"/>
      <c r="BP9">
        <v>2</v>
      </c>
      <c r="BQ9" s="35">
        <f t="shared" si="9"/>
        <v>10314</v>
      </c>
      <c r="BR9" s="1160">
        <f t="shared" si="10"/>
        <v>0.64664070030799137</v>
      </c>
      <c r="BS9" s="1160">
        <f t="shared" ref="BS9:BS24" si="14">ABS(AA9)/BS$29</f>
        <v>0.13879814445787461</v>
      </c>
      <c r="BT9" s="517"/>
      <c r="BU9" s="517"/>
      <c r="BV9" s="517"/>
      <c r="BW9" s="4"/>
      <c r="BX9" s="1252"/>
      <c r="BY9" s="1253"/>
      <c r="BZ9" s="1253">
        <f t="shared" ref="BZ9:BZ24" si="15">LN(S9/$P9)</f>
        <v>-0.13608822798998632</v>
      </c>
      <c r="CA9" s="1253">
        <f t="shared" ref="CA9:CA24" si="16">LN(T9/$P9)</f>
        <v>2.7569997704264718E-2</v>
      </c>
      <c r="CB9" s="1253"/>
      <c r="CC9" s="1253"/>
      <c r="CD9" s="1253"/>
      <c r="CE9" s="1253"/>
      <c r="CH9" s="1253"/>
      <c r="CI9" s="1253">
        <f t="shared" ref="CI9:CI24" si="17">ABS(BZ9)</f>
        <v>0.13608822798998632</v>
      </c>
      <c r="CJ9" s="1253">
        <f t="shared" ref="CJ9:CJ24" si="18">ABS(CA9)</f>
        <v>2.7569997704264718E-2</v>
      </c>
      <c r="CK9" s="1253"/>
      <c r="CL9" s="1253"/>
      <c r="CM9" s="1253"/>
      <c r="CN9" s="1253"/>
    </row>
    <row r="10" spans="1:97" ht="18.75">
      <c r="A10" s="278">
        <v>2002</v>
      </c>
      <c r="B10" s="510">
        <f>Harvests!B120</f>
        <v>38740</v>
      </c>
      <c r="C10" s="510">
        <f>Harvests!E120</f>
        <v>773</v>
      </c>
      <c r="D10" s="510">
        <f>Harvests!F120</f>
        <v>549</v>
      </c>
      <c r="E10" s="511">
        <f>Harvests!H120</f>
        <v>25</v>
      </c>
      <c r="F10" s="511"/>
      <c r="G10" s="510">
        <f>Harvests!N120</f>
        <v>5098</v>
      </c>
      <c r="H10" s="510">
        <f>SUM(Harvests!J120:M120)</f>
        <v>6273</v>
      </c>
      <c r="I10" s="510">
        <f t="shared" si="1"/>
        <v>11371</v>
      </c>
      <c r="J10" s="510">
        <f t="shared" si="2"/>
        <v>51458</v>
      </c>
      <c r="K10" s="291"/>
      <c r="L10" s="513">
        <f>Escapements!K31</f>
        <v>32873</v>
      </c>
      <c r="M10" s="426" t="s">
        <v>227</v>
      </c>
      <c r="N10" s="513">
        <f t="shared" si="3"/>
        <v>21502</v>
      </c>
      <c r="O10" s="292"/>
      <c r="P10" s="510">
        <f t="shared" si="4"/>
        <v>72960</v>
      </c>
      <c r="Q10" s="510">
        <f t="shared" si="5"/>
        <v>7</v>
      </c>
      <c r="R10" s="720">
        <f t="shared" si="6"/>
        <v>2002</v>
      </c>
      <c r="S10" s="510">
        <f t="shared" si="11"/>
        <v>81063</v>
      </c>
      <c r="T10" s="510">
        <f t="shared" ref="T10:T12" si="19">AVERAGE(P8:P9)</f>
        <v>75906</v>
      </c>
      <c r="U10" s="510">
        <f>AVERAGE(P7:P9)</f>
        <v>82573.666666666672</v>
      </c>
      <c r="V10" s="509"/>
      <c r="W10" s="509"/>
      <c r="X10" s="509"/>
      <c r="Y10" s="509"/>
      <c r="Z10" s="721">
        <f>S10-P10</f>
        <v>8103</v>
      </c>
      <c r="AA10" s="721">
        <f t="shared" ref="AA10:AA21" si="20">T10-P10</f>
        <v>2946</v>
      </c>
      <c r="AB10" s="721">
        <f>U10-P10</f>
        <v>9613.6666666666715</v>
      </c>
      <c r="AC10" s="721"/>
      <c r="AD10" s="721"/>
      <c r="AE10" s="721"/>
      <c r="AF10" s="509"/>
      <c r="AG10" s="1254">
        <f t="shared" si="12"/>
        <v>0.1110608552631579</v>
      </c>
      <c r="AH10" s="722">
        <f t="shared" ref="AH10:AH23" si="21">AA10/$P10</f>
        <v>4.0378289473684208E-2</v>
      </c>
      <c r="AI10" s="722">
        <f t="shared" ref="AI10:AI23" si="22">AB10/$P10</f>
        <v>0.13176626461988311</v>
      </c>
      <c r="AJ10" s="722"/>
      <c r="AK10" s="722"/>
      <c r="AL10" s="722"/>
      <c r="AM10" s="509"/>
      <c r="AN10" s="1254">
        <f t="shared" si="7"/>
        <v>0.1110608552631579</v>
      </c>
      <c r="AO10" s="517">
        <f t="shared" si="13"/>
        <v>4.0378289473684208E-2</v>
      </c>
      <c r="AP10" s="517">
        <f t="shared" si="13"/>
        <v>0.13176626461988311</v>
      </c>
      <c r="AQ10" s="517"/>
      <c r="AR10" s="517"/>
      <c r="AS10" s="4"/>
      <c r="AT10" s="1252">
        <f t="shared" si="8"/>
        <v>3.3336560984405968E-2</v>
      </c>
      <c r="AU10" s="4"/>
      <c r="BP10">
        <v>3</v>
      </c>
      <c r="BQ10" s="35">
        <f t="shared" si="9"/>
        <v>8103</v>
      </c>
      <c r="BR10" s="1160">
        <f t="shared" si="10"/>
        <v>0.5080210970133463</v>
      </c>
      <c r="BS10" s="1160">
        <f t="shared" si="14"/>
        <v>0.18044983829342393</v>
      </c>
      <c r="BT10" s="1160">
        <f t="shared" ref="BT10:BT24" si="23">ABS(AB10)/BT$29</f>
        <v>0.5684115688634559</v>
      </c>
      <c r="BU10" s="517"/>
      <c r="BV10" s="517"/>
      <c r="BW10" s="4"/>
      <c r="BX10" s="1252"/>
      <c r="BY10" s="1253"/>
      <c r="BZ10" s="1253">
        <f t="shared" si="15"/>
        <v>0.10531528437174911</v>
      </c>
      <c r="CA10" s="1253">
        <f t="shared" si="16"/>
        <v>3.9584386894511499E-2</v>
      </c>
      <c r="CB10" s="1253">
        <f t="shared" ref="CB10:CB24" si="24">LN(U10/$P10)</f>
        <v>0.12377947844328646</v>
      </c>
      <c r="CC10" s="1253"/>
      <c r="CD10" s="1253"/>
      <c r="CE10" s="1253"/>
      <c r="CH10" s="1253"/>
      <c r="CI10" s="1253">
        <f t="shared" si="17"/>
        <v>0.10531528437174911</v>
      </c>
      <c r="CJ10" s="1253">
        <f t="shared" si="18"/>
        <v>3.9584386894511499E-2</v>
      </c>
      <c r="CK10" s="1253">
        <f t="shared" ref="CK10:CK24" si="25">ABS(CB10)</f>
        <v>0.12377947844328646</v>
      </c>
      <c r="CL10" s="1253"/>
      <c r="CM10" s="1253"/>
      <c r="CN10" s="1253"/>
    </row>
    <row r="11" spans="1:97" ht="18.75">
      <c r="A11" s="278">
        <v>2003</v>
      </c>
      <c r="B11" s="510">
        <f>Harvests!B121</f>
        <v>47774</v>
      </c>
      <c r="C11" s="510">
        <f>Harvests!E121</f>
        <v>1073</v>
      </c>
      <c r="D11" s="510">
        <f>Harvests!F121</f>
        <v>710</v>
      </c>
      <c r="E11" s="511">
        <f>Harvests!H121</f>
        <v>83</v>
      </c>
      <c r="F11" s="511"/>
      <c r="G11" s="510">
        <f>Harvests!N121</f>
        <v>5717</v>
      </c>
      <c r="H11" s="510">
        <f>SUM(Harvests!J121:M121)</f>
        <v>5013</v>
      </c>
      <c r="I11" s="510">
        <f t="shared" si="1"/>
        <v>10730</v>
      </c>
      <c r="J11" s="510">
        <f t="shared" si="2"/>
        <v>60370</v>
      </c>
      <c r="K11" s="291"/>
      <c r="L11" s="513">
        <f>Escapements!K32</f>
        <v>44764</v>
      </c>
      <c r="M11" s="426" t="s">
        <v>228</v>
      </c>
      <c r="N11" s="513">
        <f t="shared" si="3"/>
        <v>34034</v>
      </c>
      <c r="O11" s="292"/>
      <c r="P11" s="510">
        <f t="shared" si="4"/>
        <v>94404</v>
      </c>
      <c r="Q11" s="510">
        <f t="shared" si="5"/>
        <v>3</v>
      </c>
      <c r="R11" s="720">
        <f t="shared" si="6"/>
        <v>2003</v>
      </c>
      <c r="S11" s="510">
        <f t="shared" si="11"/>
        <v>72960</v>
      </c>
      <c r="T11" s="510">
        <f t="shared" si="19"/>
        <v>77011.5</v>
      </c>
      <c r="U11" s="510">
        <f>AVERAGE(P8:P10)</f>
        <v>74924</v>
      </c>
      <c r="V11" s="510">
        <f>AVERAGE(P7:P10)</f>
        <v>80170.25</v>
      </c>
      <c r="W11" s="509"/>
      <c r="X11" s="509"/>
      <c r="Y11" s="509"/>
      <c r="Z11" s="721">
        <f>S11-P11</f>
        <v>-21444</v>
      </c>
      <c r="AA11" s="721">
        <f t="shared" si="20"/>
        <v>-17392.5</v>
      </c>
      <c r="AB11" s="721">
        <f t="shared" ref="AB11:AB21" si="26">U11-P11</f>
        <v>-19480</v>
      </c>
      <c r="AC11" s="721">
        <f>V11-P11</f>
        <v>-14233.75</v>
      </c>
      <c r="AD11" s="721"/>
      <c r="AE11" s="721"/>
      <c r="AF11" s="509"/>
      <c r="AG11" s="1254">
        <f t="shared" si="12"/>
        <v>-0.22715139189017414</v>
      </c>
      <c r="AH11" s="722">
        <f t="shared" si="21"/>
        <v>-0.18423477818736494</v>
      </c>
      <c r="AI11" s="722">
        <f t="shared" si="22"/>
        <v>-0.20634718867844584</v>
      </c>
      <c r="AJ11" s="722">
        <f t="shared" ref="AJ11:AJ23" si="27">AC11/$P11</f>
        <v>-0.15077486123469344</v>
      </c>
      <c r="AK11" s="722"/>
      <c r="AL11" s="722"/>
      <c r="AM11" s="509"/>
      <c r="AN11" s="1254">
        <f t="shared" si="7"/>
        <v>0.22715139189017414</v>
      </c>
      <c r="AO11" s="517">
        <f t="shared" si="13"/>
        <v>0.18423477818736494</v>
      </c>
      <c r="AP11" s="517">
        <f t="shared" si="13"/>
        <v>0.20634718867844584</v>
      </c>
      <c r="AQ11" s="517">
        <f t="shared" si="13"/>
        <v>0.15077486123469344</v>
      </c>
      <c r="AR11" s="517"/>
      <c r="AS11" s="4"/>
      <c r="AT11" s="1252">
        <f t="shared" si="8"/>
        <v>4.4212509977423625E-3</v>
      </c>
      <c r="AU11" s="4"/>
      <c r="BP11">
        <v>4</v>
      </c>
      <c r="BQ11" s="35">
        <f t="shared" si="9"/>
        <v>21444</v>
      </c>
      <c r="BR11" s="1160">
        <f t="shared" si="10"/>
        <v>1.3444408742878191</v>
      </c>
      <c r="BS11" s="1160">
        <f t="shared" si="14"/>
        <v>1.0653339485805755</v>
      </c>
      <c r="BT11" s="1160">
        <f t="shared" si="23"/>
        <v>1.1517621470954664</v>
      </c>
      <c r="BU11" s="1160">
        <f t="shared" ref="BU11:BU24" si="28">ABS(AC11)/BU$29</f>
        <v>0.85928248684644348</v>
      </c>
      <c r="BV11" s="517"/>
      <c r="BW11" s="4"/>
      <c r="BX11" s="1252"/>
      <c r="BY11" s="1253"/>
      <c r="BZ11" s="1253">
        <f t="shared" si="15"/>
        <v>-0.25767209936902985</v>
      </c>
      <c r="CA11" s="1253">
        <f t="shared" si="16"/>
        <v>-0.20362868378376911</v>
      </c>
      <c r="CB11" s="1253">
        <f t="shared" si="24"/>
        <v>-0.23110917870145992</v>
      </c>
      <c r="CC11" s="1253">
        <f t="shared" ref="CC11:CC24" si="29">LN(V11/$P11)</f>
        <v>-0.16343094671165118</v>
      </c>
      <c r="CD11" s="1253"/>
      <c r="CE11" s="1253"/>
      <c r="CH11" s="1253"/>
      <c r="CI11" s="1253">
        <f t="shared" si="17"/>
        <v>0.25767209936902985</v>
      </c>
      <c r="CJ11" s="1253">
        <f t="shared" si="18"/>
        <v>0.20362868378376911</v>
      </c>
      <c r="CK11" s="1253">
        <f t="shared" si="25"/>
        <v>0.23110917870145992</v>
      </c>
      <c r="CL11" s="1253">
        <f t="shared" ref="CL11:CL24" si="30">ABS(CC11)</f>
        <v>0.16343094671165118</v>
      </c>
      <c r="CM11" s="1253"/>
      <c r="CN11" s="1253"/>
    </row>
    <row r="12" spans="1:97" ht="18.75">
      <c r="A12" s="278">
        <v>2004</v>
      </c>
      <c r="B12" s="510">
        <f>Harvests!B122</f>
        <v>38198</v>
      </c>
      <c r="C12" s="510">
        <f>Harvests!E122</f>
        <v>539</v>
      </c>
      <c r="D12" s="510">
        <f>Harvests!F122</f>
        <v>1111</v>
      </c>
      <c r="E12" s="511">
        <f>Harvests!H122</f>
        <v>67</v>
      </c>
      <c r="F12" s="511"/>
      <c r="G12" s="510">
        <f>Harvests!N122</f>
        <v>3435</v>
      </c>
      <c r="H12" s="510">
        <f>SUM(Harvests!J122:M122)</f>
        <v>6484</v>
      </c>
      <c r="I12" s="510">
        <f t="shared" si="1"/>
        <v>9919</v>
      </c>
      <c r="J12" s="510">
        <f t="shared" si="2"/>
        <v>49834</v>
      </c>
      <c r="K12" s="291"/>
      <c r="L12" s="513">
        <f>Escapements!K33</f>
        <v>40564</v>
      </c>
      <c r="M12" s="426" t="s">
        <v>228</v>
      </c>
      <c r="N12" s="513">
        <f t="shared" si="3"/>
        <v>30645</v>
      </c>
      <c r="O12" s="292"/>
      <c r="P12" s="510">
        <f t="shared" si="4"/>
        <v>80479</v>
      </c>
      <c r="Q12" s="510">
        <f t="shared" si="5"/>
        <v>6</v>
      </c>
      <c r="R12" s="720">
        <f t="shared" si="6"/>
        <v>2004</v>
      </c>
      <c r="S12" s="510">
        <f t="shared" si="11"/>
        <v>94404</v>
      </c>
      <c r="T12" s="510">
        <f t="shared" si="19"/>
        <v>83682</v>
      </c>
      <c r="U12" s="510">
        <f>AVERAGE(P9:P11)</f>
        <v>82809</v>
      </c>
      <c r="V12" s="510">
        <f>AVERAGE(P8:P11)</f>
        <v>79794</v>
      </c>
      <c r="W12" s="510">
        <f>AVERAGE(P7:P11)</f>
        <v>83017</v>
      </c>
      <c r="X12" s="510"/>
      <c r="Y12" s="509"/>
      <c r="Z12" s="721">
        <f t="shared" ref="Z12:Z20" si="31">S12-P12</f>
        <v>13925</v>
      </c>
      <c r="AA12" s="721">
        <f t="shared" si="20"/>
        <v>3203</v>
      </c>
      <c r="AB12" s="721">
        <f t="shared" si="26"/>
        <v>2330</v>
      </c>
      <c r="AC12" s="721">
        <f t="shared" ref="AC12:AC21" si="32">V12-P12</f>
        <v>-685</v>
      </c>
      <c r="AD12" s="721">
        <f>W12-P12</f>
        <v>2538</v>
      </c>
      <c r="AE12" s="721"/>
      <c r="AF12" s="509"/>
      <c r="AG12" s="1254">
        <f t="shared" si="12"/>
        <v>0.17302650380844692</v>
      </c>
      <c r="AH12" s="722">
        <f t="shared" si="21"/>
        <v>3.9799202276370231E-2</v>
      </c>
      <c r="AI12" s="722">
        <f t="shared" si="22"/>
        <v>2.8951651983747315E-2</v>
      </c>
      <c r="AJ12" s="722">
        <f t="shared" si="27"/>
        <v>-8.5115371711875151E-3</v>
      </c>
      <c r="AK12" s="722">
        <f t="shared" ref="AK12:AK23" si="33">AD12/$P12</f>
        <v>3.1536177139377973E-2</v>
      </c>
      <c r="AL12" s="722"/>
      <c r="AM12" s="509"/>
      <c r="AN12" s="1254">
        <f t="shared" si="7"/>
        <v>0.17302650380844692</v>
      </c>
      <c r="AO12" s="517">
        <f t="shared" si="13"/>
        <v>3.9799202276370231E-2</v>
      </c>
      <c r="AP12" s="517">
        <f t="shared" si="13"/>
        <v>2.8951651983747315E-2</v>
      </c>
      <c r="AQ12" s="517">
        <f t="shared" si="13"/>
        <v>8.5115371711875151E-3</v>
      </c>
      <c r="AR12" s="517">
        <f t="shared" si="13"/>
        <v>3.1536177139377973E-2</v>
      </c>
      <c r="AS12" s="4"/>
      <c r="AT12" s="1252">
        <f t="shared" si="8"/>
        <v>1.4548551480525187E-2</v>
      </c>
      <c r="AU12" s="4"/>
      <c r="BP12">
        <v>5</v>
      </c>
      <c r="BQ12" s="35">
        <f t="shared" si="9"/>
        <v>13925</v>
      </c>
      <c r="BR12" s="1160">
        <f t="shared" si="10"/>
        <v>0.87303391039255174</v>
      </c>
      <c r="BS12" s="1160">
        <f t="shared" si="14"/>
        <v>0.19619172846362418</v>
      </c>
      <c r="BT12" s="1160">
        <f t="shared" si="23"/>
        <v>0.13776210486306142</v>
      </c>
      <c r="BU12" s="1160">
        <f t="shared" si="28"/>
        <v>4.1353016843053571E-2</v>
      </c>
      <c r="BV12" s="1160">
        <f t="shared" ref="BV12:BV24" si="34">ABS(AD12)/BV$29</f>
        <v>0.15120943718473209</v>
      </c>
      <c r="BW12" s="4"/>
      <c r="BX12" s="1252"/>
      <c r="BY12" s="1253"/>
      <c r="BZ12" s="1253">
        <f t="shared" si="15"/>
        <v>0.15958716430818926</v>
      </c>
      <c r="CA12" s="1253">
        <f t="shared" si="16"/>
        <v>3.9027619777695921E-2</v>
      </c>
      <c r="CB12" s="1253">
        <f t="shared" si="24"/>
        <v>2.8540470309527163E-2</v>
      </c>
      <c r="CC12" s="1253">
        <f t="shared" si="29"/>
        <v>-8.5479671678352475E-3</v>
      </c>
      <c r="CD12" s="1253">
        <f t="shared" ref="CD12:CD24" si="35">LN(W12/$P12)</f>
        <v>3.1049125274185522E-2</v>
      </c>
      <c r="CE12" s="1253"/>
      <c r="CH12" s="1253"/>
      <c r="CI12" s="1253">
        <f t="shared" si="17"/>
        <v>0.15958716430818926</v>
      </c>
      <c r="CJ12" s="1253">
        <f t="shared" si="18"/>
        <v>3.9027619777695921E-2</v>
      </c>
      <c r="CK12" s="1253">
        <f t="shared" si="25"/>
        <v>2.8540470309527163E-2</v>
      </c>
      <c r="CL12" s="1253">
        <f t="shared" si="30"/>
        <v>8.5479671678352475E-3</v>
      </c>
      <c r="CM12" s="1253">
        <f t="shared" ref="CM12:CM24" si="36">ABS(CD12)</f>
        <v>3.1049125274185522E-2</v>
      </c>
      <c r="CN12" s="1253"/>
      <c r="CR12">
        <v>10</v>
      </c>
      <c r="CS12">
        <v>100</v>
      </c>
    </row>
    <row r="13" spans="1:97" ht="18.75">
      <c r="A13" s="278">
        <v>2005</v>
      </c>
      <c r="B13" s="510">
        <f>Harvests!B123</f>
        <v>34635</v>
      </c>
      <c r="C13" s="510">
        <f>Harvests!E123</f>
        <v>760</v>
      </c>
      <c r="D13" s="510">
        <f>Harvests!F123</f>
        <v>260</v>
      </c>
      <c r="E13" s="511">
        <f>Harvests!H123</f>
        <v>92</v>
      </c>
      <c r="F13" s="511"/>
      <c r="G13" s="510">
        <f>Harvests!N123</f>
        <v>4093</v>
      </c>
      <c r="H13" s="510">
        <f>SUM(Harvests!J123:M123)</f>
        <v>4712</v>
      </c>
      <c r="I13" s="510">
        <f t="shared" si="1"/>
        <v>8805</v>
      </c>
      <c r="J13" s="510">
        <f t="shared" si="2"/>
        <v>44552</v>
      </c>
      <c r="K13" s="291"/>
      <c r="L13" s="513">
        <f>Escapements!K34</f>
        <v>30333</v>
      </c>
      <c r="M13" s="426" t="s">
        <v>228</v>
      </c>
      <c r="N13" s="513">
        <f t="shared" si="3"/>
        <v>21528</v>
      </c>
      <c r="O13" s="292"/>
      <c r="P13" s="510">
        <f t="shared" si="4"/>
        <v>66080</v>
      </c>
      <c r="Q13" s="510">
        <f t="shared" si="5"/>
        <v>9</v>
      </c>
      <c r="R13" s="720">
        <f t="shared" si="6"/>
        <v>2005</v>
      </c>
      <c r="S13" s="510">
        <f t="shared" ref="S13:S25" si="37">P12</f>
        <v>80479</v>
      </c>
      <c r="T13" s="510">
        <f t="shared" ref="T13:T25" si="38">AVERAGE(P11:P12)</f>
        <v>87441.5</v>
      </c>
      <c r="U13" s="510">
        <f t="shared" ref="U13:U25" si="39">AVERAGE(P10:P12)</f>
        <v>82614.333333333328</v>
      </c>
      <c r="V13" s="510">
        <f t="shared" ref="V13:V25" si="40">AVERAGE(P9:P12)</f>
        <v>82226.5</v>
      </c>
      <c r="W13" s="510">
        <f t="shared" ref="W13:W25" si="41">AVERAGE(P8:P12)</f>
        <v>79931</v>
      </c>
      <c r="X13" s="510"/>
      <c r="Y13" s="509"/>
      <c r="Z13" s="721">
        <f t="shared" si="31"/>
        <v>14399</v>
      </c>
      <c r="AA13" s="721">
        <f t="shared" si="20"/>
        <v>21361.5</v>
      </c>
      <c r="AB13" s="721">
        <f t="shared" si="26"/>
        <v>16534.333333333328</v>
      </c>
      <c r="AC13" s="721">
        <f t="shared" si="32"/>
        <v>16146.5</v>
      </c>
      <c r="AD13" s="721">
        <f t="shared" ref="AD13:AD21" si="42">W13-P13</f>
        <v>13851</v>
      </c>
      <c r="AE13" s="721"/>
      <c r="AF13" s="509"/>
      <c r="AG13" s="1254">
        <f t="shared" si="12"/>
        <v>0.21790254237288137</v>
      </c>
      <c r="AH13" s="722">
        <f t="shared" si="21"/>
        <v>0.32326725181598065</v>
      </c>
      <c r="AI13" s="722">
        <f t="shared" si="22"/>
        <v>0.2502169087974172</v>
      </c>
      <c r="AJ13" s="722">
        <f t="shared" si="27"/>
        <v>0.24434776029055691</v>
      </c>
      <c r="AK13" s="722">
        <f t="shared" si="33"/>
        <v>0.2096095641646489</v>
      </c>
      <c r="AL13" s="722"/>
      <c r="AM13" s="509"/>
      <c r="AN13" s="1254">
        <f t="shared" si="7"/>
        <v>0.21790254237288137</v>
      </c>
      <c r="AO13" s="517">
        <f t="shared" si="13"/>
        <v>0.32326725181598065</v>
      </c>
      <c r="AP13" s="517">
        <f t="shared" si="13"/>
        <v>0.2502169087974172</v>
      </c>
      <c r="AQ13" s="517">
        <f t="shared" si="13"/>
        <v>0.24434776029055691</v>
      </c>
      <c r="AR13" s="517">
        <f t="shared" si="13"/>
        <v>0.2096095641646489</v>
      </c>
      <c r="AS13" s="4"/>
      <c r="AT13" s="1252">
        <f t="shared" si="8"/>
        <v>5.7367502514106654E-3</v>
      </c>
      <c r="AU13" s="4"/>
      <c r="BP13">
        <v>6</v>
      </c>
      <c r="BQ13" s="35">
        <f t="shared" si="9"/>
        <v>14399</v>
      </c>
      <c r="BR13" s="1160">
        <f t="shared" si="10"/>
        <v>0.9027515458342803</v>
      </c>
      <c r="BS13" s="1160">
        <f t="shared" si="14"/>
        <v>1.3084450851001275</v>
      </c>
      <c r="BT13" s="1160">
        <f t="shared" si="23"/>
        <v>0.97759852468132102</v>
      </c>
      <c r="BU13" s="1160">
        <f t="shared" si="28"/>
        <v>0.97475399482680958</v>
      </c>
      <c r="BV13" s="1160">
        <f t="shared" si="34"/>
        <v>0.82521746038050592</v>
      </c>
      <c r="BW13" s="4"/>
      <c r="BX13" s="1252"/>
      <c r="BY13" s="1253"/>
      <c r="BZ13" s="1253">
        <f t="shared" si="15"/>
        <v>0.19713015161419381</v>
      </c>
      <c r="CA13" s="1253">
        <f t="shared" si="16"/>
        <v>0.28010386912873281</v>
      </c>
      <c r="CB13" s="1253">
        <f t="shared" si="24"/>
        <v>0.2233170632980685</v>
      </c>
      <c r="CC13" s="1253">
        <f t="shared" si="29"/>
        <v>0.21861150532294157</v>
      </c>
      <c r="CD13" s="1253">
        <f t="shared" si="35"/>
        <v>0.19029763329402252</v>
      </c>
      <c r="CE13" s="1253"/>
      <c r="CI13" s="1253">
        <f t="shared" si="17"/>
        <v>0.19713015161419381</v>
      </c>
      <c r="CJ13" s="1253">
        <f t="shared" si="18"/>
        <v>0.28010386912873281</v>
      </c>
      <c r="CK13" s="1253">
        <f t="shared" si="25"/>
        <v>0.2233170632980685</v>
      </c>
      <c r="CL13" s="1253">
        <f t="shared" si="30"/>
        <v>0.21861150532294157</v>
      </c>
      <c r="CM13" s="1253">
        <f t="shared" si="36"/>
        <v>0.19029763329402252</v>
      </c>
      <c r="CN13" s="1253"/>
      <c r="CR13">
        <v>100</v>
      </c>
      <c r="CS13">
        <v>10</v>
      </c>
    </row>
    <row r="14" spans="1:97" ht="18.75">
      <c r="A14" s="278">
        <v>2006</v>
      </c>
      <c r="B14" s="510">
        <f>Harvests!B124</f>
        <v>30281</v>
      </c>
      <c r="C14" s="510">
        <f>Harvests!E124</f>
        <v>779</v>
      </c>
      <c r="D14" s="510">
        <f>Harvests!F124</f>
        <v>779</v>
      </c>
      <c r="E14" s="511">
        <f>Harvests!H124</f>
        <v>11</v>
      </c>
      <c r="F14" s="511"/>
      <c r="G14" s="510">
        <f>Harvests!N124</f>
        <v>3425</v>
      </c>
      <c r="H14" s="510">
        <f>SUM(Harvests!J124:M124)</f>
        <v>5910</v>
      </c>
      <c r="I14" s="510">
        <f>H14+G14</f>
        <v>9335</v>
      </c>
      <c r="J14" s="510">
        <f t="shared" si="2"/>
        <v>41185</v>
      </c>
      <c r="K14" s="291"/>
      <c r="L14" s="513">
        <f>Escapements!K35</f>
        <v>67789</v>
      </c>
      <c r="M14" s="426"/>
      <c r="N14" s="513">
        <f t="shared" si="3"/>
        <v>58454</v>
      </c>
      <c r="O14" s="292"/>
      <c r="P14" s="510">
        <f t="shared" si="4"/>
        <v>99639</v>
      </c>
      <c r="Q14" s="510">
        <f t="shared" si="5"/>
        <v>1</v>
      </c>
      <c r="R14" s="720">
        <f t="shared" si="6"/>
        <v>2006</v>
      </c>
      <c r="S14" s="510">
        <f t="shared" si="37"/>
        <v>66080</v>
      </c>
      <c r="T14" s="510">
        <f t="shared" si="38"/>
        <v>73279.5</v>
      </c>
      <c r="U14" s="510">
        <f t="shared" si="39"/>
        <v>80321</v>
      </c>
      <c r="V14" s="510">
        <f t="shared" si="40"/>
        <v>78480.75</v>
      </c>
      <c r="W14" s="510">
        <f t="shared" si="41"/>
        <v>78997.2</v>
      </c>
      <c r="X14" s="510"/>
      <c r="Y14" s="509"/>
      <c r="Z14" s="721">
        <f t="shared" si="31"/>
        <v>-33559</v>
      </c>
      <c r="AA14" s="721">
        <f t="shared" si="20"/>
        <v>-26359.5</v>
      </c>
      <c r="AB14" s="721">
        <f t="shared" si="26"/>
        <v>-19318</v>
      </c>
      <c r="AC14" s="721">
        <f t="shared" si="32"/>
        <v>-21158.25</v>
      </c>
      <c r="AD14" s="721">
        <f t="shared" si="42"/>
        <v>-20641.800000000003</v>
      </c>
      <c r="AE14" s="721"/>
      <c r="AF14" s="509"/>
      <c r="AG14" s="1254">
        <f t="shared" si="12"/>
        <v>-0.33680586918776784</v>
      </c>
      <c r="AH14" s="722">
        <f t="shared" si="21"/>
        <v>-0.26455002559238855</v>
      </c>
      <c r="AI14" s="722">
        <f t="shared" si="22"/>
        <v>-0.193879906462329</v>
      </c>
      <c r="AJ14" s="722">
        <f t="shared" si="27"/>
        <v>-0.21234908017944781</v>
      </c>
      <c r="AK14" s="722">
        <f t="shared" si="33"/>
        <v>-0.20716586878631865</v>
      </c>
      <c r="AL14" s="722"/>
      <c r="AM14" s="509"/>
      <c r="AN14" s="1254">
        <f t="shared" ref="AN14:AR17" si="43">ABS(AG14)</f>
        <v>0.33680586918776784</v>
      </c>
      <c r="AO14" s="517">
        <f t="shared" si="43"/>
        <v>0.26455002559238855</v>
      </c>
      <c r="AP14" s="517">
        <f t="shared" si="43"/>
        <v>0.193879906462329</v>
      </c>
      <c r="AQ14" s="517">
        <f t="shared" si="43"/>
        <v>0.21234908017944781</v>
      </c>
      <c r="AR14" s="517">
        <f t="shared" si="43"/>
        <v>0.20716586878631865</v>
      </c>
      <c r="AS14" s="4"/>
      <c r="AT14" s="1252">
        <f t="shared" si="8"/>
        <v>1.8629572959052696E-3</v>
      </c>
      <c r="AU14" s="4"/>
      <c r="BP14">
        <v>7</v>
      </c>
      <c r="BQ14" s="35">
        <f t="shared" si="9"/>
        <v>33559</v>
      </c>
      <c r="BR14" s="1160">
        <f t="shared" si="10"/>
        <v>2.1039960501876944</v>
      </c>
      <c r="BS14" s="1160">
        <f t="shared" si="14"/>
        <v>1.6145850347914148</v>
      </c>
      <c r="BT14" s="1160">
        <f t="shared" si="23"/>
        <v>1.1421838376586355</v>
      </c>
      <c r="BU14" s="1160">
        <f t="shared" si="28"/>
        <v>1.2773101731672092</v>
      </c>
      <c r="BV14" s="1160">
        <f t="shared" si="34"/>
        <v>1.2298010088572904</v>
      </c>
      <c r="BW14" s="4"/>
      <c r="BX14" s="1252"/>
      <c r="BY14" s="1253"/>
      <c r="BZ14" s="1253">
        <f t="shared" si="15"/>
        <v>-0.41068752500082656</v>
      </c>
      <c r="CA14" s="1253">
        <f t="shared" si="16"/>
        <v>-0.30727275701505685</v>
      </c>
      <c r="CB14" s="1253">
        <f t="shared" si="24"/>
        <v>-0.21552254814842997</v>
      </c>
      <c r="CC14" s="1253">
        <f t="shared" si="29"/>
        <v>-0.23870028242718166</v>
      </c>
      <c r="CD14" s="1253">
        <f t="shared" si="35"/>
        <v>-0.23214124541262163</v>
      </c>
      <c r="CE14" s="1253"/>
      <c r="CI14" s="1253">
        <f t="shared" si="17"/>
        <v>0.41068752500082656</v>
      </c>
      <c r="CJ14" s="1253">
        <f t="shared" si="18"/>
        <v>0.30727275701505685</v>
      </c>
      <c r="CK14" s="1253">
        <f t="shared" si="25"/>
        <v>0.21552254814842997</v>
      </c>
      <c r="CL14" s="1253">
        <f t="shared" si="30"/>
        <v>0.23870028242718166</v>
      </c>
      <c r="CM14" s="1253">
        <f t="shared" si="36"/>
        <v>0.23214124541262163</v>
      </c>
      <c r="CN14" s="1253"/>
      <c r="CR14">
        <f>LN(CR12/CR13)</f>
        <v>-2.3025850929940455</v>
      </c>
      <c r="CS14">
        <f>LN(CS12/CS13)</f>
        <v>2.3025850929940459</v>
      </c>
    </row>
    <row r="15" spans="1:97" ht="18.75">
      <c r="A15" s="278">
        <v>2007</v>
      </c>
      <c r="B15" s="510">
        <f>Harvests!B125</f>
        <v>39097</v>
      </c>
      <c r="C15" s="510">
        <f>Harvests!E125</f>
        <v>1019</v>
      </c>
      <c r="D15" s="510">
        <f>Harvests!F125</f>
        <v>1148</v>
      </c>
      <c r="E15" s="511">
        <f>Harvests!H125</f>
        <v>70</v>
      </c>
      <c r="F15" s="511"/>
      <c r="G15" s="510">
        <f>Harvests!N125</f>
        <v>5113</v>
      </c>
      <c r="H15" s="510">
        <f>SUM(Harvests!J125:M125)</f>
        <v>6661</v>
      </c>
      <c r="I15" s="510">
        <f t="shared" si="1"/>
        <v>11774</v>
      </c>
      <c r="J15" s="510">
        <f t="shared" si="2"/>
        <v>53108</v>
      </c>
      <c r="K15" s="291"/>
      <c r="L15" s="513">
        <f>Escapements!K36</f>
        <v>46349</v>
      </c>
      <c r="M15" s="426"/>
      <c r="N15" s="513">
        <f t="shared" si="3"/>
        <v>34575</v>
      </c>
      <c r="O15" s="292"/>
      <c r="P15" s="510">
        <f t="shared" si="4"/>
        <v>87683</v>
      </c>
      <c r="Q15" s="510">
        <f t="shared" si="5"/>
        <v>4</v>
      </c>
      <c r="R15" s="720">
        <f t="shared" si="6"/>
        <v>2007</v>
      </c>
      <c r="S15" s="510">
        <f t="shared" si="37"/>
        <v>99639</v>
      </c>
      <c r="T15" s="510">
        <f t="shared" si="38"/>
        <v>82859.5</v>
      </c>
      <c r="U15" s="510">
        <f t="shared" si="39"/>
        <v>82066</v>
      </c>
      <c r="V15" s="510">
        <f t="shared" si="40"/>
        <v>85150.5</v>
      </c>
      <c r="W15" s="510">
        <f t="shared" si="41"/>
        <v>82712.399999999994</v>
      </c>
      <c r="X15" s="510"/>
      <c r="Y15" s="509"/>
      <c r="Z15" s="721">
        <f t="shared" si="31"/>
        <v>11956</v>
      </c>
      <c r="AA15" s="721">
        <f t="shared" si="20"/>
        <v>-4823.5</v>
      </c>
      <c r="AB15" s="721">
        <f t="shared" si="26"/>
        <v>-5617</v>
      </c>
      <c r="AC15" s="721">
        <f t="shared" si="32"/>
        <v>-2532.5</v>
      </c>
      <c r="AD15" s="721">
        <f t="shared" si="42"/>
        <v>-4970.6000000000058</v>
      </c>
      <c r="AE15" s="721"/>
      <c r="AF15" s="509"/>
      <c r="AG15" s="1254">
        <f t="shared" si="12"/>
        <v>0.13635482362601645</v>
      </c>
      <c r="AH15" s="722">
        <f t="shared" si="21"/>
        <v>-5.5010663412520103E-2</v>
      </c>
      <c r="AI15" s="722">
        <f t="shared" si="22"/>
        <v>-6.406030815551475E-2</v>
      </c>
      <c r="AJ15" s="722">
        <f t="shared" si="27"/>
        <v>-2.888245155845489E-2</v>
      </c>
      <c r="AK15" s="722">
        <f t="shared" si="33"/>
        <v>-5.6688297617554208E-2</v>
      </c>
      <c r="AL15" s="722"/>
      <c r="AM15" s="509"/>
      <c r="AN15" s="1254">
        <f t="shared" si="43"/>
        <v>0.13635482362601645</v>
      </c>
      <c r="AO15" s="517">
        <f t="shared" si="43"/>
        <v>5.5010663412520103E-2</v>
      </c>
      <c r="AP15" s="517">
        <f t="shared" si="43"/>
        <v>6.406030815551475E-2</v>
      </c>
      <c r="AQ15" s="517">
        <f t="shared" si="43"/>
        <v>2.888245155845489E-2</v>
      </c>
      <c r="AR15" s="517">
        <f t="shared" si="43"/>
        <v>5.6688297617554208E-2</v>
      </c>
      <c r="AS15" s="4"/>
      <c r="AT15" s="1252">
        <f t="shared" si="8"/>
        <v>2.4739847308732021E-2</v>
      </c>
      <c r="AU15" s="4"/>
      <c r="BP15">
        <v>8</v>
      </c>
      <c r="BQ15" s="35">
        <f t="shared" si="9"/>
        <v>11956</v>
      </c>
      <c r="BR15" s="1160">
        <f t="shared" si="10"/>
        <v>0.7495866019858779</v>
      </c>
      <c r="BS15" s="1160">
        <f t="shared" si="14"/>
        <v>0.29545139002319426</v>
      </c>
      <c r="BT15" s="1160">
        <f t="shared" si="23"/>
        <v>0.33210718584369786</v>
      </c>
      <c r="BU15" s="1160">
        <f t="shared" si="28"/>
        <v>0.15288542358399004</v>
      </c>
      <c r="BV15" s="1160">
        <f t="shared" si="34"/>
        <v>0.29613933351868804</v>
      </c>
      <c r="BW15" s="4"/>
      <c r="BX15" s="1252"/>
      <c r="BY15" s="1253"/>
      <c r="BZ15" s="1253">
        <f t="shared" si="15"/>
        <v>0.12782561627070751</v>
      </c>
      <c r="CA15" s="1253">
        <f t="shared" si="16"/>
        <v>-5.6581635586472348E-2</v>
      </c>
      <c r="CB15" s="1253">
        <f t="shared" si="24"/>
        <v>-6.6204236370441844E-2</v>
      </c>
      <c r="CC15" s="1253">
        <f t="shared" si="29"/>
        <v>-2.9307758860779562E-2</v>
      </c>
      <c r="CD15" s="1253">
        <f t="shared" si="35"/>
        <v>-5.835850761249755E-2</v>
      </c>
      <c r="CE15" s="1253"/>
      <c r="CI15" s="1253">
        <f t="shared" si="17"/>
        <v>0.12782561627070751</v>
      </c>
      <c r="CJ15" s="1253">
        <f t="shared" si="18"/>
        <v>5.6581635586472348E-2</v>
      </c>
      <c r="CK15" s="1253">
        <f t="shared" si="25"/>
        <v>6.6204236370441844E-2</v>
      </c>
      <c r="CL15" s="1253">
        <f t="shared" si="30"/>
        <v>2.9307758860779562E-2</v>
      </c>
      <c r="CM15" s="1253">
        <f t="shared" si="36"/>
        <v>5.835850761249755E-2</v>
      </c>
      <c r="CN15" s="1253"/>
      <c r="CR15">
        <f>ABS(CR14)</f>
        <v>2.3025850929940455</v>
      </c>
      <c r="CS15">
        <f>ABS(CS14)</f>
        <v>2.3025850929940459</v>
      </c>
    </row>
    <row r="16" spans="1:97" ht="18.75">
      <c r="A16" s="278">
        <v>2008</v>
      </c>
      <c r="B16" s="510">
        <f>Harvests!B126</f>
        <v>11450</v>
      </c>
      <c r="C16" s="510">
        <f>Harvests!E126</f>
        <v>537</v>
      </c>
      <c r="D16" s="510">
        <f>Harvests!F126</f>
        <v>470</v>
      </c>
      <c r="E16" s="511">
        <f>Harvests!H126</f>
        <v>47</v>
      </c>
      <c r="F16" s="511"/>
      <c r="G16" s="510">
        <f>Harvests!N126</f>
        <v>3618</v>
      </c>
      <c r="H16" s="510">
        <f>SUM(Harvests!J126:M126)</f>
        <v>5240</v>
      </c>
      <c r="I16" s="512">
        <f t="shared" ref="I16:I21" si="44">H16+G16</f>
        <v>8858</v>
      </c>
      <c r="J16" s="512">
        <f>SUM(B16:H16)</f>
        <v>21362</v>
      </c>
      <c r="K16" s="326"/>
      <c r="L16" s="513">
        <f>Escapements!K37</f>
        <v>41343</v>
      </c>
      <c r="M16" s="427"/>
      <c r="N16" s="513">
        <f t="shared" si="3"/>
        <v>32485</v>
      </c>
      <c r="O16" s="292"/>
      <c r="P16" s="510">
        <f t="shared" si="4"/>
        <v>53847</v>
      </c>
      <c r="Q16" s="510">
        <f t="shared" si="5"/>
        <v>12</v>
      </c>
      <c r="R16" s="720">
        <f t="shared" si="6"/>
        <v>2008</v>
      </c>
      <c r="S16" s="512">
        <f t="shared" si="37"/>
        <v>87683</v>
      </c>
      <c r="T16" s="512">
        <f t="shared" si="38"/>
        <v>93661</v>
      </c>
      <c r="U16" s="512">
        <f t="shared" si="39"/>
        <v>84467.333333333328</v>
      </c>
      <c r="V16" s="512">
        <f t="shared" si="40"/>
        <v>83470.25</v>
      </c>
      <c r="W16" s="512">
        <f t="shared" si="41"/>
        <v>85657</v>
      </c>
      <c r="X16" s="512"/>
      <c r="Y16" s="509"/>
      <c r="Z16" s="721">
        <f t="shared" si="31"/>
        <v>33836</v>
      </c>
      <c r="AA16" s="721">
        <f t="shared" si="20"/>
        <v>39814</v>
      </c>
      <c r="AB16" s="721">
        <f t="shared" si="26"/>
        <v>30620.333333333328</v>
      </c>
      <c r="AC16" s="721">
        <f t="shared" si="32"/>
        <v>29623.25</v>
      </c>
      <c r="AD16" s="721">
        <f t="shared" si="42"/>
        <v>31810</v>
      </c>
      <c r="AE16" s="721"/>
      <c r="AF16" s="509"/>
      <c r="AG16" s="1254">
        <f t="shared" si="12"/>
        <v>0.62837298271027164</v>
      </c>
      <c r="AH16" s="722">
        <f t="shared" si="21"/>
        <v>0.73939123813768637</v>
      </c>
      <c r="AI16" s="722">
        <f t="shared" si="22"/>
        <v>0.56865439733566081</v>
      </c>
      <c r="AJ16" s="722">
        <f t="shared" si="27"/>
        <v>0.55013742641187069</v>
      </c>
      <c r="AK16" s="722">
        <f t="shared" si="33"/>
        <v>0.59074785967649079</v>
      </c>
      <c r="AL16" s="722"/>
      <c r="AM16" s="4"/>
      <c r="AN16" s="1254">
        <f t="shared" si="43"/>
        <v>0.62837298271027164</v>
      </c>
      <c r="AO16" s="517">
        <f t="shared" si="43"/>
        <v>0.73939123813768637</v>
      </c>
      <c r="AP16" s="517">
        <f t="shared" si="43"/>
        <v>0.56865439733566081</v>
      </c>
      <c r="AQ16" s="517">
        <f t="shared" si="43"/>
        <v>0.55013742641187069</v>
      </c>
      <c r="AR16" s="517">
        <f t="shared" si="43"/>
        <v>0.59074785967649079</v>
      </c>
      <c r="AS16" s="4"/>
      <c r="AT16" s="1252">
        <f t="shared" si="8"/>
        <v>0.11204357208691439</v>
      </c>
      <c r="AU16" s="4"/>
      <c r="BP16">
        <v>9</v>
      </c>
      <c r="BQ16" s="35">
        <f t="shared" si="9"/>
        <v>33836</v>
      </c>
      <c r="BR16" s="1160">
        <f t="shared" si="10"/>
        <v>2.1213626852454133</v>
      </c>
      <c r="BS16" s="1160">
        <f t="shared" si="14"/>
        <v>2.4387066740714123</v>
      </c>
      <c r="BT16" s="1160">
        <f t="shared" si="23"/>
        <v>1.8104384427504554</v>
      </c>
      <c r="BU16" s="1160">
        <f t="shared" si="28"/>
        <v>1.7883368703591047</v>
      </c>
      <c r="BV16" s="1160">
        <f t="shared" si="34"/>
        <v>1.8951821106565514</v>
      </c>
      <c r="BW16" s="4"/>
      <c r="BX16" s="1252"/>
      <c r="BY16" s="1253"/>
      <c r="BZ16" s="1253">
        <f t="shared" si="15"/>
        <v>0.48758134619872745</v>
      </c>
      <c r="CA16" s="1253">
        <f t="shared" si="16"/>
        <v>0.55353518887079023</v>
      </c>
      <c r="CB16" s="1253">
        <f t="shared" si="24"/>
        <v>0.45021818010349429</v>
      </c>
      <c r="CC16" s="1253">
        <f t="shared" si="29"/>
        <v>0.43834358920210142</v>
      </c>
      <c r="CD16" s="1253">
        <f t="shared" si="35"/>
        <v>0.46420425764910545</v>
      </c>
      <c r="CE16" s="1253"/>
      <c r="CI16" s="1253">
        <f t="shared" si="17"/>
        <v>0.48758134619872745</v>
      </c>
      <c r="CJ16" s="1253">
        <f t="shared" si="18"/>
        <v>0.55353518887079023</v>
      </c>
      <c r="CK16" s="1253">
        <f t="shared" si="25"/>
        <v>0.45021818010349429</v>
      </c>
      <c r="CL16" s="1253">
        <f t="shared" si="30"/>
        <v>0.43834358920210142</v>
      </c>
      <c r="CM16" s="1253">
        <f t="shared" si="36"/>
        <v>0.46420425764910545</v>
      </c>
      <c r="CN16" s="1253"/>
    </row>
    <row r="17" spans="1:93" ht="18.75">
      <c r="A17" s="278">
        <v>2009</v>
      </c>
      <c r="B17" s="510">
        <f>Harvests!B127</f>
        <v>9457</v>
      </c>
      <c r="C17" s="510">
        <f>Harvests!E127</f>
        <v>872</v>
      </c>
      <c r="D17" s="510">
        <f>Harvests!F127</f>
        <v>212</v>
      </c>
      <c r="E17" s="511">
        <f>Harvests!H127</f>
        <v>50</v>
      </c>
      <c r="F17" s="511"/>
      <c r="G17" s="510">
        <f>Harvests!N127</f>
        <v>1355</v>
      </c>
      <c r="H17" s="510">
        <f>SUM(Harvests!J127:M127)</f>
        <v>3259</v>
      </c>
      <c r="I17" s="510">
        <f t="shared" si="44"/>
        <v>4614</v>
      </c>
      <c r="J17" s="510">
        <f t="shared" si="2"/>
        <v>15205</v>
      </c>
      <c r="K17" s="326"/>
      <c r="L17" s="513">
        <f>Escapements!K38</f>
        <v>32401</v>
      </c>
      <c r="M17" s="427"/>
      <c r="N17" s="513">
        <f t="shared" si="3"/>
        <v>27787</v>
      </c>
      <c r="O17" s="292"/>
      <c r="P17" s="510">
        <f t="shared" si="4"/>
        <v>42992</v>
      </c>
      <c r="Q17" s="510">
        <f t="shared" si="5"/>
        <v>14</v>
      </c>
      <c r="R17" s="720">
        <f t="shared" si="6"/>
        <v>2009</v>
      </c>
      <c r="S17" s="512">
        <f t="shared" si="37"/>
        <v>53847</v>
      </c>
      <c r="T17" s="512">
        <f t="shared" si="38"/>
        <v>70765</v>
      </c>
      <c r="U17" s="512">
        <f t="shared" si="39"/>
        <v>80389.666666666672</v>
      </c>
      <c r="V17" s="512">
        <f t="shared" si="40"/>
        <v>76812.25</v>
      </c>
      <c r="W17" s="512">
        <f t="shared" si="41"/>
        <v>77545.600000000006</v>
      </c>
      <c r="X17" s="512">
        <f>AVERAGE(P7:P16)</f>
        <v>80281.3</v>
      </c>
      <c r="Y17" s="509"/>
      <c r="Z17" s="721">
        <f t="shared" si="31"/>
        <v>10855</v>
      </c>
      <c r="AA17" s="721">
        <f t="shared" si="20"/>
        <v>27773</v>
      </c>
      <c r="AB17" s="721">
        <f t="shared" si="26"/>
        <v>37397.666666666672</v>
      </c>
      <c r="AC17" s="721">
        <f t="shared" si="32"/>
        <v>33820.25</v>
      </c>
      <c r="AD17" s="721">
        <f t="shared" si="42"/>
        <v>34553.600000000006</v>
      </c>
      <c r="AE17" s="721">
        <f>X17-P17</f>
        <v>37289.300000000003</v>
      </c>
      <c r="AF17" s="509"/>
      <c r="AG17" s="1254">
        <f t="shared" si="12"/>
        <v>0.25248883513211762</v>
      </c>
      <c r="AH17" s="722">
        <f t="shared" si="21"/>
        <v>0.64600390770375882</v>
      </c>
      <c r="AI17" s="722">
        <f t="shared" si="22"/>
        <v>0.86987501550676105</v>
      </c>
      <c r="AJ17" s="722">
        <f t="shared" si="27"/>
        <v>0.78666379791589136</v>
      </c>
      <c r="AK17" s="722">
        <f t="shared" si="33"/>
        <v>0.80372162262746571</v>
      </c>
      <c r="AL17" s="722">
        <f>AE17/$P17</f>
        <v>0.86735439151470051</v>
      </c>
      <c r="AM17" s="4"/>
      <c r="AN17" s="1254">
        <f t="shared" si="43"/>
        <v>0.25248883513211762</v>
      </c>
      <c r="AO17" s="517">
        <f t="shared" si="43"/>
        <v>0.64600390770375882</v>
      </c>
      <c r="AP17" s="517">
        <f t="shared" si="43"/>
        <v>0.86987501550676105</v>
      </c>
      <c r="AQ17" s="517">
        <f t="shared" si="43"/>
        <v>0.78666379791589136</v>
      </c>
      <c r="AR17" s="517">
        <f t="shared" si="43"/>
        <v>0.80372162262746571</v>
      </c>
      <c r="AS17" s="517">
        <f t="shared" ref="AS17:AS24" si="45">ABS(AL17)</f>
        <v>0.86735439151470051</v>
      </c>
      <c r="AT17" s="1252">
        <f t="shared" si="8"/>
        <v>1.6937377321317635E-3</v>
      </c>
      <c r="AU17" s="4"/>
      <c r="BP17">
        <v>10</v>
      </c>
      <c r="BQ17" s="35">
        <f t="shared" si="9"/>
        <v>10855</v>
      </c>
      <c r="BR17" s="1160">
        <f t="shared" si="10"/>
        <v>0.68055892978895149</v>
      </c>
      <c r="BS17" s="1160">
        <f t="shared" si="14"/>
        <v>1.7011654307275161</v>
      </c>
      <c r="BT17" s="1160">
        <f t="shared" si="23"/>
        <v>2.2111507626468456</v>
      </c>
      <c r="BU17" s="1160">
        <f t="shared" si="28"/>
        <v>2.0417071064033321</v>
      </c>
      <c r="BV17" s="1160">
        <f t="shared" si="34"/>
        <v>2.058640822973349</v>
      </c>
      <c r="BW17" s="1160">
        <f t="shared" ref="BW17:BW24" si="46">ABS(AE17)/BW$29</f>
        <v>2.6962338990403985</v>
      </c>
      <c r="BX17" s="1252"/>
      <c r="BY17" s="1253"/>
      <c r="BZ17" s="1253">
        <f t="shared" si="15"/>
        <v>0.22513263987097865</v>
      </c>
      <c r="CA17" s="1253">
        <f t="shared" si="16"/>
        <v>0.49835047631266688</v>
      </c>
      <c r="CB17" s="1253">
        <f t="shared" si="24"/>
        <v>0.62587159200542786</v>
      </c>
      <c r="CC17" s="1253">
        <f t="shared" si="29"/>
        <v>0.58035008076922112</v>
      </c>
      <c r="CD17" s="1253">
        <f t="shared" si="35"/>
        <v>0.58985209855112219</v>
      </c>
      <c r="CE17" s="1253">
        <f t="shared" ref="CE17:CE24" si="47">LN(X17/$P17)</f>
        <v>0.62452266524725975</v>
      </c>
      <c r="CG17" s="1253"/>
      <c r="CI17" s="1253">
        <f t="shared" si="17"/>
        <v>0.22513263987097865</v>
      </c>
      <c r="CJ17" s="1253">
        <f t="shared" si="18"/>
        <v>0.49835047631266688</v>
      </c>
      <c r="CK17" s="1253">
        <f t="shared" si="25"/>
        <v>0.62587159200542786</v>
      </c>
      <c r="CL17" s="1253">
        <f t="shared" si="30"/>
        <v>0.58035008076922112</v>
      </c>
      <c r="CM17" s="1253">
        <f t="shared" si="36"/>
        <v>0.58985209855112219</v>
      </c>
      <c r="CN17" s="1253">
        <f t="shared" ref="CN17:CN24" si="48">ABS(CE17)</f>
        <v>0.62452266524725975</v>
      </c>
    </row>
    <row r="18" spans="1:93" ht="18.75">
      <c r="A18" s="278">
        <v>2010</v>
      </c>
      <c r="B18" s="510">
        <f>Harvests!B128</f>
        <v>9645</v>
      </c>
      <c r="C18" s="510">
        <f>Harvests!E128</f>
        <v>906</v>
      </c>
      <c r="D18" s="510">
        <f>Harvests!F128</f>
        <v>278</v>
      </c>
      <c r="E18" s="511">
        <f>Harvests!H128</f>
        <v>32</v>
      </c>
      <c r="F18" s="511"/>
      <c r="G18" s="510">
        <f>Harvests!N128</f>
        <v>2409</v>
      </c>
      <c r="H18" s="510">
        <f>SUM(Harvests!J128:M128)</f>
        <v>3143</v>
      </c>
      <c r="I18" s="510">
        <f t="shared" si="44"/>
        <v>5552</v>
      </c>
      <c r="J18" s="510">
        <f t="shared" ref="J18:J24" si="49">SUM(B18:H18)</f>
        <v>16413</v>
      </c>
      <c r="K18" s="326"/>
      <c r="L18" s="513">
        <f>Escapements!K39</f>
        <v>22323</v>
      </c>
      <c r="M18" s="427"/>
      <c r="N18" s="513">
        <f t="shared" ref="N18:N23" si="50">L18-I18</f>
        <v>16771</v>
      </c>
      <c r="O18" s="292"/>
      <c r="P18" s="510">
        <f t="shared" si="4"/>
        <v>33184</v>
      </c>
      <c r="Q18" s="510">
        <f t="shared" si="5"/>
        <v>17</v>
      </c>
      <c r="R18" s="720">
        <f t="shared" si="6"/>
        <v>2010</v>
      </c>
      <c r="S18" s="512">
        <f t="shared" si="37"/>
        <v>42992</v>
      </c>
      <c r="T18" s="512">
        <f t="shared" si="38"/>
        <v>48419.5</v>
      </c>
      <c r="U18" s="512">
        <f t="shared" si="39"/>
        <v>61507.333333333336</v>
      </c>
      <c r="V18" s="512">
        <f t="shared" si="40"/>
        <v>71040.25</v>
      </c>
      <c r="W18" s="512">
        <f t="shared" si="41"/>
        <v>70048.2</v>
      </c>
      <c r="X18" s="512">
        <f t="shared" ref="X18:X24" si="51">AVERAGE(P8:P17)</f>
        <v>74989.600000000006</v>
      </c>
      <c r="Y18" s="509"/>
      <c r="Z18" s="721">
        <f t="shared" si="31"/>
        <v>9808</v>
      </c>
      <c r="AA18" s="721">
        <f t="shared" si="20"/>
        <v>15235.5</v>
      </c>
      <c r="AB18" s="721">
        <f t="shared" si="26"/>
        <v>28323.333333333336</v>
      </c>
      <c r="AC18" s="721">
        <f t="shared" si="32"/>
        <v>37856.25</v>
      </c>
      <c r="AD18" s="721">
        <f t="shared" si="42"/>
        <v>36864.199999999997</v>
      </c>
      <c r="AE18" s="721">
        <f>X18-P18</f>
        <v>41805.600000000006</v>
      </c>
      <c r="AF18" s="509"/>
      <c r="AG18" s="1254">
        <f t="shared" si="12"/>
        <v>0.29556412729026038</v>
      </c>
      <c r="AH18" s="722">
        <f t="shared" si="21"/>
        <v>0.45912186595949855</v>
      </c>
      <c r="AI18" s="722">
        <f t="shared" si="22"/>
        <v>0.8535237865638059</v>
      </c>
      <c r="AJ18" s="722">
        <f t="shared" si="27"/>
        <v>1.1407982762777242</v>
      </c>
      <c r="AK18" s="722">
        <f t="shared" si="33"/>
        <v>1.1109028447444551</v>
      </c>
      <c r="AL18" s="722">
        <f t="shared" ref="AL18:AL23" si="52">AE18/$P18</f>
        <v>1.2598119575699134</v>
      </c>
      <c r="AM18" s="4"/>
      <c r="AN18" s="1254">
        <f t="shared" ref="AN18:AR23" si="53">ABS(AG18)</f>
        <v>0.29556412729026038</v>
      </c>
      <c r="AO18" s="517">
        <f t="shared" si="53"/>
        <v>0.45912186595949855</v>
      </c>
      <c r="AP18" s="517">
        <f t="shared" si="53"/>
        <v>0.8535237865638059</v>
      </c>
      <c r="AQ18" s="517">
        <f t="shared" si="53"/>
        <v>1.1407982762777242</v>
      </c>
      <c r="AR18" s="517">
        <f t="shared" si="53"/>
        <v>1.1109028447444551</v>
      </c>
      <c r="AS18" s="517">
        <f t="shared" si="45"/>
        <v>1.2598119575699134</v>
      </c>
      <c r="AT18" s="1252">
        <f t="shared" si="8"/>
        <v>3.6873489999924179E-6</v>
      </c>
      <c r="AU18" s="4"/>
      <c r="BP18">
        <v>11</v>
      </c>
      <c r="BQ18" s="35">
        <f t="shared" si="9"/>
        <v>9808</v>
      </c>
      <c r="BR18" s="1160">
        <f t="shared" si="10"/>
        <v>0.61491681099677897</v>
      </c>
      <c r="BS18" s="1160">
        <f t="shared" si="14"/>
        <v>0.93321232563457579</v>
      </c>
      <c r="BT18" s="1160">
        <f t="shared" si="23"/>
        <v>1.6746274749948971</v>
      </c>
      <c r="BU18" s="1160">
        <f t="shared" si="28"/>
        <v>2.2853578742552507</v>
      </c>
      <c r="BV18" s="1160">
        <f t="shared" si="34"/>
        <v>2.1963021805616232</v>
      </c>
      <c r="BW18" s="1160">
        <f t="shared" si="46"/>
        <v>3.0227887326853358</v>
      </c>
      <c r="BX18" s="1252"/>
      <c r="BY18" s="1253"/>
      <c r="BZ18" s="1253">
        <f t="shared" si="15"/>
        <v>0.25894621982601851</v>
      </c>
      <c r="CA18" s="1253">
        <f t="shared" si="16"/>
        <v>0.37783479309803725</v>
      </c>
      <c r="CB18" s="1253">
        <f t="shared" si="24"/>
        <v>0.61708857684910146</v>
      </c>
      <c r="CC18" s="1253">
        <f t="shared" si="29"/>
        <v>0.76117878577474973</v>
      </c>
      <c r="CD18" s="1253">
        <f t="shared" si="35"/>
        <v>0.74711574447427553</v>
      </c>
      <c r="CE18" s="1253">
        <f t="shared" si="47"/>
        <v>0.81528160520741599</v>
      </c>
      <c r="CG18" s="1253"/>
      <c r="CI18" s="1253">
        <f t="shared" si="17"/>
        <v>0.25894621982601851</v>
      </c>
      <c r="CJ18" s="1253">
        <f t="shared" si="18"/>
        <v>0.37783479309803725</v>
      </c>
      <c r="CK18" s="1253">
        <f t="shared" si="25"/>
        <v>0.61708857684910146</v>
      </c>
      <c r="CL18" s="1253">
        <f t="shared" si="30"/>
        <v>0.76117878577474973</v>
      </c>
      <c r="CM18" s="1253">
        <f t="shared" si="36"/>
        <v>0.74711574447427553</v>
      </c>
      <c r="CN18" s="1253">
        <f t="shared" si="48"/>
        <v>0.81528160520741599</v>
      </c>
    </row>
    <row r="19" spans="1:93" ht="18.75">
      <c r="A19" s="278">
        <v>2011</v>
      </c>
      <c r="B19" s="510">
        <f>Harvests!B129</f>
        <v>18500</v>
      </c>
      <c r="C19" s="510">
        <f>Harvests!E129</f>
        <v>1282</v>
      </c>
      <c r="D19" s="510">
        <f>Harvests!F129</f>
        <v>212</v>
      </c>
      <c r="E19" s="511">
        <f>Harvests!H129</f>
        <v>6</v>
      </c>
      <c r="F19" s="511"/>
      <c r="G19" s="510">
        <f>Harvests!N129</f>
        <v>1753</v>
      </c>
      <c r="H19" s="510">
        <f>SUM(Harvests!J129:M129)</f>
        <v>4142</v>
      </c>
      <c r="I19" s="510">
        <f t="shared" si="44"/>
        <v>5895</v>
      </c>
      <c r="J19" s="510">
        <f t="shared" si="49"/>
        <v>25895</v>
      </c>
      <c r="K19" s="326"/>
      <c r="L19" s="513">
        <f>Escapements!K40</f>
        <v>33889</v>
      </c>
      <c r="M19" s="427"/>
      <c r="N19" s="513">
        <f t="shared" si="50"/>
        <v>27994</v>
      </c>
      <c r="O19" s="292"/>
      <c r="P19" s="510">
        <f t="shared" si="4"/>
        <v>53889</v>
      </c>
      <c r="Q19" s="510">
        <f t="shared" si="5"/>
        <v>11</v>
      </c>
      <c r="R19" s="720">
        <f t="shared" ref="R19:R25" si="54">A19</f>
        <v>2011</v>
      </c>
      <c r="S19" s="512">
        <f t="shared" si="37"/>
        <v>33184</v>
      </c>
      <c r="T19" s="512">
        <f t="shared" si="38"/>
        <v>38088</v>
      </c>
      <c r="U19" s="512">
        <f t="shared" si="39"/>
        <v>43341</v>
      </c>
      <c r="V19" s="512">
        <f t="shared" si="40"/>
        <v>54426.5</v>
      </c>
      <c r="W19" s="512">
        <f t="shared" si="41"/>
        <v>63469</v>
      </c>
      <c r="X19" s="512">
        <f t="shared" si="51"/>
        <v>71233.100000000006</v>
      </c>
      <c r="Y19" s="509"/>
      <c r="Z19" s="721">
        <f t="shared" si="31"/>
        <v>-20705</v>
      </c>
      <c r="AA19" s="721">
        <f t="shared" si="20"/>
        <v>-15801</v>
      </c>
      <c r="AB19" s="721">
        <f t="shared" si="26"/>
        <v>-10548</v>
      </c>
      <c r="AC19" s="721">
        <f t="shared" si="32"/>
        <v>537.5</v>
      </c>
      <c r="AD19" s="721">
        <f t="shared" si="42"/>
        <v>9580</v>
      </c>
      <c r="AE19" s="721">
        <f t="shared" ref="AE19:AE23" si="55">X19-P19</f>
        <v>17344.100000000006</v>
      </c>
      <c r="AF19" s="509"/>
      <c r="AG19" s="1254">
        <f t="shared" si="12"/>
        <v>-0.38421570264803578</v>
      </c>
      <c r="AH19" s="722">
        <f t="shared" si="21"/>
        <v>-0.29321382842509602</v>
      </c>
      <c r="AI19" s="722">
        <f t="shared" si="22"/>
        <v>-0.19573567889550744</v>
      </c>
      <c r="AJ19" s="722">
        <f t="shared" si="27"/>
        <v>9.9742062387500226E-3</v>
      </c>
      <c r="AK19" s="722">
        <f t="shared" si="33"/>
        <v>0.1777728293343725</v>
      </c>
      <c r="AL19" s="722">
        <f t="shared" si="52"/>
        <v>0.32184861474512433</v>
      </c>
      <c r="AM19" s="4"/>
      <c r="AN19" s="1254">
        <f t="shared" si="53"/>
        <v>0.38421570264803578</v>
      </c>
      <c r="AO19" s="517">
        <f t="shared" si="53"/>
        <v>0.29321382842509602</v>
      </c>
      <c r="AP19" s="517">
        <f t="shared" si="53"/>
        <v>0.19573567889550744</v>
      </c>
      <c r="AQ19" s="517">
        <f t="shared" si="53"/>
        <v>9.9742062387500226E-3</v>
      </c>
      <c r="AR19" s="517">
        <f t="shared" si="53"/>
        <v>0.1777728293343725</v>
      </c>
      <c r="AS19" s="517">
        <f t="shared" si="45"/>
        <v>0.32184861474512433</v>
      </c>
      <c r="AT19" s="1252">
        <f t="shared" si="8"/>
        <v>8.2032550268571827E-3</v>
      </c>
      <c r="AU19" s="4"/>
      <c r="BP19">
        <v>12</v>
      </c>
      <c r="BQ19" s="35">
        <f t="shared" si="9"/>
        <v>20705</v>
      </c>
      <c r="BR19" s="1160">
        <f t="shared" si="10"/>
        <v>1.298108948989428</v>
      </c>
      <c r="BS19" s="1160">
        <f t="shared" si="14"/>
        <v>0.96785060925810984</v>
      </c>
      <c r="BT19" s="1160">
        <f t="shared" si="23"/>
        <v>0.62365436999809953</v>
      </c>
      <c r="BU19" s="1160">
        <f t="shared" si="28"/>
        <v>3.2448535114074882E-2</v>
      </c>
      <c r="BV19" s="1160">
        <f t="shared" si="34"/>
        <v>0.57075902609524565</v>
      </c>
      <c r="BW19" s="1160">
        <f t="shared" si="46"/>
        <v>1.2540795983927451</v>
      </c>
      <c r="BX19" s="1252"/>
      <c r="BY19" s="1253"/>
      <c r="BZ19" s="1253">
        <f t="shared" si="15"/>
        <v>-0.48485854340769141</v>
      </c>
      <c r="CA19" s="1253">
        <f t="shared" si="16"/>
        <v>-0.34702710356259064</v>
      </c>
      <c r="CB19" s="1253">
        <f t="shared" si="24"/>
        <v>-0.21782730623945434</v>
      </c>
      <c r="CC19" s="1253">
        <f t="shared" si="29"/>
        <v>9.9247921495829259E-3</v>
      </c>
      <c r="CD19" s="1253">
        <f t="shared" si="35"/>
        <v>0.16362522226442411</v>
      </c>
      <c r="CE19" s="1253">
        <f t="shared" si="47"/>
        <v>0.27903122257679103</v>
      </c>
      <c r="CG19" s="1253"/>
      <c r="CI19" s="1253">
        <f t="shared" si="17"/>
        <v>0.48485854340769141</v>
      </c>
      <c r="CJ19" s="1253">
        <f t="shared" si="18"/>
        <v>0.34702710356259064</v>
      </c>
      <c r="CK19" s="1253">
        <f t="shared" si="25"/>
        <v>0.21782730623945434</v>
      </c>
      <c r="CL19" s="1253">
        <f t="shared" si="30"/>
        <v>9.9247921495829259E-3</v>
      </c>
      <c r="CM19" s="1253">
        <f t="shared" si="36"/>
        <v>0.16362522226442411</v>
      </c>
      <c r="CN19" s="1253">
        <f t="shared" si="48"/>
        <v>0.27903122257679103</v>
      </c>
    </row>
    <row r="20" spans="1:93" ht="18.75">
      <c r="A20" s="278">
        <v>2012</v>
      </c>
      <c r="B20" s="510">
        <f>Harvests!B130</f>
        <v>11764</v>
      </c>
      <c r="C20" s="510">
        <f>Harvests!E130</f>
        <v>853</v>
      </c>
      <c r="D20" s="510">
        <f>Harvests!F130</f>
        <v>237</v>
      </c>
      <c r="E20" s="511">
        <f>Harvests!H130</f>
        <v>6</v>
      </c>
      <c r="F20" s="511"/>
      <c r="G20" s="510">
        <f>Harvests!N130</f>
        <v>535</v>
      </c>
      <c r="H20" s="510">
        <f>SUM(Harvests!J130:M130)</f>
        <v>3082</v>
      </c>
      <c r="I20" s="510">
        <f t="shared" si="44"/>
        <v>3617</v>
      </c>
      <c r="J20" s="510">
        <f t="shared" si="49"/>
        <v>16477</v>
      </c>
      <c r="K20" s="326"/>
      <c r="L20" s="513">
        <f>Escapements!K41</f>
        <v>33582</v>
      </c>
      <c r="M20" s="427"/>
      <c r="N20" s="513">
        <f t="shared" si="50"/>
        <v>29965</v>
      </c>
      <c r="O20" s="292"/>
      <c r="P20" s="510">
        <f>L20+SUM(B20:F20)</f>
        <v>46442</v>
      </c>
      <c r="Q20" s="510">
        <f t="shared" si="5"/>
        <v>13</v>
      </c>
      <c r="R20" s="720">
        <f t="shared" si="54"/>
        <v>2012</v>
      </c>
      <c r="S20" s="512">
        <f t="shared" si="37"/>
        <v>53889</v>
      </c>
      <c r="T20" s="512">
        <f t="shared" si="38"/>
        <v>43536.5</v>
      </c>
      <c r="U20" s="512">
        <f t="shared" si="39"/>
        <v>43355</v>
      </c>
      <c r="V20" s="512">
        <f t="shared" si="40"/>
        <v>45978</v>
      </c>
      <c r="W20" s="512">
        <f t="shared" si="41"/>
        <v>54319</v>
      </c>
      <c r="X20" s="512">
        <f t="shared" si="51"/>
        <v>68515.7</v>
      </c>
      <c r="Y20" s="509"/>
      <c r="Z20" s="721">
        <f t="shared" si="31"/>
        <v>7447</v>
      </c>
      <c r="AA20" s="721">
        <f t="shared" si="20"/>
        <v>-2905.5</v>
      </c>
      <c r="AB20" s="721">
        <f t="shared" si="26"/>
        <v>-3087</v>
      </c>
      <c r="AC20" s="721">
        <f t="shared" si="32"/>
        <v>-464</v>
      </c>
      <c r="AD20" s="721">
        <f t="shared" si="42"/>
        <v>7877</v>
      </c>
      <c r="AE20" s="721">
        <f t="shared" si="55"/>
        <v>22073.699999999997</v>
      </c>
      <c r="AF20" s="509"/>
      <c r="AG20" s="1254">
        <f t="shared" si="12"/>
        <v>0.16035054476551397</v>
      </c>
      <c r="AH20" s="722">
        <f t="shared" si="21"/>
        <v>-6.2561905172042548E-2</v>
      </c>
      <c r="AI20" s="722">
        <f t="shared" si="22"/>
        <v>-6.6470005598380774E-2</v>
      </c>
      <c r="AJ20" s="722">
        <f t="shared" si="27"/>
        <v>-9.9909564618233491E-3</v>
      </c>
      <c r="AK20" s="722">
        <f t="shared" si="33"/>
        <v>0.16960940527970372</v>
      </c>
      <c r="AL20" s="722">
        <f t="shared" si="52"/>
        <v>0.47529606821411646</v>
      </c>
      <c r="AM20" s="4"/>
      <c r="AN20" s="1254">
        <f t="shared" si="53"/>
        <v>0.16035054476551397</v>
      </c>
      <c r="AO20" s="517">
        <f t="shared" si="53"/>
        <v>6.2561905172042548E-2</v>
      </c>
      <c r="AP20" s="517">
        <f t="shared" si="53"/>
        <v>6.6470005598380774E-2</v>
      </c>
      <c r="AQ20" s="517">
        <f t="shared" si="53"/>
        <v>9.9909564618233491E-3</v>
      </c>
      <c r="AR20" s="517">
        <f t="shared" si="53"/>
        <v>0.16960940527970372</v>
      </c>
      <c r="AS20" s="517">
        <f t="shared" si="45"/>
        <v>0.47529606821411646</v>
      </c>
      <c r="AT20" s="1252">
        <f t="shared" si="8"/>
        <v>1.7767113263452438E-2</v>
      </c>
      <c r="AU20" s="4"/>
      <c r="BP20">
        <v>13</v>
      </c>
      <c r="BQ20" s="35">
        <f t="shared" si="9"/>
        <v>7447</v>
      </c>
      <c r="BR20" s="1160">
        <f t="shared" si="10"/>
        <v>0.46689289268892875</v>
      </c>
      <c r="BS20" s="1160">
        <f t="shared" si="14"/>
        <v>0.17796911241057137</v>
      </c>
      <c r="BT20" s="1160">
        <f t="shared" si="23"/>
        <v>0.18252000760183287</v>
      </c>
      <c r="BU20" s="1160">
        <f t="shared" si="28"/>
        <v>2.8011386591499064E-2</v>
      </c>
      <c r="BV20" s="1160">
        <f t="shared" si="34"/>
        <v>0.46929737458791754</v>
      </c>
      <c r="BW20" s="1160">
        <f t="shared" si="46"/>
        <v>1.5960572662197476</v>
      </c>
      <c r="BX20" s="1252"/>
      <c r="BY20" s="1253"/>
      <c r="BZ20" s="1253">
        <f t="shared" si="15"/>
        <v>0.14872215323030893</v>
      </c>
      <c r="CA20" s="1253">
        <f t="shared" si="16"/>
        <v>-6.4604555501303798E-2</v>
      </c>
      <c r="CB20" s="1253">
        <f t="shared" si="24"/>
        <v>-6.8782185395375645E-2</v>
      </c>
      <c r="CC20" s="1253">
        <f t="shared" si="29"/>
        <v>-1.004120100817715E-2</v>
      </c>
      <c r="CD20" s="1253">
        <f t="shared" si="35"/>
        <v>0.15666985143085979</v>
      </c>
      <c r="CE20" s="1253">
        <f t="shared" si="47"/>
        <v>0.38885869386233402</v>
      </c>
      <c r="CG20" s="1253"/>
      <c r="CI20" s="1253">
        <f t="shared" si="17"/>
        <v>0.14872215323030893</v>
      </c>
      <c r="CJ20" s="1253">
        <f t="shared" si="18"/>
        <v>6.4604555501303798E-2</v>
      </c>
      <c r="CK20" s="1253">
        <f t="shared" si="25"/>
        <v>6.8782185395375645E-2</v>
      </c>
      <c r="CL20" s="1253">
        <f t="shared" si="30"/>
        <v>1.004120100817715E-2</v>
      </c>
      <c r="CM20" s="1253">
        <f t="shared" si="36"/>
        <v>0.15666985143085979</v>
      </c>
      <c r="CN20" s="1253">
        <f t="shared" si="48"/>
        <v>0.38885869386233402</v>
      </c>
    </row>
    <row r="21" spans="1:93" ht="18.75">
      <c r="A21" s="278">
        <v>2013</v>
      </c>
      <c r="B21" s="510">
        <f>Harvests!B131</f>
        <v>8826</v>
      </c>
      <c r="C21" s="510">
        <f>Harvests!E131</f>
        <v>564</v>
      </c>
      <c r="D21" s="510">
        <f>Harvests!F131</f>
        <v>860</v>
      </c>
      <c r="E21" s="511">
        <f>Harvests!H131</f>
        <v>55</v>
      </c>
      <c r="F21" s="511"/>
      <c r="G21" s="510">
        <f>Harvests!N131</f>
        <v>285</v>
      </c>
      <c r="H21" s="510">
        <f>SUM(Harvests!J131:M131)</f>
        <v>3284</v>
      </c>
      <c r="I21" s="510">
        <f t="shared" si="44"/>
        <v>3569</v>
      </c>
      <c r="J21" s="510">
        <f t="shared" si="49"/>
        <v>13874</v>
      </c>
      <c r="K21" s="326"/>
      <c r="L21" s="513">
        <f>Escapements!K42</f>
        <v>32581</v>
      </c>
      <c r="M21" s="427"/>
      <c r="N21" s="513">
        <f t="shared" si="50"/>
        <v>29012</v>
      </c>
      <c r="O21" s="292"/>
      <c r="P21" s="510">
        <f t="shared" si="4"/>
        <v>42886</v>
      </c>
      <c r="Q21" s="510">
        <f t="shared" si="5"/>
        <v>15</v>
      </c>
      <c r="R21" s="720">
        <f t="shared" si="54"/>
        <v>2013</v>
      </c>
      <c r="S21" s="512">
        <f t="shared" si="37"/>
        <v>46442</v>
      </c>
      <c r="T21" s="512">
        <f t="shared" si="38"/>
        <v>50165.5</v>
      </c>
      <c r="U21" s="512">
        <f t="shared" si="39"/>
        <v>44505</v>
      </c>
      <c r="V21" s="512">
        <f t="shared" si="40"/>
        <v>44126.75</v>
      </c>
      <c r="W21" s="512">
        <f t="shared" si="41"/>
        <v>46070.8</v>
      </c>
      <c r="X21" s="512">
        <f t="shared" si="51"/>
        <v>65863.899999999994</v>
      </c>
      <c r="Y21" s="509"/>
      <c r="Z21" s="721">
        <f>S21-P21</f>
        <v>3556</v>
      </c>
      <c r="AA21" s="721">
        <f t="shared" si="20"/>
        <v>7279.5</v>
      </c>
      <c r="AB21" s="721">
        <f t="shared" si="26"/>
        <v>1619</v>
      </c>
      <c r="AC21" s="721">
        <f t="shared" si="32"/>
        <v>1240.75</v>
      </c>
      <c r="AD21" s="721">
        <f t="shared" si="42"/>
        <v>3184.8000000000029</v>
      </c>
      <c r="AE21" s="721">
        <f t="shared" si="55"/>
        <v>22977.899999999994</v>
      </c>
      <c r="AF21" s="509"/>
      <c r="AG21" s="1254">
        <f t="shared" si="12"/>
        <v>8.2917502215175118E-2</v>
      </c>
      <c r="AH21" s="722">
        <f t="shared" si="21"/>
        <v>0.16974070792333162</v>
      </c>
      <c r="AI21" s="722">
        <f t="shared" si="22"/>
        <v>3.7751247493354477E-2</v>
      </c>
      <c r="AJ21" s="722">
        <f t="shared" si="27"/>
        <v>2.8931352889054702E-2</v>
      </c>
      <c r="AK21" s="722">
        <f t="shared" si="33"/>
        <v>7.426199692207254E-2</v>
      </c>
      <c r="AL21" s="722">
        <f>AE21/$P21</f>
        <v>0.53579023457538577</v>
      </c>
      <c r="AM21" s="4"/>
      <c r="AN21" s="1254">
        <f t="shared" si="53"/>
        <v>8.2917502215175118E-2</v>
      </c>
      <c r="AO21" s="517">
        <f t="shared" si="53"/>
        <v>0.16974070792333162</v>
      </c>
      <c r="AP21" s="517">
        <f t="shared" si="53"/>
        <v>3.7751247493354477E-2</v>
      </c>
      <c r="AQ21" s="517">
        <f t="shared" si="53"/>
        <v>2.8931352889054702E-2</v>
      </c>
      <c r="AR21" s="517">
        <f t="shared" si="53"/>
        <v>7.426199692207254E-2</v>
      </c>
      <c r="AS21" s="517">
        <f t="shared" si="45"/>
        <v>0.53579023457538577</v>
      </c>
      <c r="AT21" s="1252">
        <f t="shared" si="8"/>
        <v>4.4405606366275295E-2</v>
      </c>
      <c r="AU21" s="4"/>
      <c r="BP21">
        <v>14</v>
      </c>
      <c r="BQ21" s="35">
        <f t="shared" si="9"/>
        <v>3556</v>
      </c>
      <c r="BR21" s="1160">
        <f t="shared" si="10"/>
        <v>0.22294496124638521</v>
      </c>
      <c r="BS21" s="1160">
        <f t="shared" si="14"/>
        <v>0.44588750775864883</v>
      </c>
      <c r="BT21" s="1160">
        <f t="shared" si="23"/>
        <v>9.5723969001414777E-2</v>
      </c>
      <c r="BU21" s="1160">
        <f t="shared" si="28"/>
        <v>7.4903292916815647E-2</v>
      </c>
      <c r="BV21" s="1160">
        <f t="shared" si="34"/>
        <v>0.18974460817412733</v>
      </c>
      <c r="BW21" s="1160">
        <f t="shared" si="46"/>
        <v>1.6614362004317687</v>
      </c>
      <c r="BX21" s="1252"/>
      <c r="BY21" s="1253"/>
      <c r="BZ21" s="1253">
        <f t="shared" si="15"/>
        <v>7.9658789877460459E-2</v>
      </c>
      <c r="CA21" s="1253">
        <f t="shared" si="16"/>
        <v>0.15678210708940754</v>
      </c>
      <c r="CB21" s="1253">
        <f t="shared" si="24"/>
        <v>3.7056110063855945E-2</v>
      </c>
      <c r="CC21" s="1253">
        <f t="shared" si="29"/>
        <v>2.8520742176639829E-2</v>
      </c>
      <c r="CD21" s="1253">
        <f t="shared" si="35"/>
        <v>7.1633911329550132E-2</v>
      </c>
      <c r="CE21" s="1253">
        <f t="shared" si="47"/>
        <v>0.42904505936784093</v>
      </c>
      <c r="CG21" s="1253"/>
      <c r="CI21" s="1253">
        <f t="shared" si="17"/>
        <v>7.9658789877460459E-2</v>
      </c>
      <c r="CJ21" s="1253">
        <f t="shared" si="18"/>
        <v>0.15678210708940754</v>
      </c>
      <c r="CK21" s="1253">
        <f t="shared" si="25"/>
        <v>3.7056110063855945E-2</v>
      </c>
      <c r="CL21" s="1253">
        <f t="shared" si="30"/>
        <v>2.8520742176639829E-2</v>
      </c>
      <c r="CM21" s="1253">
        <f t="shared" si="36"/>
        <v>7.1633911329550132E-2</v>
      </c>
      <c r="CN21" s="1253">
        <f t="shared" si="48"/>
        <v>0.42904505936784093</v>
      </c>
    </row>
    <row r="22" spans="1:93" ht="18.75">
      <c r="A22" s="278">
        <v>2014</v>
      </c>
      <c r="B22" s="510">
        <f>Harvests!B132</f>
        <v>10207</v>
      </c>
      <c r="C22" s="510">
        <f>Harvests!E132</f>
        <v>768</v>
      </c>
      <c r="D22" s="510">
        <f>Harvests!F132</f>
        <v>153</v>
      </c>
      <c r="E22" s="511">
        <f>Harvests!H132</f>
        <v>36</v>
      </c>
      <c r="F22" s="511"/>
      <c r="G22" s="510">
        <f>Harvests!N132</f>
        <v>931</v>
      </c>
      <c r="H22" s="510">
        <f>SUM(Harvests!J132:M132)</f>
        <v>2518</v>
      </c>
      <c r="I22" s="510">
        <f>H22+G22</f>
        <v>3449</v>
      </c>
      <c r="J22" s="510">
        <f t="shared" si="49"/>
        <v>14613</v>
      </c>
      <c r="K22" s="326"/>
      <c r="L22" s="513">
        <f>Escapements!K43</f>
        <v>24158</v>
      </c>
      <c r="M22" s="427"/>
      <c r="N22" s="513">
        <f t="shared" si="50"/>
        <v>20709</v>
      </c>
      <c r="O22" s="292"/>
      <c r="P22" s="510">
        <f>L22+SUM(B22:F22)</f>
        <v>35322</v>
      </c>
      <c r="Q22" s="510">
        <f t="shared" si="5"/>
        <v>16</v>
      </c>
      <c r="R22" s="720">
        <f t="shared" si="54"/>
        <v>2014</v>
      </c>
      <c r="S22" s="512">
        <f t="shared" si="37"/>
        <v>42886</v>
      </c>
      <c r="T22" s="512">
        <f t="shared" si="38"/>
        <v>44664</v>
      </c>
      <c r="U22" s="512">
        <f t="shared" si="39"/>
        <v>47739</v>
      </c>
      <c r="V22" s="512">
        <f t="shared" si="40"/>
        <v>44100.25</v>
      </c>
      <c r="W22" s="512">
        <f t="shared" si="41"/>
        <v>43878.6</v>
      </c>
      <c r="X22" s="512">
        <f t="shared" si="51"/>
        <v>60712.1</v>
      </c>
      <c r="Y22" s="509"/>
      <c r="Z22" s="721">
        <f>S22-P22</f>
        <v>7564</v>
      </c>
      <c r="AA22" s="721">
        <f>T22-P22</f>
        <v>9342</v>
      </c>
      <c r="AB22" s="721">
        <f>U22-P22</f>
        <v>12417</v>
      </c>
      <c r="AC22" s="721">
        <f>V22-P22</f>
        <v>8778.25</v>
      </c>
      <c r="AD22" s="721">
        <f>W22-P22</f>
        <v>8556.5999999999985</v>
      </c>
      <c r="AE22" s="721">
        <f t="shared" si="55"/>
        <v>25390.1</v>
      </c>
      <c r="AF22" s="509"/>
      <c r="AG22" s="1254">
        <f t="shared" si="12"/>
        <v>0.21414415944736992</v>
      </c>
      <c r="AH22" s="722">
        <f t="shared" si="21"/>
        <v>0.26448105996262955</v>
      </c>
      <c r="AI22" s="722">
        <f t="shared" si="22"/>
        <v>0.35153728554441993</v>
      </c>
      <c r="AJ22" s="722">
        <f t="shared" si="27"/>
        <v>0.24852075193930129</v>
      </c>
      <c r="AK22" s="722">
        <f t="shared" si="33"/>
        <v>0.24224562595549512</v>
      </c>
      <c r="AL22" s="722">
        <f t="shared" si="52"/>
        <v>0.7188183002095011</v>
      </c>
      <c r="AM22" s="4"/>
      <c r="AN22" s="1254">
        <f t="shared" si="53"/>
        <v>0.21414415944736992</v>
      </c>
      <c r="AO22" s="517">
        <f t="shared" si="53"/>
        <v>0.26448105996262955</v>
      </c>
      <c r="AP22" s="517">
        <f t="shared" si="53"/>
        <v>0.35153728554441993</v>
      </c>
      <c r="AQ22" s="517">
        <f t="shared" si="53"/>
        <v>0.24852075193930129</v>
      </c>
      <c r="AR22" s="517">
        <f t="shared" si="53"/>
        <v>0.24224562595549512</v>
      </c>
      <c r="AS22" s="517">
        <f t="shared" si="45"/>
        <v>0.7188183002095011</v>
      </c>
      <c r="AT22" s="1252">
        <f t="shared" si="8"/>
        <v>6.3202055950952419E-3</v>
      </c>
      <c r="AU22" s="4"/>
      <c r="BP22">
        <v>15</v>
      </c>
      <c r="BQ22" s="35">
        <f t="shared" si="9"/>
        <v>7564</v>
      </c>
      <c r="BR22" s="1160">
        <f t="shared" si="10"/>
        <v>0.47422825839922883</v>
      </c>
      <c r="BS22" s="1160">
        <f t="shared" si="14"/>
        <v>0.57222077031132601</v>
      </c>
      <c r="BT22" s="1160">
        <f t="shared" si="23"/>
        <v>0.73415968072301874</v>
      </c>
      <c r="BU22" s="1160">
        <f t="shared" si="28"/>
        <v>0.52993740160954017</v>
      </c>
      <c r="BV22" s="1160">
        <f t="shared" si="34"/>
        <v>0.50978671009254461</v>
      </c>
      <c r="BW22" s="1160">
        <f t="shared" si="46"/>
        <v>1.8358523308301742</v>
      </c>
      <c r="BX22" s="1252"/>
      <c r="BY22" s="1253"/>
      <c r="BZ22" s="1253">
        <f t="shared" si="15"/>
        <v>0.19403943307285962</v>
      </c>
      <c r="CA22" s="1253">
        <f t="shared" si="16"/>
        <v>0.23466180873387998</v>
      </c>
      <c r="CB22" s="1253">
        <f t="shared" si="24"/>
        <v>0.30124267462197718</v>
      </c>
      <c r="CC22" s="1253">
        <f t="shared" si="29"/>
        <v>0.22195945209679308</v>
      </c>
      <c r="CD22" s="1253">
        <f t="shared" si="35"/>
        <v>0.21692073042787943</v>
      </c>
      <c r="CE22" s="1253">
        <f t="shared" si="47"/>
        <v>0.54163701994690872</v>
      </c>
      <c r="CG22" s="1253"/>
      <c r="CI22" s="1253">
        <f t="shared" si="17"/>
        <v>0.19403943307285962</v>
      </c>
      <c r="CJ22" s="1253">
        <f t="shared" si="18"/>
        <v>0.23466180873387998</v>
      </c>
      <c r="CK22" s="1253">
        <f t="shared" si="25"/>
        <v>0.30124267462197718</v>
      </c>
      <c r="CL22" s="1253">
        <f t="shared" si="30"/>
        <v>0.22195945209679308</v>
      </c>
      <c r="CM22" s="1253">
        <f t="shared" si="36"/>
        <v>0.21692073042787943</v>
      </c>
      <c r="CN22" s="1253">
        <f t="shared" si="48"/>
        <v>0.54163701994690872</v>
      </c>
    </row>
    <row r="23" spans="1:93" ht="18.75">
      <c r="A23" s="278">
        <v>2015</v>
      </c>
      <c r="B23" s="510">
        <f>Harvests!B133</f>
        <v>22506</v>
      </c>
      <c r="C23" s="510">
        <f>Harvests!E133</f>
        <v>1145</v>
      </c>
      <c r="D23" s="510">
        <f>Harvests!F133</f>
        <v>167</v>
      </c>
      <c r="E23" s="511">
        <f>Harvests!H133</f>
        <v>50</v>
      </c>
      <c r="F23" s="511"/>
      <c r="G23" s="510">
        <f>Harvests!N133</f>
        <v>1343</v>
      </c>
      <c r="H23" s="510">
        <f>SUM(Harvests!J133:M133)</f>
        <v>4199</v>
      </c>
      <c r="I23" s="510">
        <f>H23+G23</f>
        <v>5542</v>
      </c>
      <c r="J23" s="510">
        <f t="shared" si="49"/>
        <v>29410</v>
      </c>
      <c r="K23" s="326"/>
      <c r="L23" s="513">
        <f>Escapements!K44</f>
        <v>32306</v>
      </c>
      <c r="M23" s="427"/>
      <c r="N23" s="513">
        <f t="shared" si="50"/>
        <v>26764</v>
      </c>
      <c r="O23" s="292"/>
      <c r="P23" s="510">
        <f>L23+SUM(B23:F23)</f>
        <v>56174</v>
      </c>
      <c r="Q23" s="510">
        <f t="shared" si="5"/>
        <v>10</v>
      </c>
      <c r="R23" s="720">
        <f t="shared" si="54"/>
        <v>2015</v>
      </c>
      <c r="S23" s="512">
        <f t="shared" si="37"/>
        <v>35322</v>
      </c>
      <c r="T23" s="512">
        <f t="shared" si="38"/>
        <v>39104</v>
      </c>
      <c r="U23" s="512">
        <f t="shared" si="39"/>
        <v>41550</v>
      </c>
      <c r="V23" s="512">
        <f t="shared" si="40"/>
        <v>44634.75</v>
      </c>
      <c r="W23" s="512">
        <f t="shared" si="41"/>
        <v>42344.6</v>
      </c>
      <c r="X23" s="512">
        <f t="shared" si="51"/>
        <v>56196.4</v>
      </c>
      <c r="Y23" s="509"/>
      <c r="Z23" s="721">
        <f>S23-P23</f>
        <v>-20852</v>
      </c>
      <c r="AA23" s="721">
        <f>T23-P23</f>
        <v>-17070</v>
      </c>
      <c r="AB23" s="721">
        <f>U23-P23</f>
        <v>-14624</v>
      </c>
      <c r="AC23" s="721">
        <f>V23-P23</f>
        <v>-11539.25</v>
      </c>
      <c r="AD23" s="721">
        <f>W23-P23</f>
        <v>-13829.400000000001</v>
      </c>
      <c r="AE23" s="721">
        <f t="shared" si="55"/>
        <v>22.400000000001455</v>
      </c>
      <c r="AF23" s="509"/>
      <c r="AG23" s="1254">
        <f t="shared" si="12"/>
        <v>-0.37120375974650194</v>
      </c>
      <c r="AH23" s="722">
        <f t="shared" si="21"/>
        <v>-0.30387723858012605</v>
      </c>
      <c r="AI23" s="722">
        <f t="shared" si="22"/>
        <v>-0.26033396233132766</v>
      </c>
      <c r="AJ23" s="722">
        <f t="shared" si="27"/>
        <v>-0.20541976715206323</v>
      </c>
      <c r="AK23" s="722">
        <f t="shared" si="33"/>
        <v>-0.24618862819097806</v>
      </c>
      <c r="AL23" s="722">
        <f t="shared" si="52"/>
        <v>3.9876099263006827E-4</v>
      </c>
      <c r="AM23" s="4"/>
      <c r="AN23" s="1254">
        <f t="shared" si="53"/>
        <v>0.37120375974650194</v>
      </c>
      <c r="AO23" s="517">
        <f t="shared" si="53"/>
        <v>0.30387723858012605</v>
      </c>
      <c r="AP23" s="517">
        <f t="shared" si="53"/>
        <v>0.26033396233132766</v>
      </c>
      <c r="AQ23" s="517">
        <f t="shared" si="53"/>
        <v>0.20541976715206323</v>
      </c>
      <c r="AR23" s="517">
        <f t="shared" si="53"/>
        <v>0.24618862819097806</v>
      </c>
      <c r="AS23" s="517">
        <f t="shared" si="45"/>
        <v>3.9876099263006827E-4</v>
      </c>
      <c r="AT23" s="1252">
        <f t="shared" si="8"/>
        <v>6.0155349198053243E-3</v>
      </c>
      <c r="AU23" s="4"/>
      <c r="BP23">
        <v>16</v>
      </c>
      <c r="BQ23" s="35">
        <f t="shared" si="9"/>
        <v>20852</v>
      </c>
      <c r="BR23" s="1160">
        <f t="shared" si="10"/>
        <v>1.3073251777023691</v>
      </c>
      <c r="BS23" s="1160">
        <f t="shared" si="14"/>
        <v>1.045580020254157</v>
      </c>
      <c r="BT23" s="1160">
        <f t="shared" si="23"/>
        <v>0.86464936545811599</v>
      </c>
      <c r="BU23" s="1160">
        <f t="shared" si="28"/>
        <v>0.69661722570249041</v>
      </c>
      <c r="BV23" s="1160">
        <f t="shared" si="34"/>
        <v>0.82393057155340199</v>
      </c>
      <c r="BW23" s="1160">
        <f t="shared" si="46"/>
        <v>1.6196506595325963E-3</v>
      </c>
      <c r="BX23" s="1252"/>
      <c r="BY23" s="1253"/>
      <c r="BZ23" s="1253">
        <f t="shared" si="15"/>
        <v>-0.46394801712563621</v>
      </c>
      <c r="CA23" s="1253">
        <f t="shared" si="16"/>
        <v>-0.36222925285068536</v>
      </c>
      <c r="CB23" s="1253">
        <f t="shared" si="24"/>
        <v>-0.30155649509835825</v>
      </c>
      <c r="CC23" s="1253">
        <f t="shared" si="29"/>
        <v>-0.22994131276994911</v>
      </c>
      <c r="CD23" s="1253">
        <f t="shared" si="35"/>
        <v>-0.28261311228647884</v>
      </c>
      <c r="CE23" s="1253">
        <f t="shared" si="47"/>
        <v>3.9868150859490758E-4</v>
      </c>
      <c r="CG23" s="1253"/>
      <c r="CI23" s="1253">
        <f t="shared" si="17"/>
        <v>0.46394801712563621</v>
      </c>
      <c r="CJ23" s="1253">
        <f t="shared" si="18"/>
        <v>0.36222925285068536</v>
      </c>
      <c r="CK23" s="1253">
        <f t="shared" si="25"/>
        <v>0.30155649509835825</v>
      </c>
      <c r="CL23" s="1253">
        <f t="shared" si="30"/>
        <v>0.22994131276994911</v>
      </c>
      <c r="CM23" s="1253">
        <f t="shared" si="36"/>
        <v>0.28261311228647884</v>
      </c>
      <c r="CN23" s="1253">
        <f t="shared" si="48"/>
        <v>3.9868150859490758E-4</v>
      </c>
    </row>
    <row r="24" spans="1:93" ht="18.75">
      <c r="A24" s="278">
        <v>2016</v>
      </c>
      <c r="B24" s="510">
        <f>Harvests!D134</f>
        <v>12400</v>
      </c>
      <c r="C24" s="510">
        <f>Harvests!E134</f>
        <v>727</v>
      </c>
      <c r="D24" s="510">
        <f>Harvests!F134</f>
        <v>73</v>
      </c>
      <c r="E24" s="511">
        <f>Harvests!H134</f>
        <v>86</v>
      </c>
      <c r="F24" s="511"/>
      <c r="G24" s="510">
        <f>Harvests!N134</f>
        <v>327</v>
      </c>
      <c r="H24" s="510">
        <f>SUM(Harvests!J134:M134)</f>
        <v>3197</v>
      </c>
      <c r="I24" s="510">
        <f>H24+G24</f>
        <v>3524</v>
      </c>
      <c r="J24" s="510">
        <f t="shared" si="49"/>
        <v>16810</v>
      </c>
      <c r="K24" s="326"/>
      <c r="L24" s="513">
        <f>Escapements!K45</f>
        <v>16009</v>
      </c>
      <c r="M24" s="427"/>
      <c r="N24" s="513">
        <f>L24-I24</f>
        <v>12485</v>
      </c>
      <c r="O24" s="292"/>
      <c r="P24" s="510">
        <f>L24+SUM(B24:F24)</f>
        <v>29295</v>
      </c>
      <c r="Q24" s="510">
        <f t="shared" si="5"/>
        <v>18</v>
      </c>
      <c r="R24" s="720">
        <f t="shared" si="54"/>
        <v>2016</v>
      </c>
      <c r="S24" s="512">
        <f t="shared" si="37"/>
        <v>56174</v>
      </c>
      <c r="T24" s="512">
        <f t="shared" si="38"/>
        <v>45748</v>
      </c>
      <c r="U24" s="512">
        <f t="shared" si="39"/>
        <v>44794</v>
      </c>
      <c r="V24" s="512">
        <f t="shared" si="40"/>
        <v>45206</v>
      </c>
      <c r="W24" s="512">
        <f t="shared" si="41"/>
        <v>46942.6</v>
      </c>
      <c r="X24" s="512">
        <f t="shared" si="51"/>
        <v>55205.8</v>
      </c>
      <c r="Y24" s="976"/>
      <c r="Z24" s="721">
        <f>S24-P24</f>
        <v>26879</v>
      </c>
      <c r="AA24" s="721">
        <f>T24-P24</f>
        <v>16453</v>
      </c>
      <c r="AB24" s="721">
        <f>U24-P24</f>
        <v>15499</v>
      </c>
      <c r="AC24" s="721">
        <f>V24-P24</f>
        <v>15911</v>
      </c>
      <c r="AD24" s="721">
        <f>W24-P24</f>
        <v>17647.599999999999</v>
      </c>
      <c r="AE24" s="721">
        <f>X24-P24</f>
        <v>25910.800000000003</v>
      </c>
      <c r="AF24" s="509"/>
      <c r="AG24" s="1254">
        <f t="shared" si="12"/>
        <v>0.91752858849633046</v>
      </c>
      <c r="AH24" s="722">
        <f t="shared" ref="AH24:AL24" si="56">AA24/$P24</f>
        <v>0.56163167776070999</v>
      </c>
      <c r="AI24" s="722">
        <f t="shared" si="56"/>
        <v>0.52906639358252261</v>
      </c>
      <c r="AJ24" s="722">
        <f t="shared" si="56"/>
        <v>0.54313022700119473</v>
      </c>
      <c r="AK24" s="722">
        <f t="shared" si="56"/>
        <v>0.60240996757125786</v>
      </c>
      <c r="AL24" s="722">
        <f t="shared" si="56"/>
        <v>0.88447857996245105</v>
      </c>
      <c r="AM24" s="4"/>
      <c r="AN24" s="1254">
        <f>ABS(AG24)</f>
        <v>0.91752858849633046</v>
      </c>
      <c r="AO24" s="517">
        <f>ABS(AH24)</f>
        <v>0.56163167776070999</v>
      </c>
      <c r="AP24" s="517">
        <f>ABS(AI24)</f>
        <v>0.52906639358252261</v>
      </c>
      <c r="AQ24" s="517">
        <f>ABS(AJ24)</f>
        <v>0.54313022700119473</v>
      </c>
      <c r="AR24" s="517">
        <f>ABS(AK24)</f>
        <v>0.60240996757125786</v>
      </c>
      <c r="AS24" s="517">
        <f t="shared" si="45"/>
        <v>0.88447857996245105</v>
      </c>
      <c r="AT24" s="1252">
        <f t="shared" si="8"/>
        <v>0.38923212928249606</v>
      </c>
      <c r="AU24" s="4"/>
      <c r="BP24">
        <v>17</v>
      </c>
      <c r="BQ24" s="35">
        <f t="shared" si="9"/>
        <v>26879</v>
      </c>
      <c r="BR24" s="1160">
        <f t="shared" si="10"/>
        <v>1.6851905549329551</v>
      </c>
      <c r="BS24" s="1160">
        <f t="shared" si="14"/>
        <v>1.0077872333474895</v>
      </c>
      <c r="BT24" s="1160">
        <f t="shared" si="23"/>
        <v>0.91638406149038154</v>
      </c>
      <c r="BU24" s="1160">
        <f t="shared" si="28"/>
        <v>0.96053700874427062</v>
      </c>
      <c r="BV24" s="1160">
        <f t="shared" si="34"/>
        <v>1.051412003018628</v>
      </c>
      <c r="BW24" s="1160">
        <f t="shared" si="46"/>
        <v>1.8735019780810034</v>
      </c>
      <c r="BX24" s="1252"/>
      <c r="BY24" s="1253"/>
      <c r="BZ24" s="1253">
        <f t="shared" si="15"/>
        <v>0.6510371634030635</v>
      </c>
      <c r="CA24" s="1253">
        <f t="shared" si="16"/>
        <v>0.44573122192221831</v>
      </c>
      <c r="CB24" s="1253">
        <f t="shared" si="24"/>
        <v>0.42465734888352702</v>
      </c>
      <c r="CC24" s="1253">
        <f t="shared" si="29"/>
        <v>0.43381296839464489</v>
      </c>
      <c r="CD24" s="1253">
        <f t="shared" si="35"/>
        <v>0.47150872575155878</v>
      </c>
      <c r="CE24" s="1253">
        <f t="shared" si="47"/>
        <v>0.63365116723034121</v>
      </c>
      <c r="CG24" s="1253"/>
      <c r="CH24" s="1253"/>
      <c r="CI24" s="1253">
        <f t="shared" si="17"/>
        <v>0.6510371634030635</v>
      </c>
      <c r="CJ24" s="1253">
        <f t="shared" si="18"/>
        <v>0.44573122192221831</v>
      </c>
      <c r="CK24" s="1253">
        <f t="shared" si="25"/>
        <v>0.42465734888352702</v>
      </c>
      <c r="CL24" s="1253">
        <f t="shared" si="30"/>
        <v>0.43381296839464489</v>
      </c>
      <c r="CM24" s="1253">
        <f t="shared" si="36"/>
        <v>0.47150872575155878</v>
      </c>
      <c r="CN24" s="1253">
        <f t="shared" si="48"/>
        <v>0.63365116723034121</v>
      </c>
    </row>
    <row r="25" spans="1:93" ht="18.75">
      <c r="A25" s="278">
        <v>2017</v>
      </c>
      <c r="B25" s="510">
        <f>Harvests!D135</f>
        <v>13870</v>
      </c>
      <c r="C25" s="510">
        <f>Harvests!E135</f>
        <v>744</v>
      </c>
      <c r="D25" s="510">
        <f>Harvests!F135</f>
        <v>778</v>
      </c>
      <c r="E25" s="511">
        <f>Harvests!H135</f>
        <v>50</v>
      </c>
      <c r="F25" s="511"/>
      <c r="G25" s="510">
        <f>Harvests!N135</f>
        <v>684</v>
      </c>
      <c r="H25" s="510">
        <f>SUM(Harvests!J135:M135)</f>
        <v>5310</v>
      </c>
      <c r="I25" s="510">
        <f>H25+G25</f>
        <v>5994</v>
      </c>
      <c r="J25" s="510">
        <f t="shared" ref="J25" si="57">SUM(B25:H25)</f>
        <v>21436</v>
      </c>
      <c r="K25" s="326"/>
      <c r="L25" s="513">
        <f>Escapements!K46</f>
        <v>40725</v>
      </c>
      <c r="M25" s="427"/>
      <c r="N25" s="513">
        <f>L25-I25</f>
        <v>34731</v>
      </c>
      <c r="O25" s="292"/>
      <c r="P25" s="510">
        <f>L25+SUM(B25:F25)</f>
        <v>56167</v>
      </c>
      <c r="Q25" s="510" t="e">
        <f t="shared" ref="Q25" si="58">RANK(P25,$P$7:$P$24)</f>
        <v>#N/A</v>
      </c>
      <c r="R25" s="720">
        <f t="shared" si="54"/>
        <v>2017</v>
      </c>
      <c r="S25" s="917">
        <f t="shared" si="37"/>
        <v>29295</v>
      </c>
      <c r="T25" s="917">
        <f t="shared" si="38"/>
        <v>42734.5</v>
      </c>
      <c r="U25" s="917">
        <f t="shared" si="39"/>
        <v>40263.666666666664</v>
      </c>
      <c r="V25" s="917">
        <f t="shared" si="40"/>
        <v>40919.25</v>
      </c>
      <c r="W25" s="917">
        <f t="shared" si="41"/>
        <v>42023.8</v>
      </c>
      <c r="X25" s="917">
        <f>AVERAGE(P15:P24)</f>
        <v>48171.4</v>
      </c>
      <c r="Y25" s="509"/>
      <c r="Z25" s="721"/>
      <c r="AA25" s="721"/>
      <c r="AB25" s="721"/>
      <c r="AC25" s="721"/>
      <c r="AD25" s="721"/>
      <c r="AE25" s="721"/>
      <c r="AF25" s="509"/>
      <c r="AG25" s="722"/>
      <c r="AH25" s="722"/>
      <c r="AI25" s="722"/>
      <c r="AJ25" s="722"/>
      <c r="AK25" s="722"/>
      <c r="AL25" s="722"/>
      <c r="AM25" s="4"/>
      <c r="AN25" s="517"/>
      <c r="AO25" s="517"/>
      <c r="AP25" s="517"/>
      <c r="AQ25" s="517"/>
      <c r="AR25" s="517"/>
      <c r="AS25" s="4"/>
      <c r="AT25" s="4"/>
      <c r="AU25" s="4"/>
      <c r="BR25" s="517"/>
      <c r="BS25" s="517"/>
      <c r="BT25" s="517"/>
      <c r="BU25" s="517"/>
      <c r="BV25" s="517"/>
      <c r="BW25" s="4"/>
      <c r="BX25" s="4"/>
    </row>
    <row r="26" spans="1:93" ht="18.75">
      <c r="A26" s="278"/>
      <c r="B26" s="510"/>
      <c r="C26" s="510"/>
      <c r="D26" s="510"/>
      <c r="E26" s="511"/>
      <c r="F26" s="511"/>
      <c r="G26" s="510"/>
      <c r="H26" s="510"/>
      <c r="I26" s="510"/>
      <c r="J26" s="510"/>
      <c r="K26" s="326"/>
      <c r="L26" s="513"/>
      <c r="M26" s="427"/>
      <c r="N26" s="513"/>
      <c r="O26" s="292"/>
      <c r="P26" s="510"/>
      <c r="Q26" s="510"/>
      <c r="R26" s="720"/>
      <c r="S26" s="917"/>
      <c r="T26" s="917"/>
      <c r="U26" s="917"/>
      <c r="V26" s="917"/>
      <c r="W26" s="917"/>
      <c r="X26" s="917"/>
      <c r="Y26" s="509"/>
      <c r="Z26" s="721"/>
      <c r="AA26" s="721"/>
      <c r="AB26" s="721"/>
      <c r="AC26" s="721"/>
      <c r="AD26" s="721"/>
      <c r="AE26" s="721"/>
      <c r="AF26" s="509"/>
      <c r="AG26" s="722"/>
      <c r="AH26" s="722"/>
      <c r="AI26" s="722"/>
      <c r="AJ26" s="722"/>
      <c r="AK26" s="722"/>
      <c r="AL26" s="722"/>
      <c r="AM26" s="4"/>
      <c r="AN26" s="517"/>
      <c r="AO26" s="517"/>
      <c r="AP26" s="517"/>
      <c r="AQ26" s="517"/>
      <c r="AR26" s="517"/>
      <c r="AS26" s="4"/>
      <c r="AT26" s="4"/>
      <c r="AU26" s="4"/>
      <c r="BR26" s="517"/>
      <c r="BS26" s="517"/>
      <c r="BT26" s="517"/>
      <c r="BU26" s="517"/>
      <c r="BV26" s="517"/>
      <c r="BW26" s="4"/>
      <c r="BX26" s="4"/>
    </row>
    <row r="27" spans="1:93">
      <c r="A27" s="278"/>
      <c r="B27" s="292"/>
      <c r="C27" s="292"/>
      <c r="D27" s="292"/>
      <c r="E27" s="292"/>
      <c r="F27" s="292"/>
      <c r="G27" s="292"/>
      <c r="H27" s="292"/>
      <c r="I27" s="292"/>
      <c r="J27" s="292"/>
      <c r="K27" s="292"/>
      <c r="L27" s="292"/>
      <c r="M27" s="292"/>
      <c r="N27" s="292"/>
      <c r="O27" s="292"/>
      <c r="P27" s="292"/>
      <c r="Q27" s="292"/>
      <c r="R27" s="4">
        <v>2018</v>
      </c>
      <c r="S27" s="917">
        <f t="shared" ref="S27" si="59">P25</f>
        <v>56167</v>
      </c>
      <c r="T27" s="917">
        <f t="shared" ref="T27" si="60">AVERAGE(P24:P25)</f>
        <v>42731</v>
      </c>
      <c r="U27" s="917">
        <f t="shared" ref="U27" si="61">AVERAGE(P23:P25)</f>
        <v>47212</v>
      </c>
      <c r="V27" s="917">
        <f t="shared" ref="V27" si="62">AVERAGE(P22:P25)</f>
        <v>44239.5</v>
      </c>
      <c r="W27" s="917">
        <f t="shared" ref="W27" si="63">AVERAGE(P21:P25)</f>
        <v>43968.800000000003</v>
      </c>
      <c r="X27" s="917">
        <f>AVERAGE(P16:P25)</f>
        <v>45019.8</v>
      </c>
      <c r="Y27" s="509"/>
      <c r="Z27" s="509"/>
      <c r="AA27" s="509"/>
      <c r="AB27" s="509"/>
      <c r="AC27" s="509"/>
      <c r="AD27" s="509"/>
      <c r="AE27" s="509"/>
      <c r="AF27" s="509"/>
      <c r="AG27" s="722"/>
      <c r="AH27" s="722"/>
      <c r="AI27" s="722"/>
      <c r="AJ27" s="722"/>
      <c r="AK27" s="722"/>
      <c r="AL27" s="722"/>
      <c r="AM27" s="509"/>
      <c r="AN27" s="509"/>
      <c r="AO27" s="509"/>
      <c r="AP27" s="509"/>
      <c r="AQ27" s="509"/>
      <c r="AR27" s="509"/>
      <c r="AS27" s="4"/>
      <c r="AT27" s="4"/>
      <c r="AU27" s="4"/>
      <c r="BQ27" s="1311" t="s">
        <v>532</v>
      </c>
      <c r="BR27" s="1259">
        <f>SUM($BQ9:$BQ24)</f>
        <v>255202</v>
      </c>
      <c r="BS27" s="1259">
        <f>SUM($BQ10:$BQ24)</f>
        <v>244888</v>
      </c>
      <c r="BT27" s="1259">
        <f>SUM($BQ11:$BQ24)</f>
        <v>236785</v>
      </c>
      <c r="BU27" s="1259">
        <f>SUM($BQ12:$BQ24)</f>
        <v>215341</v>
      </c>
      <c r="BV27" s="1259">
        <f>SUM($BQ13:$BQ24)</f>
        <v>201416</v>
      </c>
      <c r="BW27" s="1259">
        <f>SUM($BQ18:$BQ24)</f>
        <v>96811</v>
      </c>
      <c r="BX27" s="1260" t="s">
        <v>531</v>
      </c>
      <c r="BZ27" s="1253">
        <f t="shared" ref="BZ27:CE27" si="64">MEDIAN(BZ8:BZ24)</f>
        <v>0.14872215323030893</v>
      </c>
      <c r="CA27" s="1253">
        <f t="shared" si="64"/>
        <v>3.9306003336103706E-2</v>
      </c>
      <c r="CB27" s="1253">
        <f t="shared" si="64"/>
        <v>3.7056110063855945E-2</v>
      </c>
      <c r="CC27" s="1268">
        <f t="shared" si="64"/>
        <v>1.922276716311138E-2</v>
      </c>
      <c r="CD27" s="1253">
        <f t="shared" si="64"/>
        <v>0.16362522226442411</v>
      </c>
      <c r="CE27" s="1253">
        <f t="shared" si="64"/>
        <v>0.48534103965737485</v>
      </c>
      <c r="CF27" t="s">
        <v>535</v>
      </c>
      <c r="CI27" s="675">
        <f>(EXP(MEDIAN(CI8:CI24)))-1</f>
        <v>0.25248883513211751</v>
      </c>
      <c r="CJ27" s="675">
        <f t="shared" ref="CJ27:CN27" si="65">(EXP(MEDIAN(CJ8:CJ24)))-1</f>
        <v>0.29354024954390456</v>
      </c>
      <c r="CK27" s="675">
        <f t="shared" si="65"/>
        <v>0.25021690879741709</v>
      </c>
      <c r="CL27" s="1267">
        <f t="shared" si="65"/>
        <v>0.24643250974609598</v>
      </c>
      <c r="CM27" s="1267">
        <f t="shared" si="65"/>
        <v>0.24224562595549504</v>
      </c>
      <c r="CN27" s="675">
        <f t="shared" si="65"/>
        <v>0.62472901139581305</v>
      </c>
    </row>
    <row r="28" spans="1:93">
      <c r="A28" s="308" t="s">
        <v>219</v>
      </c>
      <c r="B28" s="514">
        <f>AVERAGE(B7:B24)</f>
        <v>26479.333333333332</v>
      </c>
      <c r="C28" s="514">
        <f t="shared" ref="C28:J28" si="66">AVERAGE(C7:C24)</f>
        <v>854.83333333333337</v>
      </c>
      <c r="D28" s="514">
        <f t="shared" si="66"/>
        <v>504.83333333333331</v>
      </c>
      <c r="E28" s="514">
        <f t="shared" si="66"/>
        <v>47.733333333333334</v>
      </c>
      <c r="F28" s="514" t="e">
        <f t="shared" si="66"/>
        <v>#DIV/0!</v>
      </c>
      <c r="G28" s="514">
        <f t="shared" si="66"/>
        <v>3145.2222222222222</v>
      </c>
      <c r="H28" s="514">
        <f t="shared" si="66"/>
        <v>5055.4444444444443</v>
      </c>
      <c r="I28" s="514">
        <f t="shared" si="66"/>
        <v>8200.6666666666661</v>
      </c>
      <c r="J28" s="514">
        <f t="shared" si="66"/>
        <v>36079.444444444445</v>
      </c>
      <c r="K28" s="307"/>
      <c r="L28" s="514">
        <f>AVERAGE(L7:L24)</f>
        <v>35621.055555555555</v>
      </c>
      <c r="M28" s="307"/>
      <c r="N28" s="514">
        <f>AVERAGE(N7:N24)</f>
        <v>27420.388888888891</v>
      </c>
      <c r="O28" s="307"/>
      <c r="P28" s="514">
        <f>AVERAGE(P7:P24)</f>
        <v>63499.833333333336</v>
      </c>
      <c r="Q28" s="298"/>
      <c r="R28" s="4"/>
      <c r="S28" s="510"/>
      <c r="T28" s="509"/>
      <c r="U28" s="509"/>
      <c r="V28" s="509"/>
      <c r="W28" s="509"/>
      <c r="X28" s="509"/>
      <c r="Y28" s="509"/>
      <c r="Z28" s="1005">
        <f>SUM(Z7:Z24)</f>
        <v>66614</v>
      </c>
      <c r="AA28" s="1005">
        <f>SUM(AA7:AA24)</f>
        <v>61321.5</v>
      </c>
      <c r="AB28" s="1005">
        <f t="shared" ref="AB28:AE28" si="67">SUM(AB7:AB24)</f>
        <v>81680.333333333343</v>
      </c>
      <c r="AC28" s="1005">
        <f t="shared" si="67"/>
        <v>93301</v>
      </c>
      <c r="AD28" s="1005">
        <f t="shared" si="67"/>
        <v>127021</v>
      </c>
      <c r="AE28" s="1005">
        <f t="shared" si="67"/>
        <v>192813.90000000002</v>
      </c>
      <c r="AF28" s="509"/>
      <c r="AG28" s="722">
        <f>SUM(AG7:AG24)</f>
        <v>2.0987237694272944</v>
      </c>
      <c r="AH28" s="722">
        <f t="shared" ref="AH28:AJ28" si="68">SUM(AH7:AH24)</f>
        <v>2.1083203286228809</v>
      </c>
      <c r="AI28" s="722">
        <f t="shared" si="68"/>
        <v>2.6345159013060666</v>
      </c>
      <c r="AJ28" s="722">
        <f t="shared" si="68"/>
        <v>2.9365751452066742</v>
      </c>
      <c r="AK28" s="722">
        <f>SUM(AK7:AK24)</f>
        <v>3.5027750988204893</v>
      </c>
      <c r="AL28" s="722">
        <f>SUM(AL7:AL24)</f>
        <v>5.0637969077838232</v>
      </c>
      <c r="AM28" s="4"/>
      <c r="AN28" s="1269">
        <f>AVERAGE(AN7:AN24)</f>
        <v>0.29364388017074883</v>
      </c>
      <c r="AO28" s="735">
        <f>AVERAGE(AO7:AO24)</f>
        <v>0.27720107546012235</v>
      </c>
      <c r="AP28" s="733">
        <f t="shared" ref="AP28:AS28" si="69">AVERAGE(AP7:AP24)</f>
        <v>0.30721133343660517</v>
      </c>
      <c r="AQ28" s="733">
        <f t="shared" si="69"/>
        <v>0.29774517519442956</v>
      </c>
      <c r="AR28" s="733">
        <f t="shared" si="69"/>
        <v>0.34791236061616854</v>
      </c>
      <c r="AS28" s="733">
        <f t="shared" si="69"/>
        <v>0.6329746134729779</v>
      </c>
      <c r="AT28" s="723" t="s">
        <v>297</v>
      </c>
      <c r="AU28" s="4"/>
      <c r="BQ28" s="1312"/>
      <c r="BR28" s="23">
        <f>COUNT($BP8:$BP24)</f>
        <v>17</v>
      </c>
      <c r="BS28" s="23">
        <f>COUNT($BP9:$BP24)</f>
        <v>16</v>
      </c>
      <c r="BT28" s="23">
        <f>COUNT($BP10:$BP24)</f>
        <v>15</v>
      </c>
      <c r="BU28" s="23">
        <f>COUNT($BP11:$BP24)</f>
        <v>14</v>
      </c>
      <c r="BV28" s="23">
        <f>COUNT($BP12:$BP24)</f>
        <v>13</v>
      </c>
      <c r="BW28" s="23">
        <f>COUNT($BP17:$BP24)</f>
        <v>8</v>
      </c>
      <c r="BX28" s="1261" t="s">
        <v>528</v>
      </c>
      <c r="CB28" t="s">
        <v>538</v>
      </c>
      <c r="CF28" t="s">
        <v>536</v>
      </c>
    </row>
    <row r="29" spans="1:93" ht="18.75">
      <c r="A29" s="309" t="s">
        <v>236</v>
      </c>
      <c r="B29" s="292"/>
      <c r="C29" s="292"/>
      <c r="D29" s="292"/>
      <c r="E29" s="292"/>
      <c r="F29" s="292"/>
      <c r="G29" s="292"/>
      <c r="H29" s="292"/>
      <c r="I29" s="292"/>
      <c r="J29" s="292"/>
      <c r="K29" s="292"/>
      <c r="L29" s="292"/>
      <c r="M29" s="292"/>
      <c r="N29" s="292"/>
      <c r="O29" s="292"/>
      <c r="P29" s="292"/>
      <c r="Q29" s="294"/>
      <c r="R29" s="23"/>
      <c r="S29" s="23"/>
      <c r="T29" s="13"/>
      <c r="U29" s="13"/>
      <c r="V29" s="13"/>
      <c r="W29" s="13"/>
      <c r="X29" s="13"/>
      <c r="Y29" s="13"/>
      <c r="Z29" s="4"/>
      <c r="AA29" s="4"/>
      <c r="AB29" s="4"/>
      <c r="AC29" s="4"/>
      <c r="AD29" s="729"/>
      <c r="AE29" s="729"/>
      <c r="AF29" s="4"/>
      <c r="AG29" s="1129">
        <f>SUM(AG17:AG24)</f>
        <v>1.1675742949522299</v>
      </c>
      <c r="AH29" s="1129">
        <f t="shared" ref="AH29:AL29" si="70">SUM(AH17:AH24)</f>
        <v>1.441326247132664</v>
      </c>
      <c r="AI29" s="1129">
        <f t="shared" si="70"/>
        <v>2.119214081865648</v>
      </c>
      <c r="AJ29" s="1129">
        <f t="shared" si="70"/>
        <v>2.5426078886480297</v>
      </c>
      <c r="AK29" s="1129">
        <f t="shared" si="70"/>
        <v>2.9347356642438447</v>
      </c>
      <c r="AL29" s="1129">
        <f t="shared" si="70"/>
        <v>5.0637969077838232</v>
      </c>
      <c r="AM29" s="4"/>
      <c r="AN29" s="735">
        <f t="shared" ref="AN29:AS29" si="71">STDEV(AN7:AN24)</f>
        <v>0.20944336121851539</v>
      </c>
      <c r="AO29" s="733">
        <f>STDEV(AO7:AO24)</f>
        <v>0.22468365924420636</v>
      </c>
      <c r="AP29" s="733">
        <f t="shared" si="71"/>
        <v>0.27689243390535978</v>
      </c>
      <c r="AQ29" s="734">
        <f t="shared" si="71"/>
        <v>0.34083669127345884</v>
      </c>
      <c r="AR29" s="734">
        <f t="shared" si="71"/>
        <v>0.32846034243796762</v>
      </c>
      <c r="AS29" s="734">
        <f t="shared" si="71"/>
        <v>0.38725060977248821</v>
      </c>
      <c r="AT29" s="724" t="s">
        <v>298</v>
      </c>
      <c r="AU29" s="4"/>
      <c r="BQ29" s="1313"/>
      <c r="BR29" s="1266">
        <f>BR27/(BR28-1)</f>
        <v>15950.125</v>
      </c>
      <c r="BS29" s="1266">
        <f t="shared" ref="BS29:BV29" si="72">BS27/(BS28-1)</f>
        <v>16325.866666666667</v>
      </c>
      <c r="BT29" s="1266">
        <f t="shared" si="72"/>
        <v>16913.214285714286</v>
      </c>
      <c r="BU29" s="1266">
        <f t="shared" si="72"/>
        <v>16564.692307692309</v>
      </c>
      <c r="BV29" s="1266">
        <f t="shared" si="72"/>
        <v>16784.666666666668</v>
      </c>
      <c r="BW29" s="1266">
        <f>BW27/(BW28-1)</f>
        <v>13830.142857142857</v>
      </c>
      <c r="BX29" s="1262" t="s">
        <v>529</v>
      </c>
      <c r="CI29" s="675">
        <f>(EXP(MEDIAN(CI17:CI24)))-1</f>
        <v>0.27384441931844106</v>
      </c>
      <c r="CJ29" s="675">
        <f t="shared" ref="CJ29:CN29" si="73">(EXP(MEDIAN(CJ17:CJ24)))-1</f>
        <v>0.42565046780649829</v>
      </c>
      <c r="CK29" s="675">
        <f t="shared" si="73"/>
        <v>0.35174937222066838</v>
      </c>
      <c r="CL29" s="1267">
        <f t="shared" si="73"/>
        <v>0.25351346744715597</v>
      </c>
      <c r="CM29" s="675">
        <f t="shared" si="73"/>
        <v>0.28372617266132294</v>
      </c>
      <c r="CN29" s="675">
        <f t="shared" si="73"/>
        <v>0.62472901139581305</v>
      </c>
      <c r="CO29" t="s">
        <v>541</v>
      </c>
    </row>
    <row r="30" spans="1:93" ht="18.75" customHeight="1" thickBot="1">
      <c r="A30" s="309"/>
      <c r="B30" s="292"/>
      <c r="C30" s="292"/>
      <c r="D30" s="292"/>
      <c r="E30" s="292"/>
      <c r="F30" s="292"/>
      <c r="G30" s="292"/>
      <c r="H30" s="292"/>
      <c r="I30" s="292"/>
      <c r="J30" s="292"/>
      <c r="K30" s="292"/>
      <c r="L30" s="292"/>
      <c r="M30" s="292"/>
      <c r="N30" s="292"/>
      <c r="O30" s="292"/>
      <c r="P30" s="292"/>
      <c r="Q30" s="294"/>
      <c r="V30" s="23"/>
      <c r="W30" s="23"/>
      <c r="X30" s="13"/>
      <c r="Y30" s="13"/>
      <c r="Z30" s="4"/>
      <c r="AA30" s="4"/>
      <c r="AB30" s="4"/>
      <c r="AC30" s="4"/>
      <c r="AD30" s="729"/>
      <c r="AE30" s="729"/>
      <c r="AF30" s="4"/>
      <c r="AG30" s="722"/>
      <c r="AH30" s="722"/>
      <c r="AI30" s="722"/>
      <c r="AJ30" s="722"/>
      <c r="AK30" s="722"/>
      <c r="AL30" s="950"/>
      <c r="AM30" s="921"/>
      <c r="AN30" s="951"/>
      <c r="AO30" s="952"/>
      <c r="AP30" s="952"/>
      <c r="AQ30" s="952"/>
      <c r="AR30" s="952"/>
      <c r="AS30" s="952"/>
      <c r="AT30" s="953"/>
      <c r="AU30" s="4"/>
    </row>
    <row r="31" spans="1:93" ht="18.75" customHeight="1">
      <c r="A31" s="309" t="s">
        <v>237</v>
      </c>
      <c r="B31" s="292"/>
      <c r="C31" s="292"/>
      <c r="D31" s="292"/>
      <c r="E31" s="292"/>
      <c r="F31" s="292"/>
      <c r="G31" s="292"/>
      <c r="H31" s="292"/>
      <c r="I31" s="292"/>
      <c r="J31" s="292"/>
      <c r="K31" s="292"/>
      <c r="L31" s="292"/>
      <c r="M31" s="292"/>
      <c r="N31" s="292"/>
      <c r="O31" s="292"/>
      <c r="Q31" s="23"/>
      <c r="R31" s="165"/>
      <c r="S31" s="26"/>
      <c r="T31" s="26"/>
      <c r="U31" s="27"/>
      <c r="V31" s="955"/>
      <c r="W31" s="23"/>
      <c r="X31" s="346"/>
      <c r="Y31" s="346"/>
      <c r="Z31" s="523"/>
      <c r="AA31" s="523"/>
      <c r="AB31" s="523"/>
      <c r="AC31" s="523"/>
      <c r="AD31" s="523"/>
      <c r="AE31" s="523"/>
      <c r="AF31" s="523"/>
      <c r="AG31" s="523"/>
      <c r="AH31" s="523"/>
      <c r="AI31" s="523"/>
      <c r="AJ31" s="523"/>
      <c r="AK31" s="165"/>
      <c r="AL31" s="26"/>
      <c r="AM31" s="26"/>
      <c r="AN31" s="26"/>
      <c r="AO31" s="26"/>
      <c r="AP31" s="26"/>
      <c r="AQ31" s="27"/>
      <c r="BR31" s="1263">
        <f>SUM(BR8:BR24)/BR28</f>
        <v>1.0339657120518604</v>
      </c>
      <c r="BS31" s="1263">
        <f t="shared" ref="BS31:BW31" si="74">SUM(BS8:BS24)/BS28</f>
        <v>0.88060217834275245</v>
      </c>
      <c r="BT31" s="1263">
        <f t="shared" si="74"/>
        <v>0.89487556691138015</v>
      </c>
      <c r="BU31" s="1265">
        <f t="shared" si="74"/>
        <v>0.83881727121170613</v>
      </c>
      <c r="BV31" s="1263">
        <f t="shared" si="74"/>
        <v>0.94364789597343113</v>
      </c>
      <c r="BW31" s="1263">
        <f t="shared" si="74"/>
        <v>1.7426962070425884</v>
      </c>
      <c r="BX31" s="723" t="s">
        <v>530</v>
      </c>
      <c r="BZ31">
        <f>SUMSQ(BZ8:BZ24)</f>
        <v>1.7336867109051921</v>
      </c>
      <c r="CA31" s="732">
        <f t="shared" ref="CA31:CE31" si="75">SUMSQ(CA8:CA24)</f>
        <v>1.4530392706463833</v>
      </c>
      <c r="CB31">
        <f t="shared" si="75"/>
        <v>1.5610310340704241</v>
      </c>
      <c r="CC31">
        <f t="shared" si="75"/>
        <v>1.5321004214545886</v>
      </c>
      <c r="CD31">
        <f t="shared" si="75"/>
        <v>1.6217608632224434</v>
      </c>
      <c r="CE31">
        <f t="shared" si="75"/>
        <v>2.1627464471863824</v>
      </c>
      <c r="CF31" t="s">
        <v>534</v>
      </c>
    </row>
    <row r="32" spans="1:93" ht="18.75" customHeight="1">
      <c r="A32" s="309" t="s">
        <v>238</v>
      </c>
      <c r="B32" s="292"/>
      <c r="C32" s="292"/>
      <c r="D32" s="292"/>
      <c r="E32" s="292"/>
      <c r="F32" s="292"/>
      <c r="G32" s="292"/>
      <c r="H32" s="292"/>
      <c r="I32" s="292"/>
      <c r="J32" s="292"/>
      <c r="K32" s="292"/>
      <c r="L32" s="292"/>
      <c r="M32" s="292"/>
      <c r="N32" s="292"/>
      <c r="O32" s="292"/>
      <c r="P32" s="509"/>
      <c r="Q32" s="294"/>
      <c r="R32" s="28"/>
      <c r="S32" s="615"/>
      <c r="T32" s="954" t="s">
        <v>401</v>
      </c>
      <c r="U32" s="956"/>
      <c r="V32" s="949"/>
      <c r="W32" s="23"/>
      <c r="X32" s="745"/>
      <c r="Y32" s="346"/>
      <c r="Z32" s="523"/>
      <c r="AA32" s="523"/>
      <c r="AB32" s="523"/>
      <c r="AC32" s="523"/>
      <c r="AD32" s="523"/>
      <c r="AE32" s="523"/>
      <c r="AF32" s="523"/>
      <c r="AG32" s="523"/>
      <c r="AH32" s="523"/>
      <c r="AI32" s="523"/>
      <c r="AJ32" s="523"/>
      <c r="AK32" s="28"/>
      <c r="AL32" s="615"/>
      <c r="AM32" s="615"/>
      <c r="AN32" s="1057" t="s">
        <v>334</v>
      </c>
      <c r="AO32" s="948" t="s">
        <v>400</v>
      </c>
      <c r="AP32" s="1130" t="s">
        <v>460</v>
      </c>
      <c r="AQ32" s="1073"/>
    </row>
    <row r="33" spans="1:84" ht="18.75" customHeight="1">
      <c r="A33" s="910" t="s">
        <v>239</v>
      </c>
      <c r="B33" s="294"/>
      <c r="C33" s="294"/>
      <c r="D33" s="515"/>
      <c r="E33" s="294"/>
      <c r="F33" s="294"/>
      <c r="G33" s="294"/>
      <c r="H33" s="294"/>
      <c r="I33" s="294"/>
      <c r="J33" s="294"/>
      <c r="K33" s="294"/>
      <c r="L33" s="294"/>
      <c r="M33" s="297"/>
      <c r="N33" s="297"/>
      <c r="O33" s="297"/>
      <c r="P33" s="297"/>
      <c r="Q33" s="297"/>
      <c r="R33" s="28"/>
      <c r="S33" s="13" t="s">
        <v>250</v>
      </c>
      <c r="T33" s="958">
        <f>S25</f>
        <v>29295</v>
      </c>
      <c r="U33" s="957"/>
      <c r="V33" s="949"/>
      <c r="W33" s="23"/>
      <c r="X33" s="745"/>
      <c r="Y33" s="346"/>
      <c r="Z33" s="523"/>
      <c r="AA33" s="523"/>
      <c r="AB33" s="523"/>
      <c r="AC33" s="523"/>
      <c r="AD33" s="752"/>
      <c r="AE33" s="752"/>
      <c r="AF33" s="523"/>
      <c r="AG33" s="523"/>
      <c r="AH33" s="523"/>
      <c r="AI33" s="523"/>
      <c r="AJ33" s="523"/>
      <c r="AK33" s="28"/>
      <c r="AL33" s="13" t="s">
        <v>250</v>
      </c>
      <c r="AM33" s="23"/>
      <c r="AN33" s="949">
        <f>AN28</f>
        <v>0.29364388017074883</v>
      </c>
      <c r="AO33" s="949">
        <f>AN29</f>
        <v>0.20944336121851539</v>
      </c>
      <c r="AP33" s="1131">
        <f>AG28</f>
        <v>2.0987237694272944</v>
      </c>
      <c r="AQ33" s="29"/>
      <c r="BQ33" s="1311" t="s">
        <v>532</v>
      </c>
      <c r="BR33" s="1259">
        <f>SUM($BQ18:$BQ24)</f>
        <v>96811</v>
      </c>
      <c r="BS33" s="1259">
        <f t="shared" ref="BS33:BW33" si="76">SUM($BQ18:$BQ24)</f>
        <v>96811</v>
      </c>
      <c r="BT33" s="1259">
        <f t="shared" si="76"/>
        <v>96811</v>
      </c>
      <c r="BU33" s="1259">
        <f t="shared" si="76"/>
        <v>96811</v>
      </c>
      <c r="BV33" s="1259">
        <f t="shared" si="76"/>
        <v>96811</v>
      </c>
      <c r="BW33" s="1259">
        <f t="shared" si="76"/>
        <v>96811</v>
      </c>
      <c r="BX33" s="1260" t="s">
        <v>531</v>
      </c>
      <c r="BZ33">
        <f>SUMSQ(BZ17:BZ24)</f>
        <v>1.0580379113930432</v>
      </c>
      <c r="CA33" s="732">
        <f t="shared" ref="CA33:CE33" si="77">SUMSQ(CA17:CA24)</f>
        <v>0.92524703471375069</v>
      </c>
      <c r="CB33">
        <f t="shared" si="77"/>
        <v>1.1880837737316179</v>
      </c>
      <c r="CC33">
        <f t="shared" si="77"/>
        <v>1.2075448173544188</v>
      </c>
      <c r="CD33">
        <f t="shared" si="77"/>
        <v>1.311802759752807</v>
      </c>
      <c r="CE33">
        <f t="shared" si="77"/>
        <v>2.1627464471863824</v>
      </c>
      <c r="CF33" t="s">
        <v>540</v>
      </c>
    </row>
    <row r="34" spans="1:84" ht="18.75" customHeight="1">
      <c r="A34" s="910" t="s">
        <v>240</v>
      </c>
      <c r="B34" s="294"/>
      <c r="C34" s="294"/>
      <c r="D34" s="294"/>
      <c r="E34" s="294"/>
      <c r="F34" s="294"/>
      <c r="G34" s="294"/>
      <c r="H34" s="294"/>
      <c r="I34" s="294"/>
      <c r="J34" s="294"/>
      <c r="K34" s="294"/>
      <c r="L34" s="294"/>
      <c r="M34" s="297"/>
      <c r="N34" s="736"/>
      <c r="O34" s="297"/>
      <c r="P34" s="297"/>
      <c r="Q34" s="297"/>
      <c r="R34" s="28"/>
      <c r="S34" s="13" t="s">
        <v>242</v>
      </c>
      <c r="T34" s="958">
        <f>T25</f>
        <v>42734.5</v>
      </c>
      <c r="U34" s="957"/>
      <c r="V34" s="949"/>
      <c r="W34" s="23"/>
      <c r="X34" s="745"/>
      <c r="Y34" s="346"/>
      <c r="Z34" s="523"/>
      <c r="AA34" s="523"/>
      <c r="AB34" s="523"/>
      <c r="AC34" s="523"/>
      <c r="AD34" s="752"/>
      <c r="AE34" s="752"/>
      <c r="AF34" s="523"/>
      <c r="AG34" s="523"/>
      <c r="AH34" s="523"/>
      <c r="AI34" s="523"/>
      <c r="AJ34" s="523"/>
      <c r="AK34" s="28"/>
      <c r="AL34" s="13" t="s">
        <v>242</v>
      </c>
      <c r="AM34" s="23"/>
      <c r="AN34" s="949">
        <f>AO28</f>
        <v>0.27720107546012235</v>
      </c>
      <c r="AO34" s="949">
        <f>AO29</f>
        <v>0.22468365924420636</v>
      </c>
      <c r="AP34" s="1131">
        <f>AH28</f>
        <v>2.1083203286228809</v>
      </c>
      <c r="AQ34" s="29"/>
      <c r="BQ34" s="1312"/>
      <c r="BR34" s="23">
        <f>COUNT($BP17:$BP24)</f>
        <v>8</v>
      </c>
      <c r="BS34" s="23">
        <f t="shared" ref="BS34:BW34" si="78">COUNT($BP17:$BP24)</f>
        <v>8</v>
      </c>
      <c r="BT34" s="23">
        <f t="shared" si="78"/>
        <v>8</v>
      </c>
      <c r="BU34" s="23">
        <f t="shared" si="78"/>
        <v>8</v>
      </c>
      <c r="BV34" s="23">
        <f t="shared" si="78"/>
        <v>8</v>
      </c>
      <c r="BW34" s="23">
        <f t="shared" si="78"/>
        <v>8</v>
      </c>
      <c r="BX34" s="1261" t="s">
        <v>528</v>
      </c>
    </row>
    <row r="35" spans="1:84" ht="17.45" customHeight="1">
      <c r="A35" s="910"/>
      <c r="B35" s="294"/>
      <c r="C35" s="294"/>
      <c r="D35" s="294"/>
      <c r="E35" s="294"/>
      <c r="F35" s="294"/>
      <c r="G35" s="294"/>
      <c r="H35" s="294"/>
      <c r="I35" s="294"/>
      <c r="J35" s="294"/>
      <c r="K35" s="294"/>
      <c r="L35" s="294"/>
      <c r="M35" s="297"/>
      <c r="N35" s="297"/>
      <c r="O35" s="297"/>
      <c r="P35" s="737"/>
      <c r="Q35" s="737"/>
      <c r="R35" s="28"/>
      <c r="S35" s="13" t="s">
        <v>243</v>
      </c>
      <c r="T35" s="958">
        <f>U25</f>
        <v>40263.666666666664</v>
      </c>
      <c r="U35" s="957"/>
      <c r="V35" s="949"/>
      <c r="W35" s="23"/>
      <c r="X35" s="745"/>
      <c r="Y35" s="346"/>
      <c r="Z35" s="523"/>
      <c r="AA35" s="523"/>
      <c r="AB35" s="523"/>
      <c r="AC35" s="523"/>
      <c r="AD35" s="523"/>
      <c r="AE35" s="523"/>
      <c r="AF35" s="523"/>
      <c r="AG35" s="523"/>
      <c r="AH35" s="523"/>
      <c r="AI35" s="523"/>
      <c r="AJ35" s="523"/>
      <c r="AK35" s="28"/>
      <c r="AL35" s="13" t="s">
        <v>243</v>
      </c>
      <c r="AM35" s="23"/>
      <c r="AN35" s="949">
        <f>AP28</f>
        <v>0.30721133343660517</v>
      </c>
      <c r="AO35" s="949">
        <f>AP29</f>
        <v>0.27689243390535978</v>
      </c>
      <c r="AP35" s="1131">
        <f>AI28</f>
        <v>2.6345159013060666</v>
      </c>
      <c r="AQ35" s="29"/>
      <c r="BQ35" s="1313"/>
      <c r="BR35" s="1266">
        <f>BR33/(BR34-1)</f>
        <v>13830.142857142857</v>
      </c>
      <c r="BS35" s="1266">
        <f t="shared" ref="BS35" si="79">BS33/(BS34-1)</f>
        <v>13830.142857142857</v>
      </c>
      <c r="BT35" s="1266">
        <f t="shared" ref="BT35" si="80">BT33/(BT34-1)</f>
        <v>13830.142857142857</v>
      </c>
      <c r="BU35" s="1266">
        <f t="shared" ref="BU35" si="81">BU33/(BU34-1)</f>
        <v>13830.142857142857</v>
      </c>
      <c r="BV35" s="1266">
        <f t="shared" ref="BV35" si="82">BV33/(BV34-1)</f>
        <v>13830.142857142857</v>
      </c>
      <c r="BW35" s="1266">
        <f>BW33/(BW34-1)</f>
        <v>13830.142857142857</v>
      </c>
      <c r="BX35" s="1262" t="s">
        <v>529</v>
      </c>
    </row>
    <row r="36" spans="1:84" ht="17.45" customHeight="1">
      <c r="A36" s="910"/>
      <c r="B36" s="294"/>
      <c r="C36" s="294"/>
      <c r="D36" s="294"/>
      <c r="E36" s="294"/>
      <c r="F36" s="294"/>
      <c r="G36" s="294"/>
      <c r="H36" s="294"/>
      <c r="I36" s="294"/>
      <c r="J36" s="294"/>
      <c r="K36" s="294"/>
      <c r="L36" s="294"/>
      <c r="M36" s="297"/>
      <c r="N36" s="297"/>
      <c r="O36" s="297"/>
      <c r="P36" s="738"/>
      <c r="Q36" s="738"/>
      <c r="R36" s="28"/>
      <c r="S36" s="13" t="s">
        <v>244</v>
      </c>
      <c r="T36" s="958">
        <f>V25</f>
        <v>40919.25</v>
      </c>
      <c r="U36" s="957"/>
      <c r="V36" s="949"/>
      <c r="W36" s="23"/>
      <c r="X36" s="745"/>
      <c r="Y36" s="346"/>
      <c r="Z36" s="523"/>
      <c r="AA36" s="523"/>
      <c r="AB36" s="523"/>
      <c r="AC36" s="523"/>
      <c r="AD36" s="523"/>
      <c r="AE36" s="523"/>
      <c r="AF36" s="523"/>
      <c r="AG36" s="523"/>
      <c r="AH36" s="523"/>
      <c r="AI36" s="523"/>
      <c r="AJ36" s="523"/>
      <c r="AK36" s="28"/>
      <c r="AL36" s="13" t="s">
        <v>244</v>
      </c>
      <c r="AM36" s="23"/>
      <c r="AN36" s="949">
        <f>AQ28</f>
        <v>0.29774517519442956</v>
      </c>
      <c r="AO36" s="949">
        <f>AQ29</f>
        <v>0.34083669127345884</v>
      </c>
      <c r="AP36" s="1131">
        <f>AJ28</f>
        <v>2.9365751452066742</v>
      </c>
      <c r="AQ36" s="29"/>
    </row>
    <row r="37" spans="1:84" ht="17.45" customHeight="1">
      <c r="A37" s="13"/>
      <c r="B37" s="294"/>
      <c r="C37" s="294"/>
      <c r="D37" s="294"/>
      <c r="E37" s="294"/>
      <c r="F37" s="294"/>
      <c r="G37" s="294"/>
      <c r="H37" s="294"/>
      <c r="I37" s="294"/>
      <c r="J37" s="294"/>
      <c r="K37" s="294"/>
      <c r="L37" s="294"/>
      <c r="M37" s="297"/>
      <c r="N37" s="346"/>
      <c r="O37" s="346"/>
      <c r="P37" s="346"/>
      <c r="Q37" s="346"/>
      <c r="R37" s="28"/>
      <c r="S37" s="13" t="s">
        <v>245</v>
      </c>
      <c r="T37" s="958">
        <f>W25</f>
        <v>42023.8</v>
      </c>
      <c r="U37" s="957"/>
      <c r="V37" s="23"/>
      <c r="W37" s="23"/>
      <c r="X37" s="745"/>
      <c r="Y37" s="346"/>
      <c r="Z37" s="523"/>
      <c r="AA37" s="523"/>
      <c r="AB37" s="523"/>
      <c r="AC37" s="523"/>
      <c r="AD37" s="523"/>
      <c r="AE37" s="523"/>
      <c r="AF37" s="523"/>
      <c r="AG37" s="523"/>
      <c r="AH37" s="523"/>
      <c r="AI37" s="523"/>
      <c r="AJ37" s="523"/>
      <c r="AK37" s="28"/>
      <c r="AL37" s="13" t="s">
        <v>245</v>
      </c>
      <c r="AM37" s="23"/>
      <c r="AN37" s="949">
        <f>AR28</f>
        <v>0.34791236061616854</v>
      </c>
      <c r="AO37" s="949">
        <f>AR29</f>
        <v>0.32846034243796762</v>
      </c>
      <c r="AP37" s="1131">
        <f>AK28</f>
        <v>3.5027750988204893</v>
      </c>
      <c r="AQ37" s="29"/>
      <c r="BR37" s="1263">
        <f>SUM(BR17:BR24)/BR34</f>
        <v>0.84377081684312816</v>
      </c>
      <c r="BS37" s="1263">
        <f t="shared" ref="BS37:BW37" si="83">SUM(BS17:BS24)/BS34</f>
        <v>0.85645912621279918</v>
      </c>
      <c r="BT37" s="1263">
        <f t="shared" si="83"/>
        <v>0.91285871148932585</v>
      </c>
      <c r="BU37" s="1264">
        <f t="shared" si="83"/>
        <v>0.83118997891715929</v>
      </c>
      <c r="BV37" s="1263">
        <f t="shared" si="83"/>
        <v>0.98373416213210463</v>
      </c>
      <c r="BW37" s="1263">
        <f t="shared" si="83"/>
        <v>1.7426962070425884</v>
      </c>
      <c r="BX37" s="723" t="s">
        <v>541</v>
      </c>
    </row>
    <row r="38" spans="1:84" ht="17.45" customHeight="1" thickBot="1">
      <c r="A38" s="294"/>
      <c r="B38" s="294"/>
      <c r="C38" s="294"/>
      <c r="D38" s="294"/>
      <c r="E38" s="294"/>
      <c r="F38" s="294"/>
      <c r="G38" s="294"/>
      <c r="H38" s="294"/>
      <c r="I38" s="294"/>
      <c r="J38" s="294"/>
      <c r="K38" s="294"/>
      <c r="L38" s="294"/>
      <c r="M38" s="297"/>
      <c r="N38" s="297"/>
      <c r="O38" s="297"/>
      <c r="P38" s="516"/>
      <c r="Q38" s="290"/>
      <c r="R38" s="32"/>
      <c r="S38" s="30" t="s">
        <v>390</v>
      </c>
      <c r="T38" s="1075">
        <f>X25</f>
        <v>48171.4</v>
      </c>
      <c r="U38" s="31"/>
      <c r="V38" s="23"/>
      <c r="W38" s="23"/>
      <c r="X38" s="745"/>
      <c r="Y38" s="346"/>
      <c r="Z38" s="523"/>
      <c r="AA38" s="523"/>
      <c r="AB38" s="523"/>
      <c r="AC38" s="523"/>
      <c r="AD38" s="523"/>
      <c r="AE38" s="523"/>
      <c r="AF38" s="523"/>
      <c r="AG38" s="523"/>
      <c r="AH38" s="523"/>
      <c r="AI38" s="523"/>
      <c r="AJ38" s="523"/>
      <c r="AK38" s="28"/>
      <c r="AL38" s="1074" t="s">
        <v>390</v>
      </c>
      <c r="AM38" s="23"/>
      <c r="AN38" s="949">
        <f>AS28</f>
        <v>0.6329746134729779</v>
      </c>
      <c r="AO38" s="949">
        <f>AS29</f>
        <v>0.38725060977248821</v>
      </c>
      <c r="AP38" s="1131">
        <f>AL28</f>
        <v>5.0637969077838232</v>
      </c>
      <c r="AQ38" s="29"/>
    </row>
    <row r="39" spans="1:84" ht="16.5" thickBot="1">
      <c r="A39" s="23"/>
      <c r="B39" s="294"/>
      <c r="C39" s="294"/>
      <c r="D39" s="294"/>
      <c r="E39" s="294"/>
      <c r="F39" s="294"/>
      <c r="G39" s="294"/>
      <c r="H39" s="294"/>
      <c r="I39" s="294"/>
      <c r="J39" s="294"/>
      <c r="K39" s="294"/>
      <c r="L39" s="294"/>
      <c r="M39" s="297"/>
      <c r="N39" s="297"/>
      <c r="O39" s="297"/>
      <c r="P39" s="739"/>
      <c r="Q39" s="740"/>
      <c r="R39" s="739"/>
      <c r="S39" s="739"/>
      <c r="T39" s="739"/>
      <c r="U39" s="516"/>
      <c r="V39" s="745"/>
      <c r="W39" s="745"/>
      <c r="X39" s="745"/>
      <c r="Y39" s="346"/>
      <c r="Z39" s="523"/>
      <c r="AA39" s="523"/>
      <c r="AB39" s="523"/>
      <c r="AC39" s="523"/>
      <c r="AD39" s="523"/>
      <c r="AE39" s="523"/>
      <c r="AF39" s="523"/>
      <c r="AG39" s="523"/>
      <c r="AH39" s="523"/>
      <c r="AI39" s="523"/>
      <c r="AJ39" s="523"/>
      <c r="AK39" s="32"/>
      <c r="AL39" s="30"/>
      <c r="AM39" s="30"/>
      <c r="AN39" s="30"/>
      <c r="AO39" s="30"/>
      <c r="AP39" s="30"/>
      <c r="AQ39" s="31"/>
    </row>
    <row r="40" spans="1:84">
      <c r="A40" s="294"/>
      <c r="B40" s="906"/>
      <c r="C40" s="301"/>
      <c r="D40" s="301"/>
      <c r="E40" s="301"/>
      <c r="F40" s="301"/>
      <c r="G40" s="294"/>
      <c r="H40" s="300"/>
      <c r="I40" s="300"/>
      <c r="J40" s="300"/>
      <c r="K40" s="294"/>
      <c r="L40" s="301"/>
      <c r="M40" s="346"/>
      <c r="N40" s="297"/>
      <c r="O40" s="346"/>
      <c r="P40" s="741"/>
      <c r="Q40" s="741"/>
      <c r="R40" s="741"/>
      <c r="S40" s="741"/>
      <c r="T40" s="741"/>
      <c r="U40" s="920"/>
      <c r="V40" s="745"/>
      <c r="W40" s="745"/>
      <c r="X40" s="745"/>
      <c r="Y40" s="346"/>
      <c r="Z40" s="523"/>
      <c r="AA40" s="523"/>
      <c r="AB40" s="523"/>
      <c r="AC40" s="523"/>
      <c r="AD40" s="523"/>
      <c r="AE40" s="523"/>
      <c r="AF40" s="523"/>
      <c r="AG40" s="523"/>
      <c r="AH40" s="523"/>
      <c r="AI40" s="523"/>
      <c r="AJ40" s="523"/>
    </row>
    <row r="41" spans="1:84" ht="23.25">
      <c r="A41" s="279"/>
      <c r="B41" s="301"/>
      <c r="C41" s="301"/>
      <c r="D41" s="305"/>
      <c r="E41" s="305"/>
      <c r="F41" s="305"/>
      <c r="G41" s="294"/>
      <c r="H41" s="301"/>
      <c r="I41" s="294"/>
      <c r="J41" s="301"/>
      <c r="K41" s="294"/>
      <c r="L41" s="301"/>
      <c r="M41" s="346"/>
      <c r="N41" s="297"/>
      <c r="O41" s="297"/>
      <c r="P41" s="516"/>
      <c r="Q41" s="290"/>
      <c r="R41" s="516"/>
      <c r="S41" s="516"/>
      <c r="T41" s="516"/>
      <c r="U41" s="922"/>
      <c r="V41" s="921"/>
      <c r="W41" s="921"/>
      <c r="X41" s="921"/>
      <c r="Y41" s="523"/>
      <c r="Z41" s="523"/>
      <c r="AA41" s="523"/>
      <c r="AB41" s="523"/>
      <c r="AC41" s="346"/>
      <c r="AD41" s="346"/>
      <c r="AE41" s="346"/>
      <c r="AF41" s="346"/>
      <c r="AG41" s="911"/>
      <c r="AH41" s="912"/>
      <c r="AI41" s="346"/>
      <c r="AJ41" s="346"/>
      <c r="AT41" s="1253"/>
    </row>
    <row r="42" spans="1:84">
      <c r="A42" s="907"/>
      <c r="B42" s="908"/>
      <c r="C42" s="908"/>
      <c r="D42" s="908"/>
      <c r="E42" s="909"/>
      <c r="F42" s="294"/>
      <c r="G42" s="294"/>
      <c r="H42" s="294"/>
      <c r="I42" s="294"/>
      <c r="J42" s="294"/>
      <c r="K42" s="294"/>
      <c r="L42" s="294"/>
      <c r="M42" s="297"/>
      <c r="N42" s="346"/>
      <c r="O42" s="346"/>
      <c r="P42" s="346"/>
      <c r="Q42" s="346"/>
      <c r="R42" s="346"/>
      <c r="S42" s="346"/>
      <c r="T42" s="346"/>
      <c r="U42" s="742"/>
      <c r="V42" s="523"/>
      <c r="W42" s="523"/>
      <c r="X42" s="523"/>
      <c r="Y42" s="523"/>
      <c r="Z42" s="523"/>
      <c r="AA42" s="523"/>
      <c r="AB42" s="523"/>
      <c r="AC42" s="346"/>
      <c r="AD42" s="346"/>
      <c r="AE42" s="346"/>
      <c r="AF42" s="346"/>
      <c r="AG42" s="346"/>
      <c r="AH42" s="346"/>
      <c r="AI42" s="346"/>
      <c r="AJ42" s="346"/>
    </row>
    <row r="43" spans="1:84">
      <c r="A43" s="907"/>
      <c r="B43" s="908"/>
      <c r="C43" s="908"/>
      <c r="D43" s="908"/>
      <c r="E43" s="909"/>
      <c r="F43" s="294"/>
      <c r="G43" s="294"/>
      <c r="H43" s="294"/>
      <c r="I43" s="294"/>
      <c r="J43" s="294"/>
      <c r="K43" s="294"/>
      <c r="L43" s="294"/>
      <c r="M43" s="297"/>
      <c r="N43" s="346"/>
      <c r="O43" s="346"/>
      <c r="P43" s="346"/>
      <c r="Q43" s="346"/>
      <c r="R43" s="346"/>
      <c r="S43" s="346"/>
      <c r="T43" s="346"/>
      <c r="U43" s="346"/>
      <c r="V43" s="523"/>
      <c r="W43" s="523"/>
      <c r="X43" s="523"/>
      <c r="Y43" s="523"/>
      <c r="Z43" s="523"/>
      <c r="AA43" s="523"/>
      <c r="AB43" s="523"/>
      <c r="AC43" s="346"/>
      <c r="AD43" s="346"/>
      <c r="AE43" s="346"/>
      <c r="AF43" s="346"/>
      <c r="AG43" s="913"/>
      <c r="AH43" s="913"/>
      <c r="AI43" s="913"/>
      <c r="AJ43" s="346"/>
    </row>
    <row r="44" spans="1:84" ht="26.25">
      <c r="A44" s="907"/>
      <c r="B44" s="908"/>
      <c r="C44" s="908"/>
      <c r="D44" s="908"/>
      <c r="E44" s="909"/>
      <c r="F44" s="294"/>
      <c r="G44" s="294"/>
      <c r="H44" s="294"/>
      <c r="I44" s="294"/>
      <c r="J44" s="294"/>
      <c r="K44" s="294"/>
      <c r="L44" s="294"/>
      <c r="M44" s="297"/>
      <c r="N44" s="297"/>
      <c r="O44" s="297"/>
      <c r="P44" s="516"/>
      <c r="Q44" s="290"/>
      <c r="R44" s="516"/>
      <c r="S44" s="516"/>
      <c r="T44" s="516"/>
      <c r="U44" s="290"/>
      <c r="V44" s="523"/>
      <c r="W44" s="523"/>
      <c r="X44" s="523"/>
      <c r="Y44" s="523"/>
      <c r="Z44" s="523"/>
      <c r="AA44" s="523"/>
      <c r="AB44" s="523"/>
      <c r="AC44" s="346"/>
      <c r="AD44" s="914"/>
      <c r="AE44" s="914"/>
      <c r="AF44" s="915"/>
      <c r="AG44" s="916"/>
      <c r="AH44" s="916"/>
      <c r="AI44" s="916"/>
      <c r="AJ44" s="346"/>
    </row>
    <row r="45" spans="1:84" ht="26.25">
      <c r="A45" s="907"/>
      <c r="B45" s="908"/>
      <c r="C45" s="908"/>
      <c r="D45" s="908"/>
      <c r="E45" s="909"/>
      <c r="F45" s="294"/>
      <c r="G45" s="292"/>
      <c r="H45" s="292"/>
      <c r="I45" s="292"/>
      <c r="J45" s="292"/>
      <c r="K45" s="292"/>
      <c r="L45" s="292"/>
      <c r="M45" s="297"/>
      <c r="N45" s="297"/>
      <c r="O45" s="297"/>
      <c r="P45" s="516"/>
      <c r="Q45" s="290"/>
      <c r="R45" s="516"/>
      <c r="S45" s="516"/>
      <c r="T45" s="516"/>
      <c r="U45" s="290"/>
      <c r="V45" s="523"/>
      <c r="W45" s="523"/>
      <c r="X45" s="523"/>
      <c r="Y45" s="523"/>
      <c r="Z45" s="523"/>
      <c r="AA45" s="523"/>
      <c r="AB45" s="523"/>
      <c r="AC45" s="346"/>
      <c r="AD45" s="914"/>
      <c r="AE45" s="914"/>
      <c r="AF45" s="915"/>
      <c r="AG45" s="916"/>
      <c r="AH45" s="916"/>
      <c r="AI45" s="916"/>
      <c r="AJ45" s="346"/>
    </row>
    <row r="46" spans="1:84" ht="26.25">
      <c r="A46" s="907"/>
      <c r="B46" s="908"/>
      <c r="C46" s="908"/>
      <c r="D46" s="908"/>
      <c r="E46" s="909"/>
      <c r="F46" s="294"/>
      <c r="G46" s="292"/>
      <c r="H46" s="292"/>
      <c r="I46" s="292"/>
      <c r="J46" s="292"/>
      <c r="K46" s="292"/>
      <c r="L46" s="292"/>
      <c r="M46" s="297"/>
      <c r="N46" s="297"/>
      <c r="O46" s="297"/>
      <c r="P46" s="516"/>
      <c r="Q46" s="290"/>
      <c r="R46" s="516"/>
      <c r="S46" s="516"/>
      <c r="T46" s="516"/>
      <c r="U46" s="290"/>
      <c r="V46" s="523"/>
      <c r="W46" s="523"/>
      <c r="X46" s="523"/>
      <c r="Y46" s="523"/>
      <c r="Z46" s="523"/>
      <c r="AA46" s="523"/>
      <c r="AB46" s="523"/>
      <c r="AC46" s="346"/>
      <c r="AD46" s="914"/>
      <c r="AE46" s="914"/>
      <c r="AF46" s="915"/>
      <c r="AG46" s="916"/>
      <c r="AH46" s="916"/>
      <c r="AI46" s="916"/>
      <c r="AJ46" s="346"/>
    </row>
    <row r="47" spans="1:84">
      <c r="A47" s="907"/>
      <c r="B47" s="908"/>
      <c r="C47" s="908"/>
      <c r="D47" s="908"/>
      <c r="E47" s="909"/>
      <c r="F47" s="294"/>
      <c r="G47" s="292"/>
      <c r="H47" s="292"/>
      <c r="I47" s="292"/>
      <c r="J47" s="292"/>
      <c r="K47" s="292"/>
      <c r="L47" s="292"/>
      <c r="M47" s="297"/>
      <c r="N47" s="297"/>
      <c r="O47" s="297"/>
      <c r="P47" s="297"/>
      <c r="Q47" s="297"/>
      <c r="R47" s="346"/>
      <c r="S47" s="346"/>
      <c r="T47" s="346"/>
      <c r="U47" s="346"/>
      <c r="V47" s="523"/>
      <c r="W47" s="523"/>
      <c r="X47" s="523"/>
      <c r="Y47" s="523"/>
      <c r="Z47" s="523"/>
      <c r="AA47" s="523"/>
      <c r="AB47" s="523"/>
      <c r="AC47" s="346"/>
      <c r="AD47" s="346"/>
      <c r="AE47" s="346"/>
      <c r="AF47" s="346"/>
      <c r="AG47" s="346"/>
      <c r="AH47" s="346"/>
      <c r="AI47" s="346"/>
      <c r="AJ47" s="346"/>
    </row>
    <row r="48" spans="1:84">
      <c r="A48" s="907"/>
      <c r="B48" s="908"/>
      <c r="C48" s="908"/>
      <c r="D48" s="908"/>
      <c r="E48" s="909"/>
      <c r="F48" s="294"/>
      <c r="G48" s="292"/>
      <c r="H48" s="292"/>
      <c r="I48" s="292"/>
      <c r="J48" s="292"/>
      <c r="K48" s="292"/>
      <c r="L48" s="292"/>
      <c r="M48" s="297"/>
      <c r="N48" s="297"/>
      <c r="O48" s="297"/>
      <c r="P48" s="297"/>
      <c r="Q48" s="297"/>
      <c r="R48" s="731"/>
      <c r="S48" s="346"/>
      <c r="T48" s="346"/>
      <c r="U48" s="346"/>
      <c r="V48" s="523"/>
      <c r="W48" s="523"/>
      <c r="X48" s="523"/>
      <c r="Y48" s="523"/>
      <c r="Z48" s="523"/>
      <c r="AA48" s="523"/>
      <c r="AB48" s="523"/>
      <c r="AC48" s="346"/>
      <c r="AD48" s="297"/>
      <c r="AE48" s="297"/>
      <c r="AF48" s="297"/>
      <c r="AG48" s="297"/>
      <c r="AH48" s="297"/>
      <c r="AI48" s="731"/>
      <c r="AJ48" s="346"/>
      <c r="AK48" s="523"/>
      <c r="AL48" s="523"/>
      <c r="AM48" s="523"/>
    </row>
    <row r="49" spans="1:70">
      <c r="A49" s="907"/>
      <c r="B49" s="908"/>
      <c r="C49" s="908"/>
      <c r="D49" s="908"/>
      <c r="E49" s="909"/>
      <c r="F49" s="294"/>
      <c r="G49" s="292"/>
      <c r="H49" s="292"/>
      <c r="I49" s="292"/>
      <c r="J49" s="292"/>
      <c r="K49" s="292"/>
      <c r="L49" s="292"/>
      <c r="M49" s="297"/>
      <c r="N49" s="305"/>
      <c r="O49" s="297"/>
      <c r="P49" s="516"/>
      <c r="Q49" s="290"/>
      <c r="R49" s="516"/>
      <c r="S49" s="516"/>
      <c r="T49" s="516"/>
      <c r="U49" s="346"/>
      <c r="V49" s="523"/>
      <c r="W49" s="523"/>
      <c r="X49" s="523"/>
      <c r="Y49" s="523"/>
      <c r="Z49" s="523"/>
      <c r="AA49" s="523"/>
      <c r="AB49" s="523"/>
      <c r="AC49" s="346"/>
      <c r="AD49" s="305"/>
      <c r="AE49" s="305"/>
      <c r="AF49" s="297"/>
      <c r="AG49" s="516"/>
      <c r="AH49" s="290"/>
      <c r="AI49" s="516"/>
      <c r="AJ49" s="516"/>
      <c r="AK49" s="512"/>
      <c r="AL49" s="512"/>
      <c r="AM49" s="523"/>
      <c r="BR49" s="523"/>
    </row>
    <row r="50" spans="1:70">
      <c r="A50" s="907"/>
      <c r="B50" s="908"/>
      <c r="C50" s="908"/>
      <c r="D50" s="908"/>
      <c r="E50" s="909"/>
      <c r="F50" s="294"/>
      <c r="G50" s="292"/>
      <c r="H50" s="292"/>
      <c r="I50" s="292"/>
      <c r="J50" s="292"/>
      <c r="K50" s="292"/>
      <c r="L50" s="292"/>
      <c r="M50" s="297"/>
      <c r="N50" s="305"/>
      <c r="O50" s="297"/>
      <c r="P50" s="516"/>
      <c r="Q50" s="290"/>
      <c r="R50" s="516"/>
      <c r="S50" s="516"/>
      <c r="T50" s="516"/>
      <c r="U50" s="346"/>
      <c r="V50" s="523"/>
      <c r="W50" s="523"/>
      <c r="X50" s="523"/>
      <c r="Y50" s="523"/>
      <c r="Z50" s="523"/>
      <c r="AA50" s="523"/>
      <c r="AB50" s="523"/>
      <c r="AC50" s="523"/>
      <c r="AD50" s="524"/>
      <c r="AE50" s="524"/>
      <c r="AF50" s="522"/>
      <c r="AG50" s="512"/>
      <c r="AH50" s="325"/>
      <c r="AI50" s="512"/>
      <c r="AJ50" s="512"/>
      <c r="AK50" s="512"/>
      <c r="AL50" s="512"/>
      <c r="AM50" s="523"/>
      <c r="AN50" s="523"/>
      <c r="BR50" s="523"/>
    </row>
    <row r="51" spans="1:70">
      <c r="A51" s="907"/>
      <c r="B51" s="908"/>
      <c r="C51" s="908"/>
      <c r="D51" s="908"/>
      <c r="E51" s="909"/>
      <c r="F51" s="294"/>
      <c r="G51" s="292"/>
      <c r="H51" s="292"/>
      <c r="I51" s="292"/>
      <c r="J51" s="292"/>
      <c r="K51" s="292"/>
      <c r="L51" s="292"/>
      <c r="M51" s="297"/>
      <c r="N51" s="305"/>
      <c r="O51" s="297"/>
      <c r="P51" s="290"/>
      <c r="Q51" s="290"/>
      <c r="R51" s="290"/>
      <c r="S51" s="290"/>
      <c r="T51" s="290"/>
      <c r="U51" s="346"/>
      <c r="V51" s="523"/>
      <c r="W51" s="523"/>
      <c r="X51" s="523"/>
      <c r="Y51" s="523"/>
      <c r="Z51" s="523"/>
      <c r="AA51" s="523"/>
      <c r="AB51" s="523"/>
      <c r="AC51" s="523"/>
      <c r="AD51" s="523"/>
      <c r="AE51" s="523"/>
      <c r="AF51" s="523"/>
      <c r="AG51" s="905"/>
      <c r="AH51" s="523"/>
      <c r="AI51" s="523"/>
      <c r="AJ51" s="523"/>
      <c r="AK51" s="523"/>
      <c r="AL51" s="523"/>
      <c r="AM51" s="523"/>
      <c r="AN51" s="523"/>
      <c r="BR51" s="523"/>
    </row>
    <row r="52" spans="1:70">
      <c r="A52" s="907"/>
      <c r="B52" s="908"/>
      <c r="C52" s="908"/>
      <c r="D52" s="908"/>
      <c r="E52" s="909"/>
      <c r="F52" s="294"/>
      <c r="G52" s="292"/>
      <c r="H52" s="292"/>
      <c r="I52" s="292"/>
      <c r="J52" s="292"/>
      <c r="K52" s="292"/>
      <c r="L52" s="292"/>
      <c r="M52" s="297"/>
      <c r="N52" s="305"/>
      <c r="O52" s="297"/>
      <c r="P52" s="290"/>
      <c r="Q52" s="290"/>
      <c r="R52" s="290"/>
      <c r="S52" s="290"/>
      <c r="T52" s="290"/>
      <c r="U52" s="346"/>
      <c r="V52" s="523"/>
      <c r="W52" s="523"/>
      <c r="X52" s="523"/>
      <c r="Y52" s="523"/>
      <c r="Z52" s="523"/>
      <c r="AA52" s="523"/>
      <c r="AB52" s="523"/>
      <c r="AC52" s="523"/>
      <c r="AD52" s="523"/>
      <c r="AE52" s="523"/>
      <c r="AF52" s="523"/>
      <c r="AG52" s="523"/>
      <c r="AH52" s="523"/>
      <c r="AI52" s="523"/>
      <c r="AJ52" s="523"/>
      <c r="AK52" s="523"/>
      <c r="AL52" s="523"/>
      <c r="AM52" s="523"/>
      <c r="AN52" s="523"/>
      <c r="BR52" s="523"/>
    </row>
    <row r="53" spans="1:70">
      <c r="A53" s="907"/>
      <c r="B53" s="908"/>
      <c r="C53" s="908"/>
      <c r="D53" s="908"/>
      <c r="E53" s="909"/>
      <c r="F53" s="294"/>
      <c r="G53" s="292"/>
      <c r="H53" s="292"/>
      <c r="I53" s="292"/>
      <c r="J53" s="292"/>
      <c r="K53" s="292"/>
      <c r="L53" s="292"/>
      <c r="M53" s="292"/>
      <c r="N53" s="322"/>
      <c r="O53" s="292"/>
      <c r="P53" s="296"/>
      <c r="Q53" s="296"/>
      <c r="R53" s="296"/>
      <c r="S53" s="296"/>
      <c r="T53" s="325"/>
      <c r="U53" s="523"/>
      <c r="V53" s="523"/>
      <c r="W53" s="523"/>
      <c r="X53" s="523"/>
      <c r="Y53" s="523"/>
      <c r="Z53" s="523"/>
      <c r="AA53" s="523"/>
      <c r="AB53" s="523"/>
      <c r="AC53" s="523"/>
      <c r="AD53" s="523"/>
      <c r="AE53" s="523"/>
      <c r="AF53" s="523"/>
      <c r="AG53" s="523"/>
      <c r="AH53" s="523"/>
      <c r="AI53" s="523"/>
      <c r="AJ53" s="523"/>
    </row>
    <row r="54" spans="1:70">
      <c r="A54" s="907"/>
      <c r="B54" s="908"/>
      <c r="C54" s="908"/>
      <c r="D54" s="908"/>
      <c r="E54" s="909"/>
      <c r="F54" s="294"/>
      <c r="G54" s="292"/>
      <c r="H54" s="292"/>
      <c r="I54" s="292"/>
      <c r="J54" s="292"/>
      <c r="K54" s="292"/>
      <c r="L54" s="292"/>
      <c r="M54" s="292"/>
      <c r="N54" s="322"/>
      <c r="O54" s="292"/>
      <c r="P54" s="296"/>
      <c r="Q54" s="296"/>
      <c r="R54" s="296"/>
      <c r="S54" s="296"/>
      <c r="T54" s="325"/>
    </row>
    <row r="55" spans="1:70">
      <c r="A55" s="907"/>
      <c r="B55" s="908"/>
      <c r="C55" s="908"/>
      <c r="D55" s="908"/>
      <c r="E55" s="909"/>
      <c r="F55" s="294"/>
      <c r="G55" s="292"/>
      <c r="H55" s="292"/>
      <c r="I55" s="292"/>
      <c r="J55" s="292"/>
      <c r="K55" s="292"/>
      <c r="L55" s="292"/>
      <c r="M55" s="292"/>
      <c r="N55" s="322"/>
      <c r="O55" s="292"/>
      <c r="P55" s="296"/>
      <c r="Q55" s="296"/>
      <c r="R55" s="296"/>
      <c r="S55" s="296"/>
      <c r="T55" s="325"/>
    </row>
    <row r="56" spans="1:70">
      <c r="A56" s="907"/>
      <c r="B56" s="908"/>
      <c r="C56" s="908"/>
      <c r="D56" s="908"/>
      <c r="E56" s="909"/>
      <c r="F56" s="294"/>
      <c r="G56" s="292"/>
      <c r="H56" s="292"/>
      <c r="I56" s="292"/>
      <c r="J56" s="292"/>
      <c r="K56" s="292"/>
      <c r="L56" s="292"/>
      <c r="M56" s="292"/>
      <c r="N56" s="322"/>
      <c r="O56" s="292"/>
      <c r="P56" s="298"/>
      <c r="Q56" s="298"/>
      <c r="R56" s="298"/>
      <c r="S56" s="298"/>
      <c r="T56" s="290"/>
      <c r="U56" s="23"/>
      <c r="V56" s="23"/>
    </row>
    <row r="57" spans="1:70">
      <c r="A57" s="907"/>
      <c r="B57" s="908"/>
      <c r="C57" s="908"/>
      <c r="D57" s="908"/>
      <c r="E57" s="909"/>
      <c r="F57" s="294"/>
      <c r="G57" s="292"/>
      <c r="H57" s="292"/>
      <c r="I57" s="292"/>
      <c r="J57" s="292"/>
      <c r="K57" s="292"/>
      <c r="L57" s="292"/>
      <c r="M57" s="292"/>
      <c r="N57" s="322"/>
      <c r="O57" s="292"/>
      <c r="P57" s="298"/>
      <c r="Q57" s="298"/>
      <c r="R57" s="298"/>
      <c r="S57" s="298"/>
      <c r="T57" s="290"/>
      <c r="U57" s="23"/>
      <c r="V57" s="23"/>
    </row>
    <row r="58" spans="1:70">
      <c r="A58" s="907"/>
      <c r="B58" s="908"/>
      <c r="C58" s="908"/>
      <c r="D58" s="908"/>
      <c r="E58" s="909"/>
      <c r="F58" s="294"/>
      <c r="G58" s="292"/>
      <c r="H58" s="292"/>
      <c r="I58" s="292"/>
      <c r="J58" s="292"/>
      <c r="K58" s="292"/>
      <c r="L58" s="292"/>
      <c r="M58" s="292"/>
      <c r="N58" s="322"/>
      <c r="O58" s="292"/>
      <c r="P58" s="298"/>
      <c r="Q58" s="298"/>
      <c r="R58" s="298"/>
      <c r="S58" s="298"/>
      <c r="T58" s="290"/>
      <c r="U58" s="23"/>
      <c r="V58" s="23"/>
    </row>
    <row r="59" spans="1:70">
      <c r="A59" s="907"/>
      <c r="B59" s="908"/>
      <c r="C59" s="908"/>
      <c r="D59" s="908"/>
      <c r="E59" s="909"/>
      <c r="F59" s="294"/>
      <c r="G59" s="292"/>
      <c r="H59" s="292"/>
      <c r="I59" s="292"/>
      <c r="J59" s="292"/>
      <c r="K59" s="292"/>
      <c r="L59" s="292"/>
      <c r="M59" s="292"/>
      <c r="N59" s="322"/>
      <c r="O59" s="292"/>
      <c r="P59" s="298"/>
      <c r="Q59" s="298"/>
      <c r="R59" s="298"/>
      <c r="S59" s="298"/>
      <c r="T59" s="290"/>
      <c r="U59" s="23"/>
      <c r="V59" s="23"/>
    </row>
    <row r="60" spans="1:70" ht="10.5" customHeight="1">
      <c r="A60" s="294"/>
      <c r="B60" s="294"/>
      <c r="C60" s="294"/>
      <c r="D60" s="294"/>
      <c r="E60" s="294"/>
      <c r="F60" s="294"/>
      <c r="G60" s="292"/>
      <c r="H60" s="292"/>
      <c r="I60" s="292"/>
      <c r="J60" s="292"/>
      <c r="K60" s="292"/>
      <c r="L60" s="292"/>
      <c r="M60" s="292"/>
      <c r="N60" s="292"/>
      <c r="O60" s="292"/>
      <c r="P60" s="294"/>
      <c r="Q60" s="294"/>
      <c r="R60" s="23"/>
      <c r="S60" s="23"/>
      <c r="T60" s="23"/>
      <c r="U60" s="23"/>
      <c r="V60" s="23"/>
    </row>
    <row r="61" spans="1:70">
      <c r="A61" s="294"/>
      <c r="B61" s="909"/>
      <c r="C61" s="909"/>
      <c r="D61" s="909"/>
      <c r="E61" s="909"/>
      <c r="F61" s="294"/>
      <c r="G61" s="292"/>
      <c r="H61" s="292"/>
      <c r="I61" s="292"/>
      <c r="J61" s="292"/>
      <c r="K61" s="292"/>
      <c r="L61" s="292"/>
      <c r="M61" s="292"/>
      <c r="N61" s="292"/>
      <c r="O61" s="292"/>
      <c r="P61" s="294"/>
      <c r="Q61" s="294"/>
      <c r="R61" s="23"/>
      <c r="S61" s="23"/>
      <c r="T61" s="23"/>
      <c r="U61" s="23"/>
      <c r="V61" s="23"/>
    </row>
    <row r="62" spans="1:70">
      <c r="A62" s="294"/>
      <c r="B62" s="294"/>
      <c r="C62" s="294"/>
      <c r="D62" s="294"/>
      <c r="E62" s="294"/>
      <c r="F62" s="294"/>
      <c r="G62" s="292"/>
      <c r="H62" s="292"/>
      <c r="I62" s="292"/>
      <c r="J62" s="292"/>
      <c r="K62" s="292"/>
      <c r="L62" s="292"/>
      <c r="M62" s="292"/>
      <c r="N62" s="292"/>
      <c r="O62" s="292"/>
      <c r="P62" s="294"/>
      <c r="Q62" s="693"/>
      <c r="R62" s="694"/>
      <c r="S62" s="693"/>
      <c r="T62" s="693"/>
      <c r="U62" s="693"/>
      <c r="V62" s="23"/>
    </row>
    <row r="63" spans="1:70">
      <c r="A63" s="292"/>
      <c r="B63" s="292"/>
      <c r="C63" s="310"/>
      <c r="D63" s="292"/>
      <c r="E63" s="292"/>
      <c r="F63" s="292"/>
      <c r="G63" s="292"/>
      <c r="H63" s="292"/>
      <c r="I63" s="292"/>
      <c r="J63" s="292"/>
      <c r="K63" s="292"/>
      <c r="L63" s="292"/>
      <c r="M63" s="292"/>
      <c r="N63" s="292"/>
      <c r="O63" s="292"/>
      <c r="P63" s="294"/>
      <c r="Q63" s="294"/>
      <c r="R63" s="23"/>
      <c r="S63" s="23"/>
      <c r="T63" s="23"/>
      <c r="U63" s="23"/>
      <c r="V63" s="23"/>
    </row>
    <row r="64" spans="1:70">
      <c r="A64" s="292"/>
      <c r="B64" s="743"/>
      <c r="C64" s="292"/>
      <c r="D64" s="292"/>
      <c r="E64" s="292"/>
      <c r="F64" s="292"/>
      <c r="G64" s="292"/>
      <c r="H64" s="292"/>
      <c r="I64" s="292"/>
      <c r="J64" s="292"/>
      <c r="K64" s="292"/>
      <c r="L64" s="292"/>
      <c r="M64" s="292"/>
      <c r="N64" s="292"/>
      <c r="O64" s="292"/>
      <c r="P64" s="292"/>
      <c r="Q64" s="292"/>
    </row>
    <row r="65" spans="1:17">
      <c r="A65" s="292"/>
      <c r="B65" s="510"/>
      <c r="C65" s="292"/>
      <c r="D65" s="292"/>
      <c r="E65" s="292"/>
      <c r="F65" s="292"/>
      <c r="G65" s="292"/>
      <c r="H65" s="292"/>
      <c r="I65" s="292"/>
      <c r="J65" s="292"/>
      <c r="K65" s="292"/>
      <c r="L65" s="292"/>
      <c r="M65" s="292"/>
      <c r="N65" s="292"/>
      <c r="O65" s="292"/>
      <c r="P65" s="292"/>
      <c r="Q65" s="292"/>
    </row>
    <row r="66" spans="1:17">
      <c r="A66" s="292"/>
      <c r="B66" s="518"/>
      <c r="C66" s="292"/>
      <c r="D66" s="292"/>
      <c r="E66" s="292"/>
      <c r="F66" s="292"/>
      <c r="G66" s="292"/>
      <c r="H66" s="292"/>
      <c r="I66" s="292"/>
      <c r="J66" s="292"/>
      <c r="K66" s="292"/>
      <c r="L66" s="292"/>
      <c r="M66" s="292"/>
      <c r="N66" s="292"/>
      <c r="O66" s="292"/>
      <c r="P66" s="292"/>
      <c r="Q66" s="292"/>
    </row>
    <row r="67" spans="1:17">
      <c r="B67" s="510"/>
      <c r="C67" s="292"/>
      <c r="D67" s="292"/>
      <c r="E67" s="292"/>
      <c r="F67" s="292"/>
      <c r="G67" s="292"/>
      <c r="H67" s="292"/>
      <c r="I67" s="292"/>
      <c r="J67" s="292"/>
      <c r="K67" s="292"/>
      <c r="L67" s="292"/>
      <c r="M67" s="292"/>
      <c r="N67" s="292"/>
      <c r="O67" s="292"/>
      <c r="P67" s="292"/>
      <c r="Q67" s="292"/>
    </row>
    <row r="68" spans="1:17">
      <c r="B68" s="510"/>
      <c r="C68" s="292"/>
      <c r="D68" s="292"/>
      <c r="E68" s="292"/>
      <c r="F68" s="292"/>
      <c r="G68" s="292"/>
      <c r="H68" s="292"/>
      <c r="I68" s="292"/>
      <c r="J68" s="292"/>
      <c r="K68" s="292"/>
      <c r="L68" s="292"/>
      <c r="M68" s="292"/>
      <c r="N68" s="292"/>
      <c r="O68" s="292"/>
      <c r="P68" s="292"/>
      <c r="Q68" s="292"/>
    </row>
    <row r="69" spans="1:17">
      <c r="B69" s="510"/>
      <c r="C69" s="292"/>
      <c r="D69" s="292"/>
      <c r="E69" s="292"/>
      <c r="F69" s="292"/>
      <c r="G69" s="292"/>
      <c r="H69" s="292"/>
      <c r="I69" s="292"/>
      <c r="J69" s="292"/>
      <c r="K69" s="292"/>
      <c r="L69" s="292"/>
      <c r="M69" s="292"/>
      <c r="N69" s="292"/>
      <c r="O69" s="292"/>
      <c r="P69" s="292"/>
      <c r="Q69" s="292"/>
    </row>
    <row r="70" spans="1:17">
      <c r="A70" s="292"/>
      <c r="B70" s="292"/>
      <c r="C70" s="292"/>
      <c r="D70" s="292"/>
      <c r="E70" s="292"/>
      <c r="F70" s="292"/>
      <c r="G70" s="292"/>
      <c r="H70" s="292"/>
      <c r="I70" s="292"/>
      <c r="J70" s="292"/>
      <c r="K70" s="292"/>
      <c r="L70" s="292"/>
      <c r="M70" s="292"/>
      <c r="N70" s="292"/>
      <c r="O70" s="292"/>
      <c r="P70" s="292"/>
      <c r="Q70" s="292"/>
    </row>
    <row r="71" spans="1:17">
      <c r="A71" s="292"/>
      <c r="B71" s="292"/>
      <c r="C71" s="292"/>
      <c r="D71" s="292"/>
      <c r="E71" s="292"/>
      <c r="F71" s="292"/>
      <c r="G71" s="292"/>
      <c r="H71" s="292"/>
      <c r="I71" s="292"/>
      <c r="J71" s="292"/>
      <c r="K71" s="292"/>
      <c r="L71" s="292"/>
      <c r="M71" s="292"/>
      <c r="N71" s="292"/>
      <c r="O71" s="292"/>
      <c r="P71" s="292"/>
      <c r="Q71" s="292"/>
    </row>
    <row r="72" spans="1:17">
      <c r="A72" s="292"/>
      <c r="B72" s="292"/>
      <c r="C72" s="292"/>
      <c r="D72" s="292"/>
      <c r="E72" s="292"/>
      <c r="F72" s="292"/>
      <c r="G72" s="292"/>
      <c r="H72" s="292"/>
      <c r="I72" s="292"/>
      <c r="J72" s="292"/>
      <c r="K72" s="292"/>
      <c r="L72" s="292"/>
      <c r="M72" s="292"/>
      <c r="N72" s="292"/>
      <c r="O72" s="292"/>
      <c r="P72" s="292"/>
      <c r="Q72" s="292"/>
    </row>
    <row r="73" spans="1:17">
      <c r="A73" s="292"/>
      <c r="B73" s="292"/>
      <c r="C73" s="292"/>
      <c r="D73" s="292"/>
      <c r="E73" s="292"/>
      <c r="F73" s="292"/>
      <c r="G73" s="292"/>
      <c r="H73" s="292"/>
      <c r="I73" s="292"/>
      <c r="J73" s="292"/>
      <c r="K73" s="292"/>
      <c r="L73" s="292"/>
      <c r="M73" s="292"/>
      <c r="N73" s="292"/>
      <c r="O73" s="292"/>
      <c r="P73" s="292"/>
      <c r="Q73" s="292"/>
    </row>
    <row r="74" spans="1:17">
      <c r="A74" s="292"/>
      <c r="B74" s="292"/>
      <c r="C74" s="292"/>
      <c r="D74" s="292"/>
      <c r="E74" s="292"/>
      <c r="F74" s="292"/>
      <c r="G74" s="292"/>
      <c r="H74" s="292"/>
      <c r="I74" s="292"/>
      <c r="J74" s="292"/>
      <c r="K74" s="292"/>
      <c r="L74" s="292"/>
      <c r="M74" s="292"/>
      <c r="N74" s="292"/>
      <c r="O74" s="292"/>
      <c r="P74" s="292"/>
      <c r="Q74" s="292"/>
    </row>
    <row r="75" spans="1:17">
      <c r="A75" s="292"/>
      <c r="B75" s="292"/>
      <c r="C75" s="292"/>
      <c r="D75" s="292"/>
      <c r="E75" s="292"/>
      <c r="F75" s="292"/>
      <c r="G75" s="292"/>
      <c r="H75" s="292"/>
      <c r="I75" s="292"/>
      <c r="J75" s="292"/>
      <c r="K75" s="292"/>
      <c r="L75" s="292"/>
      <c r="M75" s="292"/>
      <c r="N75" s="292"/>
      <c r="O75" s="292"/>
      <c r="P75" s="292"/>
      <c r="Q75" s="292"/>
    </row>
    <row r="76" spans="1:17">
      <c r="A76" s="292"/>
      <c r="B76" s="292"/>
      <c r="C76" s="292"/>
      <c r="D76" s="292"/>
      <c r="E76" s="292"/>
      <c r="F76" s="292"/>
      <c r="G76" s="292"/>
      <c r="H76" s="292"/>
      <c r="I76" s="292"/>
      <c r="J76" s="292"/>
      <c r="K76" s="292"/>
      <c r="L76" s="292"/>
      <c r="M76" s="292"/>
      <c r="N76" s="292"/>
      <c r="O76" s="292"/>
      <c r="P76" s="292"/>
      <c r="Q76" s="292"/>
    </row>
    <row r="90" spans="48:48">
      <c r="AV90" t="s">
        <v>465</v>
      </c>
    </row>
    <row r="91" spans="48:48">
      <c r="AV91" t="s">
        <v>458</v>
      </c>
    </row>
    <row r="92" spans="48:48">
      <c r="AV92" t="s">
        <v>459</v>
      </c>
    </row>
  </sheetData>
  <mergeCells count="3">
    <mergeCell ref="BQ5:BQ6"/>
    <mergeCell ref="BQ27:BQ29"/>
    <mergeCell ref="BQ33:BQ35"/>
  </mergeCells>
  <phoneticPr fontId="47" type="noConversion"/>
  <conditionalFormatting sqref="BR9:BS9 BR8 BR17:BW24 BR12:BV16 BR11:BU11 BR10:BT10">
    <cfRule type="cellIs" dxfId="7" priority="1" operator="lessThan">
      <formula>1</formula>
    </cfRule>
    <cfRule type="cellIs" dxfId="6" priority="2" operator="greaterThan">
      <formula>1</formula>
    </cfRule>
  </conditionalFormatting>
  <pageMargins left="0.7" right="0.7" top="0.75" bottom="0.75" header="0.3" footer="0.3"/>
  <pageSetup scale="47" fitToWidth="0" orientation="portrait" r:id="rId1"/>
  <headerFooter alignWithMargins="0"/>
  <drawing r:id="rId2"/>
  <legacyDrawing r:id="rId3"/>
  <extLst>
    <ext xmlns:x14="http://schemas.microsoft.com/office/spreadsheetml/2009/9/main" uri="{05C60535-1F16-4fd2-B633-F4F36F0B64E0}">
      <x14:sparklineGroups xmlns:xm="http://schemas.microsoft.com/office/excel/2006/main">
        <x14:sparklineGroup manualMax="0" manualMin="0" type="column" displayEmptyCellsAs="gap" xr2:uid="{00000000-0003-0000-0600-000000000000}">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Mean_run_forecasts!AG7:AG24</xm:f>
              <xm:sqref>AG3</xm:sqref>
            </x14:sparkline>
            <x14:sparkline>
              <xm:f>Mean_run_forecasts!AH7:AH24</xm:f>
              <xm:sqref>AH3</xm:sqref>
            </x14:sparkline>
            <x14:sparkline>
              <xm:f>Mean_run_forecasts!AI7:AI24</xm:f>
              <xm:sqref>AI3</xm:sqref>
            </x14:sparkline>
            <x14:sparkline>
              <xm:f>Mean_run_forecasts!AJ7:AJ24</xm:f>
              <xm:sqref>AJ3</xm:sqref>
            </x14:sparkline>
            <x14:sparkline>
              <xm:f>Mean_run_forecasts!AK7:AK24</xm:f>
              <xm:sqref>AK3</xm:sqref>
            </x14:sparkline>
            <x14:sparkline>
              <xm:f>Mean_run_forecasts!AL7:AL24</xm:f>
              <xm:sqref>AL3</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transitionEntry="1" codeName="Sheet17">
    <tabColor rgb="FFFFC000"/>
    <pageSetUpPr fitToPage="1"/>
  </sheetPr>
  <dimension ref="A1:AJ149"/>
  <sheetViews>
    <sheetView zoomScale="77" zoomScaleNormal="77" zoomScaleSheetLayoutView="100" workbookViewId="0">
      <selection activeCell="AF26" sqref="AF26:AI27"/>
    </sheetView>
  </sheetViews>
  <sheetFormatPr defaultColWidth="14.25" defaultRowHeight="15.75"/>
  <cols>
    <col min="1" max="1" width="9.25" style="826" customWidth="1"/>
    <col min="2" max="2" width="14.125" style="825" customWidth="1"/>
    <col min="3" max="3" width="14.25" style="826" customWidth="1"/>
    <col min="4" max="4" width="15" style="826" customWidth="1"/>
    <col min="5" max="5" width="12.75" style="826" customWidth="1"/>
    <col min="6" max="6" width="5.125" customWidth="1"/>
    <col min="7" max="7" width="9.75" style="826" customWidth="1"/>
    <col min="8" max="8" width="12.625" style="826" customWidth="1"/>
    <col min="9" max="9" width="12.5" style="826" customWidth="1"/>
    <col min="10" max="10" width="19" style="826" customWidth="1"/>
    <col min="11" max="11" width="14.125" style="826" customWidth="1"/>
    <col min="12" max="12" width="5.125" customWidth="1"/>
    <col min="13" max="13" width="11.75" style="828" customWidth="1"/>
    <col min="14" max="14" width="11.25" style="828" customWidth="1"/>
    <col min="15" max="15" width="16.625" style="828" customWidth="1"/>
    <col min="16" max="16" width="15.625" style="843" customWidth="1"/>
    <col min="17" max="17" width="16.25" style="843" customWidth="1"/>
    <col min="18" max="18" width="5.125" customWidth="1"/>
    <col min="19" max="19" width="10.625" style="843" customWidth="1"/>
    <col min="20" max="20" width="11.625" style="828" customWidth="1"/>
    <col min="21" max="23" width="14.25" style="828"/>
    <col min="24" max="24" width="5.125" customWidth="1"/>
    <col min="25" max="25" width="10.625" style="828" customWidth="1"/>
    <col min="26" max="26" width="11.625" style="828" customWidth="1"/>
    <col min="27" max="28" width="14.25" style="828"/>
    <col min="29" max="29" width="14.25" style="828" customWidth="1"/>
    <col min="30" max="30" width="5.125" customWidth="1"/>
    <col min="31" max="35" width="14.25" style="828"/>
    <col min="36" max="36" width="5.125" customWidth="1"/>
    <col min="37" max="16384" width="14.25" style="828"/>
  </cols>
  <sheetData>
    <row r="1" spans="1:35" ht="18.75">
      <c r="A1" s="864"/>
      <c r="B1" s="842"/>
      <c r="C1" s="841"/>
      <c r="D1" s="841"/>
      <c r="E1" s="841"/>
      <c r="G1" s="841"/>
      <c r="H1" s="841"/>
      <c r="I1" s="841"/>
      <c r="J1" s="841"/>
      <c r="K1" s="841"/>
      <c r="M1" s="841"/>
      <c r="N1" s="841"/>
      <c r="O1" s="841"/>
      <c r="P1" s="850"/>
      <c r="Q1" s="827"/>
      <c r="S1" s="827"/>
      <c r="T1" s="826"/>
    </row>
    <row r="2" spans="1:35" ht="20.25">
      <c r="A2" s="865" t="s">
        <v>386</v>
      </c>
      <c r="B2" s="842"/>
      <c r="C2" s="841"/>
      <c r="D2" s="841"/>
      <c r="E2" s="841"/>
      <c r="G2" s="841"/>
      <c r="H2" s="841"/>
      <c r="I2" s="841"/>
      <c r="J2" s="841"/>
      <c r="K2" s="841"/>
      <c r="M2" s="842"/>
      <c r="N2" s="842"/>
      <c r="O2" s="846"/>
      <c r="P2" s="849"/>
      <c r="Q2" s="830"/>
      <c r="S2" s="830"/>
      <c r="T2" s="826"/>
    </row>
    <row r="3" spans="1:35">
      <c r="B3" s="842"/>
      <c r="C3" s="841"/>
      <c r="D3" s="841"/>
      <c r="E3" s="841"/>
      <c r="G3" s="841"/>
      <c r="H3" s="841"/>
      <c r="I3" s="841"/>
      <c r="J3" s="841"/>
      <c r="K3" s="841"/>
      <c r="M3" s="842"/>
      <c r="N3" s="842"/>
      <c r="O3" s="849"/>
      <c r="P3" s="849"/>
      <c r="Q3" s="830"/>
      <c r="S3" s="830"/>
      <c r="T3" s="826"/>
    </row>
    <row r="4" spans="1:35" ht="20.25">
      <c r="A4" s="863" t="s">
        <v>387</v>
      </c>
      <c r="B4" s="934"/>
      <c r="C4" s="844"/>
      <c r="D4" s="844"/>
      <c r="E4" s="844"/>
      <c r="G4" s="863" t="s">
        <v>396</v>
      </c>
      <c r="H4" s="934"/>
      <c r="I4" s="844"/>
      <c r="J4" s="844"/>
      <c r="K4" s="844"/>
      <c r="M4" s="863" t="s">
        <v>397</v>
      </c>
      <c r="N4" s="934"/>
      <c r="O4" s="844"/>
      <c r="P4" s="844"/>
      <c r="Q4" s="844"/>
      <c r="S4" s="863" t="s">
        <v>398</v>
      </c>
      <c r="T4" s="934"/>
      <c r="U4" s="844"/>
      <c r="V4" s="844"/>
      <c r="W4" s="844"/>
      <c r="Y4" s="863" t="s">
        <v>410</v>
      </c>
      <c r="Z4" s="934"/>
      <c r="AA4" s="844"/>
      <c r="AB4" s="844"/>
      <c r="AC4" s="844"/>
      <c r="AE4" s="863" t="s">
        <v>462</v>
      </c>
      <c r="AF4" s="934"/>
      <c r="AG4" s="844"/>
      <c r="AH4" s="844"/>
      <c r="AI4" s="844"/>
    </row>
    <row r="5" spans="1:35">
      <c r="A5" s="866"/>
      <c r="B5" s="925" t="s">
        <v>294</v>
      </c>
      <c r="C5" s="926"/>
      <c r="D5" s="926"/>
      <c r="E5" s="926"/>
      <c r="G5" s="866"/>
      <c r="H5" s="925" t="s">
        <v>294</v>
      </c>
      <c r="I5" s="926"/>
      <c r="J5" s="926"/>
      <c r="K5" s="926"/>
      <c r="M5" s="866"/>
      <c r="N5" s="925" t="s">
        <v>294</v>
      </c>
      <c r="O5" s="926"/>
      <c r="P5" s="926"/>
      <c r="Q5" s="926"/>
      <c r="S5" s="866"/>
      <c r="T5" s="925" t="s">
        <v>294</v>
      </c>
      <c r="U5" s="926"/>
      <c r="V5" s="926"/>
      <c r="W5" s="926"/>
      <c r="Y5" s="866"/>
      <c r="Z5" s="925" t="s">
        <v>294</v>
      </c>
      <c r="AA5" s="926"/>
      <c r="AB5" s="926"/>
      <c r="AC5" s="926"/>
      <c r="AE5" s="866"/>
      <c r="AF5" s="925" t="s">
        <v>294</v>
      </c>
      <c r="AG5" s="926"/>
      <c r="AH5" s="926"/>
      <c r="AI5" s="926"/>
    </row>
    <row r="6" spans="1:35">
      <c r="A6" s="867"/>
      <c r="B6" s="868"/>
      <c r="C6" s="869"/>
      <c r="D6" s="870" t="s">
        <v>381</v>
      </c>
      <c r="E6" s="871" t="s">
        <v>67</v>
      </c>
      <c r="G6" s="867"/>
      <c r="H6" s="868"/>
      <c r="I6" s="869"/>
      <c r="J6" s="870" t="s">
        <v>381</v>
      </c>
      <c r="K6" s="871" t="s">
        <v>67</v>
      </c>
      <c r="M6" s="867"/>
      <c r="N6" s="868"/>
      <c r="O6" s="869"/>
      <c r="P6" s="870" t="s">
        <v>381</v>
      </c>
      <c r="Q6" s="871" t="s">
        <v>67</v>
      </c>
      <c r="S6" s="867"/>
      <c r="T6" s="868"/>
      <c r="U6" s="869"/>
      <c r="V6" s="870" t="s">
        <v>381</v>
      </c>
      <c r="W6" s="871" t="s">
        <v>67</v>
      </c>
      <c r="Y6" s="867"/>
      <c r="Z6" s="868"/>
      <c r="AA6" s="869"/>
      <c r="AB6" s="870" t="s">
        <v>381</v>
      </c>
      <c r="AC6" s="871" t="s">
        <v>67</v>
      </c>
      <c r="AE6" s="867"/>
      <c r="AF6" s="868"/>
      <c r="AG6" s="869"/>
      <c r="AH6" s="870" t="s">
        <v>381</v>
      </c>
      <c r="AI6" s="871" t="s">
        <v>67</v>
      </c>
    </row>
    <row r="7" spans="1:35">
      <c r="A7" s="869" t="s">
        <v>12</v>
      </c>
      <c r="B7" s="869" t="s">
        <v>91</v>
      </c>
      <c r="C7" s="869" t="s">
        <v>83</v>
      </c>
      <c r="D7" s="869" t="s">
        <v>81</v>
      </c>
      <c r="E7" s="873" t="s">
        <v>81</v>
      </c>
      <c r="G7" s="869" t="s">
        <v>12</v>
      </c>
      <c r="H7" s="869" t="s">
        <v>91</v>
      </c>
      <c r="I7" s="869" t="s">
        <v>83</v>
      </c>
      <c r="J7" s="869" t="s">
        <v>81</v>
      </c>
      <c r="K7" s="873" t="s">
        <v>81</v>
      </c>
      <c r="M7" s="869" t="s">
        <v>12</v>
      </c>
      <c r="N7" s="869" t="s">
        <v>91</v>
      </c>
      <c r="O7" s="869" t="s">
        <v>83</v>
      </c>
      <c r="P7" s="869" t="s">
        <v>81</v>
      </c>
      <c r="Q7" s="873" t="s">
        <v>81</v>
      </c>
      <c r="S7" s="869" t="s">
        <v>12</v>
      </c>
      <c r="T7" s="869" t="s">
        <v>91</v>
      </c>
      <c r="U7" s="869" t="s">
        <v>83</v>
      </c>
      <c r="V7" s="869" t="s">
        <v>81</v>
      </c>
      <c r="W7" s="873" t="s">
        <v>81</v>
      </c>
      <c r="Y7" s="869" t="s">
        <v>12</v>
      </c>
      <c r="Z7" s="869" t="s">
        <v>91</v>
      </c>
      <c r="AA7" s="869" t="s">
        <v>83</v>
      </c>
      <c r="AB7" s="869" t="s">
        <v>81</v>
      </c>
      <c r="AC7" s="873" t="s">
        <v>81</v>
      </c>
      <c r="AE7" s="869" t="s">
        <v>12</v>
      </c>
      <c r="AF7" s="869" t="s">
        <v>91</v>
      </c>
      <c r="AG7" s="869" t="s">
        <v>83</v>
      </c>
      <c r="AH7" s="869" t="s">
        <v>81</v>
      </c>
      <c r="AI7" s="873" t="s">
        <v>81</v>
      </c>
    </row>
    <row r="8" spans="1:35">
      <c r="A8" s="870"/>
      <c r="B8" s="874"/>
      <c r="C8" s="875"/>
      <c r="D8" s="875"/>
      <c r="E8" s="876"/>
      <c r="G8" s="870"/>
      <c r="H8" s="874"/>
      <c r="I8" s="875"/>
      <c r="J8" s="875"/>
      <c r="K8" s="876"/>
      <c r="M8" s="870"/>
      <c r="N8" s="874"/>
      <c r="O8" s="875"/>
      <c r="P8" s="875"/>
      <c r="Q8" s="876"/>
      <c r="S8" s="870"/>
      <c r="T8" s="874"/>
      <c r="U8" s="875"/>
      <c r="V8" s="875"/>
      <c r="W8" s="876"/>
      <c r="Y8" s="870"/>
      <c r="Z8" s="874"/>
      <c r="AA8" s="875"/>
      <c r="AB8" s="875"/>
      <c r="AC8" s="876"/>
      <c r="AE8" s="870"/>
      <c r="AF8" s="874"/>
      <c r="AG8" s="875"/>
      <c r="AH8" s="875"/>
      <c r="AI8" s="876"/>
    </row>
    <row r="9" spans="1:35">
      <c r="A9" s="877"/>
      <c r="B9" s="878"/>
      <c r="C9" s="879"/>
      <c r="D9" s="880"/>
      <c r="E9" s="881"/>
      <c r="G9" s="877"/>
      <c r="H9" s="878"/>
      <c r="I9" s="879"/>
      <c r="J9" s="880"/>
      <c r="K9" s="881"/>
      <c r="M9" s="877"/>
      <c r="N9" s="878"/>
      <c r="O9" s="879"/>
      <c r="P9" s="880"/>
      <c r="Q9" s="881"/>
      <c r="S9" s="877"/>
      <c r="T9" s="878"/>
      <c r="U9" s="879"/>
      <c r="V9" s="880"/>
      <c r="W9" s="881"/>
      <c r="Y9" s="877"/>
      <c r="Z9" s="878"/>
      <c r="AA9" s="879"/>
      <c r="AB9" s="880"/>
      <c r="AC9" s="881"/>
      <c r="AE9" s="877"/>
      <c r="AF9" s="878"/>
      <c r="AG9" s="879"/>
      <c r="AH9" s="880"/>
      <c r="AI9" s="881"/>
    </row>
    <row r="10" spans="1:35">
      <c r="A10" s="877">
        <v>2000</v>
      </c>
      <c r="B10" s="884">
        <f>Mean_run_forecasts!S8</f>
        <v>95909</v>
      </c>
      <c r="C10" s="879">
        <f>Mean_run_forecasts!$P8</f>
        <v>70749</v>
      </c>
      <c r="D10" s="880">
        <f>(C10-B10)^2</f>
        <v>633025600</v>
      </c>
      <c r="E10" s="881">
        <f>(C10-B10)/C10</f>
        <v>-0.35562340103747048</v>
      </c>
      <c r="G10" s="877">
        <v>2000</v>
      </c>
      <c r="H10" s="884"/>
      <c r="I10" s="879"/>
      <c r="J10" s="880"/>
      <c r="K10" s="881"/>
      <c r="M10" s="877">
        <v>2000</v>
      </c>
      <c r="N10" s="884"/>
      <c r="O10" s="879"/>
      <c r="P10" s="880"/>
      <c r="Q10" s="881"/>
      <c r="S10" s="877">
        <v>2000</v>
      </c>
      <c r="T10" s="884"/>
      <c r="U10" s="879"/>
      <c r="V10" s="880"/>
      <c r="W10" s="881"/>
      <c r="Y10" s="877">
        <v>2000</v>
      </c>
      <c r="Z10" s="884"/>
      <c r="AA10" s="879"/>
      <c r="AB10" s="880"/>
      <c r="AC10" s="881"/>
      <c r="AE10" s="877">
        <v>2000</v>
      </c>
      <c r="AF10" s="884"/>
      <c r="AG10" s="879"/>
      <c r="AH10" s="880"/>
      <c r="AI10" s="881"/>
    </row>
    <row r="11" spans="1:35">
      <c r="A11" s="877">
        <v>2001</v>
      </c>
      <c r="B11" s="884">
        <f>Mean_run_forecasts!S9</f>
        <v>70749</v>
      </c>
      <c r="C11" s="879">
        <f>Mean_run_forecasts!$P9</f>
        <v>81063</v>
      </c>
      <c r="D11" s="880">
        <f t="shared" ref="D11:D26" si="0">(C11-B11)^2</f>
        <v>106378596</v>
      </c>
      <c r="E11" s="881">
        <f t="shared" ref="E11:E20" si="1">(C11-B11)/C11</f>
        <v>0.12723437326523815</v>
      </c>
      <c r="G11" s="877">
        <v>2001</v>
      </c>
      <c r="H11" s="884">
        <f>Mean_run_forecasts!T9</f>
        <v>83329</v>
      </c>
      <c r="I11" s="879">
        <f>Mean_run_forecasts!$P9</f>
        <v>81063</v>
      </c>
      <c r="J11" s="880">
        <f>(I11-H11)^2</f>
        <v>5134756</v>
      </c>
      <c r="K11" s="881">
        <f t="shared" ref="K11:K20" si="2">(I11-H11)/I11</f>
        <v>-2.7953566978769599E-2</v>
      </c>
      <c r="M11" s="877">
        <v>2001</v>
      </c>
      <c r="N11" s="884"/>
      <c r="O11" s="879"/>
      <c r="P11" s="880"/>
      <c r="Q11" s="881"/>
      <c r="S11" s="877">
        <v>2001</v>
      </c>
      <c r="T11" s="884"/>
      <c r="U11" s="879"/>
      <c r="V11" s="880"/>
      <c r="W11" s="881"/>
      <c r="Y11" s="877">
        <v>2001</v>
      </c>
      <c r="Z11" s="884"/>
      <c r="AA11" s="879"/>
      <c r="AB11" s="880"/>
      <c r="AC11" s="881"/>
      <c r="AE11" s="877">
        <v>2001</v>
      </c>
      <c r="AF11" s="884"/>
      <c r="AG11" s="879"/>
      <c r="AH11" s="880"/>
      <c r="AI11" s="881"/>
    </row>
    <row r="12" spans="1:35">
      <c r="A12" s="877">
        <v>2002</v>
      </c>
      <c r="B12" s="884">
        <f>Mean_run_forecasts!S10</f>
        <v>81063</v>
      </c>
      <c r="C12" s="879">
        <f>Mean_run_forecasts!$P10</f>
        <v>72960</v>
      </c>
      <c r="D12" s="880">
        <f t="shared" si="0"/>
        <v>65658609</v>
      </c>
      <c r="E12" s="881">
        <f t="shared" si="1"/>
        <v>-0.1110608552631579</v>
      </c>
      <c r="G12" s="877">
        <v>2002</v>
      </c>
      <c r="H12" s="884">
        <f>Mean_run_forecasts!T10</f>
        <v>75906</v>
      </c>
      <c r="I12" s="879">
        <f>Mean_run_forecasts!$P10</f>
        <v>72960</v>
      </c>
      <c r="J12" s="880">
        <f t="shared" ref="J12:J26" si="3">(I12-H12)^2</f>
        <v>8678916</v>
      </c>
      <c r="K12" s="881">
        <f t="shared" si="2"/>
        <v>-4.0378289473684208E-2</v>
      </c>
      <c r="M12" s="877">
        <v>2002</v>
      </c>
      <c r="N12" s="884">
        <f>Mean_run_forecasts!U10</f>
        <v>82573.666666666672</v>
      </c>
      <c r="O12" s="879">
        <f>Mean_run_forecasts!$P10</f>
        <v>72960</v>
      </c>
      <c r="P12" s="880">
        <f>(O12-N12)^2</f>
        <v>92422586.777777866</v>
      </c>
      <c r="Q12" s="881">
        <f t="shared" ref="Q12:Q20" si="4">(O12-N12)/O12</f>
        <v>-0.13176626461988311</v>
      </c>
      <c r="S12" s="877">
        <v>2002</v>
      </c>
      <c r="T12" s="884"/>
      <c r="U12" s="879"/>
      <c r="V12" s="880"/>
      <c r="W12" s="881"/>
      <c r="Y12" s="877">
        <v>2002</v>
      </c>
      <c r="Z12" s="884"/>
      <c r="AA12" s="879"/>
      <c r="AB12" s="880"/>
      <c r="AC12" s="881"/>
      <c r="AE12" s="877">
        <v>2002</v>
      </c>
      <c r="AF12" s="884"/>
      <c r="AG12" s="879"/>
      <c r="AH12" s="880"/>
      <c r="AI12" s="881"/>
    </row>
    <row r="13" spans="1:35">
      <c r="A13" s="877">
        <v>2003</v>
      </c>
      <c r="B13" s="884">
        <f>Mean_run_forecasts!S11</f>
        <v>72960</v>
      </c>
      <c r="C13" s="879">
        <f>Mean_run_forecasts!$P11</f>
        <v>94404</v>
      </c>
      <c r="D13" s="880">
        <f t="shared" si="0"/>
        <v>459845136</v>
      </c>
      <c r="E13" s="881">
        <f t="shared" si="1"/>
        <v>0.22715139189017414</v>
      </c>
      <c r="G13" s="877">
        <v>2003</v>
      </c>
      <c r="H13" s="884">
        <f>Mean_run_forecasts!T11</f>
        <v>77011.5</v>
      </c>
      <c r="I13" s="879">
        <f>Mean_run_forecasts!$P11</f>
        <v>94404</v>
      </c>
      <c r="J13" s="880">
        <f t="shared" si="3"/>
        <v>302499056.25</v>
      </c>
      <c r="K13" s="881">
        <f t="shared" si="2"/>
        <v>0.18423477818736494</v>
      </c>
      <c r="M13" s="877">
        <v>2003</v>
      </c>
      <c r="N13" s="884">
        <f>Mean_run_forecasts!U11</f>
        <v>74924</v>
      </c>
      <c r="O13" s="879">
        <f>Mean_run_forecasts!$P11</f>
        <v>94404</v>
      </c>
      <c r="P13" s="880">
        <f t="shared" ref="P13:P26" si="5">(O13-N13)^2</f>
        <v>379470400</v>
      </c>
      <c r="Q13" s="881">
        <f t="shared" si="4"/>
        <v>0.20634718867844584</v>
      </c>
      <c r="S13" s="877">
        <v>2003</v>
      </c>
      <c r="T13" s="884">
        <f>Mean_run_forecasts!V11</f>
        <v>80170.25</v>
      </c>
      <c r="U13" s="879">
        <f>Mean_run_forecasts!$P11</f>
        <v>94404</v>
      </c>
      <c r="V13" s="880">
        <f t="shared" ref="V13:V26" si="6">(U13-T13)^2</f>
        <v>202599639.0625</v>
      </c>
      <c r="W13" s="881">
        <f t="shared" ref="W13:W20" si="7">(U13-T13)/U13</f>
        <v>0.15077486123469344</v>
      </c>
      <c r="Y13" s="877">
        <v>2003</v>
      </c>
      <c r="Z13" s="884"/>
      <c r="AA13" s="879"/>
      <c r="AB13" s="880"/>
      <c r="AC13" s="881"/>
      <c r="AE13" s="877">
        <v>2003</v>
      </c>
      <c r="AF13" s="884"/>
      <c r="AG13" s="879"/>
      <c r="AH13" s="880"/>
      <c r="AI13" s="881"/>
    </row>
    <row r="14" spans="1:35">
      <c r="A14" s="877">
        <v>2004</v>
      </c>
      <c r="B14" s="884">
        <f>Mean_run_forecasts!S12</f>
        <v>94404</v>
      </c>
      <c r="C14" s="879">
        <f>Mean_run_forecasts!$P12</f>
        <v>80479</v>
      </c>
      <c r="D14" s="880">
        <f t="shared" si="0"/>
        <v>193905625</v>
      </c>
      <c r="E14" s="881">
        <f t="shared" si="1"/>
        <v>-0.17302650380844692</v>
      </c>
      <c r="G14" s="877">
        <v>2004</v>
      </c>
      <c r="H14" s="884">
        <f>Mean_run_forecasts!T12</f>
        <v>83682</v>
      </c>
      <c r="I14" s="879">
        <f>Mean_run_forecasts!$P12</f>
        <v>80479</v>
      </c>
      <c r="J14" s="880">
        <f t="shared" si="3"/>
        <v>10259209</v>
      </c>
      <c r="K14" s="881">
        <f t="shared" si="2"/>
        <v>-3.9799202276370231E-2</v>
      </c>
      <c r="M14" s="877">
        <v>2004</v>
      </c>
      <c r="N14" s="884">
        <f>Mean_run_forecasts!U12</f>
        <v>82809</v>
      </c>
      <c r="O14" s="879">
        <f>Mean_run_forecasts!$P12</f>
        <v>80479</v>
      </c>
      <c r="P14" s="880">
        <f t="shared" si="5"/>
        <v>5428900</v>
      </c>
      <c r="Q14" s="881">
        <f t="shared" si="4"/>
        <v>-2.8951651983747315E-2</v>
      </c>
      <c r="S14" s="877">
        <v>2004</v>
      </c>
      <c r="T14" s="884">
        <f>Mean_run_forecasts!V12</f>
        <v>79794</v>
      </c>
      <c r="U14" s="879">
        <f>Mean_run_forecasts!$P12</f>
        <v>80479</v>
      </c>
      <c r="V14" s="880">
        <f t="shared" si="6"/>
        <v>469225</v>
      </c>
      <c r="W14" s="881">
        <f t="shared" si="7"/>
        <v>8.5115371711875151E-3</v>
      </c>
      <c r="Y14" s="877">
        <v>2004</v>
      </c>
      <c r="Z14" s="884">
        <f>Mean_run_forecasts!W12</f>
        <v>83017</v>
      </c>
      <c r="AA14" s="879">
        <f>Mean_run_forecasts!$P12</f>
        <v>80479</v>
      </c>
      <c r="AB14" s="880">
        <f>(AA14-Z14)^2</f>
        <v>6441444</v>
      </c>
      <c r="AC14" s="881">
        <f t="shared" ref="AC14:AC20" si="8">(AA14-Z14)/AA14</f>
        <v>-3.1536177139377973E-2</v>
      </c>
      <c r="AE14" s="877">
        <v>2004</v>
      </c>
      <c r="AF14" s="884"/>
      <c r="AG14" s="879"/>
      <c r="AH14" s="880"/>
      <c r="AI14" s="881"/>
    </row>
    <row r="15" spans="1:35">
      <c r="A15" s="877">
        <v>2005</v>
      </c>
      <c r="B15" s="884">
        <f>Mean_run_forecasts!S13</f>
        <v>80479</v>
      </c>
      <c r="C15" s="879">
        <f>Mean_run_forecasts!$P13</f>
        <v>66080</v>
      </c>
      <c r="D15" s="880">
        <f t="shared" si="0"/>
        <v>207331201</v>
      </c>
      <c r="E15" s="881">
        <f t="shared" si="1"/>
        <v>-0.21790254237288137</v>
      </c>
      <c r="G15" s="877">
        <v>2005</v>
      </c>
      <c r="H15" s="884">
        <f>Mean_run_forecasts!T13</f>
        <v>87441.5</v>
      </c>
      <c r="I15" s="879">
        <f>Mean_run_forecasts!$P13</f>
        <v>66080</v>
      </c>
      <c r="J15" s="880">
        <f t="shared" si="3"/>
        <v>456313682.25</v>
      </c>
      <c r="K15" s="881">
        <f t="shared" si="2"/>
        <v>-0.32326725181598065</v>
      </c>
      <c r="M15" s="877">
        <v>2005</v>
      </c>
      <c r="N15" s="884">
        <f>Mean_run_forecasts!U13</f>
        <v>82614.333333333328</v>
      </c>
      <c r="O15" s="879">
        <f>Mean_run_forecasts!$P13</f>
        <v>66080</v>
      </c>
      <c r="P15" s="880">
        <f t="shared" si="5"/>
        <v>273384178.77777761</v>
      </c>
      <c r="Q15" s="881">
        <f t="shared" si="4"/>
        <v>-0.2502169087974172</v>
      </c>
      <c r="S15" s="877">
        <v>2005</v>
      </c>
      <c r="T15" s="884">
        <f>Mean_run_forecasts!V13</f>
        <v>82226.5</v>
      </c>
      <c r="U15" s="879">
        <f>Mean_run_forecasts!$P13</f>
        <v>66080</v>
      </c>
      <c r="V15" s="880">
        <f t="shared" si="6"/>
        <v>260709462.25</v>
      </c>
      <c r="W15" s="881">
        <f t="shared" si="7"/>
        <v>-0.24434776029055691</v>
      </c>
      <c r="Y15" s="877">
        <v>2005</v>
      </c>
      <c r="Z15" s="884">
        <f>Mean_run_forecasts!W13</f>
        <v>79931</v>
      </c>
      <c r="AA15" s="879">
        <f>Mean_run_forecasts!$P13</f>
        <v>66080</v>
      </c>
      <c r="AB15" s="880">
        <f t="shared" ref="AB15:AB26" si="9">(AA15-Z15)^2</f>
        <v>191850201</v>
      </c>
      <c r="AC15" s="881">
        <f t="shared" si="8"/>
        <v>-0.2096095641646489</v>
      </c>
      <c r="AE15" s="877">
        <v>2005</v>
      </c>
      <c r="AF15" s="884"/>
      <c r="AG15" s="879"/>
      <c r="AH15" s="880"/>
      <c r="AI15" s="881"/>
    </row>
    <row r="16" spans="1:35">
      <c r="A16" s="877">
        <v>2006</v>
      </c>
      <c r="B16" s="884">
        <f>Mean_run_forecasts!S14</f>
        <v>66080</v>
      </c>
      <c r="C16" s="879">
        <f>Mean_run_forecasts!$P14</f>
        <v>99639</v>
      </c>
      <c r="D16" s="880">
        <f t="shared" si="0"/>
        <v>1126206481</v>
      </c>
      <c r="E16" s="881">
        <f t="shared" si="1"/>
        <v>0.33680586918776784</v>
      </c>
      <c r="G16" s="877">
        <v>2006</v>
      </c>
      <c r="H16" s="884">
        <f>Mean_run_forecasts!T14</f>
        <v>73279.5</v>
      </c>
      <c r="I16" s="879">
        <f>Mean_run_forecasts!$P14</f>
        <v>99639</v>
      </c>
      <c r="J16" s="880">
        <f t="shared" si="3"/>
        <v>694823240.25</v>
      </c>
      <c r="K16" s="881">
        <f t="shared" si="2"/>
        <v>0.26455002559238855</v>
      </c>
      <c r="M16" s="877">
        <v>2006</v>
      </c>
      <c r="N16" s="884">
        <f>Mean_run_forecasts!U14</f>
        <v>80321</v>
      </c>
      <c r="O16" s="879">
        <f>Mean_run_forecasts!$P14</f>
        <v>99639</v>
      </c>
      <c r="P16" s="880">
        <f t="shared" si="5"/>
        <v>373185124</v>
      </c>
      <c r="Q16" s="881">
        <f t="shared" si="4"/>
        <v>0.193879906462329</v>
      </c>
      <c r="S16" s="877">
        <v>2006</v>
      </c>
      <c r="T16" s="884">
        <f>Mean_run_forecasts!V14</f>
        <v>78480.75</v>
      </c>
      <c r="U16" s="879">
        <f>Mean_run_forecasts!$P14</f>
        <v>99639</v>
      </c>
      <c r="V16" s="880">
        <f t="shared" si="6"/>
        <v>447671543.0625</v>
      </c>
      <c r="W16" s="881">
        <f t="shared" si="7"/>
        <v>0.21234908017944781</v>
      </c>
      <c r="Y16" s="877">
        <v>2006</v>
      </c>
      <c r="Z16" s="884">
        <f>Mean_run_forecasts!W14</f>
        <v>78997.2</v>
      </c>
      <c r="AA16" s="879">
        <f>Mean_run_forecasts!$P14</f>
        <v>99639</v>
      </c>
      <c r="AB16" s="880">
        <f t="shared" si="9"/>
        <v>426083907.24000013</v>
      </c>
      <c r="AC16" s="881">
        <f t="shared" si="8"/>
        <v>0.20716586878631865</v>
      </c>
      <c r="AE16" s="877">
        <v>2006</v>
      </c>
      <c r="AF16" s="884"/>
      <c r="AG16" s="879"/>
      <c r="AH16" s="880"/>
      <c r="AI16" s="881"/>
    </row>
    <row r="17" spans="1:35">
      <c r="A17" s="877">
        <v>2007</v>
      </c>
      <c r="B17" s="884">
        <f>Mean_run_forecasts!S15</f>
        <v>99639</v>
      </c>
      <c r="C17" s="879">
        <f>Mean_run_forecasts!$P15</f>
        <v>87683</v>
      </c>
      <c r="D17" s="880">
        <f t="shared" si="0"/>
        <v>142945936</v>
      </c>
      <c r="E17" s="881">
        <f t="shared" si="1"/>
        <v>-0.13635482362601645</v>
      </c>
      <c r="G17" s="877">
        <v>2007</v>
      </c>
      <c r="H17" s="884">
        <f>Mean_run_forecasts!T15</f>
        <v>82859.5</v>
      </c>
      <c r="I17" s="879">
        <f>Mean_run_forecasts!$P15</f>
        <v>87683</v>
      </c>
      <c r="J17" s="880">
        <f t="shared" si="3"/>
        <v>23266152.25</v>
      </c>
      <c r="K17" s="881">
        <f t="shared" si="2"/>
        <v>5.5010663412520103E-2</v>
      </c>
      <c r="M17" s="877">
        <v>2007</v>
      </c>
      <c r="N17" s="884">
        <f>Mean_run_forecasts!U15</f>
        <v>82066</v>
      </c>
      <c r="O17" s="879">
        <f>Mean_run_forecasts!$P15</f>
        <v>87683</v>
      </c>
      <c r="P17" s="880">
        <f t="shared" si="5"/>
        <v>31550689</v>
      </c>
      <c r="Q17" s="881">
        <f t="shared" si="4"/>
        <v>6.406030815551475E-2</v>
      </c>
      <c r="S17" s="877">
        <v>2007</v>
      </c>
      <c r="T17" s="884">
        <f>Mean_run_forecasts!V15</f>
        <v>85150.5</v>
      </c>
      <c r="U17" s="879">
        <f>Mean_run_forecasts!$P15</f>
        <v>87683</v>
      </c>
      <c r="V17" s="880">
        <f t="shared" si="6"/>
        <v>6413556.25</v>
      </c>
      <c r="W17" s="881">
        <f t="shared" si="7"/>
        <v>2.888245155845489E-2</v>
      </c>
      <c r="Y17" s="877">
        <v>2007</v>
      </c>
      <c r="Z17" s="884">
        <f>Mean_run_forecasts!W15</f>
        <v>82712.399999999994</v>
      </c>
      <c r="AA17" s="879">
        <f>Mean_run_forecasts!$P15</f>
        <v>87683</v>
      </c>
      <c r="AB17" s="880">
        <f t="shared" si="9"/>
        <v>24706864.360000059</v>
      </c>
      <c r="AC17" s="881">
        <f t="shared" si="8"/>
        <v>5.6688297617554208E-2</v>
      </c>
      <c r="AE17" s="877">
        <v>2007</v>
      </c>
      <c r="AF17" s="884"/>
      <c r="AG17" s="879"/>
      <c r="AH17" s="880"/>
      <c r="AI17" s="881"/>
    </row>
    <row r="18" spans="1:35">
      <c r="A18" s="877">
        <v>2008</v>
      </c>
      <c r="B18" s="884">
        <f>Mean_run_forecasts!S16</f>
        <v>87683</v>
      </c>
      <c r="C18" s="879">
        <f>Mean_run_forecasts!$P16</f>
        <v>53847</v>
      </c>
      <c r="D18" s="880">
        <f t="shared" si="0"/>
        <v>1144874896</v>
      </c>
      <c r="E18" s="881">
        <f t="shared" si="1"/>
        <v>-0.62837298271027164</v>
      </c>
      <c r="G18" s="877">
        <v>2008</v>
      </c>
      <c r="H18" s="884">
        <f>Mean_run_forecasts!T16</f>
        <v>93661</v>
      </c>
      <c r="I18" s="879">
        <f>Mean_run_forecasts!$P16</f>
        <v>53847</v>
      </c>
      <c r="J18" s="880">
        <f t="shared" si="3"/>
        <v>1585154596</v>
      </c>
      <c r="K18" s="881">
        <f t="shared" si="2"/>
        <v>-0.73939123813768637</v>
      </c>
      <c r="M18" s="877">
        <v>2008</v>
      </c>
      <c r="N18" s="884">
        <f>Mean_run_forecasts!U16</f>
        <v>84467.333333333328</v>
      </c>
      <c r="O18" s="879">
        <f>Mean_run_forecasts!$P16</f>
        <v>53847</v>
      </c>
      <c r="P18" s="880">
        <f t="shared" si="5"/>
        <v>937604813.44444418</v>
      </c>
      <c r="Q18" s="881">
        <f t="shared" si="4"/>
        <v>-0.56865439733566081</v>
      </c>
      <c r="S18" s="877">
        <v>2008</v>
      </c>
      <c r="T18" s="884">
        <f>Mean_run_forecasts!V16</f>
        <v>83470.25</v>
      </c>
      <c r="U18" s="879">
        <f>Mean_run_forecasts!$P16</f>
        <v>53847</v>
      </c>
      <c r="V18" s="880">
        <f t="shared" si="6"/>
        <v>877536940.5625</v>
      </c>
      <c r="W18" s="881">
        <f t="shared" si="7"/>
        <v>-0.55013742641187069</v>
      </c>
      <c r="Y18" s="877">
        <v>2008</v>
      </c>
      <c r="Z18" s="884">
        <f>Mean_run_forecasts!W16</f>
        <v>85657</v>
      </c>
      <c r="AA18" s="879">
        <f>Mean_run_forecasts!$P16</f>
        <v>53847</v>
      </c>
      <c r="AB18" s="880">
        <f t="shared" si="9"/>
        <v>1011876100</v>
      </c>
      <c r="AC18" s="881">
        <f t="shared" si="8"/>
        <v>-0.59074785967649079</v>
      </c>
      <c r="AE18" s="877">
        <v>2008</v>
      </c>
      <c r="AF18" s="884"/>
      <c r="AG18" s="879"/>
      <c r="AH18" s="880"/>
      <c r="AI18" s="881"/>
    </row>
    <row r="19" spans="1:35">
      <c r="A19" s="877">
        <v>2009</v>
      </c>
      <c r="B19" s="884">
        <f>Mean_run_forecasts!S17</f>
        <v>53847</v>
      </c>
      <c r="C19" s="879">
        <f>Mean_run_forecasts!$P17</f>
        <v>42992</v>
      </c>
      <c r="D19" s="880">
        <f t="shared" si="0"/>
        <v>117831025</v>
      </c>
      <c r="E19" s="881">
        <f t="shared" si="1"/>
        <v>-0.25248883513211762</v>
      </c>
      <c r="G19" s="877">
        <v>2009</v>
      </c>
      <c r="H19" s="884">
        <f>Mean_run_forecasts!T17</f>
        <v>70765</v>
      </c>
      <c r="I19" s="879">
        <f>Mean_run_forecasts!$P17</f>
        <v>42992</v>
      </c>
      <c r="J19" s="880">
        <f t="shared" si="3"/>
        <v>771339529</v>
      </c>
      <c r="K19" s="881">
        <f t="shared" si="2"/>
        <v>-0.64600390770375882</v>
      </c>
      <c r="M19" s="877">
        <v>2009</v>
      </c>
      <c r="N19" s="884">
        <f>Mean_run_forecasts!U17</f>
        <v>80389.666666666672</v>
      </c>
      <c r="O19" s="879">
        <f>Mean_run_forecasts!$P17</f>
        <v>42992</v>
      </c>
      <c r="P19" s="880">
        <f t="shared" si="5"/>
        <v>1398585472.1111114</v>
      </c>
      <c r="Q19" s="881">
        <f t="shared" si="4"/>
        <v>-0.86987501550676105</v>
      </c>
      <c r="S19" s="877">
        <v>2009</v>
      </c>
      <c r="T19" s="884">
        <f>Mean_run_forecasts!V17</f>
        <v>76812.25</v>
      </c>
      <c r="U19" s="879">
        <f>Mean_run_forecasts!$P17</f>
        <v>42992</v>
      </c>
      <c r="V19" s="880">
        <f t="shared" si="6"/>
        <v>1143809310.0625</v>
      </c>
      <c r="W19" s="881">
        <f t="shared" si="7"/>
        <v>-0.78666379791589136</v>
      </c>
      <c r="Y19" s="877">
        <v>2009</v>
      </c>
      <c r="Z19" s="884">
        <f>Mean_run_forecasts!W17</f>
        <v>77545.600000000006</v>
      </c>
      <c r="AA19" s="879">
        <f>Mean_run_forecasts!$P17</f>
        <v>42992</v>
      </c>
      <c r="AB19" s="880">
        <f t="shared" si="9"/>
        <v>1193951272.9600005</v>
      </c>
      <c r="AC19" s="881">
        <f t="shared" si="8"/>
        <v>-0.80372162262746571</v>
      </c>
      <c r="AE19" s="877">
        <v>2009</v>
      </c>
      <c r="AF19" s="884">
        <f>Mean_run_forecasts!X17</f>
        <v>80281.3</v>
      </c>
      <c r="AG19" s="879">
        <f>Mean_run_forecasts!$P17</f>
        <v>42992</v>
      </c>
      <c r="AH19" s="880">
        <f>(AG19-AF19)^2</f>
        <v>1390491894.4900002</v>
      </c>
      <c r="AI19" s="881">
        <f t="shared" ref="AI19:AI26" si="10">(AG19-AF19)/AG19</f>
        <v>-0.86735439151470051</v>
      </c>
    </row>
    <row r="20" spans="1:35">
      <c r="A20" s="877">
        <v>2010</v>
      </c>
      <c r="B20" s="884">
        <f>Mean_run_forecasts!S18</f>
        <v>42992</v>
      </c>
      <c r="C20" s="879">
        <f>Mean_run_forecasts!$P18</f>
        <v>33184</v>
      </c>
      <c r="D20" s="880">
        <f t="shared" si="0"/>
        <v>96196864</v>
      </c>
      <c r="E20" s="882">
        <f t="shared" si="1"/>
        <v>-0.29556412729026038</v>
      </c>
      <c r="G20" s="877">
        <v>2010</v>
      </c>
      <c r="H20" s="884">
        <f>Mean_run_forecasts!T18</f>
        <v>48419.5</v>
      </c>
      <c r="I20" s="879">
        <f>Mean_run_forecasts!$P18</f>
        <v>33184</v>
      </c>
      <c r="J20" s="880">
        <f t="shared" si="3"/>
        <v>232120460.25</v>
      </c>
      <c r="K20" s="882">
        <f t="shared" si="2"/>
        <v>-0.45912186595949855</v>
      </c>
      <c r="M20" s="877">
        <v>2010</v>
      </c>
      <c r="N20" s="884">
        <f>Mean_run_forecasts!U18</f>
        <v>61507.333333333336</v>
      </c>
      <c r="O20" s="879">
        <f>Mean_run_forecasts!$P18</f>
        <v>33184</v>
      </c>
      <c r="P20" s="880">
        <f t="shared" si="5"/>
        <v>802211211.11111128</v>
      </c>
      <c r="Q20" s="882">
        <f t="shared" si="4"/>
        <v>-0.8535237865638059</v>
      </c>
      <c r="S20" s="877">
        <v>2010</v>
      </c>
      <c r="T20" s="884">
        <f>Mean_run_forecasts!V18</f>
        <v>71040.25</v>
      </c>
      <c r="U20" s="879">
        <f>Mean_run_forecasts!$P18</f>
        <v>33184</v>
      </c>
      <c r="V20" s="880">
        <f t="shared" si="6"/>
        <v>1433095664.0625</v>
      </c>
      <c r="W20" s="882">
        <f t="shared" si="7"/>
        <v>-1.1407982762777242</v>
      </c>
      <c r="Y20" s="877">
        <v>2010</v>
      </c>
      <c r="Z20" s="884">
        <f>Mean_run_forecasts!W18</f>
        <v>70048.2</v>
      </c>
      <c r="AA20" s="879">
        <f>Mean_run_forecasts!$P18</f>
        <v>33184</v>
      </c>
      <c r="AB20" s="880">
        <f t="shared" si="9"/>
        <v>1358969241.6399999</v>
      </c>
      <c r="AC20" s="882">
        <f t="shared" si="8"/>
        <v>-1.1109028447444551</v>
      </c>
      <c r="AE20" s="877">
        <v>2010</v>
      </c>
      <c r="AF20" s="884">
        <f>Mean_run_forecasts!X18</f>
        <v>74989.600000000006</v>
      </c>
      <c r="AG20" s="879">
        <f>Mean_run_forecasts!$P18</f>
        <v>33184</v>
      </c>
      <c r="AH20" s="880">
        <f t="shared" ref="AH20:AH26" si="11">(AG20-AF20)^2</f>
        <v>1747708191.3600004</v>
      </c>
      <c r="AI20" s="882">
        <f t="shared" si="10"/>
        <v>-1.2598119575699134</v>
      </c>
    </row>
    <row r="21" spans="1:35">
      <c r="A21" s="877">
        <v>2011</v>
      </c>
      <c r="B21" s="884">
        <f>Mean_run_forecasts!S19</f>
        <v>33184</v>
      </c>
      <c r="C21" s="879">
        <f>Mean_run_forecasts!$P19</f>
        <v>53889</v>
      </c>
      <c r="D21" s="880">
        <f t="shared" si="0"/>
        <v>428697025</v>
      </c>
      <c r="E21" s="882">
        <f t="shared" ref="E21:E26" si="12">(C21-B21)/C21</f>
        <v>0.38421570264803578</v>
      </c>
      <c r="G21" s="877">
        <v>2011</v>
      </c>
      <c r="H21" s="884">
        <f>Mean_run_forecasts!T19</f>
        <v>38088</v>
      </c>
      <c r="I21" s="879">
        <f>Mean_run_forecasts!$P19</f>
        <v>53889</v>
      </c>
      <c r="J21" s="880">
        <f t="shared" si="3"/>
        <v>249671601</v>
      </c>
      <c r="K21" s="882">
        <f t="shared" ref="K21:K26" si="13">(I21-H21)/I21</f>
        <v>0.29321382842509602</v>
      </c>
      <c r="M21" s="877">
        <v>2011</v>
      </c>
      <c r="N21" s="884">
        <f>Mean_run_forecasts!U19</f>
        <v>43341</v>
      </c>
      <c r="O21" s="879">
        <f>Mean_run_forecasts!$P19</f>
        <v>53889</v>
      </c>
      <c r="P21" s="880">
        <f t="shared" si="5"/>
        <v>111260304</v>
      </c>
      <c r="Q21" s="882">
        <f t="shared" ref="Q21:Q26" si="14">(O21-N21)/O21</f>
        <v>0.19573567889550744</v>
      </c>
      <c r="S21" s="877">
        <v>2011</v>
      </c>
      <c r="T21" s="884">
        <f>Mean_run_forecasts!V19</f>
        <v>54426.5</v>
      </c>
      <c r="U21" s="879">
        <f>Mean_run_forecasts!$P19</f>
        <v>53889</v>
      </c>
      <c r="V21" s="880">
        <f t="shared" si="6"/>
        <v>288906.25</v>
      </c>
      <c r="W21" s="882">
        <f t="shared" ref="W21:W26" si="15">(U21-T21)/U21</f>
        <v>-9.9742062387500226E-3</v>
      </c>
      <c r="Y21" s="877">
        <v>2011</v>
      </c>
      <c r="Z21" s="884">
        <f>Mean_run_forecasts!W19</f>
        <v>63469</v>
      </c>
      <c r="AA21" s="879">
        <f>Mean_run_forecasts!$P19</f>
        <v>53889</v>
      </c>
      <c r="AB21" s="880">
        <f t="shared" si="9"/>
        <v>91776400</v>
      </c>
      <c r="AC21" s="882">
        <f t="shared" ref="AC21:AC26" si="16">(AA21-Z21)/AA21</f>
        <v>-0.1777728293343725</v>
      </c>
      <c r="AE21" s="877">
        <v>2011</v>
      </c>
      <c r="AF21" s="884">
        <f>Mean_run_forecasts!X19</f>
        <v>71233.100000000006</v>
      </c>
      <c r="AG21" s="879">
        <f>Mean_run_forecasts!$P19</f>
        <v>53889</v>
      </c>
      <c r="AH21" s="880">
        <f t="shared" si="11"/>
        <v>300817804.81000018</v>
      </c>
      <c r="AI21" s="882">
        <f t="shared" si="10"/>
        <v>-0.32184861474512433</v>
      </c>
    </row>
    <row r="22" spans="1:35">
      <c r="A22" s="877">
        <v>2012</v>
      </c>
      <c r="B22" s="884">
        <f>Mean_run_forecasts!S20</f>
        <v>53889</v>
      </c>
      <c r="C22" s="879">
        <f>Mean_run_forecasts!$P20</f>
        <v>46442</v>
      </c>
      <c r="D22" s="880">
        <f t="shared" si="0"/>
        <v>55457809</v>
      </c>
      <c r="E22" s="882">
        <f t="shared" si="12"/>
        <v>-0.16035054476551397</v>
      </c>
      <c r="G22" s="877">
        <v>2012</v>
      </c>
      <c r="H22" s="884">
        <f>Mean_run_forecasts!T20</f>
        <v>43536.5</v>
      </c>
      <c r="I22" s="879">
        <f>Mean_run_forecasts!$P20</f>
        <v>46442</v>
      </c>
      <c r="J22" s="880">
        <f t="shared" si="3"/>
        <v>8441930.25</v>
      </c>
      <c r="K22" s="882">
        <f t="shared" si="13"/>
        <v>6.2561905172042548E-2</v>
      </c>
      <c r="M22" s="877">
        <v>2012</v>
      </c>
      <c r="N22" s="884">
        <f>Mean_run_forecasts!U20</f>
        <v>43355</v>
      </c>
      <c r="O22" s="879">
        <f>Mean_run_forecasts!$P20</f>
        <v>46442</v>
      </c>
      <c r="P22" s="880">
        <f t="shared" si="5"/>
        <v>9529569</v>
      </c>
      <c r="Q22" s="882">
        <f t="shared" si="14"/>
        <v>6.6470005598380774E-2</v>
      </c>
      <c r="S22" s="877">
        <v>2012</v>
      </c>
      <c r="T22" s="884">
        <f>Mean_run_forecasts!V20</f>
        <v>45978</v>
      </c>
      <c r="U22" s="879">
        <f>Mean_run_forecasts!$P20</f>
        <v>46442</v>
      </c>
      <c r="V22" s="880">
        <f t="shared" si="6"/>
        <v>215296</v>
      </c>
      <c r="W22" s="882">
        <f t="shared" si="15"/>
        <v>9.9909564618233491E-3</v>
      </c>
      <c r="Y22" s="877">
        <v>2012</v>
      </c>
      <c r="Z22" s="884">
        <f>Mean_run_forecasts!W20</f>
        <v>54319</v>
      </c>
      <c r="AA22" s="879">
        <f>Mean_run_forecasts!$P20</f>
        <v>46442</v>
      </c>
      <c r="AB22" s="880">
        <f t="shared" si="9"/>
        <v>62047129</v>
      </c>
      <c r="AC22" s="882">
        <f t="shared" si="16"/>
        <v>-0.16960940527970372</v>
      </c>
      <c r="AE22" s="877">
        <v>2012</v>
      </c>
      <c r="AF22" s="884">
        <f>Mean_run_forecasts!X20</f>
        <v>68515.7</v>
      </c>
      <c r="AG22" s="879">
        <f>Mean_run_forecasts!$P20</f>
        <v>46442</v>
      </c>
      <c r="AH22" s="880">
        <f t="shared" si="11"/>
        <v>487248231.68999988</v>
      </c>
      <c r="AI22" s="882">
        <f t="shared" si="10"/>
        <v>-0.47529606821411646</v>
      </c>
    </row>
    <row r="23" spans="1:35">
      <c r="A23" s="877">
        <v>2013</v>
      </c>
      <c r="B23" s="884">
        <f>Mean_run_forecasts!S21</f>
        <v>46442</v>
      </c>
      <c r="C23" s="879">
        <f>Mean_run_forecasts!$P21</f>
        <v>42886</v>
      </c>
      <c r="D23" s="880">
        <f t="shared" si="0"/>
        <v>12645136</v>
      </c>
      <c r="E23" s="882">
        <f t="shared" si="12"/>
        <v>-8.2917502215175118E-2</v>
      </c>
      <c r="G23" s="877">
        <v>2013</v>
      </c>
      <c r="H23" s="884">
        <f>Mean_run_forecasts!T21</f>
        <v>50165.5</v>
      </c>
      <c r="I23" s="879">
        <f>Mean_run_forecasts!$P21</f>
        <v>42886</v>
      </c>
      <c r="J23" s="880">
        <f t="shared" si="3"/>
        <v>52991120.25</v>
      </c>
      <c r="K23" s="882">
        <f t="shared" si="13"/>
        <v>-0.16974070792333162</v>
      </c>
      <c r="M23" s="877">
        <v>2013</v>
      </c>
      <c r="N23" s="884">
        <f>Mean_run_forecasts!U21</f>
        <v>44505</v>
      </c>
      <c r="O23" s="879">
        <f>Mean_run_forecasts!$P21</f>
        <v>42886</v>
      </c>
      <c r="P23" s="880">
        <f t="shared" si="5"/>
        <v>2621161</v>
      </c>
      <c r="Q23" s="882">
        <f t="shared" si="14"/>
        <v>-3.7751247493354477E-2</v>
      </c>
      <c r="S23" s="877">
        <v>2013</v>
      </c>
      <c r="T23" s="884">
        <f>Mean_run_forecasts!V21</f>
        <v>44126.75</v>
      </c>
      <c r="U23" s="879">
        <f>Mean_run_forecasts!$P21</f>
        <v>42886</v>
      </c>
      <c r="V23" s="880">
        <f t="shared" si="6"/>
        <v>1539460.5625</v>
      </c>
      <c r="W23" s="882">
        <f t="shared" si="15"/>
        <v>-2.8931352889054702E-2</v>
      </c>
      <c r="Y23" s="877">
        <v>2013</v>
      </c>
      <c r="Z23" s="884">
        <f>Mean_run_forecasts!W21</f>
        <v>46070.8</v>
      </c>
      <c r="AA23" s="879">
        <f>Mean_run_forecasts!$P21</f>
        <v>42886</v>
      </c>
      <c r="AB23" s="880">
        <f t="shared" si="9"/>
        <v>10142951.040000018</v>
      </c>
      <c r="AC23" s="882">
        <f t="shared" si="16"/>
        <v>-7.426199692207254E-2</v>
      </c>
      <c r="AE23" s="877">
        <v>2013</v>
      </c>
      <c r="AF23" s="884">
        <f>Mean_run_forecasts!X21</f>
        <v>65863.899999999994</v>
      </c>
      <c r="AG23" s="879">
        <f>Mean_run_forecasts!$P21</f>
        <v>42886</v>
      </c>
      <c r="AH23" s="880">
        <f t="shared" si="11"/>
        <v>527983888.40999973</v>
      </c>
      <c r="AI23" s="882">
        <f t="shared" si="10"/>
        <v>-0.53579023457538577</v>
      </c>
    </row>
    <row r="24" spans="1:35">
      <c r="A24" s="877">
        <v>2014</v>
      </c>
      <c r="B24" s="884">
        <f>Mean_run_forecasts!S22</f>
        <v>42886</v>
      </c>
      <c r="C24" s="879">
        <f>Mean_run_forecasts!$P22</f>
        <v>35322</v>
      </c>
      <c r="D24" s="880">
        <f t="shared" si="0"/>
        <v>57214096</v>
      </c>
      <c r="E24" s="882">
        <f t="shared" si="12"/>
        <v>-0.21414415944736992</v>
      </c>
      <c r="G24" s="877">
        <v>2014</v>
      </c>
      <c r="H24" s="884">
        <f>Mean_run_forecasts!T22</f>
        <v>44664</v>
      </c>
      <c r="I24" s="879">
        <f>Mean_run_forecasts!$P22</f>
        <v>35322</v>
      </c>
      <c r="J24" s="880">
        <f t="shared" si="3"/>
        <v>87272964</v>
      </c>
      <c r="K24" s="882">
        <f t="shared" si="13"/>
        <v>-0.26448105996262955</v>
      </c>
      <c r="M24" s="877">
        <v>2014</v>
      </c>
      <c r="N24" s="884">
        <f>Mean_run_forecasts!U22</f>
        <v>47739</v>
      </c>
      <c r="O24" s="879">
        <f>Mean_run_forecasts!$P22</f>
        <v>35322</v>
      </c>
      <c r="P24" s="880">
        <f t="shared" si="5"/>
        <v>154181889</v>
      </c>
      <c r="Q24" s="882">
        <f t="shared" si="14"/>
        <v>-0.35153728554441993</v>
      </c>
      <c r="S24" s="877">
        <v>2014</v>
      </c>
      <c r="T24" s="884">
        <f>Mean_run_forecasts!V22</f>
        <v>44100.25</v>
      </c>
      <c r="U24" s="879">
        <f>Mean_run_forecasts!$P22</f>
        <v>35322</v>
      </c>
      <c r="V24" s="880">
        <f t="shared" si="6"/>
        <v>77057673.0625</v>
      </c>
      <c r="W24" s="882">
        <f t="shared" si="15"/>
        <v>-0.24852075193930129</v>
      </c>
      <c r="Y24" s="877">
        <v>2014</v>
      </c>
      <c r="Z24" s="884">
        <f>Mean_run_forecasts!W22</f>
        <v>43878.6</v>
      </c>
      <c r="AA24" s="879">
        <f>Mean_run_forecasts!$P22</f>
        <v>35322</v>
      </c>
      <c r="AB24" s="880">
        <f t="shared" si="9"/>
        <v>73215403.559999973</v>
      </c>
      <c r="AC24" s="882">
        <f t="shared" si="16"/>
        <v>-0.24224562595549512</v>
      </c>
      <c r="AE24" s="877">
        <v>2014</v>
      </c>
      <c r="AF24" s="884">
        <f>Mean_run_forecasts!X22</f>
        <v>60712.1</v>
      </c>
      <c r="AG24" s="879">
        <f>Mean_run_forecasts!$P22</f>
        <v>35322</v>
      </c>
      <c r="AH24" s="880">
        <f t="shared" si="11"/>
        <v>644657178.00999987</v>
      </c>
      <c r="AI24" s="882">
        <f t="shared" si="10"/>
        <v>-0.7188183002095011</v>
      </c>
    </row>
    <row r="25" spans="1:35">
      <c r="A25" s="877">
        <v>2015</v>
      </c>
      <c r="B25" s="884">
        <f>Mean_run_forecasts!S23</f>
        <v>35322</v>
      </c>
      <c r="C25" s="879">
        <f>Mean_run_forecasts!$P23</f>
        <v>56174</v>
      </c>
      <c r="D25" s="880">
        <f t="shared" si="0"/>
        <v>434805904</v>
      </c>
      <c r="E25" s="882">
        <f t="shared" si="12"/>
        <v>0.37120375974650194</v>
      </c>
      <c r="G25" s="877">
        <v>2015</v>
      </c>
      <c r="H25" s="884">
        <f>Mean_run_forecasts!T23</f>
        <v>39104</v>
      </c>
      <c r="I25" s="879">
        <f>Mean_run_forecasts!$P23</f>
        <v>56174</v>
      </c>
      <c r="J25" s="880">
        <f t="shared" si="3"/>
        <v>291384900</v>
      </c>
      <c r="K25" s="882">
        <f t="shared" si="13"/>
        <v>0.30387723858012605</v>
      </c>
      <c r="M25" s="877">
        <v>2015</v>
      </c>
      <c r="N25" s="884">
        <f>Mean_run_forecasts!U23</f>
        <v>41550</v>
      </c>
      <c r="O25" s="879">
        <f>Mean_run_forecasts!$P23</f>
        <v>56174</v>
      </c>
      <c r="P25" s="880">
        <f t="shared" si="5"/>
        <v>213861376</v>
      </c>
      <c r="Q25" s="882">
        <f t="shared" si="14"/>
        <v>0.26033396233132766</v>
      </c>
      <c r="S25" s="877">
        <v>2015</v>
      </c>
      <c r="T25" s="884">
        <f>Mean_run_forecasts!V23</f>
        <v>44634.75</v>
      </c>
      <c r="U25" s="879">
        <f>Mean_run_forecasts!$P23</f>
        <v>56174</v>
      </c>
      <c r="V25" s="880">
        <f t="shared" si="6"/>
        <v>133154290.5625</v>
      </c>
      <c r="W25" s="882">
        <f t="shared" si="15"/>
        <v>0.20541976715206323</v>
      </c>
      <c r="Y25" s="877">
        <v>2015</v>
      </c>
      <c r="Z25" s="884">
        <f>Mean_run_forecasts!W23</f>
        <v>42344.6</v>
      </c>
      <c r="AA25" s="879">
        <f>Mean_run_forecasts!$P23</f>
        <v>56174</v>
      </c>
      <c r="AB25" s="880">
        <f t="shared" si="9"/>
        <v>191252304.36000004</v>
      </c>
      <c r="AC25" s="882">
        <f t="shared" si="16"/>
        <v>0.24618862819097806</v>
      </c>
      <c r="AE25" s="877">
        <v>2015</v>
      </c>
      <c r="AF25" s="884">
        <f>Mean_run_forecasts!X23</f>
        <v>56196.4</v>
      </c>
      <c r="AG25" s="879">
        <f>Mean_run_forecasts!$P23</f>
        <v>56174</v>
      </c>
      <c r="AH25" s="880">
        <f t="shared" si="11"/>
        <v>501.76000000006519</v>
      </c>
      <c r="AI25" s="882">
        <f t="shared" si="10"/>
        <v>-3.9876099263006827E-4</v>
      </c>
    </row>
    <row r="26" spans="1:35">
      <c r="A26" s="877">
        <v>2016</v>
      </c>
      <c r="B26" s="884">
        <f>Mean_run_forecasts!S24</f>
        <v>56174</v>
      </c>
      <c r="C26" s="879">
        <f>Mean_run_forecasts!$P24</f>
        <v>29295</v>
      </c>
      <c r="D26" s="880">
        <f t="shared" si="0"/>
        <v>722480641</v>
      </c>
      <c r="E26" s="882">
        <f t="shared" si="12"/>
        <v>-0.91752858849633046</v>
      </c>
      <c r="G26" s="877">
        <v>2016</v>
      </c>
      <c r="H26" s="884">
        <f>Mean_run_forecasts!T24</f>
        <v>45748</v>
      </c>
      <c r="I26" s="879">
        <f>Mean_run_forecasts!$P24</f>
        <v>29295</v>
      </c>
      <c r="J26" s="880">
        <f t="shared" si="3"/>
        <v>270701209</v>
      </c>
      <c r="K26" s="882">
        <f t="shared" si="13"/>
        <v>-0.56163167776070999</v>
      </c>
      <c r="M26" s="877">
        <v>2016</v>
      </c>
      <c r="N26" s="884">
        <f>Mean_run_forecasts!U24</f>
        <v>44794</v>
      </c>
      <c r="O26" s="879">
        <f>Mean_run_forecasts!$P24</f>
        <v>29295</v>
      </c>
      <c r="P26" s="880">
        <f t="shared" si="5"/>
        <v>240219001</v>
      </c>
      <c r="Q26" s="882">
        <f t="shared" si="14"/>
        <v>-0.52906639358252261</v>
      </c>
      <c r="S26" s="877">
        <v>2016</v>
      </c>
      <c r="T26" s="884">
        <f>Mean_run_forecasts!V24</f>
        <v>45206</v>
      </c>
      <c r="U26" s="879">
        <f>Mean_run_forecasts!$P24</f>
        <v>29295</v>
      </c>
      <c r="V26" s="880">
        <f t="shared" si="6"/>
        <v>253159921</v>
      </c>
      <c r="W26" s="882">
        <f t="shared" si="15"/>
        <v>-0.54313022700119473</v>
      </c>
      <c r="Y26" s="877">
        <v>2016</v>
      </c>
      <c r="Z26" s="884">
        <f>Mean_run_forecasts!W24</f>
        <v>46942.6</v>
      </c>
      <c r="AA26" s="879">
        <f>Mean_run_forecasts!$P24</f>
        <v>29295</v>
      </c>
      <c r="AB26" s="880">
        <f t="shared" si="9"/>
        <v>311437785.75999993</v>
      </c>
      <c r="AC26" s="882">
        <f t="shared" si="16"/>
        <v>-0.60240996757125786</v>
      </c>
      <c r="AE26" s="877">
        <v>2016</v>
      </c>
      <c r="AF26" s="884">
        <f>Mean_run_forecasts!X24</f>
        <v>55205.8</v>
      </c>
      <c r="AG26" s="879">
        <f>Mean_run_forecasts!$P24</f>
        <v>29295</v>
      </c>
      <c r="AH26" s="880">
        <f t="shared" si="11"/>
        <v>671369556.6400001</v>
      </c>
      <c r="AI26" s="882">
        <f t="shared" si="10"/>
        <v>-0.88447857996245105</v>
      </c>
    </row>
    <row r="27" spans="1:35">
      <c r="A27" s="877">
        <v>2017</v>
      </c>
      <c r="B27" s="884">
        <f>Mean_run_forecasts!S25</f>
        <v>29295</v>
      </c>
      <c r="C27" s="879">
        <f>Mean_run_forecasts!$P25</f>
        <v>56167</v>
      </c>
      <c r="D27" s="880">
        <f t="shared" ref="D27" si="17">(C27-B27)^2</f>
        <v>722104384</v>
      </c>
      <c r="E27" s="882">
        <f t="shared" ref="E27" si="18">(C27-B27)/C27</f>
        <v>0.47843039507183932</v>
      </c>
      <c r="G27" s="877">
        <v>2017</v>
      </c>
      <c r="H27" s="884">
        <f>Mean_run_forecasts!T25</f>
        <v>42734.5</v>
      </c>
      <c r="I27" s="879">
        <f>Mean_run_forecasts!$P25</f>
        <v>56167</v>
      </c>
      <c r="J27" s="880">
        <f t="shared" ref="J27" si="19">(I27-H27)^2</f>
        <v>180432056.25</v>
      </c>
      <c r="K27" s="882">
        <f t="shared" ref="K27" si="20">(I27-H27)/I27</f>
        <v>0.23915288336567736</v>
      </c>
      <c r="M27" s="877">
        <v>2017</v>
      </c>
      <c r="N27" s="884">
        <f>Mean_run_forecasts!U25</f>
        <v>40263.666666666664</v>
      </c>
      <c r="O27" s="879">
        <f>Mean_run_forecasts!$P25</f>
        <v>56167</v>
      </c>
      <c r="P27" s="880">
        <f t="shared" ref="P27" si="21">(O27-N27)^2</f>
        <v>252916011.11111119</v>
      </c>
      <c r="Q27" s="882">
        <f t="shared" ref="Q27" si="22">(O27-N27)/O27</f>
        <v>0.28314372021531031</v>
      </c>
      <c r="S27" s="877">
        <v>2017</v>
      </c>
      <c r="T27" s="885">
        <f>Mean_run_forecasts!V25</f>
        <v>40919.25</v>
      </c>
      <c r="U27" s="878"/>
      <c r="V27" s="886"/>
      <c r="W27" s="887"/>
      <c r="Y27" s="877">
        <v>2017</v>
      </c>
      <c r="Z27" s="884">
        <f>Mean_run_forecasts!W25</f>
        <v>42023.8</v>
      </c>
      <c r="AA27" s="879">
        <f>Mean_run_forecasts!$P25</f>
        <v>56167</v>
      </c>
      <c r="AB27" s="880">
        <f t="shared" ref="AB27" si="23">(AA27-Z27)^2</f>
        <v>200030106.23999992</v>
      </c>
      <c r="AC27" s="882">
        <f t="shared" ref="AC27" si="24">(AA27-Z27)/AA27</f>
        <v>0.25180622073459502</v>
      </c>
      <c r="AE27" s="877">
        <v>2017</v>
      </c>
      <c r="AF27" s="884">
        <f>Mean_run_forecasts!X25</f>
        <v>48171.4</v>
      </c>
      <c r="AG27" s="879">
        <f>Mean_run_forecasts!$P25</f>
        <v>56167</v>
      </c>
      <c r="AH27" s="880">
        <f t="shared" ref="AH27" si="25">(AG27-AF27)^2</f>
        <v>63929619.359999977</v>
      </c>
      <c r="AI27" s="882">
        <f t="shared" ref="AI27" si="26">(AG27-AF27)/AG27</f>
        <v>0.14235405131126816</v>
      </c>
    </row>
    <row r="28" spans="1:35">
      <c r="A28" s="935"/>
      <c r="B28" s="895"/>
      <c r="C28" s="936"/>
      <c r="D28" s="937"/>
      <c r="E28" s="887"/>
      <c r="G28" s="935"/>
      <c r="H28" s="895"/>
      <c r="I28" s="936"/>
      <c r="J28" s="937"/>
      <c r="K28" s="887"/>
      <c r="M28" s="935"/>
      <c r="N28" s="895"/>
      <c r="O28" s="936"/>
      <c r="P28" s="937"/>
      <c r="Q28" s="887"/>
      <c r="S28" s="935"/>
      <c r="T28" s="895"/>
      <c r="U28" s="936"/>
      <c r="V28" s="937"/>
      <c r="W28" s="887"/>
      <c r="Y28" s="935"/>
      <c r="Z28" s="895"/>
      <c r="AA28" s="936"/>
      <c r="AB28" s="937"/>
      <c r="AC28" s="887"/>
    </row>
    <row r="29" spans="1:35">
      <c r="A29" s="935"/>
      <c r="B29" s="895"/>
      <c r="C29" s="936"/>
      <c r="D29" s="937"/>
      <c r="E29" s="887"/>
      <c r="G29" s="935"/>
      <c r="H29" s="895"/>
      <c r="I29" s="936"/>
      <c r="J29" s="937"/>
      <c r="K29" s="887"/>
      <c r="M29" s="935"/>
      <c r="N29" s="895"/>
      <c r="O29" s="936"/>
      <c r="P29" s="937"/>
      <c r="Q29" s="887"/>
      <c r="S29" s="935"/>
      <c r="T29" s="895"/>
      <c r="U29" s="936"/>
      <c r="V29" s="937"/>
      <c r="W29" s="887"/>
      <c r="Y29" s="935"/>
      <c r="Z29" s="895"/>
      <c r="AA29" s="936"/>
      <c r="AB29" s="937"/>
      <c r="AC29" s="887"/>
    </row>
    <row r="30" spans="1:35">
      <c r="A30" s="935"/>
      <c r="B30" s="895"/>
      <c r="C30" s="936"/>
      <c r="D30" s="937"/>
      <c r="E30" s="887"/>
      <c r="G30" s="935"/>
      <c r="H30" s="895"/>
      <c r="I30" s="936"/>
      <c r="J30" s="937"/>
      <c r="K30" s="887"/>
      <c r="M30" s="935"/>
      <c r="N30" s="895"/>
      <c r="O30" s="936"/>
      <c r="P30" s="937"/>
      <c r="Q30" s="887"/>
      <c r="S30" s="935"/>
      <c r="T30" s="895"/>
      <c r="U30" s="936"/>
      <c r="V30" s="937"/>
      <c r="W30" s="887"/>
      <c r="Y30" s="935"/>
      <c r="Z30" s="895"/>
      <c r="AA30" s="936"/>
      <c r="AB30" s="937"/>
      <c r="AC30" s="887"/>
    </row>
    <row r="31" spans="1:35" ht="31.5">
      <c r="A31" s="872"/>
      <c r="B31" s="846"/>
      <c r="C31" s="927" t="s">
        <v>382</v>
      </c>
      <c r="D31" s="928">
        <f>SUM(D9:D28)</f>
        <v>6727604964</v>
      </c>
      <c r="E31" s="891">
        <f>SUM(E9:E28)</f>
        <v>-1.6202933743554551</v>
      </c>
      <c r="G31" s="872"/>
      <c r="H31" s="846"/>
      <c r="I31" s="927" t="s">
        <v>382</v>
      </c>
      <c r="J31" s="928">
        <f>SUM(J9:J28)</f>
        <v>5230485378</v>
      </c>
      <c r="K31" s="891">
        <f>SUM(K9:K28)</f>
        <v>-1.8691674452572036</v>
      </c>
      <c r="M31" s="872"/>
      <c r="N31" s="846"/>
      <c r="O31" s="927" t="s">
        <v>382</v>
      </c>
      <c r="P31" s="928">
        <f>SUM(P9:P28)</f>
        <v>5278432686.333333</v>
      </c>
      <c r="Q31" s="891">
        <f>SUM(Q9:Q28)</f>
        <v>-2.3513721810907562</v>
      </c>
      <c r="S31" s="872"/>
      <c r="T31" s="846"/>
      <c r="U31" s="927" t="s">
        <v>382</v>
      </c>
      <c r="V31" s="928">
        <f>SUM(V9:V28)</f>
        <v>4837720887.75</v>
      </c>
      <c r="W31" s="891">
        <f>SUM(W9:W28)</f>
        <v>-2.9365751452066742</v>
      </c>
      <c r="Y31" s="872"/>
      <c r="Z31" s="846"/>
      <c r="AA31" s="927" t="s">
        <v>382</v>
      </c>
      <c r="AB31" s="928">
        <f>SUM(AB9:AB28)</f>
        <v>5153781111.1600008</v>
      </c>
      <c r="AC31" s="891">
        <f>SUM(AC9:AC28)</f>
        <v>-3.2509688780858941</v>
      </c>
      <c r="AF31" s="846"/>
      <c r="AG31" s="927" t="s">
        <v>382</v>
      </c>
      <c r="AH31" s="928">
        <f>SUM(AH9:AH28)</f>
        <v>5834206866.5300007</v>
      </c>
      <c r="AI31" s="891">
        <f>SUM(AI9:AI28)</f>
        <v>-4.921442856472555</v>
      </c>
    </row>
    <row r="32" spans="1:35">
      <c r="A32" s="872"/>
      <c r="B32" s="846"/>
      <c r="C32" s="845" t="s">
        <v>338</v>
      </c>
      <c r="D32" s="1138">
        <f>SQRT(D31/(COUNT(D9:D28)-1))</f>
        <v>19893.251832482998</v>
      </c>
      <c r="E32" s="923">
        <f>E31/COUNTA(E9:E28)</f>
        <v>-9.0016298575303064E-2</v>
      </c>
      <c r="G32" s="872"/>
      <c r="H32" s="846"/>
      <c r="I32" s="845" t="s">
        <v>338</v>
      </c>
      <c r="J32" s="1138">
        <f>SQRT(J31/(COUNT(J9:J28)-1))</f>
        <v>18080.523668439473</v>
      </c>
      <c r="K32" s="923">
        <f>K31/COUNTA(K9:K28)</f>
        <v>-0.10995102619160022</v>
      </c>
      <c r="M32" s="872"/>
      <c r="N32" s="846"/>
      <c r="O32" s="845" t="s">
        <v>338</v>
      </c>
      <c r="P32" s="1138">
        <f>SQRT(P31/(COUNT(P9:P28)-1))</f>
        <v>18758.878229313774</v>
      </c>
      <c r="Q32" s="923">
        <f>Q31/COUNTA(Q9:Q28)</f>
        <v>-0.14696076131817226</v>
      </c>
      <c r="S32" s="872"/>
      <c r="T32" s="846"/>
      <c r="U32" s="845" t="s">
        <v>338</v>
      </c>
      <c r="V32" s="1138">
        <f>SQRT(V31/(COUNT(V9:V28)-1))</f>
        <v>19290.732904189234</v>
      </c>
      <c r="W32" s="923">
        <f>W31/COUNTA(W9:W28)</f>
        <v>-0.20975536751476245</v>
      </c>
      <c r="Y32" s="872"/>
      <c r="Z32" s="846"/>
      <c r="AA32" s="845" t="s">
        <v>338</v>
      </c>
      <c r="AB32" s="1138">
        <f>SQRT(AB31/(COUNT(AB9:AB28)-1))</f>
        <v>19910.919136455293</v>
      </c>
      <c r="AC32" s="923">
        <f>AC31/COUNTA(AC9:AC28)</f>
        <v>-0.232212062720421</v>
      </c>
      <c r="AF32" s="846"/>
      <c r="AG32" s="845" t="s">
        <v>338</v>
      </c>
      <c r="AH32" s="1138">
        <f>SQRT(AH31/(COUNT(AH9:AH28)-1))</f>
        <v>27005.108004158214</v>
      </c>
      <c r="AI32" s="923">
        <f>AI31/COUNTA(AI9:AI28)</f>
        <v>-0.54682698405250607</v>
      </c>
    </row>
    <row r="33" spans="1:35">
      <c r="A33" s="845"/>
      <c r="B33" s="846"/>
      <c r="C33" s="845" t="s">
        <v>383</v>
      </c>
      <c r="D33" s="929"/>
      <c r="E33" s="891">
        <f>E32*0.8</f>
        <v>-7.2013038860242448E-2</v>
      </c>
      <c r="G33" s="845"/>
      <c r="H33" s="846"/>
      <c r="I33" s="845" t="s">
        <v>383</v>
      </c>
      <c r="J33" s="929"/>
      <c r="K33" s="891">
        <f>K32*0.8</f>
        <v>-8.7960820953280172E-2</v>
      </c>
      <c r="M33" s="845"/>
      <c r="N33" s="846"/>
      <c r="O33" s="845" t="s">
        <v>383</v>
      </c>
      <c r="P33" s="929"/>
      <c r="Q33" s="891">
        <f>Q32*0.8</f>
        <v>-0.11756860905453781</v>
      </c>
      <c r="S33" s="845"/>
      <c r="T33" s="846"/>
      <c r="U33" s="845" t="s">
        <v>383</v>
      </c>
      <c r="V33" s="929"/>
      <c r="W33" s="891">
        <f>W32*0.8</f>
        <v>-0.16780429401180996</v>
      </c>
      <c r="Y33" s="845"/>
      <c r="Z33" s="846"/>
      <c r="AA33" s="845" t="s">
        <v>383</v>
      </c>
      <c r="AB33" s="929"/>
      <c r="AC33" s="891">
        <f>AC32*0.8</f>
        <v>-0.18576965017633681</v>
      </c>
      <c r="AF33" s="846"/>
      <c r="AG33" s="845" t="s">
        <v>383</v>
      </c>
      <c r="AH33" s="929"/>
      <c r="AI33" s="891">
        <f>AI32*0.8</f>
        <v>-0.4374615872420049</v>
      </c>
    </row>
    <row r="34" spans="1:35">
      <c r="A34" s="845"/>
      <c r="B34" s="846"/>
      <c r="C34" s="845" t="s">
        <v>395</v>
      </c>
      <c r="D34" s="933">
        <f>COUNT(D9:D28)-1</f>
        <v>17</v>
      </c>
      <c r="E34" s="891"/>
      <c r="G34" s="845"/>
      <c r="H34" s="846"/>
      <c r="I34" s="845" t="s">
        <v>395</v>
      </c>
      <c r="J34" s="933">
        <f>COUNT(J9:J28)-1</f>
        <v>16</v>
      </c>
      <c r="K34" s="891"/>
      <c r="M34" s="845"/>
      <c r="N34" s="846"/>
      <c r="O34" s="845" t="s">
        <v>395</v>
      </c>
      <c r="P34" s="933">
        <f>COUNT(P9:P28)-1</f>
        <v>15</v>
      </c>
      <c r="Q34" s="891"/>
      <c r="S34" s="845"/>
      <c r="T34" s="846"/>
      <c r="U34" s="845" t="s">
        <v>395</v>
      </c>
      <c r="V34" s="933">
        <f>COUNT(V9:V28)-1</f>
        <v>13</v>
      </c>
      <c r="W34" s="891"/>
      <c r="Y34" s="845"/>
      <c r="Z34" s="846"/>
      <c r="AA34" s="845" t="s">
        <v>395</v>
      </c>
      <c r="AB34" s="933">
        <f>COUNT(AB9:AB28)-1</f>
        <v>13</v>
      </c>
      <c r="AC34" s="891"/>
      <c r="AF34" s="846"/>
      <c r="AG34" s="845" t="s">
        <v>395</v>
      </c>
      <c r="AH34" s="933">
        <f>COUNT(AH9:AH28)-1</f>
        <v>8</v>
      </c>
      <c r="AI34" s="891"/>
    </row>
    <row r="35" spans="1:35">
      <c r="A35" s="845"/>
      <c r="B35" s="846"/>
      <c r="C35" s="845" t="s">
        <v>394</v>
      </c>
      <c r="D35" s="932">
        <f>_xlfn.T.INV.2T(0.2,D34)</f>
        <v>1.3333793897216262</v>
      </c>
      <c r="E35" s="891"/>
      <c r="G35" s="845"/>
      <c r="H35" s="846"/>
      <c r="I35" s="845" t="s">
        <v>394</v>
      </c>
      <c r="J35" s="932">
        <f>_xlfn.T.INV.2T(0.2,J34)</f>
        <v>1.3367571673273144</v>
      </c>
      <c r="K35" s="891"/>
      <c r="M35" s="845"/>
      <c r="N35" s="846"/>
      <c r="O35" s="845" t="s">
        <v>394</v>
      </c>
      <c r="P35" s="932">
        <f>_xlfn.T.INV.2T(0.2,P34)</f>
        <v>1.3406056078504547</v>
      </c>
      <c r="Q35" s="891"/>
      <c r="S35" s="845"/>
      <c r="T35" s="846"/>
      <c r="U35" s="845" t="s">
        <v>394</v>
      </c>
      <c r="V35" s="932">
        <f>_xlfn.T.INV.2T(0.2,V34)</f>
        <v>1.3501712887800554</v>
      </c>
      <c r="W35" s="891"/>
      <c r="Y35" s="845"/>
      <c r="Z35" s="846"/>
      <c r="AA35" s="845" t="s">
        <v>394</v>
      </c>
      <c r="AB35" s="932">
        <f>_xlfn.T.INV.2T(0.2,AB34)</f>
        <v>1.3501712887800554</v>
      </c>
      <c r="AC35" s="891"/>
      <c r="AF35" s="846"/>
      <c r="AG35" s="845" t="s">
        <v>394</v>
      </c>
      <c r="AH35" s="932">
        <f>_xlfn.T.INV.2T(0.2,AH34)</f>
        <v>1.3968153097438645</v>
      </c>
      <c r="AI35" s="891"/>
    </row>
    <row r="36" spans="1:35" ht="20.25">
      <c r="A36" s="872"/>
      <c r="B36" s="872" t="s">
        <v>384</v>
      </c>
      <c r="C36" s="930" t="s">
        <v>385</v>
      </c>
      <c r="D36" s="931">
        <f>D32*D35</f>
        <v>26525.2519879748</v>
      </c>
      <c r="E36" s="924">
        <f>D36/B27</f>
        <v>0.90545321686208569</v>
      </c>
      <c r="G36" s="872"/>
      <c r="H36" s="872" t="s">
        <v>384</v>
      </c>
      <c r="I36" s="930" t="s">
        <v>385</v>
      </c>
      <c r="J36" s="931">
        <f>J32*J35</f>
        <v>24169.269602817614</v>
      </c>
      <c r="K36" s="924">
        <f>J36/H27</f>
        <v>0.5655680914206932</v>
      </c>
      <c r="M36" s="872"/>
      <c r="N36" s="872" t="s">
        <v>384</v>
      </c>
      <c r="O36" s="930" t="s">
        <v>385</v>
      </c>
      <c r="P36" s="931">
        <f>P32*P35</f>
        <v>25148.257351201853</v>
      </c>
      <c r="Q36" s="924">
        <f>P36/N27</f>
        <v>0.62458934898796736</v>
      </c>
      <c r="S36" s="872"/>
      <c r="T36" s="872" t="s">
        <v>384</v>
      </c>
      <c r="U36" s="930" t="s">
        <v>385</v>
      </c>
      <c r="V36" s="931">
        <f>V32*V35</f>
        <v>26045.793706761</v>
      </c>
      <c r="W36" s="924">
        <f>V36/T27</f>
        <v>0.63651688891563263</v>
      </c>
      <c r="Y36" s="872"/>
      <c r="Z36" s="872" t="s">
        <v>384</v>
      </c>
      <c r="AA36" s="930" t="s">
        <v>385</v>
      </c>
      <c r="AB36" s="931">
        <f>AB32*AB35</f>
        <v>26883.151351263314</v>
      </c>
      <c r="AC36" s="924">
        <f>AB36/Z27</f>
        <v>0.63971252840683879</v>
      </c>
      <c r="AF36" s="872" t="s">
        <v>384</v>
      </c>
      <c r="AG36" s="930" t="s">
        <v>385</v>
      </c>
      <c r="AH36" s="931">
        <f>AH32*AH35</f>
        <v>37721.148301494766</v>
      </c>
      <c r="AI36" s="924">
        <f>AH36/AF27</f>
        <v>0.78306107569003114</v>
      </c>
    </row>
    <row r="37" spans="1:35">
      <c r="A37" s="872"/>
      <c r="B37" s="846"/>
      <c r="C37" s="845"/>
      <c r="D37" s="918"/>
      <c r="E37" s="919"/>
      <c r="G37" s="872"/>
      <c r="H37" s="846"/>
      <c r="I37" s="845"/>
      <c r="J37" s="918"/>
      <c r="K37" s="919"/>
      <c r="M37" s="888"/>
      <c r="N37" s="881"/>
      <c r="O37" s="883"/>
      <c r="P37" s="883"/>
      <c r="Q37" s="834"/>
      <c r="S37" s="834"/>
      <c r="T37" s="840"/>
      <c r="U37" s="938"/>
      <c r="V37" s="938"/>
      <c r="W37" s="938"/>
      <c r="Y37" s="938"/>
      <c r="Z37" s="938"/>
      <c r="AA37" s="938"/>
      <c r="AB37" s="938"/>
      <c r="AC37" s="938"/>
    </row>
    <row r="38" spans="1:35" ht="18" customHeight="1" thickBot="1">
      <c r="A38" s="845"/>
      <c r="B38" s="846"/>
      <c r="C38" s="845"/>
      <c r="D38" s="845"/>
      <c r="E38" s="845"/>
      <c r="G38" s="845"/>
      <c r="H38" s="845"/>
      <c r="I38" s="845"/>
      <c r="J38" s="845"/>
      <c r="K38" s="845"/>
      <c r="M38" s="847"/>
      <c r="N38" s="881"/>
      <c r="O38" s="883"/>
      <c r="P38" s="883"/>
      <c r="Q38" s="834"/>
      <c r="S38" s="834"/>
      <c r="T38" s="840"/>
      <c r="U38" s="938"/>
      <c r="V38" s="938"/>
      <c r="W38" s="938"/>
      <c r="Y38" s="938"/>
      <c r="Z38" s="938"/>
      <c r="AA38" s="938"/>
      <c r="AB38" s="938"/>
      <c r="AC38" s="938"/>
    </row>
    <row r="39" spans="1:35" ht="18" customHeight="1">
      <c r="A39" s="845"/>
      <c r="B39" s="940"/>
      <c r="C39" s="941" t="s">
        <v>399</v>
      </c>
      <c r="D39" s="942"/>
      <c r="E39" s="847"/>
      <c r="G39" s="847"/>
      <c r="H39" s="847"/>
      <c r="I39" s="847"/>
      <c r="J39" s="847"/>
      <c r="K39" s="847"/>
      <c r="M39" s="892"/>
      <c r="N39" s="881"/>
      <c r="O39" s="883"/>
      <c r="P39" s="883"/>
      <c r="Q39" s="834"/>
      <c r="S39" s="834"/>
      <c r="T39" s="840"/>
      <c r="U39" s="938"/>
      <c r="V39" s="938"/>
      <c r="W39" s="938"/>
      <c r="Y39" s="938"/>
      <c r="Z39" s="938"/>
      <c r="AA39" s="938"/>
      <c r="AB39" s="938"/>
      <c r="AC39" s="938"/>
    </row>
    <row r="40" spans="1:35" ht="18" customHeight="1">
      <c r="A40" s="846"/>
      <c r="B40" s="943" t="s">
        <v>250</v>
      </c>
      <c r="C40" s="939">
        <f>D36</f>
        <v>26525.2519879748</v>
      </c>
      <c r="D40" s="944"/>
      <c r="E40" s="849"/>
      <c r="G40" s="849"/>
      <c r="H40" s="849"/>
      <c r="I40" s="849"/>
      <c r="J40" s="849"/>
      <c r="K40" s="849"/>
      <c r="M40" s="847"/>
      <c r="N40" s="881"/>
      <c r="O40" s="883"/>
      <c r="P40" s="883"/>
      <c r="Q40" s="834"/>
      <c r="S40" s="834"/>
      <c r="T40" s="840"/>
      <c r="U40" s="938"/>
      <c r="V40" s="938"/>
      <c r="W40" s="938"/>
      <c r="Y40" s="938"/>
      <c r="Z40" s="938"/>
      <c r="AA40" s="938"/>
      <c r="AB40" s="938"/>
      <c r="AC40" s="938"/>
    </row>
    <row r="41" spans="1:35" ht="18" customHeight="1">
      <c r="A41" s="893"/>
      <c r="B41" s="945" t="s">
        <v>242</v>
      </c>
      <c r="C41" s="939">
        <f>J36</f>
        <v>24169.269602817614</v>
      </c>
      <c r="D41" s="944"/>
      <c r="E41" s="894"/>
      <c r="G41" s="894"/>
      <c r="H41" s="894"/>
      <c r="I41" s="894"/>
      <c r="J41" s="894"/>
      <c r="K41" s="894"/>
      <c r="M41" s="847"/>
      <c r="N41" s="881"/>
      <c r="O41" s="883"/>
      <c r="P41" s="883"/>
      <c r="Q41" s="834"/>
      <c r="S41" s="834"/>
      <c r="T41" s="826"/>
    </row>
    <row r="42" spans="1:35" ht="18" customHeight="1">
      <c r="A42" s="893"/>
      <c r="B42" s="945" t="s">
        <v>243</v>
      </c>
      <c r="C42" s="939">
        <f>P36</f>
        <v>25148.257351201853</v>
      </c>
      <c r="D42" s="946"/>
      <c r="E42" s="894"/>
      <c r="G42" s="894"/>
      <c r="H42" s="894"/>
      <c r="I42" s="894"/>
      <c r="J42" s="894"/>
      <c r="K42" s="894"/>
      <c r="M42" s="847"/>
      <c r="N42" s="881"/>
      <c r="O42" s="883"/>
      <c r="P42" s="883"/>
      <c r="Q42" s="834"/>
      <c r="S42" s="834"/>
      <c r="T42" s="826"/>
    </row>
    <row r="43" spans="1:35" ht="18" customHeight="1">
      <c r="A43" s="893"/>
      <c r="B43" s="945" t="s">
        <v>393</v>
      </c>
      <c r="C43" s="939">
        <f>V36</f>
        <v>26045.793706761</v>
      </c>
      <c r="D43" s="946"/>
      <c r="E43" s="894"/>
      <c r="G43" s="894"/>
      <c r="H43" s="894"/>
      <c r="I43" s="894"/>
      <c r="J43" s="894"/>
      <c r="K43" s="894"/>
      <c r="M43" s="847"/>
      <c r="N43" s="881"/>
      <c r="O43" s="883"/>
      <c r="P43" s="883"/>
      <c r="Q43" s="834"/>
      <c r="S43" s="834"/>
      <c r="T43" s="826"/>
    </row>
    <row r="44" spans="1:35" ht="18" customHeight="1">
      <c r="A44" s="894"/>
      <c r="B44" s="945" t="s">
        <v>245</v>
      </c>
      <c r="C44" s="939">
        <f>AB36</f>
        <v>26883.151351263314</v>
      </c>
      <c r="D44" s="946"/>
      <c r="E44" s="894"/>
      <c r="G44" s="894"/>
      <c r="H44" s="894"/>
      <c r="I44" s="894"/>
      <c r="J44" s="1250">
        <f>H27-J36</f>
        <v>18565.230397182386</v>
      </c>
      <c r="K44" s="894"/>
      <c r="M44" s="841"/>
      <c r="N44" s="881"/>
      <c r="O44" s="882"/>
      <c r="P44" s="882"/>
      <c r="Q44" s="834"/>
      <c r="S44" s="834"/>
      <c r="T44" s="826"/>
    </row>
    <row r="45" spans="1:35" ht="18" customHeight="1" thickBot="1">
      <c r="A45" s="845"/>
      <c r="B45" s="1076" t="s">
        <v>390</v>
      </c>
      <c r="C45" s="1077">
        <f>AH36</f>
        <v>37721.148301494766</v>
      </c>
      <c r="D45" s="947"/>
      <c r="E45" s="845"/>
      <c r="G45" s="845"/>
      <c r="H45" s="845"/>
      <c r="I45" s="845"/>
      <c r="J45" s="918">
        <f>H27+J36</f>
        <v>66903.769602817614</v>
      </c>
      <c r="K45" s="845"/>
      <c r="M45" s="896"/>
      <c r="N45" s="897"/>
      <c r="O45" s="882"/>
      <c r="P45" s="882"/>
      <c r="Q45" s="834"/>
      <c r="S45" s="834"/>
      <c r="T45" s="826"/>
    </row>
    <row r="46" spans="1:35" ht="18" customHeight="1">
      <c r="A46" s="845"/>
      <c r="B46" s="846"/>
      <c r="C46" s="845"/>
      <c r="D46" s="845"/>
      <c r="E46" s="845"/>
      <c r="G46" s="845"/>
      <c r="H46" s="845"/>
      <c r="I46" s="845"/>
      <c r="J46" s="845"/>
      <c r="K46" s="845"/>
      <c r="M46" s="896"/>
      <c r="N46" s="897"/>
      <c r="O46" s="882"/>
      <c r="P46" s="882"/>
      <c r="Q46" s="834"/>
      <c r="S46" s="834"/>
      <c r="T46" s="826"/>
    </row>
    <row r="47" spans="1:35" ht="18" customHeight="1">
      <c r="A47" s="845"/>
      <c r="B47" s="846"/>
      <c r="C47" s="845"/>
      <c r="D47" s="845"/>
      <c r="E47" s="845"/>
      <c r="G47" s="845"/>
      <c r="H47" s="845"/>
      <c r="I47" s="845"/>
      <c r="J47" s="845"/>
      <c r="K47" s="845"/>
      <c r="M47" s="896"/>
      <c r="N47" s="898"/>
      <c r="O47" s="899"/>
      <c r="P47" s="899"/>
      <c r="Q47" s="834"/>
      <c r="S47" s="834"/>
      <c r="T47" s="826"/>
    </row>
    <row r="48" spans="1:35" ht="18" customHeight="1">
      <c r="A48" s="847"/>
      <c r="B48" s="849"/>
      <c r="C48" s="847"/>
      <c r="D48" s="847"/>
      <c r="E48" s="847"/>
      <c r="G48" s="847"/>
      <c r="H48" s="847"/>
      <c r="I48" s="847"/>
      <c r="J48" s="847"/>
      <c r="K48" s="847"/>
      <c r="M48" s="900"/>
      <c r="N48" s="901"/>
      <c r="O48" s="899"/>
      <c r="P48" s="899"/>
      <c r="Q48" s="836"/>
      <c r="S48" s="836"/>
      <c r="T48" s="826"/>
    </row>
    <row r="49" spans="1:27" ht="18" customHeight="1">
      <c r="A49" s="854"/>
      <c r="B49" s="855"/>
      <c r="C49" s="856"/>
      <c r="D49" s="847"/>
      <c r="E49" s="847"/>
      <c r="G49" s="847"/>
      <c r="H49" s="847"/>
      <c r="I49" s="847"/>
      <c r="J49" s="847"/>
      <c r="K49" s="847"/>
      <c r="M49" s="900"/>
      <c r="N49" s="902"/>
      <c r="O49" s="899"/>
      <c r="P49" s="899"/>
      <c r="Q49" s="837"/>
      <c r="S49" s="837"/>
      <c r="T49" s="826"/>
    </row>
    <row r="50" spans="1:27" ht="18.75">
      <c r="A50" s="856"/>
      <c r="B50" s="856"/>
      <c r="C50" s="856"/>
      <c r="D50" s="847"/>
      <c r="E50" s="847"/>
      <c r="G50" s="847"/>
      <c r="H50" s="847"/>
      <c r="I50" s="847"/>
      <c r="J50" s="847"/>
      <c r="K50" s="847"/>
      <c r="M50" s="900"/>
      <c r="N50" s="890"/>
      <c r="O50" s="890"/>
      <c r="P50" s="890"/>
      <c r="Q50" s="838"/>
      <c r="S50" s="838"/>
      <c r="T50" s="826"/>
    </row>
    <row r="51" spans="1:27" ht="18.75">
      <c r="A51" s="857"/>
      <c r="B51" s="857"/>
      <c r="C51" s="858"/>
      <c r="D51" s="847"/>
      <c r="E51" s="847"/>
      <c r="G51" s="847"/>
      <c r="H51" s="847"/>
      <c r="I51" s="847"/>
      <c r="J51" s="847"/>
      <c r="K51" s="847"/>
      <c r="M51" s="900"/>
      <c r="N51" s="902"/>
      <c r="O51" s="889"/>
      <c r="P51" s="889"/>
      <c r="Q51" s="837"/>
      <c r="S51" s="837"/>
      <c r="T51" s="826"/>
    </row>
    <row r="52" spans="1:27" ht="18.75">
      <c r="A52" s="857"/>
      <c r="B52" s="857"/>
      <c r="C52" s="858"/>
      <c r="D52" s="847"/>
      <c r="E52" s="847"/>
      <c r="G52" s="847"/>
      <c r="H52" s="847"/>
      <c r="I52" s="847"/>
      <c r="J52" s="847"/>
      <c r="K52" s="847"/>
      <c r="M52" s="900"/>
      <c r="N52" s="903"/>
      <c r="O52" s="899"/>
      <c r="P52" s="899"/>
      <c r="Q52" s="837"/>
      <c r="S52" s="837"/>
      <c r="T52" s="826"/>
    </row>
    <row r="53" spans="1:27" ht="18.75">
      <c r="A53" s="857"/>
      <c r="B53" s="857"/>
      <c r="C53" s="858"/>
      <c r="D53" s="847"/>
      <c r="E53" s="847"/>
      <c r="G53" s="847"/>
      <c r="H53" s="847"/>
      <c r="I53" s="847"/>
      <c r="J53" s="847"/>
      <c r="K53" s="847"/>
      <c r="M53" s="900"/>
      <c r="N53" s="901"/>
      <c r="O53" s="899"/>
      <c r="P53" s="899"/>
      <c r="Q53" s="836"/>
      <c r="S53" s="836"/>
      <c r="T53" s="826"/>
    </row>
    <row r="54" spans="1:27" ht="18.75">
      <c r="A54" s="857"/>
      <c r="B54" s="857"/>
      <c r="C54" s="858"/>
      <c r="D54" s="847"/>
      <c r="E54" s="847"/>
      <c r="G54" s="847"/>
      <c r="H54" s="847"/>
      <c r="I54" s="847"/>
      <c r="J54" s="847"/>
      <c r="K54" s="847"/>
      <c r="M54" s="900"/>
      <c r="N54" s="902"/>
      <c r="O54" s="899"/>
      <c r="P54" s="899"/>
      <c r="Q54" s="831"/>
      <c r="S54" s="831"/>
      <c r="T54" s="826"/>
    </row>
    <row r="55" spans="1:27" ht="18.75">
      <c r="A55" s="857"/>
      <c r="B55" s="857"/>
      <c r="C55" s="858"/>
      <c r="D55" s="847"/>
      <c r="E55" s="847"/>
      <c r="G55" s="847"/>
      <c r="H55" s="847"/>
      <c r="I55" s="847"/>
      <c r="J55" s="847"/>
      <c r="K55" s="847"/>
      <c r="M55" s="900"/>
      <c r="N55" s="892"/>
      <c r="O55" s="892"/>
      <c r="P55" s="892"/>
      <c r="Q55" s="839"/>
      <c r="S55" s="839"/>
      <c r="T55" s="826"/>
    </row>
    <row r="56" spans="1:27" ht="18.75">
      <c r="A56" s="857"/>
      <c r="B56" s="857"/>
      <c r="C56" s="858"/>
      <c r="D56" s="847"/>
      <c r="E56" s="847"/>
      <c r="G56" s="847"/>
      <c r="H56" s="847"/>
      <c r="I56" s="847"/>
      <c r="J56" s="847"/>
      <c r="K56" s="847"/>
      <c r="M56" s="900"/>
      <c r="N56" s="847"/>
      <c r="O56" s="847"/>
      <c r="P56" s="847"/>
      <c r="Q56" s="831"/>
      <c r="S56" s="831"/>
      <c r="T56" s="826"/>
      <c r="Y56" s="833"/>
      <c r="Z56" s="833"/>
      <c r="AA56" s="835"/>
    </row>
    <row r="57" spans="1:27" ht="18.75">
      <c r="A57" s="857"/>
      <c r="B57" s="857"/>
      <c r="C57" s="858"/>
      <c r="D57" s="847"/>
      <c r="E57" s="847"/>
      <c r="G57" s="847"/>
      <c r="H57" s="847"/>
      <c r="I57" s="847"/>
      <c r="J57" s="847"/>
      <c r="K57" s="847"/>
      <c r="M57" s="900"/>
      <c r="N57" s="847"/>
      <c r="O57" s="847"/>
      <c r="P57" s="847"/>
      <c r="Q57" s="831"/>
      <c r="S57" s="831"/>
      <c r="T57" s="826"/>
      <c r="Y57" s="833"/>
      <c r="Z57" s="833"/>
      <c r="AA57" s="835"/>
    </row>
    <row r="58" spans="1:27" ht="18.75">
      <c r="A58" s="857"/>
      <c r="B58" s="857"/>
      <c r="C58" s="858"/>
      <c r="D58" s="847"/>
      <c r="E58" s="847"/>
      <c r="G58" s="847"/>
      <c r="H58" s="847"/>
      <c r="I58" s="847"/>
      <c r="J58" s="847"/>
      <c r="K58" s="847"/>
      <c r="M58" s="900"/>
      <c r="N58" s="847"/>
      <c r="O58" s="847"/>
      <c r="P58" s="847"/>
      <c r="Q58" s="831"/>
      <c r="S58" s="831"/>
      <c r="T58" s="826"/>
      <c r="Y58" s="833"/>
      <c r="Z58" s="833"/>
      <c r="AA58" s="835"/>
    </row>
    <row r="59" spans="1:27" ht="18.75">
      <c r="A59" s="857"/>
      <c r="B59" s="857"/>
      <c r="C59" s="858"/>
      <c r="D59" s="847"/>
      <c r="E59" s="847"/>
      <c r="G59" s="847"/>
      <c r="H59" s="847"/>
      <c r="I59" s="847"/>
      <c r="J59" s="847"/>
      <c r="K59" s="847"/>
      <c r="M59" s="900"/>
      <c r="N59" s="847"/>
      <c r="O59" s="847"/>
      <c r="P59" s="847"/>
      <c r="Q59" s="831"/>
      <c r="S59" s="831"/>
      <c r="T59" s="826"/>
      <c r="Y59" s="833"/>
      <c r="Z59" s="833"/>
      <c r="AA59" s="835"/>
    </row>
    <row r="60" spans="1:27" ht="18.75">
      <c r="A60" s="857"/>
      <c r="B60" s="857"/>
      <c r="C60" s="858"/>
      <c r="D60" s="847"/>
      <c r="E60" s="847"/>
      <c r="G60" s="847"/>
      <c r="H60" s="847"/>
      <c r="I60" s="847"/>
      <c r="J60" s="847"/>
      <c r="K60" s="847"/>
      <c r="M60" s="900"/>
      <c r="N60" s="847"/>
      <c r="O60" s="847"/>
      <c r="P60" s="847"/>
      <c r="Q60" s="831"/>
      <c r="S60" s="831"/>
      <c r="T60" s="826"/>
      <c r="Y60" s="833"/>
      <c r="Z60" s="833"/>
      <c r="AA60" s="835"/>
    </row>
    <row r="61" spans="1:27" ht="18.75">
      <c r="A61" s="857"/>
      <c r="B61" s="857"/>
      <c r="C61" s="858"/>
      <c r="D61" s="847"/>
      <c r="E61" s="847"/>
      <c r="G61" s="847"/>
      <c r="H61" s="847"/>
      <c r="I61" s="847"/>
      <c r="J61" s="847"/>
      <c r="K61" s="847"/>
      <c r="M61" s="900"/>
      <c r="N61" s="900"/>
      <c r="O61" s="900"/>
      <c r="P61" s="900"/>
      <c r="Q61" s="853"/>
      <c r="S61" s="853"/>
    </row>
    <row r="62" spans="1:27" ht="18.75">
      <c r="A62" s="857"/>
      <c r="B62" s="857"/>
      <c r="C62" s="858"/>
      <c r="D62" s="847"/>
      <c r="E62" s="904"/>
      <c r="G62" s="904"/>
      <c r="H62" s="904"/>
      <c r="I62" s="904"/>
      <c r="J62" s="904"/>
      <c r="K62" s="904"/>
      <c r="M62" s="900"/>
      <c r="N62" s="900"/>
      <c r="O62" s="900"/>
      <c r="P62" s="900"/>
      <c r="Q62" s="853"/>
      <c r="S62" s="853"/>
    </row>
    <row r="63" spans="1:27" ht="18.75">
      <c r="A63" s="857"/>
      <c r="B63" s="857"/>
      <c r="C63" s="858"/>
      <c r="D63" s="847"/>
      <c r="E63" s="847"/>
      <c r="G63" s="847"/>
      <c r="H63" s="847"/>
      <c r="I63" s="847"/>
      <c r="J63" s="847"/>
      <c r="K63" s="847"/>
      <c r="M63" s="900"/>
      <c r="N63" s="900"/>
      <c r="O63" s="900"/>
      <c r="P63" s="900"/>
      <c r="Q63" s="853"/>
      <c r="S63" s="853"/>
    </row>
    <row r="64" spans="1:27" ht="18.75">
      <c r="A64" s="857"/>
      <c r="B64" s="857"/>
      <c r="C64" s="858"/>
      <c r="D64" s="847"/>
      <c r="E64" s="847"/>
      <c r="G64" s="847"/>
      <c r="H64" s="847"/>
      <c r="I64" s="847"/>
      <c r="J64" s="847"/>
      <c r="K64" s="847"/>
      <c r="M64" s="900"/>
      <c r="N64" s="900"/>
      <c r="O64" s="900"/>
      <c r="P64" s="900"/>
      <c r="Q64" s="853"/>
      <c r="S64" s="853"/>
    </row>
    <row r="65" spans="1:19" ht="18.75">
      <c r="A65" s="857"/>
      <c r="B65" s="857"/>
      <c r="C65" s="858"/>
      <c r="D65" s="847"/>
      <c r="E65" s="847"/>
      <c r="G65" s="847"/>
      <c r="H65" s="847"/>
      <c r="I65" s="847"/>
      <c r="J65" s="847"/>
      <c r="K65" s="847"/>
      <c r="M65" s="900"/>
      <c r="N65" s="900"/>
      <c r="O65" s="900"/>
      <c r="P65" s="900"/>
      <c r="Q65" s="853"/>
      <c r="S65" s="853"/>
    </row>
    <row r="66" spans="1:19" ht="18.75">
      <c r="A66" s="857"/>
      <c r="B66" s="857"/>
      <c r="C66" s="858"/>
      <c r="D66" s="847"/>
      <c r="E66" s="847"/>
      <c r="G66" s="847"/>
      <c r="H66" s="847"/>
      <c r="I66" s="847"/>
      <c r="J66" s="847"/>
      <c r="K66" s="847"/>
      <c r="M66" s="900"/>
      <c r="N66" s="900"/>
      <c r="O66" s="900"/>
      <c r="P66" s="900"/>
      <c r="Q66" s="853"/>
      <c r="S66" s="853"/>
    </row>
    <row r="67" spans="1:19" ht="18.75">
      <c r="A67" s="857"/>
      <c r="B67" s="857"/>
      <c r="C67" s="858"/>
      <c r="D67" s="847"/>
      <c r="E67" s="847"/>
      <c r="G67" s="847"/>
      <c r="H67" s="847"/>
      <c r="I67" s="847"/>
      <c r="J67" s="847"/>
      <c r="K67" s="847"/>
      <c r="M67" s="900"/>
      <c r="N67" s="900"/>
      <c r="O67" s="900"/>
      <c r="P67" s="900"/>
      <c r="Q67" s="853"/>
      <c r="S67" s="853"/>
    </row>
    <row r="68" spans="1:19" ht="18.75">
      <c r="A68" s="857"/>
      <c r="B68" s="857"/>
      <c r="C68" s="858"/>
      <c r="D68" s="847"/>
      <c r="E68" s="847"/>
      <c r="G68" s="847"/>
      <c r="H68" s="847"/>
      <c r="I68" s="847"/>
      <c r="J68" s="847"/>
      <c r="K68" s="847"/>
      <c r="M68" s="900"/>
      <c r="N68" s="900"/>
      <c r="O68" s="900"/>
      <c r="P68" s="900"/>
      <c r="Q68" s="853"/>
      <c r="S68" s="853"/>
    </row>
    <row r="69" spans="1:19" ht="18.75">
      <c r="A69" s="857"/>
      <c r="B69" s="857"/>
      <c r="C69" s="858"/>
      <c r="D69" s="847"/>
      <c r="E69" s="847"/>
      <c r="G69" s="847"/>
      <c r="H69" s="847"/>
      <c r="I69" s="847"/>
      <c r="J69" s="847"/>
      <c r="K69" s="847"/>
      <c r="M69" s="900"/>
      <c r="N69" s="900"/>
      <c r="O69" s="900"/>
      <c r="P69" s="900"/>
      <c r="Q69" s="853"/>
      <c r="S69" s="853"/>
    </row>
    <row r="70" spans="1:19" ht="18.75">
      <c r="A70" s="857"/>
      <c r="B70" s="857"/>
      <c r="C70" s="858"/>
      <c r="D70" s="847"/>
      <c r="E70" s="847"/>
      <c r="G70" s="847"/>
      <c r="H70" s="847"/>
      <c r="I70" s="847"/>
      <c r="J70" s="847"/>
      <c r="K70" s="847"/>
      <c r="M70" s="900"/>
      <c r="N70" s="900"/>
      <c r="O70" s="900"/>
      <c r="P70" s="900"/>
      <c r="Q70" s="853"/>
      <c r="S70" s="853"/>
    </row>
    <row r="71" spans="1:19" ht="18.75">
      <c r="A71" s="857"/>
      <c r="B71" s="857"/>
      <c r="C71" s="858"/>
      <c r="D71" s="847"/>
      <c r="E71" s="847"/>
      <c r="G71" s="847"/>
      <c r="H71" s="847"/>
      <c r="I71" s="847"/>
      <c r="J71" s="847"/>
      <c r="K71" s="847"/>
      <c r="M71" s="900"/>
      <c r="N71" s="900"/>
      <c r="O71" s="900"/>
      <c r="P71" s="900"/>
      <c r="Q71" s="853"/>
      <c r="S71" s="853"/>
    </row>
    <row r="72" spans="1:19" ht="18.75">
      <c r="A72" s="857"/>
      <c r="B72" s="857"/>
      <c r="C72" s="858"/>
      <c r="D72" s="847"/>
      <c r="E72" s="847"/>
      <c r="G72" s="847"/>
      <c r="H72" s="847"/>
      <c r="I72" s="847"/>
      <c r="J72" s="847"/>
      <c r="K72" s="847"/>
      <c r="M72" s="900"/>
      <c r="N72" s="900"/>
      <c r="O72" s="900"/>
      <c r="P72" s="900"/>
      <c r="Q72" s="853"/>
      <c r="S72" s="853"/>
    </row>
    <row r="73" spans="1:19" ht="18.75">
      <c r="A73" s="857"/>
      <c r="B73" s="857"/>
      <c r="C73" s="858"/>
      <c r="D73" s="847"/>
      <c r="E73" s="847"/>
      <c r="G73" s="847"/>
      <c r="H73" s="847"/>
      <c r="I73" s="847"/>
      <c r="J73" s="847"/>
      <c r="K73" s="847"/>
      <c r="M73" s="900"/>
      <c r="N73" s="900"/>
      <c r="O73" s="900"/>
      <c r="P73" s="900"/>
      <c r="Q73" s="853"/>
      <c r="S73" s="853"/>
    </row>
    <row r="74" spans="1:19" ht="18.75">
      <c r="A74" s="857"/>
      <c r="B74" s="857"/>
      <c r="C74" s="858"/>
      <c r="D74" s="847"/>
      <c r="E74" s="847"/>
      <c r="G74" s="847"/>
      <c r="H74" s="847"/>
      <c r="I74" s="847"/>
      <c r="J74" s="847"/>
      <c r="K74" s="847"/>
      <c r="M74" s="900"/>
      <c r="N74" s="900"/>
      <c r="O74" s="900"/>
      <c r="P74" s="900"/>
      <c r="Q74" s="853"/>
      <c r="S74" s="853"/>
    </row>
    <row r="75" spans="1:19" ht="18.75">
      <c r="A75" s="857"/>
      <c r="B75" s="857"/>
      <c r="C75" s="858"/>
      <c r="D75" s="847"/>
      <c r="E75" s="847"/>
      <c r="G75" s="847"/>
      <c r="H75" s="847"/>
      <c r="I75" s="847"/>
      <c r="J75" s="847"/>
      <c r="K75" s="847"/>
      <c r="M75" s="900"/>
      <c r="N75" s="900"/>
      <c r="O75" s="900"/>
      <c r="P75" s="900"/>
      <c r="Q75" s="853"/>
      <c r="S75" s="853"/>
    </row>
    <row r="76" spans="1:19" ht="18.75">
      <c r="A76" s="857"/>
      <c r="B76" s="857"/>
      <c r="C76" s="858"/>
      <c r="D76" s="847"/>
      <c r="E76" s="847"/>
      <c r="G76" s="847"/>
      <c r="H76" s="847"/>
      <c r="I76" s="847"/>
      <c r="J76" s="847"/>
      <c r="K76" s="847"/>
      <c r="M76" s="900"/>
      <c r="N76" s="900"/>
      <c r="O76" s="900"/>
      <c r="P76" s="900"/>
      <c r="Q76" s="853"/>
      <c r="S76" s="853"/>
    </row>
    <row r="77" spans="1:19" ht="18.75">
      <c r="A77" s="857"/>
      <c r="B77" s="857"/>
      <c r="C77" s="858"/>
      <c r="D77" s="847"/>
      <c r="E77" s="847"/>
      <c r="G77" s="847"/>
      <c r="H77" s="847"/>
      <c r="I77" s="847"/>
      <c r="J77" s="847"/>
      <c r="K77" s="847"/>
      <c r="M77" s="900"/>
      <c r="N77" s="900"/>
      <c r="O77" s="900"/>
      <c r="P77" s="900"/>
      <c r="Q77" s="853"/>
      <c r="S77" s="853"/>
    </row>
    <row r="78" spans="1:19" ht="18.75">
      <c r="A78" s="857"/>
      <c r="B78" s="857"/>
      <c r="C78" s="858"/>
      <c r="D78" s="847"/>
      <c r="E78" s="847"/>
      <c r="G78" s="847"/>
      <c r="H78" s="847"/>
      <c r="I78" s="847"/>
      <c r="J78" s="847"/>
      <c r="K78" s="847"/>
      <c r="M78" s="900"/>
      <c r="N78" s="900"/>
      <c r="O78" s="900"/>
      <c r="P78" s="900"/>
      <c r="Q78" s="853"/>
      <c r="S78" s="853"/>
    </row>
    <row r="79" spans="1:19" ht="18.75">
      <c r="A79" s="857"/>
      <c r="B79" s="857"/>
      <c r="C79" s="858"/>
      <c r="D79" s="847"/>
      <c r="E79" s="847"/>
      <c r="G79" s="847"/>
      <c r="H79" s="847"/>
      <c r="I79" s="847"/>
      <c r="J79" s="847"/>
      <c r="K79" s="847"/>
      <c r="M79" s="900"/>
      <c r="N79" s="900"/>
      <c r="O79" s="900"/>
      <c r="P79" s="900"/>
      <c r="Q79" s="853"/>
      <c r="S79" s="853"/>
    </row>
    <row r="80" spans="1:19" ht="18.75">
      <c r="A80" s="857"/>
      <c r="B80" s="857"/>
      <c r="C80" s="858"/>
      <c r="D80" s="847"/>
      <c r="E80" s="847"/>
      <c r="G80" s="847"/>
      <c r="H80" s="847"/>
      <c r="I80" s="847"/>
      <c r="J80" s="847"/>
      <c r="K80" s="847"/>
      <c r="M80" s="900"/>
      <c r="N80" s="900"/>
      <c r="O80" s="900"/>
      <c r="P80" s="900"/>
      <c r="Q80" s="853"/>
      <c r="S80" s="853"/>
    </row>
    <row r="81" spans="1:19" ht="18.75">
      <c r="A81" s="857"/>
      <c r="B81" s="857"/>
      <c r="C81" s="858"/>
      <c r="D81" s="847"/>
      <c r="E81" s="847"/>
      <c r="G81" s="847"/>
      <c r="H81" s="847"/>
      <c r="I81" s="847"/>
      <c r="J81" s="847"/>
      <c r="K81" s="847"/>
      <c r="M81" s="900"/>
      <c r="N81" s="900"/>
      <c r="O81" s="900"/>
      <c r="P81" s="900"/>
      <c r="Q81" s="853"/>
      <c r="S81" s="853"/>
    </row>
    <row r="82" spans="1:19" ht="18.75">
      <c r="A82" s="857"/>
      <c r="B82" s="857"/>
      <c r="C82" s="858"/>
      <c r="D82" s="847"/>
      <c r="E82" s="847"/>
      <c r="G82" s="847"/>
      <c r="H82" s="847"/>
      <c r="I82" s="847"/>
      <c r="J82" s="847"/>
      <c r="K82" s="847"/>
      <c r="M82" s="900"/>
      <c r="N82" s="900"/>
      <c r="O82" s="900"/>
      <c r="P82" s="900"/>
      <c r="Q82" s="853"/>
      <c r="S82" s="853"/>
    </row>
    <row r="83" spans="1:19" ht="18.75">
      <c r="A83" s="857"/>
      <c r="B83" s="857"/>
      <c r="C83" s="858"/>
      <c r="D83" s="847"/>
      <c r="E83" s="847"/>
      <c r="G83" s="847"/>
      <c r="H83" s="847"/>
      <c r="I83" s="847"/>
      <c r="J83" s="847"/>
      <c r="K83" s="847"/>
      <c r="M83" s="900"/>
      <c r="N83" s="900"/>
      <c r="O83" s="900"/>
      <c r="P83" s="900"/>
      <c r="Q83" s="853"/>
      <c r="S83" s="853"/>
    </row>
    <row r="84" spans="1:19" ht="18.75">
      <c r="A84" s="857"/>
      <c r="B84" s="859"/>
      <c r="C84" s="847"/>
      <c r="D84" s="847"/>
      <c r="E84" s="847"/>
      <c r="G84" s="847"/>
      <c r="H84" s="847"/>
      <c r="I84" s="847"/>
      <c r="J84" s="847"/>
      <c r="K84" s="847"/>
      <c r="M84" s="900"/>
      <c r="N84" s="900"/>
      <c r="O84" s="900"/>
      <c r="P84" s="900"/>
      <c r="Q84" s="853"/>
      <c r="S84" s="853"/>
    </row>
    <row r="85" spans="1:19">
      <c r="A85" s="849"/>
      <c r="B85" s="847"/>
      <c r="C85" s="847"/>
      <c r="D85" s="847"/>
      <c r="E85" s="847"/>
      <c r="G85" s="847"/>
      <c r="H85" s="847"/>
      <c r="I85" s="847"/>
      <c r="J85" s="847"/>
      <c r="K85" s="847"/>
      <c r="M85" s="900"/>
      <c r="N85" s="900"/>
      <c r="O85" s="900"/>
      <c r="P85" s="900"/>
      <c r="Q85" s="853"/>
      <c r="S85" s="853"/>
    </row>
    <row r="86" spans="1:19">
      <c r="A86" s="849"/>
      <c r="B86" s="847"/>
      <c r="C86" s="851"/>
      <c r="D86" s="831"/>
      <c r="E86" s="831"/>
      <c r="G86" s="831"/>
      <c r="H86" s="831"/>
      <c r="I86" s="831"/>
      <c r="J86" s="831"/>
      <c r="K86" s="831"/>
      <c r="M86" s="853"/>
      <c r="N86" s="853"/>
      <c r="O86" s="853"/>
      <c r="P86" s="853"/>
      <c r="Q86" s="853"/>
      <c r="S86" s="853"/>
    </row>
    <row r="87" spans="1:19">
      <c r="A87" s="849"/>
      <c r="B87" s="849"/>
      <c r="C87" s="851"/>
      <c r="D87" s="831"/>
      <c r="E87" s="831"/>
      <c r="G87" s="831"/>
      <c r="H87" s="831"/>
      <c r="I87" s="831"/>
      <c r="J87" s="831"/>
      <c r="K87" s="831"/>
      <c r="M87" s="853"/>
      <c r="N87" s="853"/>
      <c r="O87" s="853"/>
      <c r="P87" s="853"/>
      <c r="Q87" s="853"/>
      <c r="S87" s="853"/>
    </row>
    <row r="88" spans="1:19">
      <c r="A88" s="849"/>
      <c r="B88" s="847"/>
      <c r="C88" s="852"/>
      <c r="D88" s="831"/>
      <c r="E88" s="831"/>
      <c r="G88" s="831"/>
      <c r="H88" s="831"/>
      <c r="I88" s="831"/>
      <c r="J88" s="831"/>
      <c r="K88" s="831"/>
      <c r="M88" s="853"/>
      <c r="N88" s="853"/>
      <c r="O88" s="853"/>
      <c r="P88" s="853"/>
      <c r="Q88" s="853"/>
      <c r="S88" s="853"/>
    </row>
    <row r="89" spans="1:19">
      <c r="A89" s="849"/>
      <c r="B89" s="847"/>
      <c r="C89" s="851"/>
      <c r="D89" s="831"/>
      <c r="E89" s="831"/>
      <c r="G89" s="831"/>
      <c r="H89" s="831"/>
      <c r="I89" s="831"/>
      <c r="J89" s="831"/>
      <c r="K89" s="831"/>
      <c r="M89" s="853"/>
      <c r="N89" s="853"/>
      <c r="O89" s="853"/>
      <c r="P89" s="853"/>
      <c r="Q89" s="853"/>
      <c r="S89" s="853"/>
    </row>
    <row r="90" spans="1:19">
      <c r="A90" s="847"/>
      <c r="B90" s="849"/>
      <c r="C90" s="847"/>
      <c r="D90" s="848"/>
      <c r="E90" s="831"/>
      <c r="G90" s="831"/>
      <c r="H90" s="831"/>
      <c r="I90" s="831"/>
      <c r="J90" s="831"/>
      <c r="K90" s="831"/>
      <c r="M90" s="853"/>
      <c r="N90" s="853"/>
      <c r="O90" s="853"/>
      <c r="P90" s="853"/>
      <c r="Q90" s="853"/>
      <c r="S90" s="853"/>
    </row>
    <row r="91" spans="1:19">
      <c r="A91" s="847"/>
      <c r="B91" s="849"/>
      <c r="C91" s="847"/>
      <c r="D91" s="848"/>
      <c r="E91" s="831"/>
      <c r="G91" s="831"/>
      <c r="H91" s="831"/>
      <c r="I91" s="831"/>
      <c r="J91" s="831"/>
      <c r="K91" s="831"/>
      <c r="M91" s="853"/>
      <c r="N91" s="853"/>
      <c r="O91" s="853"/>
      <c r="P91" s="853"/>
      <c r="Q91" s="853"/>
      <c r="S91" s="853"/>
    </row>
    <row r="92" spans="1:19">
      <c r="A92" s="847"/>
      <c r="B92" s="849"/>
      <c r="C92" s="849"/>
      <c r="D92" s="860"/>
      <c r="E92" s="831"/>
      <c r="G92" s="831"/>
      <c r="H92" s="831"/>
      <c r="I92" s="831"/>
      <c r="J92" s="831"/>
      <c r="K92" s="831"/>
      <c r="M92" s="853"/>
      <c r="N92" s="853"/>
      <c r="O92" s="853"/>
      <c r="P92" s="853"/>
      <c r="Q92" s="853"/>
      <c r="S92" s="853"/>
    </row>
    <row r="93" spans="1:19" ht="18.75">
      <c r="A93" s="854"/>
      <c r="B93" s="861"/>
      <c r="C93" s="849"/>
      <c r="D93" s="831"/>
      <c r="E93" s="831"/>
      <c r="G93" s="831"/>
      <c r="H93" s="831"/>
      <c r="I93" s="831"/>
      <c r="J93" s="831"/>
      <c r="K93" s="831"/>
      <c r="M93" s="853"/>
      <c r="N93" s="853"/>
      <c r="O93" s="853"/>
      <c r="P93" s="853"/>
      <c r="Q93" s="853"/>
      <c r="S93" s="853"/>
    </row>
    <row r="94" spans="1:19">
      <c r="A94" s="849"/>
      <c r="B94" s="849"/>
      <c r="C94" s="849"/>
      <c r="D94" s="831"/>
      <c r="E94" s="831"/>
      <c r="G94" s="831"/>
      <c r="H94" s="831"/>
      <c r="I94" s="831"/>
      <c r="J94" s="831"/>
      <c r="K94" s="831"/>
      <c r="M94" s="853"/>
      <c r="N94" s="853"/>
      <c r="O94" s="853"/>
      <c r="P94" s="853"/>
      <c r="Q94" s="853"/>
      <c r="S94" s="853"/>
    </row>
    <row r="95" spans="1:19" ht="18.75">
      <c r="A95" s="857"/>
      <c r="B95" s="857"/>
      <c r="C95" s="858"/>
      <c r="D95" s="831"/>
      <c r="E95" s="831"/>
      <c r="G95" s="831"/>
      <c r="H95" s="831"/>
      <c r="I95" s="831"/>
      <c r="J95" s="831"/>
      <c r="K95" s="831"/>
      <c r="M95" s="853"/>
      <c r="N95" s="853"/>
      <c r="O95" s="853"/>
      <c r="P95" s="853"/>
      <c r="Q95" s="853"/>
      <c r="S95" s="853"/>
    </row>
    <row r="96" spans="1:19" ht="18.75">
      <c r="A96" s="857"/>
      <c r="B96" s="857"/>
      <c r="C96" s="858"/>
      <c r="D96" s="831"/>
      <c r="E96" s="831"/>
      <c r="G96" s="831"/>
      <c r="H96" s="831"/>
      <c r="I96" s="831"/>
      <c r="J96" s="831"/>
      <c r="K96" s="831"/>
      <c r="M96" s="853"/>
      <c r="N96" s="853"/>
      <c r="O96" s="853"/>
      <c r="P96" s="853"/>
      <c r="Q96" s="853"/>
      <c r="S96" s="853"/>
    </row>
    <row r="97" spans="1:19" ht="18.75">
      <c r="A97" s="857"/>
      <c r="B97" s="857"/>
      <c r="C97" s="858"/>
      <c r="D97" s="831"/>
      <c r="E97" s="831"/>
      <c r="G97" s="831"/>
      <c r="H97" s="831"/>
      <c r="I97" s="831"/>
      <c r="J97" s="831"/>
      <c r="K97" s="831"/>
      <c r="M97" s="853"/>
      <c r="N97" s="853"/>
      <c r="O97" s="853"/>
      <c r="P97" s="853"/>
      <c r="Q97" s="853"/>
      <c r="S97" s="853"/>
    </row>
    <row r="98" spans="1:19" ht="18.75">
      <c r="A98" s="857"/>
      <c r="B98" s="857"/>
      <c r="C98" s="858"/>
      <c r="D98" s="831"/>
      <c r="E98" s="831"/>
      <c r="G98" s="831"/>
      <c r="H98" s="831"/>
      <c r="I98" s="831"/>
      <c r="J98" s="831"/>
      <c r="K98" s="831"/>
      <c r="M98" s="853"/>
      <c r="N98" s="853"/>
      <c r="O98" s="853"/>
      <c r="P98" s="853"/>
      <c r="Q98" s="853"/>
      <c r="S98" s="853"/>
    </row>
    <row r="99" spans="1:19" ht="18.75">
      <c r="A99" s="857"/>
      <c r="B99" s="857"/>
      <c r="C99" s="858"/>
      <c r="D99" s="831"/>
      <c r="E99" s="831"/>
      <c r="G99" s="831"/>
      <c r="H99" s="831"/>
      <c r="I99" s="831"/>
      <c r="J99" s="831"/>
      <c r="K99" s="831"/>
      <c r="M99" s="853"/>
      <c r="N99" s="853"/>
      <c r="O99" s="853"/>
      <c r="P99" s="853"/>
      <c r="Q99" s="853"/>
      <c r="S99" s="853"/>
    </row>
    <row r="100" spans="1:19" ht="23.25" customHeight="1">
      <c r="A100" s="857"/>
      <c r="B100" s="857"/>
      <c r="C100" s="858"/>
      <c r="D100" s="831"/>
      <c r="E100" s="831"/>
      <c r="G100" s="831"/>
      <c r="H100" s="831"/>
      <c r="I100" s="831"/>
      <c r="J100" s="831"/>
      <c r="K100" s="831"/>
      <c r="M100" s="853"/>
      <c r="N100" s="853"/>
      <c r="O100" s="853"/>
      <c r="P100" s="853"/>
      <c r="Q100" s="853"/>
      <c r="S100" s="853"/>
    </row>
    <row r="101" spans="1:19" ht="18.75">
      <c r="A101" s="857"/>
      <c r="B101" s="857"/>
      <c r="C101" s="858"/>
      <c r="D101" s="831"/>
      <c r="E101" s="831"/>
      <c r="G101" s="831"/>
      <c r="H101" s="831"/>
      <c r="I101" s="831"/>
      <c r="J101" s="831"/>
      <c r="K101" s="831"/>
      <c r="M101" s="853"/>
      <c r="N101" s="853"/>
      <c r="O101" s="853"/>
      <c r="P101" s="853"/>
      <c r="Q101" s="853"/>
      <c r="S101" s="853"/>
    </row>
    <row r="102" spans="1:19" ht="18.75">
      <c r="A102" s="857"/>
      <c r="B102" s="857"/>
      <c r="C102" s="858"/>
      <c r="D102" s="831"/>
      <c r="E102" s="831"/>
      <c r="G102" s="831"/>
      <c r="H102" s="831"/>
      <c r="I102" s="831"/>
      <c r="J102" s="831"/>
      <c r="K102" s="831"/>
      <c r="M102" s="853"/>
      <c r="N102" s="853"/>
      <c r="O102" s="853"/>
      <c r="P102" s="853"/>
      <c r="Q102" s="853"/>
      <c r="S102" s="853"/>
    </row>
    <row r="103" spans="1:19" ht="18.75">
      <c r="A103" s="857"/>
      <c r="B103" s="857"/>
      <c r="C103" s="858"/>
      <c r="D103" s="831"/>
      <c r="E103" s="831"/>
      <c r="G103" s="831"/>
      <c r="H103" s="831"/>
      <c r="I103" s="831"/>
      <c r="J103" s="831"/>
      <c r="K103" s="831"/>
      <c r="M103" s="853"/>
      <c r="N103" s="853"/>
      <c r="O103" s="853"/>
      <c r="P103" s="853"/>
      <c r="Q103" s="853"/>
      <c r="S103" s="853"/>
    </row>
    <row r="104" spans="1:19" ht="18.75">
      <c r="A104" s="857"/>
      <c r="B104" s="857"/>
      <c r="C104" s="858"/>
      <c r="D104" s="831"/>
      <c r="E104" s="831"/>
      <c r="G104" s="831"/>
      <c r="H104" s="831"/>
      <c r="I104" s="831"/>
      <c r="J104" s="831"/>
      <c r="K104" s="831"/>
      <c r="M104" s="853"/>
      <c r="N104" s="853"/>
      <c r="O104" s="853"/>
      <c r="P104" s="853"/>
      <c r="Q104" s="853"/>
      <c r="S104" s="853"/>
    </row>
    <row r="105" spans="1:19" ht="18.75">
      <c r="A105" s="857"/>
      <c r="B105" s="857"/>
      <c r="C105" s="858"/>
      <c r="D105" s="831"/>
      <c r="E105" s="831"/>
      <c r="G105" s="831"/>
      <c r="H105" s="831"/>
      <c r="I105" s="831"/>
      <c r="J105" s="831"/>
      <c r="K105" s="831"/>
      <c r="M105" s="853"/>
      <c r="N105" s="853"/>
      <c r="O105" s="853"/>
      <c r="P105" s="853"/>
      <c r="Q105" s="853"/>
      <c r="S105" s="853"/>
    </row>
    <row r="106" spans="1:19" ht="18.75">
      <c r="A106" s="857"/>
      <c r="B106" s="857"/>
      <c r="C106" s="858"/>
      <c r="D106" s="831"/>
      <c r="E106" s="831"/>
      <c r="G106" s="831"/>
      <c r="H106" s="831"/>
      <c r="I106" s="831"/>
      <c r="J106" s="831"/>
      <c r="K106" s="831"/>
      <c r="M106" s="853"/>
      <c r="N106" s="853"/>
      <c r="O106" s="853"/>
      <c r="P106" s="853"/>
      <c r="Q106" s="853"/>
      <c r="S106" s="853"/>
    </row>
    <row r="107" spans="1:19" ht="18.75">
      <c r="A107" s="857"/>
      <c r="B107" s="857"/>
      <c r="C107" s="858"/>
      <c r="D107" s="831"/>
      <c r="E107" s="831"/>
      <c r="G107" s="831"/>
      <c r="H107" s="831"/>
      <c r="I107" s="831"/>
      <c r="J107" s="831"/>
      <c r="K107" s="831"/>
      <c r="M107" s="853"/>
      <c r="N107" s="853"/>
      <c r="O107" s="853"/>
      <c r="P107" s="853"/>
      <c r="Q107" s="853"/>
      <c r="S107" s="853"/>
    </row>
    <row r="108" spans="1:19" ht="27.75" customHeight="1">
      <c r="A108" s="857"/>
      <c r="B108" s="857"/>
      <c r="C108" s="858"/>
      <c r="D108" s="831"/>
      <c r="E108" s="831"/>
      <c r="G108" s="831"/>
      <c r="H108" s="831"/>
      <c r="I108" s="831"/>
      <c r="J108" s="831"/>
      <c r="K108" s="831"/>
      <c r="M108" s="853"/>
      <c r="N108" s="853"/>
      <c r="O108" s="853"/>
      <c r="P108" s="853"/>
      <c r="Q108" s="853"/>
      <c r="S108" s="853"/>
    </row>
    <row r="109" spans="1:19" ht="18.75">
      <c r="A109" s="857"/>
      <c r="B109" s="857"/>
      <c r="C109" s="858"/>
      <c r="D109" s="831"/>
      <c r="E109" s="831"/>
      <c r="G109" s="831"/>
      <c r="H109" s="831"/>
      <c r="I109" s="831"/>
      <c r="J109" s="831"/>
      <c r="K109" s="831"/>
      <c r="M109" s="853"/>
      <c r="N109" s="853"/>
      <c r="O109" s="853"/>
      <c r="P109" s="853"/>
      <c r="Q109" s="853"/>
      <c r="S109" s="853"/>
    </row>
    <row r="110" spans="1:19" ht="18.75">
      <c r="A110" s="857"/>
      <c r="B110" s="857"/>
      <c r="C110" s="858"/>
      <c r="D110" s="831"/>
      <c r="E110" s="831"/>
      <c r="G110" s="831"/>
      <c r="H110" s="831"/>
      <c r="I110" s="831"/>
      <c r="J110" s="831"/>
      <c r="K110" s="831"/>
      <c r="M110" s="853"/>
      <c r="N110" s="853"/>
      <c r="O110" s="853"/>
      <c r="P110" s="853"/>
      <c r="Q110" s="853"/>
      <c r="S110" s="853"/>
    </row>
    <row r="111" spans="1:19" ht="18.75">
      <c r="A111" s="857"/>
      <c r="B111" s="857"/>
      <c r="C111" s="858"/>
      <c r="D111" s="831"/>
      <c r="E111" s="831"/>
      <c r="G111" s="831"/>
      <c r="H111" s="831"/>
      <c r="I111" s="831"/>
      <c r="J111" s="831"/>
      <c r="K111" s="831"/>
      <c r="M111" s="853"/>
      <c r="N111" s="853"/>
      <c r="O111" s="853"/>
      <c r="P111" s="853"/>
      <c r="Q111" s="853"/>
      <c r="S111" s="853"/>
    </row>
    <row r="112" spans="1:19" ht="18.75">
      <c r="A112" s="857"/>
      <c r="B112" s="857"/>
      <c r="C112" s="858"/>
      <c r="D112" s="831"/>
      <c r="E112" s="831"/>
      <c r="G112" s="831"/>
      <c r="H112" s="831"/>
      <c r="I112" s="831"/>
      <c r="J112" s="831"/>
      <c r="K112" s="831"/>
      <c r="M112" s="853"/>
      <c r="N112" s="853"/>
      <c r="O112" s="853"/>
      <c r="P112" s="853"/>
      <c r="Q112" s="853"/>
      <c r="S112" s="853"/>
    </row>
    <row r="113" spans="1:36" ht="18.75">
      <c r="A113" s="857"/>
      <c r="B113" s="857"/>
      <c r="C113" s="858"/>
      <c r="D113" s="831"/>
      <c r="E113" s="831"/>
      <c r="G113" s="831"/>
      <c r="H113" s="831"/>
      <c r="I113" s="831"/>
      <c r="J113" s="831"/>
      <c r="K113" s="831"/>
      <c r="M113" s="853"/>
      <c r="N113" s="853"/>
      <c r="O113" s="853"/>
      <c r="P113" s="853"/>
      <c r="Q113" s="853"/>
      <c r="S113" s="853"/>
    </row>
    <row r="114" spans="1:36" ht="18.75">
      <c r="A114" s="857"/>
      <c r="B114" s="857"/>
      <c r="C114" s="858"/>
      <c r="D114" s="831"/>
      <c r="E114" s="831"/>
      <c r="G114" s="831"/>
      <c r="H114" s="831"/>
      <c r="I114" s="831"/>
      <c r="J114" s="831"/>
      <c r="K114" s="831"/>
      <c r="M114" s="853"/>
      <c r="N114" s="853"/>
      <c r="O114" s="853"/>
      <c r="P114" s="853"/>
      <c r="Q114" s="853"/>
      <c r="S114" s="853"/>
    </row>
    <row r="115" spans="1:36" ht="18.75">
      <c r="A115" s="857"/>
      <c r="B115" s="857"/>
      <c r="C115" s="858"/>
      <c r="D115" s="831"/>
      <c r="E115" s="831"/>
      <c r="G115" s="831"/>
      <c r="H115" s="831"/>
      <c r="I115" s="831"/>
      <c r="J115" s="831"/>
      <c r="K115" s="831"/>
      <c r="M115" s="853"/>
      <c r="N115" s="853"/>
      <c r="O115" s="853"/>
      <c r="P115" s="853"/>
      <c r="Q115" s="853"/>
      <c r="S115" s="853"/>
    </row>
    <row r="116" spans="1:36" s="826" customFormat="1" ht="18.75">
      <c r="A116" s="857"/>
      <c r="B116" s="857"/>
      <c r="C116" s="858"/>
      <c r="D116" s="831"/>
      <c r="E116" s="831"/>
      <c r="F116"/>
      <c r="G116" s="831"/>
      <c r="H116" s="831"/>
      <c r="I116" s="831"/>
      <c r="J116" s="831"/>
      <c r="K116" s="831"/>
      <c r="L116"/>
      <c r="M116" s="853"/>
      <c r="N116" s="853"/>
      <c r="O116" s="853"/>
      <c r="P116" s="853"/>
      <c r="Q116" s="853"/>
      <c r="R116"/>
      <c r="S116" s="853"/>
      <c r="T116" s="828"/>
      <c r="U116" s="828"/>
      <c r="V116" s="828"/>
      <c r="W116" s="828"/>
      <c r="X116"/>
      <c r="Y116" s="828"/>
      <c r="Z116" s="828"/>
      <c r="AA116" s="828"/>
      <c r="AB116" s="828"/>
      <c r="AC116" s="828"/>
      <c r="AD116"/>
      <c r="AJ116"/>
    </row>
    <row r="117" spans="1:36" s="826" customFormat="1" ht="18.75">
      <c r="A117" s="857"/>
      <c r="B117" s="857"/>
      <c r="C117" s="858"/>
      <c r="D117" s="831"/>
      <c r="E117" s="831"/>
      <c r="F117"/>
      <c r="G117" s="831"/>
      <c r="H117" s="831"/>
      <c r="I117" s="831"/>
      <c r="J117" s="831"/>
      <c r="K117" s="831"/>
      <c r="L117"/>
      <c r="M117" s="853"/>
      <c r="N117" s="853"/>
      <c r="O117" s="853"/>
      <c r="P117" s="853"/>
      <c r="Q117" s="853"/>
      <c r="R117"/>
      <c r="S117" s="853"/>
      <c r="T117" s="828"/>
      <c r="U117" s="828"/>
      <c r="V117" s="828"/>
      <c r="W117" s="828"/>
      <c r="X117"/>
      <c r="Y117" s="828"/>
      <c r="Z117" s="828"/>
      <c r="AA117" s="828"/>
      <c r="AB117" s="828"/>
      <c r="AC117" s="828"/>
      <c r="AD117"/>
      <c r="AJ117"/>
    </row>
    <row r="118" spans="1:36" s="826" customFormat="1" ht="18.75">
      <c r="A118" s="857"/>
      <c r="B118" s="857"/>
      <c r="C118" s="858"/>
      <c r="D118" s="831"/>
      <c r="E118" s="831"/>
      <c r="F118"/>
      <c r="G118" s="831"/>
      <c r="H118" s="831"/>
      <c r="I118" s="831"/>
      <c r="J118" s="831"/>
      <c r="K118" s="831"/>
      <c r="L118"/>
      <c r="M118" s="853"/>
      <c r="N118" s="853"/>
      <c r="O118" s="853"/>
      <c r="P118" s="853"/>
      <c r="Q118" s="853"/>
      <c r="R118"/>
      <c r="S118" s="853"/>
      <c r="T118" s="828"/>
      <c r="U118" s="828"/>
      <c r="V118" s="828"/>
      <c r="W118" s="828"/>
      <c r="X118"/>
      <c r="Y118" s="828"/>
      <c r="Z118" s="828"/>
      <c r="AA118" s="828"/>
      <c r="AB118" s="828"/>
      <c r="AC118" s="828"/>
      <c r="AD118"/>
      <c r="AJ118"/>
    </row>
    <row r="119" spans="1:36" s="826" customFormat="1" ht="18.75">
      <c r="A119" s="857"/>
      <c r="B119" s="857"/>
      <c r="C119" s="858"/>
      <c r="D119" s="831"/>
      <c r="E119" s="831"/>
      <c r="F119"/>
      <c r="G119" s="831"/>
      <c r="H119" s="831"/>
      <c r="I119" s="831"/>
      <c r="J119" s="831"/>
      <c r="K119" s="831"/>
      <c r="L119"/>
      <c r="M119" s="853"/>
      <c r="N119" s="853"/>
      <c r="O119" s="853"/>
      <c r="P119" s="853"/>
      <c r="Q119" s="853"/>
      <c r="R119"/>
      <c r="S119" s="853"/>
      <c r="T119" s="828"/>
      <c r="U119" s="828"/>
      <c r="V119" s="828"/>
      <c r="W119" s="828"/>
      <c r="X119"/>
      <c r="Y119" s="828"/>
      <c r="Z119" s="828"/>
      <c r="AA119" s="828"/>
      <c r="AB119" s="828"/>
      <c r="AC119" s="828"/>
      <c r="AD119"/>
      <c r="AJ119"/>
    </row>
    <row r="120" spans="1:36" s="826" customFormat="1" ht="18.75">
      <c r="A120" s="857"/>
      <c r="B120" s="857"/>
      <c r="C120" s="858"/>
      <c r="D120" s="831"/>
      <c r="E120" s="831"/>
      <c r="F120"/>
      <c r="G120" s="831"/>
      <c r="H120" s="831"/>
      <c r="I120" s="831"/>
      <c r="J120" s="831"/>
      <c r="K120" s="831"/>
      <c r="L120"/>
      <c r="M120" s="853"/>
      <c r="N120" s="853"/>
      <c r="O120" s="853"/>
      <c r="P120" s="853"/>
      <c r="Q120" s="853"/>
      <c r="R120"/>
      <c r="S120" s="853"/>
      <c r="T120" s="828"/>
      <c r="U120" s="828"/>
      <c r="V120" s="828"/>
      <c r="W120" s="828"/>
      <c r="X120"/>
      <c r="Y120" s="828"/>
      <c r="Z120" s="828"/>
      <c r="AA120" s="828"/>
      <c r="AB120" s="828"/>
      <c r="AC120" s="828"/>
      <c r="AD120"/>
      <c r="AJ120"/>
    </row>
    <row r="121" spans="1:36" s="826" customFormat="1" ht="18.75">
      <c r="A121" s="857"/>
      <c r="B121" s="857"/>
      <c r="C121" s="858"/>
      <c r="D121" s="831"/>
      <c r="E121" s="831"/>
      <c r="F121"/>
      <c r="G121" s="831"/>
      <c r="H121" s="831"/>
      <c r="I121" s="831"/>
      <c r="J121" s="831"/>
      <c r="K121" s="831"/>
      <c r="L121"/>
      <c r="M121" s="853"/>
      <c r="N121" s="853"/>
      <c r="O121" s="853"/>
      <c r="P121" s="853"/>
      <c r="Q121" s="853"/>
      <c r="R121"/>
      <c r="S121" s="853"/>
      <c r="T121" s="828"/>
      <c r="U121" s="828"/>
      <c r="V121" s="828"/>
      <c r="W121" s="828"/>
      <c r="X121"/>
      <c r="Y121" s="828"/>
      <c r="Z121" s="828"/>
      <c r="AA121" s="828"/>
      <c r="AB121" s="828"/>
      <c r="AC121" s="828"/>
      <c r="AD121"/>
      <c r="AJ121"/>
    </row>
    <row r="122" spans="1:36" s="826" customFormat="1" ht="18.75">
      <c r="A122" s="857"/>
      <c r="B122" s="857"/>
      <c r="C122" s="858"/>
      <c r="D122" s="831"/>
      <c r="E122" s="831"/>
      <c r="F122"/>
      <c r="G122" s="831"/>
      <c r="H122" s="831"/>
      <c r="I122" s="831"/>
      <c r="J122" s="831"/>
      <c r="K122" s="831"/>
      <c r="L122"/>
      <c r="M122" s="853"/>
      <c r="N122" s="853"/>
      <c r="O122" s="853"/>
      <c r="P122" s="853"/>
      <c r="Q122" s="853"/>
      <c r="R122"/>
      <c r="S122" s="853"/>
      <c r="T122" s="828"/>
      <c r="U122" s="828"/>
      <c r="V122" s="828"/>
      <c r="W122" s="828"/>
      <c r="X122"/>
      <c r="Y122" s="828"/>
      <c r="Z122" s="828"/>
      <c r="AA122" s="828"/>
      <c r="AB122" s="828"/>
      <c r="AC122" s="828"/>
      <c r="AD122"/>
      <c r="AJ122"/>
    </row>
    <row r="123" spans="1:36" s="826" customFormat="1" ht="18.75">
      <c r="A123" s="857"/>
      <c r="B123" s="857"/>
      <c r="C123" s="858"/>
      <c r="D123" s="831"/>
      <c r="E123" s="831"/>
      <c r="F123"/>
      <c r="G123" s="831"/>
      <c r="H123" s="831"/>
      <c r="I123" s="831"/>
      <c r="J123" s="831"/>
      <c r="K123" s="831"/>
      <c r="L123"/>
      <c r="M123" s="853"/>
      <c r="N123" s="853"/>
      <c r="O123" s="853"/>
      <c r="P123" s="853"/>
      <c r="Q123" s="853"/>
      <c r="R123"/>
      <c r="S123" s="853"/>
      <c r="T123" s="828"/>
      <c r="U123" s="828"/>
      <c r="V123" s="828"/>
      <c r="W123" s="828"/>
      <c r="X123"/>
      <c r="Y123" s="828"/>
      <c r="Z123" s="828"/>
      <c r="AA123" s="828"/>
      <c r="AB123" s="828"/>
      <c r="AC123" s="828"/>
      <c r="AD123"/>
      <c r="AJ123"/>
    </row>
    <row r="124" spans="1:36" s="826" customFormat="1" ht="18.75">
      <c r="A124" s="857"/>
      <c r="B124" s="857"/>
      <c r="C124" s="858"/>
      <c r="D124" s="831"/>
      <c r="E124" s="831"/>
      <c r="F124"/>
      <c r="G124" s="831"/>
      <c r="H124" s="831"/>
      <c r="I124" s="831"/>
      <c r="J124" s="831"/>
      <c r="K124" s="831"/>
      <c r="L124"/>
      <c r="M124" s="853"/>
      <c r="N124" s="853"/>
      <c r="O124" s="853"/>
      <c r="P124" s="853"/>
      <c r="Q124" s="853"/>
      <c r="R124"/>
      <c r="S124" s="853"/>
      <c r="T124" s="828"/>
      <c r="U124" s="828"/>
      <c r="V124" s="828"/>
      <c r="W124" s="828"/>
      <c r="X124"/>
      <c r="Y124" s="828"/>
      <c r="Z124" s="828"/>
      <c r="AA124" s="828"/>
      <c r="AB124" s="828"/>
      <c r="AC124" s="828"/>
      <c r="AD124"/>
      <c r="AJ124"/>
    </row>
    <row r="125" spans="1:36" s="826" customFormat="1" ht="18.75">
      <c r="A125" s="857"/>
      <c r="B125" s="857"/>
      <c r="C125" s="858"/>
      <c r="D125" s="831"/>
      <c r="E125" s="831"/>
      <c r="F125"/>
      <c r="G125" s="831"/>
      <c r="H125" s="831"/>
      <c r="I125" s="831"/>
      <c r="J125" s="831"/>
      <c r="K125" s="831"/>
      <c r="L125"/>
      <c r="M125" s="853"/>
      <c r="N125" s="853"/>
      <c r="O125" s="853"/>
      <c r="P125" s="853"/>
      <c r="Q125" s="853"/>
      <c r="R125"/>
      <c r="S125" s="853"/>
      <c r="T125" s="828"/>
      <c r="U125" s="828"/>
      <c r="V125" s="828"/>
      <c r="W125" s="828"/>
      <c r="X125"/>
      <c r="Y125" s="828"/>
      <c r="Z125" s="828"/>
      <c r="AA125" s="828"/>
      <c r="AB125" s="828"/>
      <c r="AC125" s="828"/>
      <c r="AD125"/>
      <c r="AJ125"/>
    </row>
    <row r="126" spans="1:36" s="826" customFormat="1" ht="18.75">
      <c r="A126" s="857"/>
      <c r="B126" s="857"/>
      <c r="C126" s="858"/>
      <c r="D126" s="831"/>
      <c r="E126" s="831"/>
      <c r="F126"/>
      <c r="G126" s="831"/>
      <c r="H126" s="831"/>
      <c r="I126" s="831"/>
      <c r="J126" s="831"/>
      <c r="K126" s="831"/>
      <c r="L126"/>
      <c r="M126" s="853"/>
      <c r="N126" s="853"/>
      <c r="O126" s="853"/>
      <c r="P126" s="853"/>
      <c r="Q126" s="853"/>
      <c r="R126"/>
      <c r="S126" s="853"/>
      <c r="T126" s="828"/>
      <c r="U126" s="828"/>
      <c r="V126" s="828"/>
      <c r="W126" s="828"/>
      <c r="X126"/>
      <c r="Y126" s="828"/>
      <c r="Z126" s="828"/>
      <c r="AA126" s="828"/>
      <c r="AB126" s="828"/>
      <c r="AC126" s="828"/>
      <c r="AD126"/>
      <c r="AJ126"/>
    </row>
    <row r="127" spans="1:36" s="826" customFormat="1" ht="18.75">
      <c r="A127" s="857"/>
      <c r="B127" s="857"/>
      <c r="C127" s="858"/>
      <c r="D127" s="831"/>
      <c r="E127" s="831"/>
      <c r="F127"/>
      <c r="G127" s="831"/>
      <c r="H127" s="831"/>
      <c r="I127" s="831"/>
      <c r="J127" s="831"/>
      <c r="K127" s="831"/>
      <c r="L127"/>
      <c r="M127" s="853"/>
      <c r="N127" s="853"/>
      <c r="O127" s="853"/>
      <c r="P127" s="853"/>
      <c r="Q127" s="853"/>
      <c r="R127"/>
      <c r="S127" s="853"/>
      <c r="T127" s="828"/>
      <c r="U127" s="828"/>
      <c r="V127" s="828"/>
      <c r="W127" s="828"/>
      <c r="X127"/>
      <c r="Y127" s="828"/>
      <c r="Z127" s="828"/>
      <c r="AA127" s="828"/>
      <c r="AB127" s="828"/>
      <c r="AC127" s="828"/>
      <c r="AD127"/>
      <c r="AJ127"/>
    </row>
    <row r="128" spans="1:36" s="826" customFormat="1" ht="18.75">
      <c r="A128" s="857"/>
      <c r="B128" s="859"/>
      <c r="C128" s="847"/>
      <c r="D128" s="831"/>
      <c r="E128" s="831"/>
      <c r="F128"/>
      <c r="G128" s="831"/>
      <c r="H128" s="831"/>
      <c r="I128" s="831"/>
      <c r="J128" s="831"/>
      <c r="K128" s="831"/>
      <c r="L128"/>
      <c r="M128" s="853"/>
      <c r="N128" s="853"/>
      <c r="O128" s="853"/>
      <c r="P128" s="853"/>
      <c r="Q128" s="853"/>
      <c r="R128"/>
      <c r="S128" s="853"/>
      <c r="T128" s="828"/>
      <c r="U128" s="828"/>
      <c r="V128" s="828"/>
      <c r="W128" s="828"/>
      <c r="X128"/>
      <c r="Y128" s="828"/>
      <c r="Z128" s="828"/>
      <c r="AA128" s="828"/>
      <c r="AB128" s="828"/>
      <c r="AC128" s="828"/>
      <c r="AD128"/>
      <c r="AJ128"/>
    </row>
    <row r="129" spans="1:36" s="826" customFormat="1">
      <c r="A129" s="849"/>
      <c r="B129" s="847"/>
      <c r="C129" s="847"/>
      <c r="D129" s="831"/>
      <c r="E129" s="831"/>
      <c r="F129"/>
      <c r="G129" s="831"/>
      <c r="H129" s="831"/>
      <c r="I129" s="831"/>
      <c r="J129" s="831"/>
      <c r="K129" s="831"/>
      <c r="L129"/>
      <c r="M129" s="853"/>
      <c r="N129" s="853"/>
      <c r="O129" s="853"/>
      <c r="P129" s="853"/>
      <c r="Q129" s="853"/>
      <c r="R129"/>
      <c r="S129" s="853"/>
      <c r="T129" s="828"/>
      <c r="U129" s="828"/>
      <c r="V129" s="828"/>
      <c r="W129" s="828"/>
      <c r="X129"/>
      <c r="Y129" s="828"/>
      <c r="Z129" s="828"/>
      <c r="AA129" s="828"/>
      <c r="AB129" s="828"/>
      <c r="AC129" s="828"/>
      <c r="AD129"/>
      <c r="AJ129"/>
    </row>
    <row r="130" spans="1:36" s="826" customFormat="1">
      <c r="A130" s="849"/>
      <c r="B130" s="847"/>
      <c r="C130" s="851"/>
      <c r="D130" s="831"/>
      <c r="E130" s="831"/>
      <c r="F130"/>
      <c r="G130" s="831"/>
      <c r="H130" s="831"/>
      <c r="I130" s="831"/>
      <c r="J130" s="831"/>
      <c r="K130" s="831"/>
      <c r="L130"/>
      <c r="M130" s="853"/>
      <c r="N130" s="853"/>
      <c r="O130" s="853"/>
      <c r="P130" s="853"/>
      <c r="Q130" s="853"/>
      <c r="R130"/>
      <c r="S130" s="853"/>
      <c r="T130" s="828"/>
      <c r="U130" s="828"/>
      <c r="V130" s="828"/>
      <c r="W130" s="828"/>
      <c r="X130"/>
      <c r="Y130" s="828"/>
      <c r="Z130" s="828"/>
      <c r="AA130" s="828"/>
      <c r="AB130" s="828"/>
      <c r="AC130" s="828"/>
      <c r="AD130"/>
      <c r="AJ130"/>
    </row>
    <row r="131" spans="1:36" s="826" customFormat="1">
      <c r="A131" s="849"/>
      <c r="B131" s="849"/>
      <c r="C131" s="851"/>
      <c r="D131" s="831"/>
      <c r="E131" s="831"/>
      <c r="F131"/>
      <c r="G131" s="831"/>
      <c r="H131" s="831"/>
      <c r="I131" s="831"/>
      <c r="J131" s="831"/>
      <c r="K131" s="831"/>
      <c r="L131"/>
      <c r="M131" s="853"/>
      <c r="N131" s="853"/>
      <c r="O131" s="853"/>
      <c r="P131" s="853"/>
      <c r="Q131" s="853"/>
      <c r="R131"/>
      <c r="S131" s="853"/>
      <c r="T131" s="828"/>
      <c r="U131" s="828"/>
      <c r="V131" s="828"/>
      <c r="W131" s="828"/>
      <c r="X131"/>
      <c r="Y131" s="828"/>
      <c r="Z131" s="828"/>
      <c r="AA131" s="828"/>
      <c r="AB131" s="828"/>
      <c r="AC131" s="828"/>
      <c r="AD131"/>
      <c r="AJ131"/>
    </row>
    <row r="132" spans="1:36">
      <c r="A132" s="849"/>
      <c r="B132" s="847"/>
      <c r="C132" s="852"/>
      <c r="D132" s="831"/>
      <c r="E132" s="831"/>
      <c r="G132" s="831"/>
      <c r="H132" s="831"/>
      <c r="I132" s="831"/>
      <c r="J132" s="831"/>
      <c r="K132" s="831"/>
      <c r="M132" s="853"/>
      <c r="N132" s="853"/>
      <c r="O132" s="853"/>
      <c r="P132" s="853"/>
      <c r="Q132" s="853"/>
      <c r="S132" s="853"/>
    </row>
    <row r="133" spans="1:36">
      <c r="A133" s="849"/>
      <c r="B133" s="847"/>
      <c r="C133" s="851"/>
      <c r="D133" s="831"/>
      <c r="E133" s="831"/>
      <c r="G133" s="831"/>
      <c r="H133" s="831"/>
      <c r="I133" s="831"/>
      <c r="J133" s="831"/>
      <c r="K133" s="831"/>
      <c r="M133" s="853"/>
      <c r="N133" s="853"/>
      <c r="O133" s="853"/>
      <c r="P133" s="853"/>
      <c r="Q133" s="853"/>
      <c r="S133" s="853"/>
    </row>
    <row r="134" spans="1:36">
      <c r="A134" s="831"/>
      <c r="B134" s="829"/>
      <c r="C134" s="831"/>
      <c r="D134" s="831"/>
      <c r="E134" s="831"/>
      <c r="G134" s="831"/>
      <c r="H134" s="831"/>
      <c r="I134" s="831"/>
      <c r="J134" s="831"/>
      <c r="K134" s="831"/>
      <c r="M134" s="853"/>
      <c r="N134" s="853"/>
      <c r="O134" s="853"/>
      <c r="P134" s="853"/>
      <c r="Q134" s="853"/>
      <c r="S134" s="853"/>
    </row>
    <row r="135" spans="1:36">
      <c r="A135" s="831"/>
      <c r="B135" s="829"/>
      <c r="C135" s="832"/>
      <c r="D135" s="862"/>
      <c r="E135" s="831"/>
      <c r="G135" s="831"/>
      <c r="H135" s="831"/>
      <c r="I135" s="831"/>
      <c r="J135" s="831"/>
      <c r="K135" s="831"/>
      <c r="M135" s="853"/>
      <c r="N135" s="853"/>
      <c r="O135" s="853"/>
      <c r="P135" s="853"/>
      <c r="Q135" s="853"/>
      <c r="S135" s="853"/>
    </row>
    <row r="136" spans="1:36">
      <c r="A136" s="831"/>
      <c r="B136" s="829"/>
      <c r="C136" s="831"/>
      <c r="D136" s="862"/>
      <c r="E136" s="831"/>
      <c r="G136" s="831"/>
      <c r="H136" s="831"/>
      <c r="I136" s="831"/>
      <c r="J136" s="831"/>
      <c r="K136" s="831"/>
      <c r="M136" s="853"/>
      <c r="N136" s="853"/>
      <c r="O136" s="853"/>
      <c r="P136" s="853"/>
      <c r="Q136" s="853"/>
      <c r="S136" s="853"/>
    </row>
    <row r="137" spans="1:36">
      <c r="A137" s="831"/>
      <c r="B137" s="829"/>
      <c r="C137" s="831"/>
      <c r="D137" s="831"/>
      <c r="E137" s="831"/>
      <c r="G137" s="831"/>
      <c r="H137" s="831"/>
      <c r="I137" s="831"/>
      <c r="J137" s="831"/>
      <c r="K137" s="831"/>
      <c r="M137" s="853"/>
      <c r="N137" s="853"/>
      <c r="O137" s="853"/>
      <c r="P137" s="853"/>
      <c r="Q137" s="853"/>
      <c r="S137" s="853"/>
    </row>
    <row r="138" spans="1:36">
      <c r="A138" s="831"/>
      <c r="B138" s="829"/>
      <c r="C138" s="831"/>
      <c r="D138" s="831"/>
      <c r="E138" s="831"/>
      <c r="G138" s="831"/>
      <c r="H138" s="831"/>
      <c r="I138" s="831"/>
      <c r="J138" s="831"/>
      <c r="K138" s="831"/>
      <c r="M138" s="853"/>
      <c r="N138" s="853"/>
      <c r="O138" s="853"/>
      <c r="P138" s="853"/>
      <c r="Q138" s="853"/>
      <c r="S138" s="853"/>
    </row>
    <row r="139" spans="1:36" ht="21" customHeight="1">
      <c r="A139" s="831"/>
      <c r="B139" s="829"/>
      <c r="C139" s="831"/>
      <c r="D139" s="831"/>
      <c r="E139" s="831"/>
      <c r="G139" s="831"/>
      <c r="H139" s="831"/>
      <c r="I139" s="831"/>
      <c r="J139" s="831"/>
      <c r="K139" s="831"/>
      <c r="M139" s="853"/>
      <c r="N139" s="853"/>
      <c r="O139" s="853"/>
      <c r="P139" s="853"/>
      <c r="Q139" s="853"/>
      <c r="S139" s="853"/>
    </row>
    <row r="140" spans="1:36">
      <c r="A140" s="831"/>
      <c r="B140" s="829"/>
      <c r="C140" s="831"/>
      <c r="D140" s="831"/>
      <c r="E140" s="831"/>
      <c r="G140" s="831"/>
      <c r="H140" s="831"/>
      <c r="I140" s="831"/>
      <c r="J140" s="831"/>
      <c r="K140" s="831"/>
      <c r="M140" s="853"/>
      <c r="N140" s="853"/>
      <c r="O140" s="853"/>
      <c r="P140" s="853"/>
      <c r="Q140" s="853"/>
      <c r="S140" s="853"/>
    </row>
    <row r="141" spans="1:36">
      <c r="A141" s="831"/>
      <c r="B141" s="829"/>
      <c r="C141" s="831"/>
      <c r="D141" s="831"/>
      <c r="E141" s="831"/>
      <c r="G141" s="831"/>
      <c r="H141" s="831"/>
      <c r="I141" s="831"/>
      <c r="J141" s="831"/>
      <c r="K141" s="831"/>
      <c r="M141" s="853"/>
      <c r="N141" s="853"/>
      <c r="O141" s="853"/>
      <c r="P141" s="853"/>
      <c r="Q141" s="853"/>
      <c r="S141" s="853"/>
    </row>
    <row r="142" spans="1:36">
      <c r="A142" s="831"/>
      <c r="B142" s="829"/>
      <c r="C142" s="831"/>
      <c r="D142" s="831"/>
      <c r="E142" s="831"/>
      <c r="G142" s="831"/>
      <c r="H142" s="831"/>
      <c r="I142" s="831"/>
      <c r="J142" s="831"/>
      <c r="K142" s="831"/>
      <c r="M142" s="853"/>
      <c r="N142" s="853"/>
      <c r="O142" s="853"/>
      <c r="P142" s="853"/>
      <c r="Q142" s="853"/>
      <c r="S142" s="853"/>
    </row>
    <row r="143" spans="1:36">
      <c r="A143" s="831"/>
      <c r="B143" s="829"/>
      <c r="C143" s="831"/>
      <c r="D143" s="831"/>
      <c r="E143" s="831"/>
      <c r="G143" s="831"/>
      <c r="H143" s="831"/>
      <c r="I143" s="831"/>
      <c r="J143" s="831"/>
      <c r="K143" s="831"/>
      <c r="M143" s="853"/>
      <c r="N143" s="853"/>
      <c r="O143" s="853"/>
      <c r="P143" s="853"/>
      <c r="Q143" s="853"/>
      <c r="S143" s="853"/>
    </row>
    <row r="144" spans="1:36" ht="19.5" customHeight="1">
      <c r="A144" s="831"/>
      <c r="B144" s="829"/>
      <c r="C144" s="831"/>
      <c r="D144" s="831"/>
      <c r="E144" s="831"/>
      <c r="G144" s="831"/>
      <c r="H144" s="831"/>
      <c r="I144" s="831"/>
      <c r="J144" s="831"/>
      <c r="K144" s="831"/>
      <c r="M144" s="853"/>
      <c r="N144" s="853"/>
      <c r="O144" s="853"/>
      <c r="P144" s="853"/>
      <c r="Q144" s="853"/>
      <c r="S144" s="853"/>
    </row>
    <row r="145" spans="1:36">
      <c r="A145" s="831"/>
      <c r="B145" s="829"/>
      <c r="C145" s="831"/>
      <c r="D145" s="831"/>
      <c r="E145" s="831"/>
      <c r="G145" s="831"/>
      <c r="H145" s="831"/>
      <c r="I145" s="831"/>
      <c r="J145" s="831"/>
      <c r="K145" s="831"/>
      <c r="M145" s="853"/>
      <c r="N145" s="853"/>
      <c r="O145" s="853"/>
      <c r="P145" s="853"/>
      <c r="Q145" s="853"/>
      <c r="S145" s="853"/>
    </row>
    <row r="146" spans="1:36">
      <c r="A146" s="831"/>
      <c r="B146" s="829"/>
      <c r="C146" s="831"/>
      <c r="D146" s="831"/>
      <c r="E146" s="831"/>
      <c r="G146" s="831"/>
      <c r="H146" s="831"/>
      <c r="I146" s="831"/>
      <c r="J146" s="831"/>
      <c r="K146" s="831"/>
      <c r="M146" s="853"/>
      <c r="N146" s="853"/>
      <c r="O146" s="853"/>
      <c r="P146" s="853"/>
      <c r="Q146" s="853"/>
      <c r="S146" s="853"/>
    </row>
    <row r="147" spans="1:36">
      <c r="A147" s="831"/>
      <c r="B147" s="829"/>
      <c r="C147" s="831"/>
      <c r="D147" s="831"/>
      <c r="E147" s="831"/>
      <c r="G147" s="831"/>
      <c r="H147" s="831"/>
      <c r="I147" s="831"/>
      <c r="J147" s="831"/>
      <c r="K147" s="831"/>
      <c r="M147" s="853"/>
      <c r="N147" s="853"/>
      <c r="O147" s="853"/>
      <c r="P147" s="853"/>
      <c r="Q147" s="853"/>
      <c r="S147" s="853"/>
    </row>
    <row r="148" spans="1:36" s="826" customFormat="1">
      <c r="A148" s="831"/>
      <c r="B148" s="829"/>
      <c r="C148" s="831"/>
      <c r="D148" s="831"/>
      <c r="E148" s="831"/>
      <c r="F148"/>
      <c r="G148" s="831"/>
      <c r="H148" s="831"/>
      <c r="I148" s="831"/>
      <c r="J148" s="831"/>
      <c r="K148" s="831"/>
      <c r="L148"/>
      <c r="M148" s="853"/>
      <c r="N148" s="853"/>
      <c r="O148" s="853"/>
      <c r="P148" s="853"/>
      <c r="Q148" s="853"/>
      <c r="R148"/>
      <c r="S148" s="853"/>
      <c r="T148" s="828"/>
      <c r="U148" s="828"/>
      <c r="V148" s="828"/>
      <c r="W148" s="828"/>
      <c r="X148"/>
      <c r="Y148" s="828"/>
      <c r="Z148" s="828"/>
      <c r="AA148" s="828"/>
      <c r="AB148" s="828"/>
      <c r="AC148" s="828"/>
      <c r="AD148"/>
      <c r="AJ148"/>
    </row>
    <row r="149" spans="1:36" s="826" customFormat="1">
      <c r="A149" s="831"/>
      <c r="B149" s="829"/>
      <c r="C149" s="831"/>
      <c r="D149" s="831"/>
      <c r="E149" s="831"/>
      <c r="F149"/>
      <c r="G149" s="831"/>
      <c r="H149" s="831"/>
      <c r="I149" s="831"/>
      <c r="J149" s="831"/>
      <c r="K149" s="831"/>
      <c r="L149"/>
      <c r="M149" s="853"/>
      <c r="N149" s="853"/>
      <c r="O149" s="853"/>
      <c r="P149" s="853"/>
      <c r="Q149" s="853"/>
      <c r="R149"/>
      <c r="S149" s="853"/>
      <c r="T149" s="828"/>
      <c r="U149" s="828"/>
      <c r="V149" s="828"/>
      <c r="W149" s="828"/>
      <c r="X149"/>
      <c r="Y149" s="828"/>
      <c r="Z149" s="828"/>
      <c r="AA149" s="828"/>
      <c r="AB149" s="828"/>
      <c r="AC149" s="828"/>
      <c r="AD149"/>
      <c r="AJ149"/>
    </row>
  </sheetData>
  <printOptions horizontalCentered="1"/>
  <pageMargins left="1" right="1" top="1" bottom="1" header="0.5" footer="0.4"/>
  <pageSetup scale="87"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36</vt:i4>
      </vt:variant>
    </vt:vector>
  </HeadingPairs>
  <TitlesOfParts>
    <vt:vector size="62" baseType="lpstr">
      <vt:lpstr>Brood_Tab</vt:lpstr>
      <vt:lpstr>Read_Me</vt:lpstr>
      <vt:lpstr>Harvests</vt:lpstr>
      <vt:lpstr>Escapements</vt:lpstr>
      <vt:lpstr>Total_Run_Size</vt:lpstr>
      <vt:lpstr>Exploitation rates</vt:lpstr>
      <vt:lpstr>Forecasts_Summary</vt:lpstr>
      <vt:lpstr>Mean_run_forecasts</vt:lpstr>
      <vt:lpstr>Mean_Run_Performance</vt:lpstr>
      <vt:lpstr>Brood_Forecasts</vt:lpstr>
      <vt:lpstr>Sibling_Forecast_Sumry</vt:lpstr>
      <vt:lpstr>Naive_AgeSpecific</vt:lpstr>
      <vt:lpstr>RunXAge</vt:lpstr>
      <vt:lpstr>Ricker</vt:lpstr>
      <vt:lpstr>UCRPercentage</vt:lpstr>
      <vt:lpstr>UCRNumber</vt:lpstr>
      <vt:lpstr>CCPercentage</vt:lpstr>
      <vt:lpstr>CCNumber</vt:lpstr>
      <vt:lpstr>Major Age Brood</vt:lpstr>
      <vt:lpstr>FBrood</vt:lpstr>
      <vt:lpstr>Ln1.3=Ln1.2_3</vt:lpstr>
      <vt:lpstr>Ln1.3=ln1.2</vt:lpstr>
      <vt:lpstr>Ln1.3=Ln1.2_2</vt:lpstr>
      <vt:lpstr>Ln1.4=Ln1.3</vt:lpstr>
      <vt:lpstr>RegOut</vt:lpstr>
      <vt:lpstr>ttab</vt:lpstr>
      <vt:lpstr>a_parameter_even</vt:lpstr>
      <vt:lpstr>AllYrs</vt:lpstr>
      <vt:lpstr>b_parameter_even</vt:lpstr>
      <vt:lpstr>c_even</vt:lpstr>
      <vt:lpstr>d_even</vt:lpstr>
      <vt:lpstr>FcastYR</vt:lpstr>
      <vt:lpstr>FirstYR</vt:lpstr>
      <vt:lpstr>ForBrood</vt:lpstr>
      <vt:lpstr>MainRegion</vt:lpstr>
      <vt:lpstr>minus_a_over_b_even</vt:lpstr>
      <vt:lpstr>MSEAll</vt:lpstr>
      <vt:lpstr>MSEcalcAll</vt:lpstr>
      <vt:lpstr>MSEcalcL1O</vt:lpstr>
      <vt:lpstr>MSEL1O</vt:lpstr>
      <vt:lpstr>Partone</vt:lpstr>
      <vt:lpstr>Parttwo</vt:lpstr>
      <vt:lpstr>Brood_Tab!Print_Area</vt:lpstr>
      <vt:lpstr>'Exploitation rates'!Print_Area</vt:lpstr>
      <vt:lpstr>Forecasts_Summary!Print_Area</vt:lpstr>
      <vt:lpstr>Harvests!Print_Area</vt:lpstr>
      <vt:lpstr>Mean_run_forecasts!Print_Area</vt:lpstr>
      <vt:lpstr>Mean_Run_Performance!Print_Area</vt:lpstr>
      <vt:lpstr>RunXAge!Print_Area</vt:lpstr>
      <vt:lpstr>Rout</vt:lpstr>
      <vt:lpstr>Rslts2All</vt:lpstr>
      <vt:lpstr>Rslts2L1O</vt:lpstr>
      <vt:lpstr>RsltsAll</vt:lpstr>
      <vt:lpstr>RsltsL1O</vt:lpstr>
      <vt:lpstr>SAS_Data</vt:lpstr>
      <vt:lpstr>tval</vt:lpstr>
      <vt:lpstr>XRangeAll</vt:lpstr>
      <vt:lpstr>XRangeL1O</vt:lpstr>
      <vt:lpstr>YestAll</vt:lpstr>
      <vt:lpstr>YestL1O</vt:lpstr>
      <vt:lpstr>YRangeAll</vt:lpstr>
      <vt:lpstr>YRangeL1O</vt:lpstr>
    </vt:vector>
  </TitlesOfParts>
  <Company>Alaska Dept. Fish and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 chinook forecast from Sibling models</dc:title>
  <dc:subject>chinook forecast</dc:subject>
  <dc:creator>Steven D. Moffitt</dc:creator>
  <cp:lastModifiedBy>Hamazaki, Hamachan (DFG)</cp:lastModifiedBy>
  <cp:lastPrinted>2017-03-13T19:35:53Z</cp:lastPrinted>
  <dcterms:created xsi:type="dcterms:W3CDTF">1999-10-12T21:48:33Z</dcterms:created>
  <dcterms:modified xsi:type="dcterms:W3CDTF">2019-02-14T01:57:30Z</dcterms:modified>
</cp:coreProperties>
</file>