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HP\Documents\Data_Analysis\Project\"/>
    </mc:Choice>
  </mc:AlternateContent>
  <xr:revisionPtr revIDLastSave="0" documentId="13_ncr:1_{E66B83E1-D101-47A0-90BC-DC9DB0875C04}" xr6:coauthVersionLast="47" xr6:coauthVersionMax="47" xr10:uidLastSave="{00000000-0000-0000-0000-000000000000}"/>
  <bookViews>
    <workbookView xWindow="-108" yWindow="-108" windowWidth="23256" windowHeight="12456" tabRatio="923" activeTab="2" xr2:uid="{00000000-000D-0000-FFFF-FFFF00000000}"/>
  </bookViews>
  <sheets>
    <sheet name="Target" sheetId="1" r:id="rId1"/>
    <sheet name="Payment" sheetId="5" r:id="rId2"/>
    <sheet name="Commission" sheetId="21" r:id="rId3"/>
    <sheet name="For sale" sheetId="16" r:id="rId4"/>
  </sheets>
  <definedNames>
    <definedName name="_xlnm._FilterDatabase" localSheetId="1" hidden="1">Payment!$A$2:$P$466</definedName>
    <definedName name="_xlnm.Print_Area" localSheetId="2">Commission!$A$1:$O$125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21" l="1"/>
  <c r="G23" i="21"/>
  <c r="F23" i="21"/>
  <c r="B23" i="21"/>
  <c r="C99" i="21"/>
  <c r="D99" i="21"/>
  <c r="E99" i="21"/>
  <c r="F99" i="21"/>
  <c r="G99" i="21"/>
  <c r="H99" i="21"/>
  <c r="I99" i="21"/>
  <c r="C100" i="21"/>
  <c r="D100" i="21"/>
  <c r="E100" i="21"/>
  <c r="F100" i="21"/>
  <c r="G100" i="21"/>
  <c r="H100" i="21"/>
  <c r="I100" i="21"/>
  <c r="C101" i="21"/>
  <c r="D101" i="21"/>
  <c r="E101" i="21"/>
  <c r="F101" i="21"/>
  <c r="G101" i="21"/>
  <c r="H101" i="21"/>
  <c r="I101" i="21"/>
  <c r="C102" i="21"/>
  <c r="D102" i="21"/>
  <c r="E102" i="21"/>
  <c r="F102" i="21"/>
  <c r="G102" i="21"/>
  <c r="H102" i="21"/>
  <c r="I102" i="21"/>
  <c r="C103" i="21"/>
  <c r="D103" i="21"/>
  <c r="E103" i="21"/>
  <c r="F103" i="21"/>
  <c r="G103" i="21"/>
  <c r="H103" i="21"/>
  <c r="I103" i="21"/>
  <c r="C104" i="21"/>
  <c r="D104" i="21"/>
  <c r="E104" i="21"/>
  <c r="F104" i="21"/>
  <c r="G104" i="21"/>
  <c r="H104" i="21"/>
  <c r="I104" i="21"/>
  <c r="C105" i="21"/>
  <c r="D105" i="21"/>
  <c r="E105" i="21"/>
  <c r="F105" i="21"/>
  <c r="G105" i="21"/>
  <c r="H105" i="21"/>
  <c r="I105" i="21"/>
  <c r="C106" i="21"/>
  <c r="D106" i="21"/>
  <c r="E106" i="21"/>
  <c r="F106" i="21"/>
  <c r="G106" i="21"/>
  <c r="H106" i="21"/>
  <c r="I106" i="21"/>
  <c r="C107" i="21"/>
  <c r="D107" i="21"/>
  <c r="E107" i="21"/>
  <c r="F107" i="21"/>
  <c r="G107" i="21"/>
  <c r="H107" i="21"/>
  <c r="I107" i="21"/>
  <c r="D98" i="21"/>
  <c r="E98" i="21"/>
  <c r="F98" i="21"/>
  <c r="G98" i="21"/>
  <c r="H98" i="21"/>
  <c r="I98" i="21"/>
  <c r="C98" i="21"/>
  <c r="A1" i="21"/>
  <c r="C13" i="21"/>
  <c r="A28" i="21"/>
  <c r="A29" i="21"/>
  <c r="A30" i="21"/>
  <c r="A31" i="21"/>
  <c r="A32" i="21"/>
  <c r="A33" i="21"/>
  <c r="A34" i="21"/>
  <c r="A35" i="21"/>
  <c r="A36" i="21"/>
  <c r="A27" i="21"/>
  <c r="J2" i="5" l="1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 l="1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A117" i="21" l="1"/>
  <c r="A104" i="21"/>
  <c r="A91" i="21"/>
  <c r="A77" i="21"/>
  <c r="A62" i="21"/>
  <c r="A46" i="21"/>
  <c r="C19" i="21" l="1"/>
  <c r="C14" i="21" l="1"/>
  <c r="C15" i="21"/>
  <c r="C16" i="21"/>
  <c r="C17" i="21"/>
  <c r="C18" i="21"/>
  <c r="C21" i="21"/>
  <c r="C22" i="21"/>
  <c r="C20" i="21"/>
  <c r="C26" i="21" l="1"/>
  <c r="C97" i="21" l="1"/>
  <c r="C8" i="21"/>
  <c r="C84" i="21"/>
  <c r="C39" i="21"/>
  <c r="C110" i="21"/>
  <c r="C54" i="21"/>
  <c r="D26" i="21"/>
  <c r="D8" i="21" l="1"/>
  <c r="C5" i="21"/>
  <c r="C6" i="21"/>
  <c r="E26" i="21"/>
  <c r="D110" i="21"/>
  <c r="D39" i="21"/>
  <c r="F54" i="21"/>
  <c r="F5" i="21" s="1"/>
  <c r="D84" i="21"/>
  <c r="D54" i="21"/>
  <c r="D5" i="21" s="1"/>
  <c r="D97" i="21"/>
  <c r="C62" i="21" l="1"/>
  <c r="E8" i="21"/>
  <c r="F26" i="21"/>
  <c r="G54" i="21"/>
  <c r="G5" i="21" s="1"/>
  <c r="E54" i="21"/>
  <c r="E5" i="21" s="1"/>
  <c r="E84" i="21"/>
  <c r="E39" i="21"/>
  <c r="E97" i="21"/>
  <c r="I54" i="21"/>
  <c r="I5" i="21" s="1"/>
  <c r="E110" i="21"/>
  <c r="D6" i="21"/>
  <c r="D62" i="21" s="1"/>
  <c r="F8" i="21" l="1"/>
  <c r="D77" i="21"/>
  <c r="L54" i="21"/>
  <c r="L5" i="21" s="1"/>
  <c r="F84" i="21"/>
  <c r="J54" i="21"/>
  <c r="J5" i="21" s="1"/>
  <c r="H54" i="21"/>
  <c r="H5" i="21" s="1"/>
  <c r="F97" i="21"/>
  <c r="F110" i="21"/>
  <c r="F39" i="21"/>
  <c r="G26" i="21"/>
  <c r="G8" i="21" l="1"/>
  <c r="G97" i="21"/>
  <c r="K54" i="21"/>
  <c r="K5" i="21" s="1"/>
  <c r="M54" i="21"/>
  <c r="M5" i="21" s="1"/>
  <c r="G110" i="21"/>
  <c r="G84" i="21"/>
  <c r="G39" i="21"/>
  <c r="H26" i="21"/>
  <c r="H8" i="21" l="1"/>
  <c r="H110" i="21"/>
  <c r="H39" i="21"/>
  <c r="N54" i="21"/>
  <c r="N5" i="21" s="1"/>
  <c r="H84" i="21"/>
  <c r="H97" i="21"/>
  <c r="I26" i="21"/>
  <c r="I8" i="21" l="1"/>
  <c r="I84" i="21"/>
  <c r="I39" i="21"/>
  <c r="I97" i="21"/>
  <c r="O54" i="21"/>
  <c r="I110" i="21"/>
  <c r="O70" i="21" l="1"/>
  <c r="O5" i="21"/>
  <c r="A120" i="21" l="1"/>
  <c r="A119" i="21"/>
  <c r="A118" i="21"/>
  <c r="A116" i="21"/>
  <c r="A115" i="21"/>
  <c r="A114" i="21"/>
  <c r="A113" i="21"/>
  <c r="A112" i="21"/>
  <c r="A111" i="21"/>
  <c r="A107" i="21"/>
  <c r="A106" i="21"/>
  <c r="A105" i="21"/>
  <c r="A103" i="21"/>
  <c r="A102" i="21"/>
  <c r="A101" i="21"/>
  <c r="A100" i="21"/>
  <c r="A99" i="21"/>
  <c r="A98" i="21"/>
  <c r="A94" i="21"/>
  <c r="A93" i="21"/>
  <c r="A92" i="21"/>
  <c r="A90" i="21"/>
  <c r="A89" i="21"/>
  <c r="A88" i="21"/>
  <c r="A87" i="21"/>
  <c r="A86" i="21"/>
  <c r="A85" i="21"/>
  <c r="A80" i="21"/>
  <c r="A79" i="21"/>
  <c r="A78" i="21"/>
  <c r="A76" i="21"/>
  <c r="A75" i="21"/>
  <c r="A74" i="21"/>
  <c r="A73" i="21"/>
  <c r="A72" i="21"/>
  <c r="A71" i="21"/>
  <c r="A65" i="21"/>
  <c r="A64" i="21"/>
  <c r="A63" i="21"/>
  <c r="A61" i="21"/>
  <c r="A60" i="21"/>
  <c r="A59" i="21"/>
  <c r="A58" i="21"/>
  <c r="A57" i="21"/>
  <c r="A56" i="21"/>
  <c r="A49" i="21"/>
  <c r="A48" i="21"/>
  <c r="A47" i="21"/>
  <c r="A45" i="21"/>
  <c r="A44" i="21"/>
  <c r="A43" i="21"/>
  <c r="A42" i="21"/>
  <c r="A41" i="21"/>
  <c r="A40" i="21"/>
  <c r="H12" i="21"/>
  <c r="F12" i="21"/>
  <c r="E12" i="21"/>
  <c r="D12" i="21"/>
  <c r="C12" i="21"/>
  <c r="B11" i="21"/>
  <c r="C63" i="21" l="1"/>
  <c r="D63" i="21"/>
  <c r="C64" i="21"/>
  <c r="D64" i="21"/>
  <c r="C61" i="21"/>
  <c r="D61" i="21"/>
  <c r="D56" i="21"/>
  <c r="C56" i="21"/>
  <c r="C71" i="21" s="1"/>
  <c r="D65" i="21"/>
  <c r="C65" i="21"/>
  <c r="C58" i="21"/>
  <c r="D58" i="21"/>
  <c r="D57" i="21"/>
  <c r="C57" i="21"/>
  <c r="D59" i="21"/>
  <c r="C59" i="21"/>
  <c r="D60" i="21"/>
  <c r="C60" i="21"/>
  <c r="F6" i="21" l="1"/>
  <c r="D3" i="16"/>
  <c r="C9" i="21"/>
  <c r="F70" i="21"/>
  <c r="C70" i="21"/>
  <c r="D70" i="21"/>
  <c r="C27" i="21" l="1"/>
  <c r="B15" i="21"/>
  <c r="B13" i="21"/>
  <c r="D13" i="21" s="1"/>
  <c r="E13" i="21" s="1"/>
  <c r="B16" i="21"/>
  <c r="D16" i="21" s="1"/>
  <c r="E16" i="21" s="1"/>
  <c r="B17" i="21"/>
  <c r="D17" i="21" s="1"/>
  <c r="E17" i="21" s="1"/>
  <c r="B21" i="21"/>
  <c r="D21" i="21" s="1"/>
  <c r="E21" i="21" s="1"/>
  <c r="B14" i="21"/>
  <c r="B18" i="21"/>
  <c r="D18" i="21" s="1"/>
  <c r="E18" i="21" s="1"/>
  <c r="B19" i="21"/>
  <c r="D19" i="21" s="1"/>
  <c r="E19" i="21" s="1"/>
  <c r="B20" i="21"/>
  <c r="D20" i="21" s="1"/>
  <c r="E20" i="21" s="1"/>
  <c r="B22" i="21"/>
  <c r="D22" i="21" s="1"/>
  <c r="E22" i="21" s="1"/>
  <c r="F62" i="21"/>
  <c r="F77" i="21" s="1"/>
  <c r="F60" i="21"/>
  <c r="F61" i="21"/>
  <c r="F64" i="21"/>
  <c r="F56" i="21"/>
  <c r="F58" i="21"/>
  <c r="F57" i="21"/>
  <c r="F65" i="21"/>
  <c r="F59" i="21"/>
  <c r="F63" i="21"/>
  <c r="C29" i="21"/>
  <c r="C28" i="21"/>
  <c r="C40" i="21"/>
  <c r="C46" i="21"/>
  <c r="C45" i="21"/>
  <c r="C48" i="21"/>
  <c r="C49" i="21"/>
  <c r="C47" i="21"/>
  <c r="C44" i="21"/>
  <c r="C42" i="21"/>
  <c r="C43" i="21"/>
  <c r="C41" i="21"/>
  <c r="D15" i="21"/>
  <c r="E15" i="21" s="1"/>
  <c r="D4" i="16"/>
  <c r="D14" i="21"/>
  <c r="E14" i="21" s="1"/>
  <c r="C36" i="21"/>
  <c r="C32" i="21"/>
  <c r="C35" i="21"/>
  <c r="C31" i="21"/>
  <c r="C34" i="21"/>
  <c r="C30" i="21"/>
  <c r="C33" i="21"/>
  <c r="C92" i="21" l="1"/>
  <c r="C90" i="21"/>
  <c r="C85" i="21"/>
  <c r="C87" i="21"/>
  <c r="C86" i="21"/>
  <c r="C93" i="21"/>
  <c r="C94" i="21"/>
  <c r="C89" i="21"/>
  <c r="D7" i="16"/>
  <c r="C91" i="21"/>
  <c r="C77" i="21"/>
  <c r="D6" i="16"/>
  <c r="C88" i="21"/>
  <c r="I6" i="21"/>
  <c r="E6" i="21"/>
  <c r="G6" i="21"/>
  <c r="G70" i="21"/>
  <c r="E70" i="21"/>
  <c r="I70" i="21"/>
  <c r="G62" i="21" l="1"/>
  <c r="G77" i="21" s="1"/>
  <c r="G56" i="21"/>
  <c r="G64" i="21"/>
  <c r="G61" i="21"/>
  <c r="G63" i="21"/>
  <c r="G65" i="21"/>
  <c r="G60" i="21"/>
  <c r="G57" i="21"/>
  <c r="G59" i="21"/>
  <c r="G58" i="21"/>
  <c r="E62" i="21"/>
  <c r="E77" i="21" s="1"/>
  <c r="E64" i="21"/>
  <c r="E59" i="21"/>
  <c r="E58" i="21"/>
  <c r="E61" i="21"/>
  <c r="E65" i="21"/>
  <c r="E60" i="21"/>
  <c r="E63" i="21"/>
  <c r="E56" i="21"/>
  <c r="E57" i="21"/>
  <c r="I62" i="21"/>
  <c r="I77" i="21" s="1"/>
  <c r="I64" i="21"/>
  <c r="I65" i="21"/>
  <c r="I58" i="21"/>
  <c r="I57" i="21"/>
  <c r="I60" i="21"/>
  <c r="I61" i="21"/>
  <c r="I63" i="21"/>
  <c r="I56" i="21"/>
  <c r="C117" i="21"/>
  <c r="C50" i="21"/>
  <c r="H6" i="21"/>
  <c r="J6" i="21"/>
  <c r="L6" i="21"/>
  <c r="L70" i="21"/>
  <c r="J70" i="21"/>
  <c r="H70" i="21"/>
  <c r="C37" i="21"/>
  <c r="L62" i="21" l="1"/>
  <c r="L63" i="21"/>
  <c r="L56" i="21"/>
  <c r="L65" i="21"/>
  <c r="L59" i="21"/>
  <c r="L58" i="21"/>
  <c r="L64" i="21"/>
  <c r="L61" i="21"/>
  <c r="L57" i="21"/>
  <c r="J62" i="21"/>
  <c r="J77" i="21" s="1"/>
  <c r="J63" i="21"/>
  <c r="J57" i="21"/>
  <c r="J56" i="21"/>
  <c r="J58" i="21"/>
  <c r="J59" i="21"/>
  <c r="J64" i="21"/>
  <c r="J65" i="21"/>
  <c r="J60" i="21"/>
  <c r="J61" i="21"/>
  <c r="H62" i="21"/>
  <c r="H64" i="21"/>
  <c r="H57" i="21"/>
  <c r="H65" i="21"/>
  <c r="H59" i="21"/>
  <c r="H60" i="21"/>
  <c r="H63" i="21"/>
  <c r="H61" i="21"/>
  <c r="H58" i="21"/>
  <c r="H56" i="21"/>
  <c r="L77" i="21"/>
  <c r="M6" i="21"/>
  <c r="K6" i="21"/>
  <c r="K70" i="21"/>
  <c r="M70" i="21"/>
  <c r="C95" i="21"/>
  <c r="K62" i="21" l="1"/>
  <c r="K56" i="21"/>
  <c r="K58" i="21"/>
  <c r="K57" i="21"/>
  <c r="K61" i="21"/>
  <c r="K59" i="21"/>
  <c r="K63" i="21"/>
  <c r="K60" i="21"/>
  <c r="K64" i="21"/>
  <c r="K65" i="21"/>
  <c r="M62" i="21"/>
  <c r="M77" i="21" s="1"/>
  <c r="M60" i="21"/>
  <c r="M58" i="21"/>
  <c r="M61" i="21"/>
  <c r="M63" i="21"/>
  <c r="M64" i="21"/>
  <c r="M56" i="21"/>
  <c r="M65" i="21"/>
  <c r="M57" i="21"/>
  <c r="M59" i="21"/>
  <c r="K77" i="21"/>
  <c r="H77" i="21"/>
  <c r="N6" i="21"/>
  <c r="N70" i="21"/>
  <c r="N62" i="21" l="1"/>
  <c r="N77" i="21" s="1"/>
  <c r="N56" i="21"/>
  <c r="N63" i="21"/>
  <c r="N57" i="21"/>
  <c r="N58" i="21"/>
  <c r="N59" i="21"/>
  <c r="N64" i="21"/>
  <c r="N61" i="21"/>
  <c r="N60" i="21"/>
  <c r="N65" i="21"/>
  <c r="O6" i="21"/>
  <c r="O62" i="21" l="1"/>
  <c r="O77" i="21" s="1"/>
  <c r="B77" i="21" s="1"/>
  <c r="O61" i="21"/>
  <c r="O58" i="21"/>
  <c r="O63" i="21"/>
  <c r="O57" i="21"/>
  <c r="O56" i="21"/>
  <c r="O65" i="21"/>
  <c r="O64" i="21"/>
  <c r="O59" i="21"/>
  <c r="B62" i="21" l="1"/>
  <c r="F75" i="21" l="1"/>
  <c r="M75" i="21"/>
  <c r="O60" i="21"/>
  <c r="E75" i="21"/>
  <c r="J75" i="21"/>
  <c r="I75" i="21"/>
  <c r="D75" i="21"/>
  <c r="L60" i="21"/>
  <c r="L75" i="21" s="1"/>
  <c r="M72" i="21" l="1"/>
  <c r="J72" i="21"/>
  <c r="E80" i="21"/>
  <c r="J80" i="21"/>
  <c r="L80" i="21"/>
  <c r="I80" i="21"/>
  <c r="D80" i="21"/>
  <c r="M80" i="21"/>
  <c r="J73" i="21"/>
  <c r="L73" i="21"/>
  <c r="M73" i="21"/>
  <c r="I73" i="21"/>
  <c r="I76" i="21"/>
  <c r="E76" i="21"/>
  <c r="M76" i="21"/>
  <c r="L76" i="21"/>
  <c r="D76" i="21"/>
  <c r="J76" i="21"/>
  <c r="H75" i="21"/>
  <c r="N75" i="21"/>
  <c r="L74" i="21"/>
  <c r="J74" i="21"/>
  <c r="D74" i="21"/>
  <c r="I59" i="21"/>
  <c r="I74" i="21" s="1"/>
  <c r="E74" i="21"/>
  <c r="M74" i="21"/>
  <c r="E78" i="21"/>
  <c r="M78" i="21"/>
  <c r="L78" i="21"/>
  <c r="J78" i="21"/>
  <c r="I78" i="21"/>
  <c r="D78" i="21"/>
  <c r="L71" i="21"/>
  <c r="I71" i="21"/>
  <c r="J71" i="21"/>
  <c r="E71" i="21"/>
  <c r="D71" i="21"/>
  <c r="M71" i="21"/>
  <c r="L72" i="21"/>
  <c r="K75" i="21"/>
  <c r="O75" i="21"/>
  <c r="C75" i="21"/>
  <c r="B60" i="21"/>
  <c r="I72" i="21"/>
  <c r="G72" i="21"/>
  <c r="G75" i="21"/>
  <c r="F9" i="16" l="1"/>
  <c r="D8" i="16"/>
  <c r="E9" i="16"/>
  <c r="D79" i="21"/>
  <c r="I79" i="21"/>
  <c r="F10" i="16"/>
  <c r="J79" i="21"/>
  <c r="G10" i="16"/>
  <c r="M79" i="21"/>
  <c r="H11" i="16"/>
  <c r="E79" i="21"/>
  <c r="L79" i="21"/>
  <c r="G11" i="16"/>
  <c r="B75" i="21"/>
  <c r="H71" i="21"/>
  <c r="F72" i="21"/>
  <c r="F71" i="21"/>
  <c r="O71" i="21"/>
  <c r="G71" i="21"/>
  <c r="H78" i="21"/>
  <c r="N78" i="21"/>
  <c r="K78" i="21"/>
  <c r="N79" i="21"/>
  <c r="F74" i="21"/>
  <c r="K74" i="21"/>
  <c r="G76" i="21"/>
  <c r="N76" i="21"/>
  <c r="K76" i="21"/>
  <c r="G73" i="21"/>
  <c r="K80" i="21"/>
  <c r="N71" i="21"/>
  <c r="C78" i="21"/>
  <c r="B63" i="21"/>
  <c r="F78" i="21"/>
  <c r="H79" i="21"/>
  <c r="K79" i="21"/>
  <c r="N74" i="21"/>
  <c r="G74" i="21"/>
  <c r="H76" i="21"/>
  <c r="F76" i="21"/>
  <c r="F73" i="21"/>
  <c r="N80" i="21"/>
  <c r="C80" i="21"/>
  <c r="B65" i="21"/>
  <c r="K71" i="21"/>
  <c r="G78" i="21"/>
  <c r="C79" i="21"/>
  <c r="B64" i="21"/>
  <c r="G79" i="21"/>
  <c r="O74" i="21"/>
  <c r="C74" i="21"/>
  <c r="B59" i="21"/>
  <c r="G80" i="21"/>
  <c r="H80" i="21"/>
  <c r="F80" i="21"/>
  <c r="B56" i="21"/>
  <c r="O78" i="21"/>
  <c r="F79" i="21"/>
  <c r="O79" i="21"/>
  <c r="H74" i="21"/>
  <c r="O76" i="21"/>
  <c r="C76" i="21"/>
  <c r="B61" i="21"/>
  <c r="O80" i="21"/>
  <c r="B71" i="21" l="1"/>
  <c r="B79" i="21"/>
  <c r="J81" i="21"/>
  <c r="M66" i="21"/>
  <c r="M81" i="21"/>
  <c r="B74" i="21"/>
  <c r="J66" i="21"/>
  <c r="L81" i="21"/>
  <c r="I81" i="21"/>
  <c r="B80" i="21"/>
  <c r="F66" i="21"/>
  <c r="G81" i="21"/>
  <c r="G66" i="21"/>
  <c r="L66" i="21"/>
  <c r="B78" i="21"/>
  <c r="I66" i="21"/>
  <c r="B76" i="21"/>
  <c r="F81" i="21" l="1"/>
  <c r="I2" i="5" l="1"/>
  <c r="H15" i="16" l="1"/>
  <c r="D5" i="16"/>
  <c r="I15" i="16"/>
  <c r="J15" i="16"/>
  <c r="G15" i="16"/>
  <c r="G2" i="5" l="1"/>
  <c r="F2" i="5" s="1"/>
  <c r="C116" i="21" l="1"/>
  <c r="E15" i="16" l="1"/>
  <c r="F15" i="16"/>
  <c r="C112" i="21" l="1"/>
  <c r="C118" i="21"/>
  <c r="C111" i="21"/>
  <c r="C115" i="21"/>
  <c r="C114" i="21"/>
  <c r="C120" i="21"/>
  <c r="C113" i="21" l="1"/>
  <c r="C119" i="21"/>
  <c r="D15" i="16"/>
  <c r="C12" i="16" l="1"/>
  <c r="E3" i="16" l="1"/>
  <c r="D9" i="21"/>
  <c r="D27" i="21" l="1"/>
  <c r="D28" i="21"/>
  <c r="D29" i="21"/>
  <c r="D40" i="21"/>
  <c r="D46" i="21"/>
  <c r="D45" i="21"/>
  <c r="D42" i="21"/>
  <c r="D44" i="21"/>
  <c r="D48" i="21"/>
  <c r="D41" i="21"/>
  <c r="D49" i="21"/>
  <c r="D47" i="21"/>
  <c r="D43" i="21"/>
  <c r="D33" i="21"/>
  <c r="D30" i="21"/>
  <c r="D36" i="21"/>
  <c r="D31" i="21"/>
  <c r="D35" i="21"/>
  <c r="F3" i="16"/>
  <c r="E9" i="21"/>
  <c r="D32" i="21"/>
  <c r="D34" i="21"/>
  <c r="E27" i="21" l="1"/>
  <c r="E28" i="21"/>
  <c r="E29" i="21"/>
  <c r="E40" i="21"/>
  <c r="E41" i="21"/>
  <c r="E46" i="21"/>
  <c r="E45" i="21"/>
  <c r="E48" i="21"/>
  <c r="E49" i="21"/>
  <c r="E47" i="21"/>
  <c r="E43" i="21"/>
  <c r="E44" i="21"/>
  <c r="E42" i="21"/>
  <c r="D91" i="21"/>
  <c r="E33" i="21"/>
  <c r="D92" i="21"/>
  <c r="D93" i="21"/>
  <c r="E7" i="16"/>
  <c r="E35" i="21"/>
  <c r="E34" i="21"/>
  <c r="E32" i="21"/>
  <c r="E36" i="21"/>
  <c r="E30" i="21"/>
  <c r="E31" i="21"/>
  <c r="D85" i="21"/>
  <c r="D94" i="21"/>
  <c r="D88" i="21"/>
  <c r="D90" i="21"/>
  <c r="G3" i="16"/>
  <c r="F9" i="21"/>
  <c r="D89" i="21"/>
  <c r="F27" i="21" l="1"/>
  <c r="F28" i="21"/>
  <c r="F29" i="21"/>
  <c r="F40" i="21"/>
  <c r="F46" i="21"/>
  <c r="F48" i="21"/>
  <c r="F47" i="21"/>
  <c r="F41" i="21"/>
  <c r="F43" i="21"/>
  <c r="F45" i="21"/>
  <c r="F42" i="21"/>
  <c r="F44" i="21"/>
  <c r="E91" i="21"/>
  <c r="F33" i="21"/>
  <c r="D117" i="21"/>
  <c r="E88" i="21"/>
  <c r="E90" i="21"/>
  <c r="F7" i="16"/>
  <c r="D111" i="21"/>
  <c r="E94" i="21"/>
  <c r="E92" i="21"/>
  <c r="E93" i="21"/>
  <c r="D119" i="21"/>
  <c r="H3" i="16"/>
  <c r="G9" i="21"/>
  <c r="D116" i="21"/>
  <c r="E6" i="16"/>
  <c r="E14" i="16" s="1"/>
  <c r="E16" i="16" s="1"/>
  <c r="E85" i="21"/>
  <c r="D50" i="21"/>
  <c r="D115" i="21"/>
  <c r="F35" i="21"/>
  <c r="F32" i="21"/>
  <c r="F34" i="21"/>
  <c r="F36" i="21"/>
  <c r="F94" i="21" s="1"/>
  <c r="F120" i="21" s="1"/>
  <c r="F30" i="21"/>
  <c r="F31" i="21"/>
  <c r="D114" i="21"/>
  <c r="D120" i="21"/>
  <c r="E89" i="21"/>
  <c r="D118" i="21"/>
  <c r="G27" i="21" l="1"/>
  <c r="G28" i="21"/>
  <c r="G29" i="21"/>
  <c r="G45" i="21"/>
  <c r="G40" i="21"/>
  <c r="E117" i="21"/>
  <c r="E116" i="21"/>
  <c r="E114" i="21"/>
  <c r="G46" i="21"/>
  <c r="G48" i="21"/>
  <c r="G42" i="21"/>
  <c r="G47" i="21"/>
  <c r="G41" i="21"/>
  <c r="G49" i="21"/>
  <c r="G44" i="21"/>
  <c r="G43" i="21"/>
  <c r="F91" i="21"/>
  <c r="G33" i="21"/>
  <c r="F93" i="21"/>
  <c r="F119" i="21" s="1"/>
  <c r="D37" i="21"/>
  <c r="I3" i="16"/>
  <c r="H9" i="21"/>
  <c r="F88" i="21"/>
  <c r="G32" i="21"/>
  <c r="G34" i="21"/>
  <c r="G36" i="21"/>
  <c r="G35" i="21"/>
  <c r="G31" i="21"/>
  <c r="G30" i="21"/>
  <c r="E111" i="21"/>
  <c r="F85" i="21"/>
  <c r="F111" i="21" s="1"/>
  <c r="E115" i="21"/>
  <c r="F89" i="21"/>
  <c r="F115" i="21" s="1"/>
  <c r="F92" i="21"/>
  <c r="F90" i="21"/>
  <c r="F6" i="16"/>
  <c r="F14" i="16" s="1"/>
  <c r="F16" i="16" s="1"/>
  <c r="G7" i="16"/>
  <c r="E119" i="21"/>
  <c r="E118" i="21"/>
  <c r="E120" i="21"/>
  <c r="E50" i="21"/>
  <c r="H27" i="21" l="1"/>
  <c r="H29" i="21"/>
  <c r="H28" i="21"/>
  <c r="H40" i="21"/>
  <c r="F50" i="21"/>
  <c r="H46" i="21"/>
  <c r="H49" i="21"/>
  <c r="H43" i="21"/>
  <c r="H44" i="21"/>
  <c r="H48" i="21"/>
  <c r="H42" i="21"/>
  <c r="H41" i="21"/>
  <c r="H47" i="21"/>
  <c r="H45" i="21"/>
  <c r="G91" i="21"/>
  <c r="G117" i="21" s="1"/>
  <c r="H33" i="21"/>
  <c r="F117" i="21"/>
  <c r="E37" i="21"/>
  <c r="F118" i="21"/>
  <c r="G93" i="21"/>
  <c r="I9" i="21"/>
  <c r="J3" i="16"/>
  <c r="G88" i="21"/>
  <c r="G114" i="21" s="1"/>
  <c r="G94" i="21"/>
  <c r="G92" i="21"/>
  <c r="G118" i="21" s="1"/>
  <c r="H34" i="21"/>
  <c r="H35" i="21"/>
  <c r="H36" i="21"/>
  <c r="H31" i="21"/>
  <c r="H30" i="21"/>
  <c r="H32" i="21"/>
  <c r="H7" i="16"/>
  <c r="F116" i="21"/>
  <c r="G85" i="21"/>
  <c r="G111" i="21" s="1"/>
  <c r="F114" i="21"/>
  <c r="G6" i="16"/>
  <c r="G89" i="21"/>
  <c r="G115" i="21" s="1"/>
  <c r="G90" i="21"/>
  <c r="G116" i="21" s="1"/>
  <c r="I27" i="21" l="1"/>
  <c r="B27" i="21" s="1"/>
  <c r="I29" i="21"/>
  <c r="I28" i="21"/>
  <c r="I40" i="21"/>
  <c r="B40" i="21" s="1"/>
  <c r="I46" i="21"/>
  <c r="I41" i="21"/>
  <c r="B41" i="21" s="1"/>
  <c r="I43" i="21"/>
  <c r="B43" i="21" s="1"/>
  <c r="I44" i="21"/>
  <c r="B44" i="21" s="1"/>
  <c r="I42" i="21"/>
  <c r="B42" i="21" s="1"/>
  <c r="I49" i="21"/>
  <c r="B49" i="21" s="1"/>
  <c r="I45" i="21"/>
  <c r="B45" i="21" s="1"/>
  <c r="I48" i="21"/>
  <c r="B48" i="21" s="1"/>
  <c r="I47" i="21"/>
  <c r="B47" i="21" s="1"/>
  <c r="H91" i="21"/>
  <c r="H117" i="21" s="1"/>
  <c r="I33" i="21"/>
  <c r="B33" i="21" s="1"/>
  <c r="H93" i="21"/>
  <c r="H119" i="21" s="1"/>
  <c r="G119" i="21"/>
  <c r="G50" i="21"/>
  <c r="H90" i="21"/>
  <c r="H116" i="21" s="1"/>
  <c r="H94" i="21"/>
  <c r="H120" i="21" s="1"/>
  <c r="H88" i="21"/>
  <c r="H85" i="21"/>
  <c r="H111" i="21" s="1"/>
  <c r="G120" i="21"/>
  <c r="H6" i="16"/>
  <c r="F37" i="21"/>
  <c r="I7" i="16"/>
  <c r="H89" i="21"/>
  <c r="H115" i="21" s="1"/>
  <c r="H92" i="21"/>
  <c r="H118" i="21" s="1"/>
  <c r="I31" i="21"/>
  <c r="I34" i="21"/>
  <c r="I32" i="21"/>
  <c r="I30" i="21"/>
  <c r="I35" i="21"/>
  <c r="I36" i="21"/>
  <c r="I93" i="21" l="1"/>
  <c r="I119" i="21" s="1"/>
  <c r="I89" i="21"/>
  <c r="I115" i="21" s="1"/>
  <c r="B115" i="21" s="1"/>
  <c r="I91" i="21"/>
  <c r="B46" i="21"/>
  <c r="P62" i="21" s="1"/>
  <c r="Q62" i="21" s="1"/>
  <c r="I90" i="21"/>
  <c r="I116" i="21" s="1"/>
  <c r="B116" i="21" s="1"/>
  <c r="I88" i="21"/>
  <c r="I114" i="21" s="1"/>
  <c r="I92" i="21"/>
  <c r="I118" i="21" s="1"/>
  <c r="B118" i="21" s="1"/>
  <c r="H50" i="21"/>
  <c r="B35" i="21"/>
  <c r="P64" i="21" s="1"/>
  <c r="Q64" i="21" s="1"/>
  <c r="C73" i="21"/>
  <c r="B119" i="21"/>
  <c r="I94" i="21"/>
  <c r="I120" i="21" s="1"/>
  <c r="B120" i="21" s="1"/>
  <c r="B36" i="21"/>
  <c r="P65" i="21" s="1"/>
  <c r="Q65" i="21" s="1"/>
  <c r="R65" i="21" s="1"/>
  <c r="B34" i="21"/>
  <c r="P63" i="21" s="1"/>
  <c r="Q63" i="21" s="1"/>
  <c r="H114" i="21"/>
  <c r="B32" i="21"/>
  <c r="P61" i="21" s="1"/>
  <c r="Q61" i="21" s="1"/>
  <c r="I85" i="21"/>
  <c r="P56" i="21"/>
  <c r="Q56" i="21" s="1"/>
  <c r="J7" i="16"/>
  <c r="C7" i="16" s="1"/>
  <c r="C72" i="21"/>
  <c r="B30" i="21"/>
  <c r="P59" i="21" s="1"/>
  <c r="Q59" i="21" s="1"/>
  <c r="B31" i="21"/>
  <c r="P60" i="21" s="1"/>
  <c r="Q60" i="21" s="1"/>
  <c r="G37" i="21"/>
  <c r="I11" i="16"/>
  <c r="I6" i="16"/>
  <c r="B89" i="21" l="1"/>
  <c r="I14" i="16"/>
  <c r="I16" i="16" s="1"/>
  <c r="B93" i="21"/>
  <c r="I117" i="21"/>
  <c r="B117" i="21" s="1"/>
  <c r="B91" i="21"/>
  <c r="B92" i="21"/>
  <c r="B90" i="21"/>
  <c r="B88" i="21"/>
  <c r="B114" i="21"/>
  <c r="C81" i="21"/>
  <c r="C66" i="21"/>
  <c r="G86" i="21"/>
  <c r="G9" i="16"/>
  <c r="B94" i="21"/>
  <c r="B50" i="21"/>
  <c r="N66" i="21"/>
  <c r="N72" i="21"/>
  <c r="N73" i="21"/>
  <c r="I111" i="21"/>
  <c r="B111" i="21" s="1"/>
  <c r="B85" i="21"/>
  <c r="H37" i="21"/>
  <c r="J6" i="16"/>
  <c r="C6" i="16" s="1"/>
  <c r="I50" i="21"/>
  <c r="F13" i="21" l="1"/>
  <c r="G13" i="21" s="1"/>
  <c r="F86" i="21"/>
  <c r="D73" i="21"/>
  <c r="E8" i="16"/>
  <c r="C9" i="16"/>
  <c r="G14" i="16"/>
  <c r="G16" i="16" s="1"/>
  <c r="O73" i="21"/>
  <c r="J11" i="16"/>
  <c r="E73" i="21"/>
  <c r="F8" i="16"/>
  <c r="K73" i="21"/>
  <c r="H10" i="16"/>
  <c r="H87" i="21"/>
  <c r="H113" i="21" s="1"/>
  <c r="D86" i="21"/>
  <c r="E86" i="21"/>
  <c r="H72" i="21"/>
  <c r="H66" i="21"/>
  <c r="D66" i="21"/>
  <c r="D72" i="21"/>
  <c r="H86" i="21"/>
  <c r="H112" i="21" s="1"/>
  <c r="K66" i="21"/>
  <c r="K72" i="21"/>
  <c r="E72" i="21"/>
  <c r="E66" i="21"/>
  <c r="D87" i="21"/>
  <c r="E87" i="21"/>
  <c r="H73" i="21"/>
  <c r="F87" i="21"/>
  <c r="F113" i="21" s="1"/>
  <c r="G87" i="21"/>
  <c r="G113" i="21" s="1"/>
  <c r="I86" i="21"/>
  <c r="I112" i="21" s="1"/>
  <c r="N81" i="21"/>
  <c r="B28" i="21"/>
  <c r="O72" i="21"/>
  <c r="O66" i="21"/>
  <c r="B57" i="21"/>
  <c r="I87" i="21"/>
  <c r="B29" i="21"/>
  <c r="I37" i="21"/>
  <c r="B58" i="21"/>
  <c r="B37" i="21" l="1"/>
  <c r="D81" i="21"/>
  <c r="O81" i="21"/>
  <c r="K81" i="21"/>
  <c r="C8" i="16"/>
  <c r="C10" i="16"/>
  <c r="H14" i="16"/>
  <c r="H16" i="16" s="1"/>
  <c r="B73" i="21"/>
  <c r="C11" i="16"/>
  <c r="J14" i="16"/>
  <c r="J16" i="16" s="1"/>
  <c r="E81" i="21"/>
  <c r="B86" i="21"/>
  <c r="H121" i="21"/>
  <c r="H95" i="21"/>
  <c r="D113" i="21"/>
  <c r="H81" i="21"/>
  <c r="G112" i="21"/>
  <c r="G95" i="21"/>
  <c r="E112" i="21"/>
  <c r="E95" i="21"/>
  <c r="F112" i="21"/>
  <c r="F95" i="21"/>
  <c r="D95" i="21"/>
  <c r="D112" i="21"/>
  <c r="E113" i="21"/>
  <c r="P58" i="21"/>
  <c r="Q58" i="21" s="1"/>
  <c r="B66" i="21"/>
  <c r="I113" i="21"/>
  <c r="B87" i="21"/>
  <c r="H13" i="21"/>
  <c r="I95" i="21"/>
  <c r="B72" i="21"/>
  <c r="P57" i="21"/>
  <c r="Q57" i="21" s="1"/>
  <c r="K12" i="16" l="1"/>
  <c r="B81" i="21"/>
  <c r="B113" i="21"/>
  <c r="B112" i="21"/>
  <c r="F14" i="21" s="1"/>
  <c r="I121" i="21"/>
  <c r="B67" i="21"/>
  <c r="B95" i="21"/>
  <c r="B96" i="21" l="1"/>
  <c r="F15" i="21"/>
  <c r="G15" i="21" s="1"/>
  <c r="H15" i="21" s="1"/>
  <c r="F18" i="21"/>
  <c r="G18" i="21" s="1"/>
  <c r="H18" i="21" s="1"/>
  <c r="F16" i="21"/>
  <c r="G16" i="21" s="1"/>
  <c r="H16" i="21" s="1"/>
  <c r="F21" i="21"/>
  <c r="G21" i="21" s="1"/>
  <c r="H21" i="21" s="1"/>
  <c r="F19" i="21"/>
  <c r="G19" i="21" s="1"/>
  <c r="H19" i="21" s="1"/>
  <c r="F20" i="21"/>
  <c r="G20" i="21" s="1"/>
  <c r="H20" i="21" s="1"/>
  <c r="F17" i="21"/>
  <c r="G17" i="21" s="1"/>
  <c r="H17" i="21" s="1"/>
  <c r="F22" i="21"/>
  <c r="G22" i="21" s="1"/>
  <c r="H22" i="21" s="1"/>
  <c r="G14" i="21"/>
  <c r="H14" i="21" s="1"/>
  <c r="C23" i="21" l="1"/>
  <c r="F121" i="21" l="1"/>
  <c r="G121" i="21"/>
  <c r="D121" i="21"/>
  <c r="E121" i="21" l="1"/>
  <c r="D13" i="16" s="1"/>
  <c r="C13" i="16" s="1"/>
  <c r="B121" i="21"/>
  <c r="C121" i="21"/>
  <c r="D14" i="16" l="1"/>
  <c r="D16" i="16" s="1"/>
  <c r="C16" i="16" s="1"/>
  <c r="C17" i="16" s="1"/>
  <c r="C14" i="16" l="1"/>
  <c r="C18" i="16" l="1"/>
</calcChain>
</file>

<file path=xl/sharedStrings.xml><?xml version="1.0" encoding="utf-8"?>
<sst xmlns="http://schemas.openxmlformats.org/spreadsheetml/2006/main" count="3031" uniqueCount="783">
  <si>
    <t>Hóa Đơn số</t>
  </si>
  <si>
    <t>Ngày HĐ</t>
  </si>
  <si>
    <t>SALE</t>
  </si>
  <si>
    <t>Ngày đến hạn</t>
  </si>
  <si>
    <t>TK doanh thu</t>
  </si>
  <si>
    <t>Tiền Đơn hàng</t>
  </si>
  <si>
    <t>Tỉ Lệ Đạt Hoa Hồng</t>
  </si>
  <si>
    <t>Ngày thanh toán</t>
  </si>
  <si>
    <t>Số tiền thanh toán</t>
  </si>
  <si>
    <t>Số ngày quá hạn</t>
  </si>
  <si>
    <t>MKH</t>
  </si>
  <si>
    <t>Công Trình</t>
  </si>
  <si>
    <t>NHÂN VIÊN 
KINH DOANH</t>
  </si>
  <si>
    <t>T1</t>
  </si>
  <si>
    <t>T12</t>
  </si>
  <si>
    <t>T11</t>
  </si>
  <si>
    <t>T10</t>
  </si>
  <si>
    <t>T9</t>
  </si>
  <si>
    <t>T8</t>
  </si>
  <si>
    <t>T7</t>
  </si>
  <si>
    <t>T6</t>
  </si>
  <si>
    <t>TỔNG CỘNG</t>
  </si>
  <si>
    <t>Tháng</t>
  </si>
  <si>
    <t>T5</t>
  </si>
  <si>
    <t>T2</t>
  </si>
  <si>
    <t>T3</t>
  </si>
  <si>
    <t>T4</t>
  </si>
  <si>
    <t>ĐÚNG HẠN</t>
  </si>
  <si>
    <t>QUÁ HẠN 1 THÁNG</t>
  </si>
  <si>
    <t>QUÁ HẠN 
2 THÁNG</t>
  </si>
  <si>
    <t>TỶ LỆ TÍNH DOANH SỐ</t>
  </si>
  <si>
    <t>Tổng Cộng</t>
  </si>
  <si>
    <t>TK Có</t>
  </si>
  <si>
    <t>VCB</t>
  </si>
  <si>
    <t>ACB</t>
  </si>
  <si>
    <t>SCB</t>
  </si>
  <si>
    <t>BONUS THEO THÁNG</t>
  </si>
  <si>
    <t>PHẦN TRỪ BONUS (TÍNH THEO TRỄ HẠN THANH TOÁN: = A x B x (100%-Tỷ lệ đạt doanh số))</t>
  </si>
  <si>
    <t>THANH TOÁN (-VAT) (CHIA THEO THANH TOÁN QUÁ HẠN)</t>
  </si>
  <si>
    <t>CHỈ TIÊU</t>
  </si>
  <si>
    <t>% ĐẠT</t>
  </si>
  <si>
    <t>% THƯỞNG</t>
  </si>
  <si>
    <t>THỰC LÃNH</t>
  </si>
  <si>
    <t>TIỀN THƯỞNG</t>
  </si>
  <si>
    <t>Công thức ngày</t>
  </si>
  <si>
    <t>Còn lại</t>
  </si>
  <si>
    <t>TỔNG THANH TOÁN CÔNG NỢ (-VAT)</t>
  </si>
  <si>
    <t>Bảng quá hạn</t>
  </si>
  <si>
    <t>x</t>
  </si>
  <si>
    <t>Target</t>
  </si>
  <si>
    <t>Tổng</t>
  </si>
  <si>
    <t>Thanh toán công nợ</t>
  </si>
  <si>
    <t>TK 521, 531,641,1312</t>
  </si>
  <si>
    <t>Chiết khấu khách hàng</t>
  </si>
  <si>
    <t>Thanh toán đúng hạn</t>
  </si>
  <si>
    <t>Quá hạn 1 tháng (85%)</t>
  </si>
  <si>
    <t>Quá hạn 3 tháng (50%)</t>
  </si>
  <si>
    <t>Quá hạn trên 6 tháng (0%)</t>
  </si>
  <si>
    <t>Tỷ lệ đạt Bonus</t>
  </si>
  <si>
    <t>Doanh số (+VAT)</t>
  </si>
  <si>
    <t>Tiền thưởng trước thuế</t>
  </si>
  <si>
    <t>Tiền thưởng sau thuế</t>
  </si>
  <si>
    <t>Quá hạn 2 tháng (70%)</t>
  </si>
  <si>
    <t>Tổng cộng</t>
  </si>
  <si>
    <t>(-VAT)</t>
  </si>
  <si>
    <t>TỶ LỆ ĐẠT BONUS</t>
  </si>
  <si>
    <r>
      <t xml:space="preserve">Hoa hồng sale = (Thanh toán công nợ - TK 521, 531,641,1312 - Quá hạn 1 tháng x </t>
    </r>
    <r>
      <rPr>
        <sz val="11"/>
        <color rgb="FFFF0000"/>
        <rFont val="Calibri"/>
        <family val="2"/>
        <scheme val="minor"/>
      </rPr>
      <t>15%</t>
    </r>
    <r>
      <rPr>
        <sz val="11"/>
        <color theme="1"/>
        <rFont val="Calibri"/>
        <family val="2"/>
        <scheme val="minor"/>
      </rPr>
      <t xml:space="preserve"> - Quá hạn 2 tháng x </t>
    </r>
    <r>
      <rPr>
        <sz val="11"/>
        <color rgb="FFFF0000"/>
        <rFont val="Calibri"/>
        <family val="2"/>
        <scheme val="minor"/>
      </rPr>
      <t>30%</t>
    </r>
    <r>
      <rPr>
        <sz val="11"/>
        <color theme="1"/>
        <rFont val="Calibri"/>
        <family val="2"/>
        <scheme val="minor"/>
      </rPr>
      <t xml:space="preserve"> - Quá hạn 3 tháng x </t>
    </r>
    <r>
      <rPr>
        <sz val="11"/>
        <color rgb="FFFF0000"/>
        <rFont val="Calibri"/>
        <family val="2"/>
        <scheme val="minor"/>
      </rPr>
      <t>50%</t>
    </r>
    <r>
      <rPr>
        <sz val="11"/>
        <color theme="1"/>
        <rFont val="Calibri"/>
        <family val="2"/>
        <scheme val="minor"/>
      </rPr>
      <t xml:space="preserve"> - Quá hạn trên 6 tháng - Chiết khấu khách hàng) </t>
    </r>
    <r>
      <rPr>
        <sz val="11"/>
        <color rgb="FFFF0000"/>
        <rFont val="Calibri"/>
        <family val="2"/>
        <scheme val="minor"/>
      </rPr>
      <t>X tỷ lệ đạt hoa hồng từng tháng</t>
    </r>
  </si>
  <si>
    <t>TỔNG</t>
  </si>
  <si>
    <t>Bảng tính tháng</t>
  </si>
  <si>
    <t>QUÁ HẠN 3 THÁNG</t>
  </si>
  <si>
    <t>TC (-VAT)</t>
  </si>
  <si>
    <t>DO</t>
  </si>
  <si>
    <t>C13</t>
  </si>
  <si>
    <t>C42</t>
  </si>
  <si>
    <t>HN11</t>
  </si>
  <si>
    <t>HN14</t>
  </si>
  <si>
    <t>DN05</t>
  </si>
  <si>
    <t>HN12</t>
  </si>
  <si>
    <t>B09</t>
  </si>
  <si>
    <t>C01</t>
  </si>
  <si>
    <t>C12</t>
  </si>
  <si>
    <t>C16</t>
  </si>
  <si>
    <t>B03</t>
  </si>
  <si>
    <t>DN01</t>
  </si>
  <si>
    <t>DN07</t>
  </si>
  <si>
    <t>DN08</t>
  </si>
  <si>
    <t>C18</t>
  </si>
  <si>
    <t>B10</t>
  </si>
  <si>
    <t>C40</t>
  </si>
  <si>
    <t>CHỨNG TỪ</t>
  </si>
  <si>
    <t>XK</t>
  </si>
  <si>
    <t>Tồn nợ</t>
  </si>
  <si>
    <t>DN18</t>
  </si>
  <si>
    <t>C37</t>
  </si>
  <si>
    <t>C75</t>
  </si>
  <si>
    <t>C22</t>
  </si>
  <si>
    <t>C30</t>
  </si>
  <si>
    <t>C49</t>
  </si>
  <si>
    <t>C60</t>
  </si>
  <si>
    <t>C57</t>
  </si>
  <si>
    <t>C68</t>
  </si>
  <si>
    <t>C79</t>
  </si>
  <si>
    <t>C84</t>
  </si>
  <si>
    <t>C48</t>
  </si>
  <si>
    <t>C77</t>
  </si>
  <si>
    <t>B22</t>
  </si>
  <si>
    <t>B45</t>
  </si>
  <si>
    <t>C126</t>
  </si>
  <si>
    <t>C11</t>
  </si>
  <si>
    <t>DN06</t>
  </si>
  <si>
    <t>DN09</t>
  </si>
  <si>
    <t>DN10</t>
  </si>
  <si>
    <t>DN12</t>
  </si>
  <si>
    <t>DN15</t>
  </si>
  <si>
    <t>C08</t>
  </si>
  <si>
    <t>DN02</t>
  </si>
  <si>
    <t>C19</t>
  </si>
  <si>
    <t>DN14</t>
  </si>
  <si>
    <t>C36</t>
  </si>
  <si>
    <t>DN16</t>
  </si>
  <si>
    <t>DN17</t>
  </si>
  <si>
    <t>C56</t>
  </si>
  <si>
    <t>C67</t>
  </si>
  <si>
    <t>C85</t>
  </si>
  <si>
    <t>B14</t>
  </si>
  <si>
    <t>B17</t>
  </si>
  <si>
    <t>C39</t>
  </si>
  <si>
    <t>B21</t>
  </si>
  <si>
    <t>C65</t>
  </si>
  <si>
    <t>C91</t>
  </si>
  <si>
    <t>B07</t>
  </si>
  <si>
    <t>C03</t>
  </si>
  <si>
    <t>C45</t>
  </si>
  <si>
    <t>HÀNG CHEMICAL T&amp;T KHÔNG TÍNH CHO SALE</t>
  </si>
  <si>
    <t>B01</t>
  </si>
  <si>
    <t>B30-T07/22</t>
  </si>
  <si>
    <t>C04</t>
  </si>
  <si>
    <t>C05</t>
  </si>
  <si>
    <t>C25</t>
  </si>
  <si>
    <t>C83</t>
  </si>
  <si>
    <t>0013111</t>
  </si>
  <si>
    <t>0014999</t>
  </si>
  <si>
    <t>0015292</t>
  </si>
  <si>
    <t>0015539</t>
  </si>
  <si>
    <t>0017789</t>
  </si>
  <si>
    <t>0018104</t>
  </si>
  <si>
    <t>00000080</t>
  </si>
  <si>
    <t>00000101</t>
  </si>
  <si>
    <t>00002017</t>
  </si>
  <si>
    <t>00002106</t>
  </si>
  <si>
    <t>00002263</t>
  </si>
  <si>
    <t>00002425</t>
  </si>
  <si>
    <t>C24</t>
  </si>
  <si>
    <t>XM</t>
  </si>
  <si>
    <t>00003722</t>
  </si>
  <si>
    <t>00003755</t>
  </si>
  <si>
    <t>00003757</t>
  </si>
  <si>
    <t>00003764</t>
  </si>
  <si>
    <t>C20</t>
  </si>
  <si>
    <t>HNB02</t>
  </si>
  <si>
    <t>HNB03</t>
  </si>
  <si>
    <t>HNB04</t>
  </si>
  <si>
    <t>HNB05</t>
  </si>
  <si>
    <t>C64</t>
  </si>
  <si>
    <t>HN13</t>
  </si>
  <si>
    <t>00004246</t>
  </si>
  <si>
    <t>00004247</t>
  </si>
  <si>
    <t>00004312</t>
  </si>
  <si>
    <t>C09</t>
  </si>
  <si>
    <t>DG07</t>
  </si>
  <si>
    <t>DG08</t>
  </si>
  <si>
    <t>Năm</t>
  </si>
  <si>
    <t>T5/22</t>
  </si>
  <si>
    <t>T6/22</t>
  </si>
  <si>
    <t>T7/22</t>
  </si>
  <si>
    <t>T8/22</t>
  </si>
  <si>
    <t>T9/22</t>
  </si>
  <si>
    <t>T10/22</t>
  </si>
  <si>
    <t>T11/22</t>
  </si>
  <si>
    <t>T12/22</t>
  </si>
  <si>
    <t>B06</t>
  </si>
  <si>
    <t>00000330</t>
  </si>
  <si>
    <t>00000334</t>
  </si>
  <si>
    <t>00000552</t>
  </si>
  <si>
    <t>00000566</t>
  </si>
  <si>
    <t>DN03</t>
  </si>
  <si>
    <t>HN01</t>
  </si>
  <si>
    <t>C33</t>
  </si>
  <si>
    <t>C27</t>
  </si>
  <si>
    <t>C35</t>
  </si>
  <si>
    <t>C34</t>
  </si>
  <si>
    <t>HN03</t>
  </si>
  <si>
    <t>HN05</t>
  </si>
  <si>
    <t>HN06</t>
  </si>
  <si>
    <t>B12-T01/23</t>
  </si>
  <si>
    <t>B11</t>
  </si>
  <si>
    <t>HN07</t>
  </si>
  <si>
    <t>HN08</t>
  </si>
  <si>
    <t>C46</t>
  </si>
  <si>
    <t>C51</t>
  </si>
  <si>
    <t>C72</t>
  </si>
  <si>
    <t>C50</t>
  </si>
  <si>
    <t>C53</t>
  </si>
  <si>
    <t>C63</t>
  </si>
  <si>
    <t>C73</t>
  </si>
  <si>
    <t>C70</t>
  </si>
  <si>
    <t>C62</t>
  </si>
  <si>
    <t>C74</t>
  </si>
  <si>
    <t>C80</t>
  </si>
  <si>
    <t>HN10</t>
  </si>
  <si>
    <t>C82</t>
  </si>
  <si>
    <t>C78</t>
  </si>
  <si>
    <t>B15</t>
  </si>
  <si>
    <t>B16</t>
  </si>
  <si>
    <t>C86</t>
  </si>
  <si>
    <t>C88</t>
  </si>
  <si>
    <t>C87</t>
  </si>
  <si>
    <t>C90</t>
  </si>
  <si>
    <t>C89</t>
  </si>
  <si>
    <t>B18</t>
  </si>
  <si>
    <t>C92</t>
  </si>
  <si>
    <t>C93</t>
  </si>
  <si>
    <t>B19</t>
  </si>
  <si>
    <t>C94</t>
  </si>
  <si>
    <t>C95</t>
  </si>
  <si>
    <t>C96</t>
  </si>
  <si>
    <t>C98</t>
  </si>
  <si>
    <t>C99</t>
  </si>
  <si>
    <t>C97</t>
  </si>
  <si>
    <t>C100</t>
  </si>
  <si>
    <t>DN20</t>
  </si>
  <si>
    <t>DN21</t>
  </si>
  <si>
    <t>C102</t>
  </si>
  <si>
    <t>THUẾ TNCN 10%</t>
  </si>
  <si>
    <t>TỔNG THANH TOÁN (-VAT) (Đã trừ TK 531,641, 3311, Quá hạn và Doanh số chi hoa hồng)</t>
  </si>
  <si>
    <t>DS TK 531,641, 3311, PVC</t>
  </si>
  <si>
    <t>00000635</t>
  </si>
  <si>
    <t>00000685</t>
  </si>
  <si>
    <t>00000764</t>
  </si>
  <si>
    <t>00000801</t>
  </si>
  <si>
    <t>00000802</t>
  </si>
  <si>
    <t>00000826</t>
  </si>
  <si>
    <t>00000837</t>
  </si>
  <si>
    <t>00000919</t>
  </si>
  <si>
    <t>00000920</t>
  </si>
  <si>
    <t>00000947</t>
  </si>
  <si>
    <t>DN04</t>
  </si>
  <si>
    <t>C14</t>
  </si>
  <si>
    <t>C26</t>
  </si>
  <si>
    <t>C31</t>
  </si>
  <si>
    <t>C54</t>
  </si>
  <si>
    <t>B12</t>
  </si>
  <si>
    <t>C66</t>
  </si>
  <si>
    <t>DG06</t>
  </si>
  <si>
    <t>C101</t>
  </si>
  <si>
    <t>C104</t>
  </si>
  <si>
    <t>C105</t>
  </si>
  <si>
    <t>C106</t>
  </si>
  <si>
    <t>C107</t>
  </si>
  <si>
    <t>C108</t>
  </si>
  <si>
    <t>C109</t>
  </si>
  <si>
    <t>C112</t>
  </si>
  <si>
    <t>C110</t>
  </si>
  <si>
    <t>C111</t>
  </si>
  <si>
    <t>DG09</t>
  </si>
  <si>
    <t>C113</t>
  </si>
  <si>
    <t>C116</t>
  </si>
  <si>
    <t>B20</t>
  </si>
  <si>
    <t>C119</t>
  </si>
  <si>
    <t>C118</t>
  </si>
  <si>
    <t>00000986</t>
  </si>
  <si>
    <t>00000995</t>
  </si>
  <si>
    <t>00001000</t>
  </si>
  <si>
    <t>00001116</t>
  </si>
  <si>
    <t>00001179</t>
  </si>
  <si>
    <t>00001181</t>
  </si>
  <si>
    <t>00001193</t>
  </si>
  <si>
    <t>00001220</t>
  </si>
  <si>
    <t>00001247</t>
  </si>
  <si>
    <t>00001261</t>
  </si>
  <si>
    <t>00001295</t>
  </si>
  <si>
    <t>00001298</t>
  </si>
  <si>
    <t>00001316</t>
  </si>
  <si>
    <t>00001324</t>
  </si>
  <si>
    <t>00001326</t>
  </si>
  <si>
    <t>00001344</t>
  </si>
  <si>
    <t>00001354</t>
  </si>
  <si>
    <t>00001362</t>
  </si>
  <si>
    <t>C02</t>
  </si>
  <si>
    <t>C10</t>
  </si>
  <si>
    <t>C15</t>
  </si>
  <si>
    <t>B05</t>
  </si>
  <si>
    <t>C32</t>
  </si>
  <si>
    <t>C52</t>
  </si>
  <si>
    <t>HN09</t>
  </si>
  <si>
    <t>C103</t>
  </si>
  <si>
    <t>C114</t>
  </si>
  <si>
    <t>C115</t>
  </si>
  <si>
    <t>C117</t>
  </si>
  <si>
    <t>C120</t>
  </si>
  <si>
    <t>C121</t>
  </si>
  <si>
    <t>C124</t>
  </si>
  <si>
    <t>C125</t>
  </si>
  <si>
    <t>C122</t>
  </si>
  <si>
    <t>C127</t>
  </si>
  <si>
    <t>C128</t>
  </si>
  <si>
    <t>C130</t>
  </si>
  <si>
    <t>C132</t>
  </si>
  <si>
    <t>C133</t>
  </si>
  <si>
    <t>C135</t>
  </si>
  <si>
    <t>C136</t>
  </si>
  <si>
    <t>C129</t>
  </si>
  <si>
    <t>B23</t>
  </si>
  <si>
    <t>C134</t>
  </si>
  <si>
    <t>C123</t>
  </si>
  <si>
    <t>C137</t>
  </si>
  <si>
    <t>C138</t>
  </si>
  <si>
    <t>C139</t>
  </si>
  <si>
    <t>C140</t>
  </si>
  <si>
    <t>C142</t>
  </si>
  <si>
    <t>C141</t>
  </si>
  <si>
    <t>C147</t>
  </si>
  <si>
    <t>C144</t>
  </si>
  <si>
    <t>C143</t>
  </si>
  <si>
    <t>C145</t>
  </si>
  <si>
    <t>C148</t>
  </si>
  <si>
    <t>C149</t>
  </si>
  <si>
    <t>C151</t>
  </si>
  <si>
    <t>C146</t>
  </si>
  <si>
    <t>C150</t>
  </si>
  <si>
    <t>00001386</t>
  </si>
  <si>
    <t>00001396</t>
  </si>
  <si>
    <t>00001398</t>
  </si>
  <si>
    <t>00001399</t>
  </si>
  <si>
    <t>00001401</t>
  </si>
  <si>
    <t>00001407</t>
  </si>
  <si>
    <t>00001411</t>
  </si>
  <si>
    <t>00001420</t>
  </si>
  <si>
    <t>00001453</t>
  </si>
  <si>
    <t>00001458</t>
  </si>
  <si>
    <t>00001475</t>
  </si>
  <si>
    <t>00001484</t>
  </si>
  <si>
    <t>00001487</t>
  </si>
  <si>
    <t>00001489</t>
  </si>
  <si>
    <t>00001508</t>
  </si>
  <si>
    <t>00001514</t>
  </si>
  <si>
    <t>00001522</t>
  </si>
  <si>
    <t>00001536</t>
  </si>
  <si>
    <t>00001547</t>
  </si>
  <si>
    <t>00001548</t>
  </si>
  <si>
    <t>00001552</t>
  </si>
  <si>
    <t>00001554</t>
  </si>
  <si>
    <t>00001557</t>
  </si>
  <si>
    <t>00001559</t>
  </si>
  <si>
    <t>00001566</t>
  </si>
  <si>
    <t>00001577</t>
  </si>
  <si>
    <t>00001589</t>
  </si>
  <si>
    <t>00001600</t>
  </si>
  <si>
    <t>00001606</t>
  </si>
  <si>
    <t>00001613</t>
  </si>
  <si>
    <t>00001614</t>
  </si>
  <si>
    <t>00001625</t>
  </si>
  <si>
    <t>00001635</t>
  </si>
  <si>
    <t>00001640</t>
  </si>
  <si>
    <t>00001641</t>
  </si>
  <si>
    <t>00001642</t>
  </si>
  <si>
    <t>00001643</t>
  </si>
  <si>
    <t>00001645</t>
  </si>
  <si>
    <t>00001647</t>
  </si>
  <si>
    <t>00001648</t>
  </si>
  <si>
    <t>00001649</t>
  </si>
  <si>
    <t>00001651</t>
  </si>
  <si>
    <t>00001652</t>
  </si>
  <si>
    <t>00001653</t>
  </si>
  <si>
    <t>00001656</t>
  </si>
  <si>
    <t>00001660</t>
  </si>
  <si>
    <t>00001661</t>
  </si>
  <si>
    <t>00001663</t>
  </si>
  <si>
    <t>00001664</t>
  </si>
  <si>
    <t>00001665</t>
  </si>
  <si>
    <t>00001667</t>
  </si>
  <si>
    <t>00001668</t>
  </si>
  <si>
    <t>00001669</t>
  </si>
  <si>
    <t>00001672</t>
  </si>
  <si>
    <t>00001673</t>
  </si>
  <si>
    <t>00001679</t>
  </si>
  <si>
    <t>00001680</t>
  </si>
  <si>
    <t>00001685</t>
  </si>
  <si>
    <t>00001687</t>
  </si>
  <si>
    <t>00001688</t>
  </si>
  <si>
    <t>00001689</t>
  </si>
  <si>
    <t>00001690</t>
  </si>
  <si>
    <t>00001694</t>
  </si>
  <si>
    <t>00001696</t>
  </si>
  <si>
    <t>00001697</t>
  </si>
  <si>
    <t>00001699</t>
  </si>
  <si>
    <t>00001701</t>
  </si>
  <si>
    <t>00001702</t>
  </si>
  <si>
    <t>00001707</t>
  </si>
  <si>
    <t>00001709</t>
  </si>
  <si>
    <t>00001713</t>
  </si>
  <si>
    <t>00001720</t>
  </si>
  <si>
    <t>00001724</t>
  </si>
  <si>
    <t>00001725</t>
  </si>
  <si>
    <t>00001726</t>
  </si>
  <si>
    <t>00001727</t>
  </si>
  <si>
    <t>00001735</t>
  </si>
  <si>
    <t>00001738</t>
  </si>
  <si>
    <t>00001740</t>
  </si>
  <si>
    <t>00001742</t>
  </si>
  <si>
    <t>00001746</t>
  </si>
  <si>
    <t>00001748</t>
  </si>
  <si>
    <t>00001749</t>
  </si>
  <si>
    <t>00001750</t>
  </si>
  <si>
    <t>00001753</t>
  </si>
  <si>
    <t>00001757</t>
  </si>
  <si>
    <t>00001762</t>
  </si>
  <si>
    <t>00001763</t>
  </si>
  <si>
    <t>00001764</t>
  </si>
  <si>
    <t>00001772</t>
  </si>
  <si>
    <t>00001773</t>
  </si>
  <si>
    <t>00001774</t>
  </si>
  <si>
    <t>C06</t>
  </si>
  <si>
    <t>DNDG01</t>
  </si>
  <si>
    <t>HN02</t>
  </si>
  <si>
    <t>B04</t>
  </si>
  <si>
    <t>C21</t>
  </si>
  <si>
    <t>C23</t>
  </si>
  <si>
    <t>HN04</t>
  </si>
  <si>
    <t>B13</t>
  </si>
  <si>
    <t>HNB01</t>
  </si>
  <si>
    <t>B27</t>
  </si>
  <si>
    <t>B26</t>
  </si>
  <si>
    <t>DN13</t>
  </si>
  <si>
    <t>B29</t>
  </si>
  <si>
    <t>B28</t>
  </si>
  <si>
    <t>B31</t>
  </si>
  <si>
    <t>HN15</t>
  </si>
  <si>
    <t>B32</t>
  </si>
  <si>
    <t>B33</t>
  </si>
  <si>
    <t>HN16</t>
  </si>
  <si>
    <t>DN19</t>
  </si>
  <si>
    <t>00000972</t>
  </si>
  <si>
    <t>00001059</t>
  </si>
  <si>
    <t>00001102</t>
  </si>
  <si>
    <t>00001113</t>
  </si>
  <si>
    <t>00001232</t>
  </si>
  <si>
    <t>00001281</t>
  </si>
  <si>
    <t>00001305</t>
  </si>
  <si>
    <t>00001364</t>
  </si>
  <si>
    <t>00001367</t>
  </si>
  <si>
    <t>00001490</t>
  </si>
  <si>
    <t>00001513</t>
  </si>
  <si>
    <t>00001678</t>
  </si>
  <si>
    <t>00001723</t>
  </si>
  <si>
    <t>00001777</t>
  </si>
  <si>
    <t>00001780</t>
  </si>
  <si>
    <t>00001781</t>
  </si>
  <si>
    <t>00001783</t>
  </si>
  <si>
    <t>00001784</t>
  </si>
  <si>
    <t>00001785</t>
  </si>
  <si>
    <t>00001787</t>
  </si>
  <si>
    <t>00001788</t>
  </si>
  <si>
    <t>00001789</t>
  </si>
  <si>
    <t>00001790</t>
  </si>
  <si>
    <t>00001792</t>
  </si>
  <si>
    <t>00001795</t>
  </si>
  <si>
    <t>00001800</t>
  </si>
  <si>
    <t>00001804</t>
  </si>
  <si>
    <t>00001806</t>
  </si>
  <si>
    <t>00001811</t>
  </si>
  <si>
    <t>00001815</t>
  </si>
  <si>
    <t>00001819</t>
  </si>
  <si>
    <t>00001820</t>
  </si>
  <si>
    <t>00001824</t>
  </si>
  <si>
    <t>00001825</t>
  </si>
  <si>
    <t>00001827</t>
  </si>
  <si>
    <t>00001828</t>
  </si>
  <si>
    <t>00001829</t>
  </si>
  <si>
    <t>00001831</t>
  </si>
  <si>
    <t>00001832</t>
  </si>
  <si>
    <t>00001833</t>
  </si>
  <si>
    <t>00001834</t>
  </si>
  <si>
    <t>00001839</t>
  </si>
  <si>
    <t>00001840</t>
  </si>
  <si>
    <t>00001841</t>
  </si>
  <si>
    <t>00001846</t>
  </si>
  <si>
    <t>00001847</t>
  </si>
  <si>
    <t>00001848</t>
  </si>
  <si>
    <t>00001849</t>
  </si>
  <si>
    <t>00001850</t>
  </si>
  <si>
    <t>00001851</t>
  </si>
  <si>
    <t>00001852</t>
  </si>
  <si>
    <t>00001856</t>
  </si>
  <si>
    <t>00001857</t>
  </si>
  <si>
    <t>00001860</t>
  </si>
  <si>
    <t>00001861</t>
  </si>
  <si>
    <t>00001862</t>
  </si>
  <si>
    <t>00001865</t>
  </si>
  <si>
    <t>00001867</t>
  </si>
  <si>
    <t>00001870</t>
  </si>
  <si>
    <t>00001871</t>
  </si>
  <si>
    <t>00001873</t>
  </si>
  <si>
    <t>00001874</t>
  </si>
  <si>
    <t>00001876</t>
  </si>
  <si>
    <t>00001877</t>
  </si>
  <si>
    <t>00001878</t>
  </si>
  <si>
    <t>00001879</t>
  </si>
  <si>
    <t>00001880</t>
  </si>
  <si>
    <t>00001881</t>
  </si>
  <si>
    <t>00001882</t>
  </si>
  <si>
    <t>00001883</t>
  </si>
  <si>
    <t>00001884</t>
  </si>
  <si>
    <t>00001885</t>
  </si>
  <si>
    <t>00001886</t>
  </si>
  <si>
    <t>00001887</t>
  </si>
  <si>
    <t>00001888</t>
  </si>
  <si>
    <t>00001889</t>
  </si>
  <si>
    <t>00001890</t>
  </si>
  <si>
    <t>00001891</t>
  </si>
  <si>
    <t>00001892</t>
  </si>
  <si>
    <t>00001893</t>
  </si>
  <si>
    <t>00001894</t>
  </si>
  <si>
    <t>00001896</t>
  </si>
  <si>
    <t>00001897</t>
  </si>
  <si>
    <t>00001899</t>
  </si>
  <si>
    <t>00001900</t>
  </si>
  <si>
    <t>00001901</t>
  </si>
  <si>
    <t>00001902</t>
  </si>
  <si>
    <t>00001903</t>
  </si>
  <si>
    <t>00001904</t>
  </si>
  <si>
    <t>00001905</t>
  </si>
  <si>
    <t>00001908</t>
  </si>
  <si>
    <t>00001909</t>
  </si>
  <si>
    <t>00001910</t>
  </si>
  <si>
    <t>00001911</t>
  </si>
  <si>
    <t>00001913</t>
  </si>
  <si>
    <t>00001914</t>
  </si>
  <si>
    <t>00001915</t>
  </si>
  <si>
    <t>00001916</t>
  </si>
  <si>
    <t>00001917</t>
  </si>
  <si>
    <t>00001919</t>
  </si>
  <si>
    <t>00001925</t>
  </si>
  <si>
    <t>00001926</t>
  </si>
  <si>
    <t>00001928</t>
  </si>
  <si>
    <t>00001934</t>
  </si>
  <si>
    <t>00001935</t>
  </si>
  <si>
    <t>00001936</t>
  </si>
  <si>
    <t>00001937</t>
  </si>
  <si>
    <t>00001942</t>
  </si>
  <si>
    <t>00001945</t>
  </si>
  <si>
    <t>00001946</t>
  </si>
  <si>
    <t>00001947</t>
  </si>
  <si>
    <t>00001948</t>
  </si>
  <si>
    <t>00001949</t>
  </si>
  <si>
    <t>00001951</t>
  </si>
  <si>
    <t>00001955</t>
  </si>
  <si>
    <t>00001956</t>
  </si>
  <si>
    <t>00001957</t>
  </si>
  <si>
    <t>00001958</t>
  </si>
  <si>
    <t>00001967</t>
  </si>
  <si>
    <t>00001970</t>
  </si>
  <si>
    <t>00001975</t>
  </si>
  <si>
    <t>00001976</t>
  </si>
  <si>
    <t>00001977</t>
  </si>
  <si>
    <t>00001978</t>
  </si>
  <si>
    <t>00001979</t>
  </si>
  <si>
    <t>00001980</t>
  </si>
  <si>
    <t>00001981</t>
  </si>
  <si>
    <t>00001982</t>
  </si>
  <si>
    <t>00001983</t>
  </si>
  <si>
    <t>00001984</t>
  </si>
  <si>
    <t>00001985</t>
  </si>
  <si>
    <t>00001990</t>
  </si>
  <si>
    <t>00001992</t>
  </si>
  <si>
    <t>00001994</t>
  </si>
  <si>
    <t>00001996</t>
  </si>
  <si>
    <t>00002002</t>
  </si>
  <si>
    <t>00002003</t>
  </si>
  <si>
    <t>00002004</t>
  </si>
  <si>
    <t>00002005</t>
  </si>
  <si>
    <t>00002006</t>
  </si>
  <si>
    <t>00002013</t>
  </si>
  <si>
    <t>00002014</t>
  </si>
  <si>
    <t>00002015</t>
  </si>
  <si>
    <t>00002016</t>
  </si>
  <si>
    <t>00002018</t>
  </si>
  <si>
    <t>00002019</t>
  </si>
  <si>
    <t>00002020</t>
  </si>
  <si>
    <t>00002023</t>
  </si>
  <si>
    <t>00002026</t>
  </si>
  <si>
    <t>00002027</t>
  </si>
  <si>
    <t>00002028</t>
  </si>
  <si>
    <t>00002029</t>
  </si>
  <si>
    <t>00002031</t>
  </si>
  <si>
    <t>00002032</t>
  </si>
  <si>
    <t>00002033</t>
  </si>
  <si>
    <t>00002034</t>
  </si>
  <si>
    <t>00002040</t>
  </si>
  <si>
    <t>00002048</t>
  </si>
  <si>
    <t>00002049</t>
  </si>
  <si>
    <t>00002050</t>
  </si>
  <si>
    <t>00002051</t>
  </si>
  <si>
    <t>00002052</t>
  </si>
  <si>
    <t>00002056</t>
  </si>
  <si>
    <t>00002058</t>
  </si>
  <si>
    <t>00002059</t>
  </si>
  <si>
    <t>00002061</t>
  </si>
  <si>
    <t>00002062</t>
  </si>
  <si>
    <t>00002063</t>
  </si>
  <si>
    <t>00002064</t>
  </si>
  <si>
    <t>00002065</t>
  </si>
  <si>
    <t>00002066</t>
  </si>
  <si>
    <t>00002067</t>
  </si>
  <si>
    <t>00002068</t>
  </si>
  <si>
    <t>00002073</t>
  </si>
  <si>
    <t>00002074</t>
  </si>
  <si>
    <t>00002075</t>
  </si>
  <si>
    <t>00002076</t>
  </si>
  <si>
    <t>00002079</t>
  </si>
  <si>
    <t>00002081</t>
  </si>
  <si>
    <t>00002082</t>
  </si>
  <si>
    <t>00002083</t>
  </si>
  <si>
    <t>00002084</t>
  </si>
  <si>
    <t>00002085</t>
  </si>
  <si>
    <t>00002086</t>
  </si>
  <si>
    <t>00002087</t>
  </si>
  <si>
    <t>00002088</t>
  </si>
  <si>
    <t>00002089</t>
  </si>
  <si>
    <t>00002091</t>
  </si>
  <si>
    <t>00002097</t>
  </si>
  <si>
    <t>00002098</t>
  </si>
  <si>
    <t>00002100</t>
  </si>
  <si>
    <t>00002101</t>
  </si>
  <si>
    <t>00002102</t>
  </si>
  <si>
    <t>00002104</t>
  </si>
  <si>
    <t>00002105</t>
  </si>
  <si>
    <t>00002107</t>
  </si>
  <si>
    <t>00002110</t>
  </si>
  <si>
    <t>00002111</t>
  </si>
  <si>
    <t>00002112</t>
  </si>
  <si>
    <t>00002113</t>
  </si>
  <si>
    <t>00002114</t>
  </si>
  <si>
    <t>00002115</t>
  </si>
  <si>
    <t>00002116</t>
  </si>
  <si>
    <t>00002117</t>
  </si>
  <si>
    <t>00002121</t>
  </si>
  <si>
    <t>00002122</t>
  </si>
  <si>
    <t>00002125</t>
  </si>
  <si>
    <t>00002126</t>
  </si>
  <si>
    <t>00002127</t>
  </si>
  <si>
    <t>00002128</t>
  </si>
  <si>
    <t>00002129</t>
  </si>
  <si>
    <t>00002130</t>
  </si>
  <si>
    <t>00002134</t>
  </si>
  <si>
    <t>00002135</t>
  </si>
  <si>
    <t>00002136</t>
  </si>
  <si>
    <t>00002137</t>
  </si>
  <si>
    <t>00002138</t>
  </si>
  <si>
    <t>00002139</t>
  </si>
  <si>
    <t>00002140</t>
  </si>
  <si>
    <t>00002141</t>
  </si>
  <si>
    <t>00002142</t>
  </si>
  <si>
    <t>00002143</t>
  </si>
  <si>
    <t>00002144</t>
  </si>
  <si>
    <t>00002145</t>
  </si>
  <si>
    <t>00002146</t>
  </si>
  <si>
    <t>00002147</t>
  </si>
  <si>
    <t>00002152</t>
  </si>
  <si>
    <t>00002157</t>
  </si>
  <si>
    <t>00002158</t>
  </si>
  <si>
    <t>00002159</t>
  </si>
  <si>
    <t>00002160</t>
  </si>
  <si>
    <t>00002161</t>
  </si>
  <si>
    <t>00002162</t>
  </si>
  <si>
    <t>00002163</t>
  </si>
  <si>
    <t>00002164</t>
  </si>
  <si>
    <t>00002165</t>
  </si>
  <si>
    <t>00002169</t>
  </si>
  <si>
    <t>00002172</t>
  </si>
  <si>
    <t>00002173</t>
  </si>
  <si>
    <t>00002175</t>
  </si>
  <si>
    <t>00002177</t>
  </si>
  <si>
    <t>00002178</t>
  </si>
  <si>
    <t>00002179</t>
  </si>
  <si>
    <t>00002180</t>
  </si>
  <si>
    <t>00002189</t>
  </si>
  <si>
    <t>00002190</t>
  </si>
  <si>
    <t>00002191</t>
  </si>
  <si>
    <t>00002192</t>
  </si>
  <si>
    <t>00002194</t>
  </si>
  <si>
    <t>00002195</t>
  </si>
  <si>
    <t>00002196</t>
  </si>
  <si>
    <t>00002198</t>
  </si>
  <si>
    <t>00002199</t>
  </si>
  <si>
    <t>00002202</t>
  </si>
  <si>
    <t>00002203</t>
  </si>
  <si>
    <t>00002204</t>
  </si>
  <si>
    <t>00002205</t>
  </si>
  <si>
    <t>MT01</t>
  </si>
  <si>
    <t>MT03</t>
  </si>
  <si>
    <t>MT04</t>
  </si>
  <si>
    <t>MT05+06</t>
  </si>
  <si>
    <t>MT07</t>
  </si>
  <si>
    <t>MT08+09</t>
  </si>
  <si>
    <t>MT10</t>
  </si>
  <si>
    <t>MT11</t>
  </si>
  <si>
    <t>MT12</t>
  </si>
  <si>
    <t>MT02</t>
  </si>
  <si>
    <t>MT06</t>
  </si>
  <si>
    <t>C28</t>
  </si>
  <si>
    <t>C29</t>
  </si>
  <si>
    <t>C44</t>
  </si>
  <si>
    <t>C43</t>
  </si>
  <si>
    <t>C47</t>
  </si>
  <si>
    <t>C58</t>
  </si>
  <si>
    <t>C59</t>
  </si>
  <si>
    <t>C69</t>
  </si>
  <si>
    <t>C76</t>
  </si>
  <si>
    <t>C81</t>
  </si>
  <si>
    <t>MT05</t>
  </si>
  <si>
    <t>C131</t>
  </si>
  <si>
    <t>MT09</t>
  </si>
  <si>
    <t>C152</t>
  </si>
  <si>
    <t>C154</t>
  </si>
  <si>
    <t>C156</t>
  </si>
  <si>
    <t>C155</t>
  </si>
  <si>
    <t>C153</t>
  </si>
  <si>
    <t>C157</t>
  </si>
  <si>
    <t>C158</t>
  </si>
  <si>
    <t>C161</t>
  </si>
  <si>
    <t>C160</t>
  </si>
  <si>
    <t>C162</t>
  </si>
  <si>
    <t>C165</t>
  </si>
  <si>
    <t>DN23</t>
  </si>
  <si>
    <t>DN24</t>
  </si>
  <si>
    <t>C166</t>
  </si>
  <si>
    <t>C168</t>
  </si>
  <si>
    <t>C159</t>
  </si>
  <si>
    <t>C164</t>
  </si>
  <si>
    <t>C167</t>
  </si>
  <si>
    <t>DN22</t>
  </si>
  <si>
    <t>C170</t>
  </si>
  <si>
    <t>C169</t>
  </si>
  <si>
    <t>C171</t>
  </si>
  <si>
    <t>B30</t>
  </si>
  <si>
    <t>C173</t>
  </si>
  <si>
    <t>C175</t>
  </si>
  <si>
    <t>C176</t>
  </si>
  <si>
    <t>C174</t>
  </si>
  <si>
    <t>C172</t>
  </si>
  <si>
    <t>C177</t>
  </si>
  <si>
    <t>C178</t>
  </si>
  <si>
    <t>C179</t>
  </si>
  <si>
    <t>C181</t>
  </si>
  <si>
    <t>C182</t>
  </si>
  <si>
    <t>C184</t>
  </si>
  <si>
    <t>C186</t>
  </si>
  <si>
    <t>C187</t>
  </si>
  <si>
    <t>C188</t>
  </si>
  <si>
    <t>C185</t>
  </si>
  <si>
    <t>MT12+13</t>
  </si>
  <si>
    <t>C183</t>
  </si>
  <si>
    <t>C189</t>
  </si>
  <si>
    <t>DN25</t>
  </si>
  <si>
    <t>C191</t>
  </si>
  <si>
    <t>C190</t>
  </si>
  <si>
    <t>C192</t>
  </si>
  <si>
    <t>MT14</t>
  </si>
  <si>
    <t>NGUYEN VAN A</t>
  </si>
  <si>
    <t>NGUYEN VAN B</t>
  </si>
  <si>
    <t>NGUYEN VAN C</t>
  </si>
  <si>
    <t>NGUYEN VAN D</t>
  </si>
  <si>
    <t>NGUYEN VAN E</t>
  </si>
  <si>
    <t>NGUYEN VAN F</t>
  </si>
  <si>
    <t>NGUYEN VAN G</t>
  </si>
  <si>
    <t>NGUYEN VAN H</t>
  </si>
  <si>
    <t>NGUYEN VAN I</t>
  </si>
  <si>
    <t>NGUYEN VAN K</t>
  </si>
  <si>
    <t>ABC</t>
  </si>
  <si>
    <t>BCD</t>
  </si>
  <si>
    <t>QUY ĐỊNH THƯỞNG</t>
  </si>
  <si>
    <t>MỨC THƯỞNG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</si>
</sst>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-* #,##0.00_-;\-* #,##0.00_-;_-* &quot;-&quot;??_-;_-@_-"/>
    <numFmt numFmtId="165" formatCode="0.0%"/>
    <numFmt numFmtId="166" formatCode="dd/mm"/>
    <numFmt numFmtId="167" formatCode="0.0"/>
    <numFmt numFmtId="168" formatCode="_(* #,##0_);_(* \(#,##0\);_(* &quot;-&quot;??_);_(@_)"/>
    <numFmt numFmtId="169" formatCode="dd\/mm\/yyyy"/>
    <numFmt numFmtId="170" formatCode="_-* #,##0.00\ _₫_-;\-* #,##0.00\ _₫_-;_-* &quot;-&quot;??\ _₫_-;_-@_-"/>
    <numFmt numFmtId="171" formatCode="_-* #,##0\ _₫_-;\-* #,##0\ _₫_-;_-* &quot;-&quot;??\ _₫_-;_-@_-"/>
    <numFmt numFmtId="173" formatCode="_-* #,##0_-;\-* #,##0_-;_-* &quot;-&quot;??_-;_-@_-"/>
    <numFmt numFmtId="174" formatCode="_(* #,##0.00_);_(* \(#,##0.00\);_(* &quot;-&quot;??_);_(@_)"/>
    <numFmt numFmtId="175" formatCode="&quot;$&quot;#,##0\ ;\(&quot;$&quot;#,##0\)"/>
    <numFmt numFmtId="176" formatCode="&quot;\&quot;#,##0.00;[Red]&quot;\&quot;\-#,##0.00"/>
    <numFmt numFmtId="177" formatCode="&quot;\&quot;#,##0;[Red]&quot;\&quot;&quot;\&quot;\-#,##0"/>
    <numFmt numFmtId="178" formatCode="&quot;\&quot;#,##0;[Red]&quot;\&quot;\-#,##0"/>
    <numFmt numFmtId="179" formatCode="_ * #,##0.00_)\ _V_N_D_ ;_ * \(#,##0.00\)\ _V_N_D_ ;_ * &quot;-&quot;??_)\ _V_N_D_ ;_ @_ "/>
    <numFmt numFmtId="180" formatCode="&quot;\&quot;#,##0.00;[Red]&quot;\&quot;&quot;\&quot;&quot;\&quot;&quot;\&quot;&quot;\&quot;&quot;\&quot;\-#,##0.00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name val="Calibri"/>
      <family val="2"/>
      <scheme val="minor"/>
    </font>
    <font>
      <b/>
      <sz val="9"/>
      <color indexed="63"/>
      <name val="Times New Roman"/>
      <family val="1"/>
    </font>
    <font>
      <b/>
      <sz val="9"/>
      <color theme="0" tint="-0.14975432599871821"/>
      <name val="Times New Roman"/>
      <family val="1"/>
    </font>
    <font>
      <sz val="8"/>
      <color rgb="FFFF0000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8"/>
      <color theme="1"/>
      <name val="Times New Roman"/>
      <family val="1"/>
    </font>
    <font>
      <b/>
      <sz val="9"/>
      <color indexed="10"/>
      <name val="Times New Roman"/>
      <family val="1"/>
    </font>
    <font>
      <sz val="9"/>
      <color indexed="63"/>
      <name val="Times New Roman"/>
      <family val="1"/>
    </font>
    <font>
      <b/>
      <sz val="12"/>
      <color theme="1"/>
      <name val="Calibri Light"/>
      <family val="2"/>
      <scheme val="maj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1"/>
      <name val="Calibri Light"/>
      <family val="1"/>
      <scheme val="maj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name val="Calibri Light"/>
      <family val="2"/>
      <scheme val="major"/>
    </font>
    <font>
      <sz val="10"/>
      <color theme="0" tint="-0.14999847407452621"/>
      <name val="Calibri"/>
      <family val="2"/>
      <scheme val="minor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9"/>
      <color theme="0"/>
      <name val="Times New Roman"/>
      <family val="1"/>
    </font>
    <font>
      <sz val="10"/>
      <name val="VNI-Times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name val="VNI-Times"/>
      <charset val="134"/>
    </font>
    <font>
      <sz val="10"/>
      <name val="Arial"/>
      <family val="2"/>
    </font>
    <font>
      <sz val="12"/>
      <name val="바탕체"/>
      <charset val="129"/>
    </font>
    <font>
      <b/>
      <sz val="10"/>
      <name val="Helv"/>
      <charset val="134"/>
    </font>
    <font>
      <b/>
      <sz val="12"/>
      <name val="Arial"/>
      <family val="2"/>
    </font>
    <font>
      <sz val="10"/>
      <name val="굴림체"/>
      <charset val="129"/>
    </font>
    <font>
      <sz val="8"/>
      <name val="Arial"/>
      <family val="2"/>
    </font>
    <font>
      <b/>
      <sz val="12"/>
      <name val="Helv"/>
      <charset val="134"/>
    </font>
    <font>
      <b/>
      <sz val="18"/>
      <name val="Arial"/>
      <family val="2"/>
    </font>
    <font>
      <b/>
      <sz val="11"/>
      <name val="Helv"/>
      <charset val="134"/>
    </font>
    <font>
      <sz val="12"/>
      <name val="VNI-Times"/>
    </font>
    <font>
      <sz val="14"/>
      <name val="뼻뮝"/>
      <charset val="129"/>
    </font>
    <font>
      <sz val="12"/>
      <name val="뼻뮝"/>
      <charset val="129"/>
    </font>
    <font>
      <sz val="11"/>
      <name val="VNI-Times"/>
    </font>
    <font>
      <sz val="10"/>
      <color rgb="FFFF0000"/>
      <name val="Calibri"/>
      <family val="2"/>
      <scheme val="minor"/>
    </font>
    <font>
      <b/>
      <sz val="10"/>
      <color theme="0" tint="-0.14975432599871821"/>
      <name val="Times New Roman"/>
      <family val="1"/>
    </font>
    <font>
      <sz val="10"/>
      <color theme="0" tint="-0.34998626667073579"/>
      <name val="Calibri"/>
      <family val="2"/>
      <scheme val="minor"/>
    </font>
    <font>
      <sz val="8"/>
      <color indexed="63"/>
      <name val="Times New Roman"/>
      <family val="1"/>
    </font>
    <font>
      <b/>
      <sz val="13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indexed="64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8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170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2" fillId="0" borderId="0"/>
    <xf numFmtId="174" fontId="32" fillId="0" borderId="0" applyFont="0" applyFill="0" applyBorder="0" applyAlignment="0" applyProtection="0"/>
    <xf numFmtId="0" fontId="29" fillId="0" borderId="0"/>
    <xf numFmtId="0" fontId="29" fillId="0" borderId="0"/>
    <xf numFmtId="170" fontId="29" fillId="0" borderId="0" applyFont="0" applyFill="0" applyBorder="0" applyAlignment="0" applyProtection="0"/>
    <xf numFmtId="0" fontId="35" fillId="0" borderId="0"/>
    <xf numFmtId="43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36" fillId="0" borderId="0" applyFont="0" applyFill="0" applyBorder="0" applyAlignment="0" applyProtection="0"/>
    <xf numFmtId="3" fontId="36" fillId="0" borderId="0" applyFont="0" applyFill="0" applyBorder="0" applyAlignment="0" applyProtection="0"/>
    <xf numFmtId="170" fontId="29" fillId="0" borderId="0" applyFont="0" applyFill="0" applyBorder="0" applyAlignment="0" applyProtection="0"/>
    <xf numFmtId="38" fontId="41" fillId="10" borderId="0" applyNumberFormat="0" applyBorder="0" applyAlignment="0" applyProtection="0"/>
    <xf numFmtId="2" fontId="36" fillId="0" borderId="0" applyFont="0" applyFill="0" applyBorder="0" applyAlignment="0" applyProtection="0"/>
    <xf numFmtId="0" fontId="36" fillId="0" borderId="0"/>
    <xf numFmtId="175" fontId="36" fillId="0" borderId="0" applyFont="0" applyFill="0" applyBorder="0" applyAlignment="0" applyProtection="0"/>
    <xf numFmtId="0" fontId="39" fillId="0" borderId="15" applyNumberFormat="0" applyAlignment="0" applyProtection="0">
      <alignment horizontal="left" vertical="center"/>
    </xf>
    <xf numFmtId="0" fontId="38" fillId="0" borderId="0"/>
    <xf numFmtId="43" fontId="48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0" fontId="42" fillId="0" borderId="0">
      <alignment horizontal="left"/>
    </xf>
    <xf numFmtId="0" fontId="43" fillId="0" borderId="0" applyNumberFormat="0" applyFill="0" applyBorder="0" applyAlignment="0" applyProtection="0"/>
    <xf numFmtId="0" fontId="39" fillId="0" borderId="10">
      <alignment horizontal="left" vertical="center"/>
    </xf>
    <xf numFmtId="0" fontId="39" fillId="0" borderId="0" applyNumberFormat="0" applyFill="0" applyBorder="0" applyAlignment="0" applyProtection="0"/>
    <xf numFmtId="10" fontId="41" fillId="10" borderId="3" applyNumberFormat="0" applyBorder="0" applyAlignment="0" applyProtection="0"/>
    <xf numFmtId="0" fontId="44" fillId="0" borderId="16"/>
    <xf numFmtId="0" fontId="36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36" fillId="0" borderId="0"/>
    <xf numFmtId="0" fontId="1" fillId="0" borderId="0"/>
    <xf numFmtId="178" fontId="37" fillId="0" borderId="0" applyFont="0" applyFill="0" applyBorder="0" applyAlignment="0" applyProtection="0"/>
    <xf numFmtId="0" fontId="29" fillId="0" borderId="0"/>
    <xf numFmtId="0" fontId="48" fillId="0" borderId="0"/>
    <xf numFmtId="0" fontId="48" fillId="0" borderId="0"/>
    <xf numFmtId="0" fontId="36" fillId="0" borderId="0"/>
    <xf numFmtId="0" fontId="1" fillId="0" borderId="0"/>
    <xf numFmtId="0" fontId="36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0" fontId="44" fillId="0" borderId="0"/>
    <xf numFmtId="0" fontId="36" fillId="0" borderId="17" applyNumberFormat="0" applyFont="0" applyFill="0" applyAlignment="0" applyProtection="0"/>
    <xf numFmtId="40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10" fontId="36" fillId="0" borderId="0" applyFont="0" applyFill="0" applyBorder="0" applyAlignment="0" applyProtection="0"/>
    <xf numFmtId="0" fontId="47" fillId="0" borderId="0"/>
    <xf numFmtId="177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76" fontId="37" fillId="0" borderId="0" applyFont="0" applyFill="0" applyBorder="0" applyAlignment="0" applyProtection="0"/>
    <xf numFmtId="0" fontId="40" fillId="0" borderId="0"/>
    <xf numFmtId="0" fontId="45" fillId="0" borderId="0"/>
    <xf numFmtId="179" fontId="45" fillId="0" borderId="0" applyFont="0" applyFill="0" applyBorder="0" applyAlignment="0" applyProtection="0"/>
  </cellStyleXfs>
  <cellXfs count="185">
    <xf numFmtId="0" fontId="0" fillId="0" borderId="0" xfId="0"/>
    <xf numFmtId="0" fontId="4" fillId="0" borderId="0" xfId="0" applyFont="1"/>
    <xf numFmtId="0" fontId="17" fillId="0" borderId="0" xfId="0" applyFont="1"/>
    <xf numFmtId="0" fontId="18" fillId="0" borderId="0" xfId="0" applyFont="1"/>
    <xf numFmtId="0" fontId="1" fillId="0" borderId="0" xfId="0" applyFont="1"/>
    <xf numFmtId="0" fontId="1" fillId="0" borderId="3" xfId="3" applyFont="1" applyBorder="1" applyAlignment="1">
      <alignment vertical="center" wrapText="1"/>
    </xf>
    <xf numFmtId="3" fontId="7" fillId="0" borderId="3" xfId="4" applyNumberFormat="1" applyFont="1" applyBorder="1" applyAlignment="1">
      <alignment horizontal="right" vertical="center" wrapText="1"/>
    </xf>
    <xf numFmtId="3" fontId="1" fillId="0" borderId="3" xfId="4" applyNumberFormat="1" applyFont="1" applyBorder="1" applyAlignment="1">
      <alignment horizontal="right" vertical="center" wrapText="1"/>
    </xf>
    <xf numFmtId="9" fontId="1" fillId="0" borderId="3" xfId="4" applyNumberFormat="1" applyFont="1" applyBorder="1" applyAlignment="1">
      <alignment horizontal="center" vertical="center" wrapText="1"/>
    </xf>
    <xf numFmtId="165" fontId="3" fillId="0" borderId="3" xfId="4" applyNumberFormat="1" applyFont="1" applyBorder="1" applyAlignment="1">
      <alignment horizontal="center" vertical="center" wrapText="1"/>
    </xf>
    <xf numFmtId="0" fontId="1" fillId="0" borderId="6" xfId="3" applyFont="1" applyBorder="1" applyAlignment="1">
      <alignment vertical="center" wrapText="1"/>
    </xf>
    <xf numFmtId="0" fontId="5" fillId="2" borderId="3" xfId="3" applyFont="1" applyFill="1" applyBorder="1" applyAlignment="1">
      <alignment horizontal="center" vertical="center" wrapText="1"/>
    </xf>
    <xf numFmtId="9" fontId="7" fillId="2" borderId="3" xfId="3" applyNumberFormat="1" applyFont="1" applyFill="1" applyBorder="1" applyAlignment="1">
      <alignment horizontal="center" vertical="center" wrapText="1"/>
    </xf>
    <xf numFmtId="9" fontId="7" fillId="2" borderId="3" xfId="2" applyFont="1" applyFill="1" applyBorder="1" applyAlignment="1" applyProtection="1">
      <alignment horizontal="center" vertical="center" wrapText="1"/>
    </xf>
    <xf numFmtId="0" fontId="7" fillId="0" borderId="0" xfId="0" applyFont="1"/>
    <xf numFmtId="168" fontId="1" fillId="0" borderId="3" xfId="4" applyNumberFormat="1" applyFont="1" applyBorder="1" applyAlignment="1">
      <alignment horizontal="right" vertical="center" wrapText="1"/>
    </xf>
    <xf numFmtId="17" fontId="0" fillId="0" borderId="0" xfId="0" applyNumberFormat="1" applyAlignment="1">
      <alignment horizontal="center"/>
    </xf>
    <xf numFmtId="0" fontId="7" fillId="0" borderId="0" xfId="0" applyFont="1" applyAlignment="1">
      <alignment horizontal="center" vertical="center"/>
    </xf>
    <xf numFmtId="0" fontId="16" fillId="0" borderId="0" xfId="3" applyFont="1" applyAlignment="1">
      <alignment vertical="center"/>
    </xf>
    <xf numFmtId="0" fontId="0" fillId="0" borderId="3" xfId="3" applyFont="1" applyBorder="1" applyAlignment="1">
      <alignment vertical="center" wrapText="1"/>
    </xf>
    <xf numFmtId="168" fontId="17" fillId="0" borderId="0" xfId="0" applyNumberFormat="1" applyFont="1"/>
    <xf numFmtId="0" fontId="24" fillId="0" borderId="0" xfId="0" applyFont="1" applyAlignment="1">
      <alignment horizontal="center"/>
    </xf>
    <xf numFmtId="3" fontId="1" fillId="0" borderId="0" xfId="0" applyNumberFormat="1" applyFont="1"/>
    <xf numFmtId="0" fontId="1" fillId="0" borderId="0" xfId="3" applyFont="1" applyAlignment="1">
      <alignment vertical="center" wrapText="1"/>
    </xf>
    <xf numFmtId="3" fontId="1" fillId="0" borderId="0" xfId="4" applyNumberFormat="1" applyFont="1" applyBorder="1" applyAlignment="1">
      <alignment horizontal="right" vertical="center" wrapText="1"/>
    </xf>
    <xf numFmtId="0" fontId="26" fillId="0" borderId="0" xfId="0" applyFont="1"/>
    <xf numFmtId="14" fontId="26" fillId="0" borderId="0" xfId="0" applyNumberFormat="1" applyFont="1"/>
    <xf numFmtId="0" fontId="26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26" fillId="0" borderId="0" xfId="0" applyNumberFormat="1" applyFont="1"/>
    <xf numFmtId="165" fontId="0" fillId="0" borderId="3" xfId="2" applyNumberFormat="1" applyFont="1" applyBorder="1" applyAlignment="1">
      <alignment horizontal="center"/>
    </xf>
    <xf numFmtId="0" fontId="28" fillId="0" borderId="0" xfId="0" applyFont="1"/>
    <xf numFmtId="0" fontId="26" fillId="0" borderId="0" xfId="3" applyFont="1" applyAlignment="1">
      <alignment vertical="center" wrapText="1"/>
    </xf>
    <xf numFmtId="14" fontId="26" fillId="0" borderId="0" xfId="0" applyNumberFormat="1" applyFont="1" applyAlignment="1">
      <alignment horizontal="center"/>
    </xf>
    <xf numFmtId="3" fontId="2" fillId="0" borderId="3" xfId="4" applyNumberFormat="1" applyFont="1" applyBorder="1" applyAlignment="1">
      <alignment horizontal="right" vertical="center" wrapText="1"/>
    </xf>
    <xf numFmtId="3" fontId="5" fillId="0" borderId="0" xfId="3" applyNumberFormat="1" applyFont="1" applyAlignment="1">
      <alignment horizontal="right" vertical="center" wrapText="1"/>
    </xf>
    <xf numFmtId="0" fontId="0" fillId="0" borderId="0" xfId="0" applyAlignment="1">
      <alignment horizontal="center"/>
    </xf>
    <xf numFmtId="3" fontId="2" fillId="0" borderId="3" xfId="0" applyNumberFormat="1" applyFont="1" applyBorder="1"/>
    <xf numFmtId="0" fontId="0" fillId="0" borderId="3" xfId="0" applyBorder="1" applyAlignment="1">
      <alignment horizontal="center"/>
    </xf>
    <xf numFmtId="17" fontId="3" fillId="8" borderId="3" xfId="0" applyNumberFormat="1" applyFont="1" applyFill="1" applyBorder="1" applyAlignment="1">
      <alignment horizontal="center"/>
    </xf>
    <xf numFmtId="0" fontId="3" fillId="8" borderId="3" xfId="0" applyFont="1" applyFill="1" applyBorder="1"/>
    <xf numFmtId="0" fontId="3" fillId="11" borderId="3" xfId="0" applyFont="1" applyFill="1" applyBorder="1" applyAlignment="1">
      <alignment horizontal="center"/>
    </xf>
    <xf numFmtId="168" fontId="0" fillId="0" borderId="0" xfId="1" applyNumberFormat="1" applyFont="1"/>
    <xf numFmtId="3" fontId="7" fillId="7" borderId="3" xfId="4" applyNumberFormat="1" applyFont="1" applyFill="1" applyBorder="1" applyAlignment="1">
      <alignment horizontal="right" vertical="center" wrapText="1"/>
    </xf>
    <xf numFmtId="0" fontId="2" fillId="0" borderId="3" xfId="0" applyFont="1" applyBorder="1"/>
    <xf numFmtId="0" fontId="23" fillId="8" borderId="3" xfId="0" applyFont="1" applyFill="1" applyBorder="1" applyAlignment="1">
      <alignment horizontal="center"/>
    </xf>
    <xf numFmtId="3" fontId="1" fillId="0" borderId="3" xfId="3" applyNumberFormat="1" applyFont="1" applyBorder="1" applyAlignment="1">
      <alignment vertical="center" wrapText="1"/>
    </xf>
    <xf numFmtId="0" fontId="20" fillId="0" borderId="11" xfId="3" applyFont="1" applyBorder="1" applyAlignment="1">
      <alignment vertical="center" wrapText="1"/>
    </xf>
    <xf numFmtId="168" fontId="1" fillId="0" borderId="0" xfId="0" applyNumberFormat="1" applyFont="1"/>
    <xf numFmtId="168" fontId="7" fillId="0" borderId="0" xfId="0" applyNumberFormat="1" applyFont="1"/>
    <xf numFmtId="0" fontId="25" fillId="0" borderId="0" xfId="3" applyFont="1" applyAlignment="1">
      <alignment vertical="center"/>
    </xf>
    <xf numFmtId="3" fontId="25" fillId="0" borderId="0" xfId="3" applyNumberFormat="1" applyFont="1" applyAlignment="1">
      <alignment vertical="center"/>
    </xf>
    <xf numFmtId="0" fontId="3" fillId="3" borderId="3" xfId="3" applyFont="1" applyFill="1" applyBorder="1" applyAlignment="1">
      <alignment vertical="center" wrapText="1"/>
    </xf>
    <xf numFmtId="3" fontId="3" fillId="3" borderId="3" xfId="3" applyNumberFormat="1" applyFont="1" applyFill="1" applyBorder="1" applyAlignment="1">
      <alignment horizontal="right" vertical="center" wrapText="1"/>
    </xf>
    <xf numFmtId="0" fontId="5" fillId="12" borderId="3" xfId="3" applyFont="1" applyFill="1" applyBorder="1" applyAlignment="1">
      <alignment vertical="center" wrapText="1"/>
    </xf>
    <xf numFmtId="3" fontId="3" fillId="12" borderId="3" xfId="3" applyNumberFormat="1" applyFont="1" applyFill="1" applyBorder="1" applyAlignment="1">
      <alignment horizontal="right" vertical="center" wrapText="1"/>
    </xf>
    <xf numFmtId="3" fontId="5" fillId="12" borderId="3" xfId="3" applyNumberFormat="1" applyFont="1" applyFill="1" applyBorder="1" applyAlignment="1">
      <alignment vertical="center" wrapText="1"/>
    </xf>
    <xf numFmtId="168" fontId="3" fillId="3" borderId="3" xfId="3" applyNumberFormat="1" applyFont="1" applyFill="1" applyBorder="1" applyAlignment="1">
      <alignment vertical="center" wrapText="1"/>
    </xf>
    <xf numFmtId="0" fontId="22" fillId="4" borderId="3" xfId="0" applyFont="1" applyFill="1" applyBorder="1" applyAlignment="1">
      <alignment horizontal="center"/>
    </xf>
    <xf numFmtId="165" fontId="2" fillId="0" borderId="3" xfId="2" applyNumberFormat="1" applyFont="1" applyBorder="1" applyAlignment="1">
      <alignment horizontal="center"/>
    </xf>
    <xf numFmtId="3" fontId="1" fillId="0" borderId="0" xfId="4" applyNumberFormat="1" applyFont="1" applyFill="1" applyBorder="1" applyAlignment="1">
      <alignment horizontal="right" vertical="center" wrapText="1"/>
    </xf>
    <xf numFmtId="168" fontId="1" fillId="0" borderId="3" xfId="4" applyNumberFormat="1" applyFont="1" applyFill="1" applyBorder="1" applyAlignment="1">
      <alignment horizontal="right" vertical="center" wrapText="1"/>
    </xf>
    <xf numFmtId="0" fontId="2" fillId="0" borderId="0" xfId="0" applyFont="1"/>
    <xf numFmtId="165" fontId="6" fillId="0" borderId="11" xfId="2" applyNumberFormat="1" applyFont="1" applyFill="1" applyBorder="1" applyAlignment="1">
      <alignment horizontal="center" vertical="center"/>
    </xf>
    <xf numFmtId="3" fontId="3" fillId="3" borderId="3" xfId="3" applyNumberFormat="1" applyFont="1" applyFill="1" applyBorder="1" applyAlignment="1">
      <alignment vertical="center" wrapText="1"/>
    </xf>
    <xf numFmtId="14" fontId="8" fillId="8" borderId="3" xfId="0" applyNumberFormat="1" applyFont="1" applyFill="1" applyBorder="1" applyAlignment="1">
      <alignment horizontal="center" vertical="center"/>
    </xf>
    <xf numFmtId="3" fontId="9" fillId="9" borderId="3" xfId="1" applyNumberFormat="1" applyFont="1" applyFill="1" applyBorder="1" applyAlignment="1">
      <alignment vertical="center"/>
    </xf>
    <xf numFmtId="43" fontId="1" fillId="0" borderId="3" xfId="4" applyNumberFormat="1" applyFont="1" applyBorder="1" applyAlignment="1">
      <alignment horizontal="right" vertical="center" wrapText="1"/>
    </xf>
    <xf numFmtId="168" fontId="9" fillId="9" borderId="3" xfId="1" applyNumberFormat="1" applyFont="1" applyFill="1" applyBorder="1" applyAlignment="1">
      <alignment vertical="center"/>
    </xf>
    <xf numFmtId="167" fontId="9" fillId="9" borderId="3" xfId="1" applyNumberFormat="1" applyFont="1" applyFill="1" applyBorder="1" applyAlignment="1">
      <alignment horizontal="center" vertical="center"/>
    </xf>
    <xf numFmtId="14" fontId="9" fillId="9" borderId="3" xfId="1" applyNumberFormat="1" applyFont="1" applyFill="1" applyBorder="1" applyAlignment="1">
      <alignment vertical="center"/>
    </xf>
    <xf numFmtId="3" fontId="31" fillId="9" borderId="3" xfId="1" applyNumberFormat="1" applyFont="1" applyFill="1" applyBorder="1" applyAlignment="1">
      <alignment horizontal="left" vertical="center"/>
    </xf>
    <xf numFmtId="167" fontId="9" fillId="9" borderId="3" xfId="1" applyNumberFormat="1" applyFont="1" applyFill="1" applyBorder="1" applyAlignment="1">
      <alignment vertical="center"/>
    </xf>
    <xf numFmtId="3" fontId="30" fillId="0" borderId="0" xfId="0" applyNumberFormat="1" applyFont="1"/>
    <xf numFmtId="168" fontId="11" fillId="0" borderId="5" xfId="1" applyNumberFormat="1" applyFont="1" applyFill="1" applyBorder="1" applyAlignment="1">
      <alignment horizontal="center"/>
    </xf>
    <xf numFmtId="43" fontId="1" fillId="0" borderId="0" xfId="0" applyNumberFormat="1" applyFont="1"/>
    <xf numFmtId="173" fontId="26" fillId="0" borderId="0" xfId="1" applyNumberFormat="1" applyFont="1" applyBorder="1" applyAlignment="1">
      <alignment horizontal="right" vertical="center" wrapText="1"/>
    </xf>
    <xf numFmtId="3" fontId="33" fillId="0" borderId="0" xfId="0" applyNumberFormat="1" applyFont="1"/>
    <xf numFmtId="168" fontId="12" fillId="0" borderId="5" xfId="1" applyNumberFormat="1" applyFont="1" applyFill="1" applyBorder="1" applyAlignment="1">
      <alignment horizontal="right" vertical="center"/>
    </xf>
    <xf numFmtId="0" fontId="33" fillId="0" borderId="0" xfId="0" applyFont="1"/>
    <xf numFmtId="168" fontId="33" fillId="0" borderId="0" xfId="0" applyNumberFormat="1" applyFont="1"/>
    <xf numFmtId="0" fontId="30" fillId="0" borderId="0" xfId="0" applyFont="1"/>
    <xf numFmtId="0" fontId="4" fillId="0" borderId="14" xfId="3" applyFont="1" applyBorder="1" applyAlignment="1">
      <alignment vertical="center" wrapText="1"/>
    </xf>
    <xf numFmtId="3" fontId="34" fillId="0" borderId="0" xfId="0" applyNumberFormat="1" applyFont="1"/>
    <xf numFmtId="43" fontId="7" fillId="0" borderId="0" xfId="0" applyNumberFormat="1" applyFont="1"/>
    <xf numFmtId="168" fontId="18" fillId="0" borderId="0" xfId="0" applyNumberFormat="1" applyFont="1"/>
    <xf numFmtId="3" fontId="30" fillId="0" borderId="0" xfId="0" applyNumberFormat="1" applyFont="1" applyAlignment="1">
      <alignment horizontal="center"/>
    </xf>
    <xf numFmtId="173" fontId="1" fillId="0" borderId="3" xfId="4" applyNumberFormat="1" applyFont="1" applyBorder="1" applyAlignment="1">
      <alignment horizontal="right" vertical="center" wrapText="1"/>
    </xf>
    <xf numFmtId="0" fontId="5" fillId="0" borderId="3" xfId="3" applyFont="1" applyBorder="1" applyAlignment="1">
      <alignment horizontal="center" vertical="center" wrapText="1"/>
    </xf>
    <xf numFmtId="171" fontId="5" fillId="0" borderId="3" xfId="4" applyNumberFormat="1" applyFont="1" applyFill="1" applyBorder="1" applyAlignment="1" applyProtection="1">
      <alignment horizontal="center" vertical="center" wrapText="1"/>
    </xf>
    <xf numFmtId="3" fontId="2" fillId="0" borderId="0" xfId="4" applyNumberFormat="1" applyFont="1" applyBorder="1" applyAlignment="1">
      <alignment horizontal="right" vertical="center" wrapText="1"/>
    </xf>
    <xf numFmtId="173" fontId="24" fillId="0" borderId="0" xfId="1" applyNumberFormat="1" applyFont="1"/>
    <xf numFmtId="168" fontId="13" fillId="0" borderId="5" xfId="1" applyNumberFormat="1" applyFont="1" applyFill="1" applyBorder="1" applyAlignment="1">
      <alignment horizontal="center"/>
    </xf>
    <xf numFmtId="168" fontId="13" fillId="0" borderId="5" xfId="1" applyNumberFormat="1" applyFont="1" applyFill="1" applyBorder="1" applyAlignment="1">
      <alignment horizontal="right" vertical="center"/>
    </xf>
    <xf numFmtId="3" fontId="49" fillId="0" borderId="0" xfId="0" applyNumberFormat="1" applyFont="1"/>
    <xf numFmtId="167" fontId="50" fillId="9" borderId="3" xfId="1" applyNumberFormat="1" applyFont="1" applyFill="1" applyBorder="1" applyAlignment="1">
      <alignment horizontal="center" vertical="center"/>
    </xf>
    <xf numFmtId="168" fontId="26" fillId="0" borderId="0" xfId="1" applyNumberFormat="1" applyFont="1" applyBorder="1" applyAlignment="1">
      <alignment horizontal="right" vertical="center" wrapText="1"/>
    </xf>
    <xf numFmtId="171" fontId="5" fillId="0" borderId="3" xfId="3" applyNumberFormat="1" applyFont="1" applyBorder="1" applyAlignment="1">
      <alignment horizontal="center" vertical="center" wrapText="1"/>
    </xf>
    <xf numFmtId="0" fontId="34" fillId="0" borderId="0" xfId="0" applyFont="1"/>
    <xf numFmtId="43" fontId="51" fillId="0" borderId="0" xfId="1" applyFont="1"/>
    <xf numFmtId="3" fontId="28" fillId="0" borderId="0" xfId="0" applyNumberFormat="1" applyFont="1"/>
    <xf numFmtId="0" fontId="21" fillId="0" borderId="0" xfId="3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14" fontId="26" fillId="0" borderId="0" xfId="0" applyNumberFormat="1" applyFont="1" applyAlignment="1">
      <alignment horizontal="center" vertical="center"/>
    </xf>
    <xf numFmtId="168" fontId="7" fillId="0" borderId="3" xfId="4" applyNumberFormat="1" applyFont="1" applyBorder="1" applyAlignment="1">
      <alignment horizontal="right" vertical="center" wrapText="1"/>
    </xf>
    <xf numFmtId="0" fontId="19" fillId="2" borderId="3" xfId="3" applyFont="1" applyFill="1" applyBorder="1" applyAlignment="1">
      <alignment horizontal="center" vertical="center" wrapText="1"/>
    </xf>
    <xf numFmtId="171" fontId="5" fillId="2" borderId="1" xfId="4" applyNumberFormat="1" applyFont="1" applyFill="1" applyBorder="1" applyAlignment="1" applyProtection="1">
      <alignment horizontal="center" vertical="center" wrapText="1"/>
    </xf>
    <xf numFmtId="171" fontId="5" fillId="2" borderId="3" xfId="4" applyNumberFormat="1" applyFont="1" applyFill="1" applyBorder="1" applyAlignment="1" applyProtection="1">
      <alignment horizontal="center" vertical="center" wrapText="1"/>
    </xf>
    <xf numFmtId="171" fontId="19" fillId="2" borderId="3" xfId="4" applyNumberFormat="1" applyFont="1" applyFill="1" applyBorder="1" applyAlignment="1" applyProtection="1">
      <alignment horizontal="center" vertical="center" wrapText="1"/>
    </xf>
    <xf numFmtId="171" fontId="19" fillId="2" borderId="3" xfId="4" applyNumberFormat="1" applyFont="1" applyFill="1" applyBorder="1" applyAlignment="1" applyProtection="1">
      <alignment horizontal="center" vertical="center" wrapText="1"/>
    </xf>
    <xf numFmtId="171" fontId="5" fillId="2" borderId="4" xfId="4" applyNumberFormat="1" applyFont="1" applyFill="1" applyBorder="1" applyAlignment="1" applyProtection="1">
      <alignment horizontal="center" vertical="center" wrapText="1"/>
    </xf>
    <xf numFmtId="171" fontId="5" fillId="2" borderId="9" xfId="4" applyNumberFormat="1" applyFont="1" applyFill="1" applyBorder="1" applyAlignment="1" applyProtection="1">
      <alignment horizontal="center" vertical="center" wrapText="1"/>
    </xf>
    <xf numFmtId="171" fontId="5" fillId="2" borderId="10" xfId="4" applyNumberFormat="1" applyFont="1" applyFill="1" applyBorder="1" applyAlignment="1" applyProtection="1">
      <alignment horizontal="center" vertical="center" wrapText="1"/>
    </xf>
    <xf numFmtId="171" fontId="5" fillId="2" borderId="11" xfId="4" applyNumberFormat="1" applyFont="1" applyFill="1" applyBorder="1" applyAlignment="1" applyProtection="1">
      <alignment horizontal="center" vertical="center" wrapText="1"/>
    </xf>
    <xf numFmtId="0" fontId="5" fillId="2" borderId="3" xfId="3" applyFont="1" applyFill="1" applyBorder="1" applyAlignment="1">
      <alignment horizontal="center" vertical="center"/>
    </xf>
    <xf numFmtId="171" fontId="5" fillId="2" borderId="3" xfId="3" applyNumberFormat="1" applyFont="1" applyFill="1" applyBorder="1" applyAlignment="1">
      <alignment horizontal="center" vertical="center" wrapText="1"/>
    </xf>
    <xf numFmtId="0" fontId="5" fillId="2" borderId="3" xfId="3" applyFont="1" applyFill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vertical="center" wrapText="1"/>
    </xf>
    <xf numFmtId="0" fontId="5" fillId="2" borderId="4" xfId="3" applyFont="1" applyFill="1" applyBorder="1" applyAlignment="1">
      <alignment horizontal="center" vertical="center" wrapText="1"/>
    </xf>
    <xf numFmtId="0" fontId="5" fillId="2" borderId="9" xfId="3" applyFont="1" applyFill="1" applyBorder="1" applyAlignment="1">
      <alignment horizontal="center" vertical="center" wrapText="1"/>
    </xf>
    <xf numFmtId="0" fontId="5" fillId="2" borderId="10" xfId="3" applyFont="1" applyFill="1" applyBorder="1" applyAlignment="1">
      <alignment horizontal="center" vertical="center" wrapText="1"/>
    </xf>
    <xf numFmtId="0" fontId="5" fillId="2" borderId="11" xfId="3" applyFont="1" applyFill="1" applyBorder="1" applyAlignment="1">
      <alignment horizontal="center" vertical="center" wrapText="1"/>
    </xf>
    <xf numFmtId="171" fontId="5" fillId="2" borderId="8" xfId="4" applyNumberFormat="1" applyFont="1" applyFill="1" applyBorder="1" applyAlignment="1" applyProtection="1">
      <alignment horizontal="center" vertical="center"/>
    </xf>
    <xf numFmtId="171" fontId="5" fillId="2" borderId="7" xfId="4" applyNumberFormat="1" applyFont="1" applyFill="1" applyBorder="1" applyAlignment="1" applyProtection="1">
      <alignment horizontal="center" vertical="center"/>
    </xf>
    <xf numFmtId="171" fontId="5" fillId="2" borderId="9" xfId="4" applyNumberFormat="1" applyFont="1" applyFill="1" applyBorder="1" applyAlignment="1" applyProtection="1">
      <alignment horizontal="center" vertical="center"/>
    </xf>
    <xf numFmtId="171" fontId="5" fillId="2" borderId="10" xfId="4" applyNumberFormat="1" applyFont="1" applyFill="1" applyBorder="1" applyAlignment="1" applyProtection="1">
      <alignment horizontal="center" vertical="center"/>
    </xf>
    <xf numFmtId="171" fontId="5" fillId="2" borderId="11" xfId="4" applyNumberFormat="1" applyFont="1" applyFill="1" applyBorder="1" applyAlignment="1" applyProtection="1">
      <alignment horizontal="center" vertical="center"/>
    </xf>
    <xf numFmtId="171" fontId="5" fillId="2" borderId="3" xfId="4" applyNumberFormat="1" applyFont="1" applyFill="1" applyBorder="1" applyAlignment="1" applyProtection="1">
      <alignment horizontal="center" vertical="center" wrapText="1"/>
    </xf>
    <xf numFmtId="171" fontId="5" fillId="2" borderId="3" xfId="4" applyNumberFormat="1" applyFont="1" applyFill="1" applyBorder="1" applyAlignment="1" applyProtection="1">
      <alignment horizontal="center" vertical="center"/>
    </xf>
    <xf numFmtId="171" fontId="27" fillId="2" borderId="9" xfId="4" applyNumberFormat="1" applyFont="1" applyFill="1" applyBorder="1" applyAlignment="1" applyProtection="1">
      <alignment horizontal="center" vertical="center" wrapText="1"/>
    </xf>
    <xf numFmtId="171" fontId="27" fillId="2" borderId="10" xfId="4" applyNumberFormat="1" applyFont="1" applyFill="1" applyBorder="1" applyAlignment="1" applyProtection="1">
      <alignment horizontal="center" vertical="center" wrapText="1"/>
    </xf>
    <xf numFmtId="171" fontId="27" fillId="2" borderId="11" xfId="4" applyNumberFormat="1" applyFont="1" applyFill="1" applyBorder="1" applyAlignment="1" applyProtection="1">
      <alignment horizontal="center" vertical="center" wrapText="1"/>
    </xf>
    <xf numFmtId="0" fontId="5" fillId="2" borderId="9" xfId="0" applyFont="1" applyFill="1" applyBorder="1" applyAlignment="1">
      <alignment horizontal="right" vertical="center"/>
    </xf>
    <xf numFmtId="0" fontId="5" fillId="2" borderId="11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1" fillId="0" borderId="5" xfId="0" applyFont="1" applyFill="1" applyBorder="1"/>
    <xf numFmtId="0" fontId="10" fillId="0" borderId="5" xfId="0" applyFont="1" applyFill="1" applyBorder="1" applyAlignment="1">
      <alignment horizontal="center" vertical="center"/>
    </xf>
    <xf numFmtId="169" fontId="12" fillId="0" borderId="5" xfId="0" applyNumberFormat="1" applyFont="1" applyFill="1" applyBorder="1" applyAlignment="1">
      <alignment horizontal="center" vertical="center"/>
    </xf>
    <xf numFmtId="169" fontId="13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/>
    <xf numFmtId="166" fontId="11" fillId="0" borderId="5" xfId="0" applyNumberFormat="1" applyFont="1" applyFill="1" applyBorder="1" applyAlignment="1">
      <alignment horizontal="center"/>
    </xf>
    <xf numFmtId="1" fontId="11" fillId="0" borderId="5" xfId="0" applyNumberFormat="1" applyFont="1" applyFill="1" applyBorder="1" applyAlignment="1">
      <alignment horizontal="center"/>
    </xf>
    <xf numFmtId="3" fontId="11" fillId="0" borderId="5" xfId="0" applyNumberFormat="1" applyFont="1" applyFill="1" applyBorder="1"/>
    <xf numFmtId="0" fontId="33" fillId="0" borderId="12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left" vertical="center"/>
    </xf>
    <xf numFmtId="0" fontId="0" fillId="0" borderId="0" xfId="0" applyFill="1"/>
    <xf numFmtId="0" fontId="11" fillId="0" borderId="5" xfId="0" applyFont="1" applyFill="1" applyBorder="1" applyAlignment="1">
      <alignment horizontal="center" vertical="center"/>
    </xf>
    <xf numFmtId="169" fontId="12" fillId="0" borderId="18" xfId="0" applyNumberFormat="1" applyFont="1" applyFill="1" applyBorder="1" applyAlignment="1">
      <alignment horizontal="center" vertical="center"/>
    </xf>
    <xf numFmtId="14" fontId="13" fillId="0" borderId="5" xfId="0" applyNumberFormat="1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left" vertical="center"/>
    </xf>
    <xf numFmtId="3" fontId="52" fillId="0" borderId="5" xfId="0" applyNumberFormat="1" applyFont="1" applyFill="1" applyBorder="1"/>
    <xf numFmtId="0" fontId="12" fillId="0" borderId="5" xfId="0" applyFont="1" applyFill="1" applyBorder="1" applyAlignment="1">
      <alignment horizontal="center" vertical="center"/>
    </xf>
    <xf numFmtId="169" fontId="13" fillId="0" borderId="18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/>
    </xf>
    <xf numFmtId="0" fontId="13" fillId="0" borderId="13" xfId="0" applyFont="1" applyFill="1" applyBorder="1" applyAlignment="1">
      <alignment horizontal="left" vertical="center"/>
    </xf>
    <xf numFmtId="0" fontId="13" fillId="0" borderId="5" xfId="0" applyFont="1" applyFill="1" applyBorder="1" applyAlignment="1">
      <alignment horizontal="center" vertical="center"/>
    </xf>
    <xf numFmtId="169" fontId="10" fillId="0" borderId="18" xfId="0" applyNumberFormat="1" applyFont="1" applyFill="1" applyBorder="1" applyAlignment="1">
      <alignment horizontal="center" vertical="center"/>
    </xf>
    <xf numFmtId="0" fontId="0" fillId="0" borderId="13" xfId="0" applyFill="1" applyBorder="1"/>
    <xf numFmtId="14" fontId="11" fillId="0" borderId="5" xfId="0" applyNumberFormat="1" applyFont="1" applyFill="1" applyBorder="1" applyAlignment="1">
      <alignment horizontal="center" vertical="center"/>
    </xf>
    <xf numFmtId="166" fontId="13" fillId="0" borderId="5" xfId="0" applyNumberFormat="1" applyFont="1" applyFill="1" applyBorder="1" applyAlignment="1">
      <alignment horizontal="center"/>
    </xf>
    <xf numFmtId="1" fontId="13" fillId="0" borderId="5" xfId="0" applyNumberFormat="1" applyFont="1" applyFill="1" applyBorder="1" applyAlignment="1">
      <alignment horizontal="center"/>
    </xf>
    <xf numFmtId="3" fontId="13" fillId="0" borderId="5" xfId="0" applyNumberFormat="1" applyFont="1" applyFill="1" applyBorder="1"/>
    <xf numFmtId="0" fontId="0" fillId="0" borderId="5" xfId="0" applyFill="1" applyBorder="1"/>
    <xf numFmtId="3" fontId="14" fillId="0" borderId="5" xfId="0" applyNumberFormat="1" applyFont="1" applyFill="1" applyBorder="1" applyAlignment="1">
      <alignment horizontal="center"/>
    </xf>
    <xf numFmtId="14" fontId="8" fillId="0" borderId="5" xfId="0" applyNumberFormat="1" applyFont="1" applyFill="1" applyBorder="1"/>
    <xf numFmtId="166" fontId="8" fillId="0" borderId="5" xfId="0" applyNumberFormat="1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49" fontId="15" fillId="0" borderId="5" xfId="0" applyNumberFormat="1" applyFont="1" applyFill="1" applyBorder="1" applyAlignment="1">
      <alignment horizontal="center"/>
    </xf>
    <xf numFmtId="3" fontId="8" fillId="0" borderId="5" xfId="0" applyNumberFormat="1" applyFont="1" applyFill="1" applyBorder="1"/>
    <xf numFmtId="0" fontId="53" fillId="5" borderId="3" xfId="0" applyFont="1" applyFill="1" applyBorder="1" applyAlignment="1">
      <alignment horizontal="center" vertical="center"/>
    </xf>
    <xf numFmtId="0" fontId="54" fillId="6" borderId="2" xfId="0" applyFont="1" applyFill="1" applyBorder="1" applyAlignment="1">
      <alignment horizontal="center" vertical="center"/>
    </xf>
    <xf numFmtId="0" fontId="55" fillId="0" borderId="0" xfId="0" applyFont="1"/>
    <xf numFmtId="0" fontId="53" fillId="5" borderId="3" xfId="0" applyFont="1" applyFill="1" applyBorder="1" applyAlignment="1">
      <alignment horizontal="center" vertical="center" wrapText="1"/>
    </xf>
    <xf numFmtId="9" fontId="53" fillId="5" borderId="3" xfId="2" applyFont="1" applyFill="1" applyBorder="1" applyAlignment="1">
      <alignment horizontal="center" vertical="center" wrapText="1"/>
    </xf>
    <xf numFmtId="3" fontId="56" fillId="0" borderId="3" xfId="0" applyNumberFormat="1" applyFont="1" applyFill="1" applyBorder="1"/>
    <xf numFmtId="3" fontId="53" fillId="0" borderId="3" xfId="0" applyNumberFormat="1" applyFont="1" applyFill="1" applyBorder="1"/>
    <xf numFmtId="165" fontId="56" fillId="0" borderId="3" xfId="2" applyNumberFormat="1" applyFont="1" applyFill="1" applyBorder="1" applyAlignment="1">
      <alignment horizontal="center" vertical="center" wrapText="1"/>
    </xf>
    <xf numFmtId="0" fontId="53" fillId="5" borderId="9" xfId="0" applyFont="1" applyFill="1" applyBorder="1" applyAlignment="1">
      <alignment horizontal="center" vertical="center"/>
    </xf>
    <xf numFmtId="0" fontId="53" fillId="5" borderId="10" xfId="0" applyFont="1" applyFill="1" applyBorder="1" applyAlignment="1">
      <alignment horizontal="center" vertical="center"/>
    </xf>
    <xf numFmtId="0" fontId="53" fillId="5" borderId="11" xfId="0" applyFont="1" applyFill="1" applyBorder="1" applyAlignment="1">
      <alignment horizontal="center" vertical="center"/>
    </xf>
    <xf numFmtId="0" fontId="53" fillId="13" borderId="3" xfId="0" applyFont="1" applyFill="1" applyBorder="1" applyAlignment="1">
      <alignment horizontal="center" vertical="center"/>
    </xf>
    <xf numFmtId="0" fontId="53" fillId="13" borderId="9" xfId="0" applyFont="1" applyFill="1" applyBorder="1" applyAlignment="1">
      <alignment horizontal="center" vertical="center"/>
    </xf>
    <xf numFmtId="0" fontId="53" fillId="13" borderId="10" xfId="0" applyFont="1" applyFill="1" applyBorder="1" applyAlignment="1">
      <alignment horizontal="center" vertical="center"/>
    </xf>
    <xf numFmtId="0" fontId="53" fillId="13" borderId="11" xfId="0" applyFont="1" applyFill="1" applyBorder="1" applyAlignment="1">
      <alignment horizontal="center" vertical="center"/>
    </xf>
  </cellXfs>
  <cellStyles count="80">
    <cellStyle name="category" xfId="28" xr:uid="{00000000-0005-0000-0000-000000000000}"/>
    <cellStyle name="Comma" xfId="1" builtinId="3"/>
    <cellStyle name="Comma 2" xfId="4" xr:uid="{00000000-0005-0000-0000-000002000000}"/>
    <cellStyle name="Comma 2 2" xfId="29" xr:uid="{00000000-0005-0000-0000-000003000000}"/>
    <cellStyle name="Comma 3" xfId="13" xr:uid="{00000000-0005-0000-0000-000004000000}"/>
    <cellStyle name="Comma 3 2" xfId="30" xr:uid="{00000000-0005-0000-0000-000005000000}"/>
    <cellStyle name="Comma 4" xfId="16" xr:uid="{00000000-0005-0000-0000-000006000000}"/>
    <cellStyle name="Comma 5" xfId="31" xr:uid="{00000000-0005-0000-0000-000007000000}"/>
    <cellStyle name="Comma 6" xfId="22" xr:uid="{00000000-0005-0000-0000-000008000000}"/>
    <cellStyle name="Comma 7" xfId="18" xr:uid="{00000000-0005-0000-0000-000009000000}"/>
    <cellStyle name="Comma0" xfId="21" xr:uid="{00000000-0005-0000-0000-00000A000000}"/>
    <cellStyle name="Currency0" xfId="26" xr:uid="{00000000-0005-0000-0000-00000B000000}"/>
    <cellStyle name="Date" xfId="20" xr:uid="{00000000-0005-0000-0000-00000C000000}"/>
    <cellStyle name="Fixed" xfId="24" xr:uid="{00000000-0005-0000-0000-00000D000000}"/>
    <cellStyle name="Grey" xfId="23" xr:uid="{00000000-0005-0000-0000-00000E000000}"/>
    <cellStyle name="HEADER" xfId="32" xr:uid="{00000000-0005-0000-0000-00000F000000}"/>
    <cellStyle name="Header1" xfId="27" xr:uid="{00000000-0005-0000-0000-000010000000}"/>
    <cellStyle name="Header2" xfId="34" xr:uid="{00000000-0005-0000-0000-000011000000}"/>
    <cellStyle name="Heading 1 2" xfId="33" xr:uid="{00000000-0005-0000-0000-000012000000}"/>
    <cellStyle name="Heading 2 2" xfId="35" xr:uid="{00000000-0005-0000-0000-000013000000}"/>
    <cellStyle name="Input [yellow]" xfId="36" xr:uid="{00000000-0005-0000-0000-000014000000}"/>
    <cellStyle name="Model" xfId="37" xr:uid="{00000000-0005-0000-0000-000015000000}"/>
    <cellStyle name="Normal" xfId="0" builtinId="0"/>
    <cellStyle name="Normal - Style1" xfId="25" xr:uid="{00000000-0005-0000-0000-000017000000}"/>
    <cellStyle name="Normal - Style1 2" xfId="38" xr:uid="{00000000-0005-0000-0000-000018000000}"/>
    <cellStyle name="Normal 10" xfId="6" xr:uid="{00000000-0005-0000-0000-000019000000}"/>
    <cellStyle name="Normal 11" xfId="7" xr:uid="{00000000-0005-0000-0000-00001A000000}"/>
    <cellStyle name="Normal 12" xfId="39" xr:uid="{00000000-0005-0000-0000-00001B000000}"/>
    <cellStyle name="Normal 13" xfId="40" xr:uid="{00000000-0005-0000-0000-00001C000000}"/>
    <cellStyle name="Normal 14" xfId="41" xr:uid="{00000000-0005-0000-0000-00001D000000}"/>
    <cellStyle name="Normal 15" xfId="8" xr:uid="{00000000-0005-0000-0000-00001E000000}"/>
    <cellStyle name="Normal 16" xfId="44" xr:uid="{00000000-0005-0000-0000-00001F000000}"/>
    <cellStyle name="Normal 17" xfId="45" xr:uid="{00000000-0005-0000-0000-000020000000}"/>
    <cellStyle name="Normal 18" xfId="47" xr:uid="{00000000-0005-0000-0000-000021000000}"/>
    <cellStyle name="Normal 19" xfId="49" xr:uid="{00000000-0005-0000-0000-000022000000}"/>
    <cellStyle name="Normal 2" xfId="3" xr:uid="{00000000-0005-0000-0000-000023000000}"/>
    <cellStyle name="Normal 2 2" xfId="51" xr:uid="{00000000-0005-0000-0000-000024000000}"/>
    <cellStyle name="Normal 2 3" xfId="50" xr:uid="{00000000-0005-0000-0000-000025000000}"/>
    <cellStyle name="Normal 20" xfId="42" xr:uid="{00000000-0005-0000-0000-000026000000}"/>
    <cellStyle name="Normal 21" xfId="43" xr:uid="{00000000-0005-0000-0000-000027000000}"/>
    <cellStyle name="Normal 22" xfId="11" xr:uid="{00000000-0005-0000-0000-000028000000}"/>
    <cellStyle name="Normal 23" xfId="46" xr:uid="{00000000-0005-0000-0000-000029000000}"/>
    <cellStyle name="Normal 24" xfId="48" xr:uid="{00000000-0005-0000-0000-00002A000000}"/>
    <cellStyle name="Normal 25" xfId="9" xr:uid="{00000000-0005-0000-0000-00002B000000}"/>
    <cellStyle name="Normal 26" xfId="10" xr:uid="{00000000-0005-0000-0000-00002C000000}"/>
    <cellStyle name="Normal 27" xfId="54" xr:uid="{00000000-0005-0000-0000-00002D000000}"/>
    <cellStyle name="Normal 28" xfId="15" xr:uid="{00000000-0005-0000-0000-00002E000000}"/>
    <cellStyle name="Normal 29" xfId="14" xr:uid="{00000000-0005-0000-0000-00002F000000}"/>
    <cellStyle name="Normal 3" xfId="12" xr:uid="{00000000-0005-0000-0000-000030000000}"/>
    <cellStyle name="Normal 3 2" xfId="55" xr:uid="{00000000-0005-0000-0000-000031000000}"/>
    <cellStyle name="Normal 30" xfId="52" xr:uid="{00000000-0005-0000-0000-000032000000}"/>
    <cellStyle name="Normal 31" xfId="17" xr:uid="{00000000-0005-0000-0000-000033000000}"/>
    <cellStyle name="Normal 4" xfId="56" xr:uid="{00000000-0005-0000-0000-000034000000}"/>
    <cellStyle name="Normal 4 2" xfId="57" xr:uid="{00000000-0005-0000-0000-000035000000}"/>
    <cellStyle name="Normal 5" xfId="58" xr:uid="{00000000-0005-0000-0000-000036000000}"/>
    <cellStyle name="Normal 5 2" xfId="59" xr:uid="{00000000-0005-0000-0000-000037000000}"/>
    <cellStyle name="Normal 6" xfId="60" xr:uid="{00000000-0005-0000-0000-000038000000}"/>
    <cellStyle name="Normal 7" xfId="61" xr:uid="{00000000-0005-0000-0000-000039000000}"/>
    <cellStyle name="Normal 8" xfId="62" xr:uid="{00000000-0005-0000-0000-00003A000000}"/>
    <cellStyle name="Normal 9" xfId="63" xr:uid="{00000000-0005-0000-0000-00003B000000}"/>
    <cellStyle name="Percent" xfId="2" builtinId="5"/>
    <cellStyle name="Percent [2]" xfId="64" xr:uid="{00000000-0005-0000-0000-00003D000000}"/>
    <cellStyle name="Percent [2] 2" xfId="65" xr:uid="{00000000-0005-0000-0000-00003E000000}"/>
    <cellStyle name="Percent 2" xfId="19" xr:uid="{00000000-0005-0000-0000-00003F000000}"/>
    <cellStyle name="Percent 3" xfId="5" xr:uid="{00000000-0005-0000-0000-000040000000}"/>
    <cellStyle name="subhead" xfId="66" xr:uid="{00000000-0005-0000-0000-000041000000}"/>
    <cellStyle name="Total 2" xfId="67" xr:uid="{00000000-0005-0000-0000-000042000000}"/>
    <cellStyle name="똿뗦먛귟 [0.00]_PRODUCT DETAIL Q1" xfId="68" xr:uid="{00000000-0005-0000-0000-000043000000}"/>
    <cellStyle name="똿뗦먛귟_PRODUCT DETAIL Q1" xfId="69" xr:uid="{00000000-0005-0000-0000-000044000000}"/>
    <cellStyle name="믅됞 [0.00]_PRODUCT DETAIL Q1" xfId="70" xr:uid="{00000000-0005-0000-0000-000045000000}"/>
    <cellStyle name="믅됞_PRODUCT DETAIL Q1" xfId="71" xr:uid="{00000000-0005-0000-0000-000046000000}"/>
    <cellStyle name="백분율_HOBONG" xfId="72" xr:uid="{00000000-0005-0000-0000-000047000000}"/>
    <cellStyle name="뷭?_BOOKSHIP" xfId="73" xr:uid="{00000000-0005-0000-0000-000048000000}"/>
    <cellStyle name="콤마 [0]_1202" xfId="74" xr:uid="{00000000-0005-0000-0000-000049000000}"/>
    <cellStyle name="콤마_1202" xfId="75" xr:uid="{00000000-0005-0000-0000-00004A000000}"/>
    <cellStyle name="통화 [0]_1202" xfId="76" xr:uid="{00000000-0005-0000-0000-00004B000000}"/>
    <cellStyle name="통화_1202" xfId="53" xr:uid="{00000000-0005-0000-0000-00004C000000}"/>
    <cellStyle name="표준_(정보부문)월별인원계획" xfId="77" xr:uid="{00000000-0005-0000-0000-00004D000000}"/>
    <cellStyle name="一般_DINHMUC-HD33(1)" xfId="78" xr:uid="{00000000-0005-0000-0000-00004E000000}"/>
    <cellStyle name="千分位_DINHMUC-HD33(1)" xfId="79" xr:uid="{00000000-0005-0000-0000-00004F000000}"/>
  </cellStyles>
  <dxfs count="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12"/>
  <sheetViews>
    <sheetView topLeftCell="Y1" zoomScale="85" zoomScaleNormal="85" workbookViewId="0">
      <selection activeCell="AD25" sqref="AD25"/>
    </sheetView>
  </sheetViews>
  <sheetFormatPr defaultRowHeight="17.399999999999999"/>
  <cols>
    <col min="1" max="1" width="17.77734375" style="172" bestFit="1" customWidth="1"/>
    <col min="2" max="2" width="15" style="172" bestFit="1" customWidth="1"/>
    <col min="3" max="4" width="13.21875" style="172" bestFit="1" customWidth="1"/>
    <col min="5" max="8" width="15" style="172" bestFit="1" customWidth="1"/>
    <col min="9" max="9" width="13.21875" style="172" bestFit="1" customWidth="1"/>
    <col min="10" max="13" width="15" style="172" bestFit="1" customWidth="1"/>
    <col min="14" max="14" width="18" style="172" bestFit="1" customWidth="1"/>
    <col min="15" max="15" width="9" style="172" bestFit="1" customWidth="1"/>
    <col min="16" max="16" width="17.21875" style="172" bestFit="1" customWidth="1"/>
    <col min="17" max="23" width="9" style="172" bestFit="1" customWidth="1"/>
    <col min="24" max="24" width="8.88671875" style="172"/>
    <col min="25" max="25" width="16.88671875" style="172" bestFit="1" customWidth="1"/>
    <col min="26" max="16384" width="8.88671875" style="172"/>
  </cols>
  <sheetData>
    <row r="1" spans="1:45" ht="18" thickBot="1">
      <c r="Z1" s="178">
        <v>2023</v>
      </c>
      <c r="AA1" s="179"/>
      <c r="AB1" s="179"/>
      <c r="AC1" s="179"/>
      <c r="AD1" s="179"/>
      <c r="AE1" s="179"/>
      <c r="AF1" s="179"/>
      <c r="AG1" s="179"/>
      <c r="AH1" s="179"/>
      <c r="AI1" s="179"/>
      <c r="AJ1" s="179"/>
      <c r="AK1" s="180"/>
      <c r="AL1" s="182">
        <v>2022</v>
      </c>
      <c r="AM1" s="183"/>
      <c r="AN1" s="183"/>
      <c r="AO1" s="183"/>
      <c r="AP1" s="183"/>
      <c r="AQ1" s="183"/>
      <c r="AR1" s="183"/>
      <c r="AS1" s="184"/>
    </row>
    <row r="2" spans="1:45" ht="34.799999999999997">
      <c r="A2" s="170" t="s">
        <v>39</v>
      </c>
      <c r="B2" s="170" t="s">
        <v>13</v>
      </c>
      <c r="C2" s="170" t="s">
        <v>24</v>
      </c>
      <c r="D2" s="170" t="s">
        <v>25</v>
      </c>
      <c r="E2" s="170" t="s">
        <v>26</v>
      </c>
      <c r="F2" s="170" t="s">
        <v>23</v>
      </c>
      <c r="G2" s="170" t="s">
        <v>20</v>
      </c>
      <c r="H2" s="170" t="s">
        <v>19</v>
      </c>
      <c r="I2" s="170" t="s">
        <v>18</v>
      </c>
      <c r="J2" s="170" t="s">
        <v>17</v>
      </c>
      <c r="K2" s="170" t="s">
        <v>16</v>
      </c>
      <c r="L2" s="170" t="s">
        <v>15</v>
      </c>
      <c r="M2" s="170" t="s">
        <v>14</v>
      </c>
      <c r="N2" s="171" t="s">
        <v>67</v>
      </c>
      <c r="P2" s="173" t="s">
        <v>781</v>
      </c>
      <c r="Q2" s="174">
        <v>0.6</v>
      </c>
      <c r="R2" s="174">
        <v>0.7</v>
      </c>
      <c r="S2" s="174">
        <v>0.8</v>
      </c>
      <c r="T2" s="174">
        <v>0.9</v>
      </c>
      <c r="U2" s="174">
        <v>1</v>
      </c>
      <c r="V2" s="174">
        <v>1.1000000000000001</v>
      </c>
      <c r="W2" s="174">
        <v>1.2</v>
      </c>
      <c r="Y2" s="170" t="s">
        <v>782</v>
      </c>
      <c r="Z2" s="170" t="s">
        <v>13</v>
      </c>
      <c r="AA2" s="170" t="s">
        <v>24</v>
      </c>
      <c r="AB2" s="170" t="s">
        <v>25</v>
      </c>
      <c r="AC2" s="170" t="s">
        <v>26</v>
      </c>
      <c r="AD2" s="170" t="s">
        <v>23</v>
      </c>
      <c r="AE2" s="170" t="s">
        <v>20</v>
      </c>
      <c r="AF2" s="170" t="s">
        <v>19</v>
      </c>
      <c r="AG2" s="170" t="s">
        <v>18</v>
      </c>
      <c r="AH2" s="170" t="s">
        <v>17</v>
      </c>
      <c r="AI2" s="170" t="s">
        <v>16</v>
      </c>
      <c r="AJ2" s="170" t="s">
        <v>15</v>
      </c>
      <c r="AK2" s="170" t="s">
        <v>14</v>
      </c>
      <c r="AL2" s="181" t="s">
        <v>172</v>
      </c>
      <c r="AM2" s="181" t="s">
        <v>173</v>
      </c>
      <c r="AN2" s="181" t="s">
        <v>174</v>
      </c>
      <c r="AO2" s="181" t="s">
        <v>175</v>
      </c>
      <c r="AP2" s="181" t="s">
        <v>176</v>
      </c>
      <c r="AQ2" s="181" t="s">
        <v>177</v>
      </c>
      <c r="AR2" s="181" t="s">
        <v>178</v>
      </c>
      <c r="AS2" s="181" t="s">
        <v>179</v>
      </c>
    </row>
    <row r="3" spans="1:45">
      <c r="A3" s="170" t="s">
        <v>769</v>
      </c>
      <c r="B3" s="175">
        <v>930000000</v>
      </c>
      <c r="C3" s="175">
        <v>580000000</v>
      </c>
      <c r="D3" s="175">
        <v>830000000</v>
      </c>
      <c r="E3" s="175">
        <v>1020000000</v>
      </c>
      <c r="F3" s="175">
        <v>1050000000</v>
      </c>
      <c r="G3" s="175">
        <v>1200000000</v>
      </c>
      <c r="H3" s="175">
        <v>1280000000</v>
      </c>
      <c r="I3" s="175">
        <v>980000000</v>
      </c>
      <c r="J3" s="175">
        <v>1270000000</v>
      </c>
      <c r="K3" s="175">
        <v>1310000000</v>
      </c>
      <c r="L3" s="175">
        <v>1540000000</v>
      </c>
      <c r="M3" s="175">
        <v>1540000000</v>
      </c>
      <c r="N3" s="176">
        <v>13530000000</v>
      </c>
      <c r="P3" s="170" t="s">
        <v>769</v>
      </c>
      <c r="Q3" s="177">
        <v>0</v>
      </c>
      <c r="R3" s="177">
        <v>7.0000000000000001E-3</v>
      </c>
      <c r="S3" s="177">
        <v>8.0000000000000002E-3</v>
      </c>
      <c r="T3" s="177">
        <v>8.9999999999999993E-3</v>
      </c>
      <c r="U3" s="177">
        <v>1.2E-2</v>
      </c>
      <c r="V3" s="177">
        <v>1.4999999999999999E-2</v>
      </c>
      <c r="W3" s="177">
        <v>1.9E-2</v>
      </c>
      <c r="Y3" s="170" t="s">
        <v>769</v>
      </c>
      <c r="Z3" s="177">
        <v>1.7000000000000001E-2</v>
      </c>
      <c r="AA3" s="177">
        <v>1.9E-2</v>
      </c>
      <c r="AB3" s="177">
        <v>1.7000000000000001E-2</v>
      </c>
      <c r="AC3" s="177">
        <v>1.9E-2</v>
      </c>
      <c r="AD3" s="177">
        <v>1.7000000000000001E-2</v>
      </c>
      <c r="AE3" s="177">
        <v>1.7000000000000001E-2</v>
      </c>
      <c r="AF3" s="177"/>
      <c r="AG3" s="177"/>
      <c r="AH3" s="177"/>
      <c r="AI3" s="177"/>
      <c r="AJ3" s="177"/>
      <c r="AK3" s="177"/>
      <c r="AL3" s="177">
        <v>1.7000000000000001E-2</v>
      </c>
      <c r="AM3" s="177">
        <v>1.9E-2</v>
      </c>
      <c r="AN3" s="177">
        <v>1.7000000000000001E-2</v>
      </c>
      <c r="AO3" s="177">
        <v>1.7000000000000001E-2</v>
      </c>
      <c r="AP3" s="177">
        <v>1.4999999999999999E-2</v>
      </c>
      <c r="AQ3" s="177">
        <v>1.9E-2</v>
      </c>
      <c r="AR3" s="177">
        <v>1.9E-2</v>
      </c>
      <c r="AS3" s="177">
        <v>1.9E-2</v>
      </c>
    </row>
    <row r="4" spans="1:45">
      <c r="A4" s="170" t="s">
        <v>770</v>
      </c>
      <c r="B4" s="175">
        <v>950000000</v>
      </c>
      <c r="C4" s="175">
        <v>610000000</v>
      </c>
      <c r="D4" s="175">
        <v>840000000</v>
      </c>
      <c r="E4" s="175">
        <v>1110000000</v>
      </c>
      <c r="F4" s="175">
        <v>1180000000</v>
      </c>
      <c r="G4" s="175">
        <v>1360000000</v>
      </c>
      <c r="H4" s="175">
        <v>1400000000</v>
      </c>
      <c r="I4" s="175">
        <v>980000000</v>
      </c>
      <c r="J4" s="175">
        <v>1330000000</v>
      </c>
      <c r="K4" s="175">
        <v>1430000000</v>
      </c>
      <c r="L4" s="175">
        <v>1630000000</v>
      </c>
      <c r="M4" s="175">
        <v>1660000000</v>
      </c>
      <c r="N4" s="176">
        <v>14480000000</v>
      </c>
      <c r="P4" s="170" t="s">
        <v>770</v>
      </c>
      <c r="Q4" s="177">
        <v>0</v>
      </c>
      <c r="R4" s="177">
        <v>7.0000000000000001E-3</v>
      </c>
      <c r="S4" s="177">
        <v>8.0000000000000002E-3</v>
      </c>
      <c r="T4" s="177">
        <v>8.9999999999999993E-3</v>
      </c>
      <c r="U4" s="177">
        <v>1.2E-2</v>
      </c>
      <c r="V4" s="177">
        <v>1.4999999999999999E-2</v>
      </c>
      <c r="W4" s="177">
        <v>1.9E-2</v>
      </c>
      <c r="Y4" s="170" t="s">
        <v>770</v>
      </c>
      <c r="Z4" s="177">
        <v>1.4999999999999999E-2</v>
      </c>
      <c r="AA4" s="177">
        <v>1.9E-2</v>
      </c>
      <c r="AB4" s="177">
        <v>1.9E-2</v>
      </c>
      <c r="AC4" s="177">
        <v>1.4999999999999999E-2</v>
      </c>
      <c r="AD4" s="177">
        <v>1.4999999999999999E-2</v>
      </c>
      <c r="AE4" s="177">
        <v>1.4999999999999999E-2</v>
      </c>
      <c r="AF4" s="177"/>
      <c r="AG4" s="177"/>
      <c r="AH4" s="177"/>
      <c r="AI4" s="177"/>
      <c r="AJ4" s="177"/>
      <c r="AK4" s="177"/>
      <c r="AL4" s="177">
        <v>1.4999999999999999E-2</v>
      </c>
      <c r="AM4" s="177">
        <v>1.9E-2</v>
      </c>
      <c r="AN4" s="177">
        <v>1.7000000000000001E-2</v>
      </c>
      <c r="AO4" s="177">
        <v>1.9E-2</v>
      </c>
      <c r="AP4" s="177">
        <v>1.7000000000000001E-2</v>
      </c>
      <c r="AQ4" s="177">
        <v>1.9E-2</v>
      </c>
      <c r="AR4" s="177">
        <v>1.9E-2</v>
      </c>
      <c r="AS4" s="177">
        <v>1.9E-2</v>
      </c>
    </row>
    <row r="5" spans="1:45">
      <c r="A5" s="170" t="s">
        <v>771</v>
      </c>
      <c r="B5" s="175">
        <v>1180000000</v>
      </c>
      <c r="C5" s="175">
        <v>55000000</v>
      </c>
      <c r="D5" s="175">
        <v>96000000</v>
      </c>
      <c r="E5" s="175">
        <v>118000000</v>
      </c>
      <c r="F5" s="175">
        <v>134000000</v>
      </c>
      <c r="G5" s="175">
        <v>142000000</v>
      </c>
      <c r="H5" s="175">
        <v>155000000</v>
      </c>
      <c r="I5" s="175">
        <v>115000000</v>
      </c>
      <c r="J5" s="175">
        <v>145000000</v>
      </c>
      <c r="K5" s="175">
        <v>150000000</v>
      </c>
      <c r="L5" s="175">
        <v>180000000</v>
      </c>
      <c r="M5" s="175">
        <v>180000000</v>
      </c>
      <c r="N5" s="176">
        <v>15880000000</v>
      </c>
      <c r="P5" s="170" t="s">
        <v>771</v>
      </c>
      <c r="Q5" s="177">
        <v>0</v>
      </c>
      <c r="R5" s="177">
        <v>7.0000000000000001E-3</v>
      </c>
      <c r="S5" s="177">
        <v>8.0000000000000002E-3</v>
      </c>
      <c r="T5" s="177">
        <v>8.9999999999999993E-3</v>
      </c>
      <c r="U5" s="177">
        <v>1.2E-2</v>
      </c>
      <c r="V5" s="177">
        <v>1.4999999999999999E-2</v>
      </c>
      <c r="W5" s="177">
        <v>1.9E-2</v>
      </c>
      <c r="Y5" s="170" t="s">
        <v>771</v>
      </c>
      <c r="Z5" s="177">
        <v>0.01</v>
      </c>
      <c r="AA5" s="177">
        <v>0.01</v>
      </c>
      <c r="AB5" s="177">
        <v>1.9E-2</v>
      </c>
      <c r="AC5" s="177">
        <v>1.9E-2</v>
      </c>
      <c r="AD5" s="177">
        <v>1.9E-2</v>
      </c>
      <c r="AE5" s="177">
        <v>0.01</v>
      </c>
      <c r="AF5" s="177"/>
      <c r="AG5" s="177"/>
      <c r="AH5" s="177"/>
      <c r="AI5" s="177"/>
      <c r="AJ5" s="177"/>
      <c r="AK5" s="177"/>
      <c r="AL5" s="177">
        <v>1.9E-2</v>
      </c>
      <c r="AM5" s="177">
        <v>1.9E-2</v>
      </c>
      <c r="AN5" s="177">
        <v>1.9E-2</v>
      </c>
      <c r="AO5" s="177">
        <v>1.9E-2</v>
      </c>
      <c r="AP5" s="177">
        <v>1.9E-2</v>
      </c>
      <c r="AQ5" s="177">
        <v>1.9E-2</v>
      </c>
      <c r="AR5" s="177">
        <v>1.9E-2</v>
      </c>
      <c r="AS5" s="177">
        <v>1.9E-2</v>
      </c>
    </row>
    <row r="6" spans="1:45">
      <c r="A6" s="170" t="s">
        <v>772</v>
      </c>
      <c r="B6" s="175">
        <v>240000000</v>
      </c>
      <c r="C6" s="175">
        <v>210000000</v>
      </c>
      <c r="D6" s="175">
        <v>240000000</v>
      </c>
      <c r="E6" s="175">
        <v>310000000</v>
      </c>
      <c r="F6" s="175">
        <v>370000000</v>
      </c>
      <c r="G6" s="175">
        <v>410000000</v>
      </c>
      <c r="H6" s="175">
        <v>470000000</v>
      </c>
      <c r="I6" s="175">
        <v>390000000</v>
      </c>
      <c r="J6" s="175">
        <v>440000000</v>
      </c>
      <c r="K6" s="175">
        <v>490000000</v>
      </c>
      <c r="L6" s="175">
        <v>550000000</v>
      </c>
      <c r="M6" s="175">
        <v>580000000</v>
      </c>
      <c r="N6" s="176">
        <v>4700000000</v>
      </c>
      <c r="P6" s="170" t="s">
        <v>772</v>
      </c>
      <c r="Q6" s="177">
        <v>0</v>
      </c>
      <c r="R6" s="177">
        <v>7.0000000000000001E-3</v>
      </c>
      <c r="S6" s="177">
        <v>8.0000000000000002E-3</v>
      </c>
      <c r="T6" s="177">
        <v>8.9999999999999993E-3</v>
      </c>
      <c r="U6" s="177">
        <v>1.2E-2</v>
      </c>
      <c r="V6" s="177">
        <v>1.4999999999999999E-2</v>
      </c>
      <c r="W6" s="177">
        <v>1.9E-2</v>
      </c>
      <c r="Y6" s="170" t="s">
        <v>772</v>
      </c>
      <c r="Z6" s="177">
        <v>8.0000000000000002E-3</v>
      </c>
      <c r="AA6" s="177">
        <v>7.0000000000000001E-3</v>
      </c>
      <c r="AB6" s="177">
        <v>7.0000000000000001E-3</v>
      </c>
      <c r="AC6" s="177">
        <v>1.7000000000000001E-2</v>
      </c>
      <c r="AD6" s="177">
        <v>1.7000000000000001E-2</v>
      </c>
      <c r="AE6" s="177">
        <v>7.0000000000000001E-3</v>
      </c>
      <c r="AF6" s="177"/>
      <c r="AG6" s="177"/>
      <c r="AH6" s="177"/>
      <c r="AI6" s="177"/>
      <c r="AJ6" s="177"/>
      <c r="AK6" s="177"/>
      <c r="AL6" s="177">
        <v>1.4999999999999999E-2</v>
      </c>
      <c r="AM6" s="177">
        <v>1.7000000000000001E-2</v>
      </c>
      <c r="AN6" s="177">
        <v>1.7000000000000001E-2</v>
      </c>
      <c r="AO6" s="177">
        <v>1.4999999999999999E-2</v>
      </c>
      <c r="AP6" s="177">
        <v>1.4999999999999999E-2</v>
      </c>
      <c r="AQ6" s="177">
        <v>1.9E-2</v>
      </c>
      <c r="AR6" s="177">
        <v>1.9E-2</v>
      </c>
      <c r="AS6" s="177">
        <v>1.9E-2</v>
      </c>
    </row>
    <row r="7" spans="1:45">
      <c r="A7" s="170" t="s">
        <v>773</v>
      </c>
      <c r="B7" s="175">
        <v>280000000</v>
      </c>
      <c r="C7" s="175">
        <v>170000000</v>
      </c>
      <c r="D7" s="175">
        <v>184000000</v>
      </c>
      <c r="E7" s="175">
        <v>234000000</v>
      </c>
      <c r="F7" s="175">
        <v>244000000</v>
      </c>
      <c r="G7" s="175">
        <v>269000000</v>
      </c>
      <c r="H7" s="175">
        <v>269000000</v>
      </c>
      <c r="I7" s="175">
        <v>224000000</v>
      </c>
      <c r="J7" s="175">
        <v>269000000</v>
      </c>
      <c r="K7" s="175">
        <v>293000000</v>
      </c>
      <c r="L7" s="175">
        <v>303000000</v>
      </c>
      <c r="M7" s="175">
        <v>303000000</v>
      </c>
      <c r="N7" s="176">
        <v>3042000000</v>
      </c>
      <c r="P7" s="170" t="s">
        <v>773</v>
      </c>
      <c r="Q7" s="177">
        <v>0</v>
      </c>
      <c r="R7" s="177">
        <v>7.0000000000000001E-3</v>
      </c>
      <c r="S7" s="177">
        <v>8.0000000000000002E-3</v>
      </c>
      <c r="T7" s="177">
        <v>8.9999999999999993E-3</v>
      </c>
      <c r="U7" s="177">
        <v>1.2E-2</v>
      </c>
      <c r="V7" s="177">
        <v>1.4999999999999999E-2</v>
      </c>
      <c r="W7" s="177">
        <v>1.9E-2</v>
      </c>
      <c r="Y7" s="170" t="s">
        <v>773</v>
      </c>
      <c r="Z7" s="177">
        <v>7.0000000000000001E-3</v>
      </c>
      <c r="AA7" s="177">
        <v>7.0000000000000001E-3</v>
      </c>
      <c r="AB7" s="177">
        <v>7.0000000000000001E-3</v>
      </c>
      <c r="AC7" s="177">
        <v>8.0000000000000002E-3</v>
      </c>
      <c r="AD7" s="177">
        <v>1.9E-2</v>
      </c>
      <c r="AE7" s="177">
        <v>7.0000000000000001E-3</v>
      </c>
      <c r="AF7" s="177"/>
      <c r="AG7" s="177"/>
      <c r="AH7" s="177"/>
      <c r="AI7" s="177"/>
      <c r="AJ7" s="177"/>
      <c r="AK7" s="177"/>
      <c r="AL7" s="177">
        <v>0</v>
      </c>
      <c r="AM7" s="177">
        <v>0</v>
      </c>
      <c r="AN7" s="177">
        <v>0</v>
      </c>
      <c r="AO7" s="177">
        <v>0.01</v>
      </c>
      <c r="AP7" s="177">
        <v>0</v>
      </c>
      <c r="AQ7" s="177">
        <v>1.4999999999999999E-2</v>
      </c>
      <c r="AR7" s="177">
        <v>8.0000000000000002E-3</v>
      </c>
      <c r="AS7" s="177">
        <v>1.9E-2</v>
      </c>
    </row>
    <row r="8" spans="1:45">
      <c r="A8" s="170" t="s">
        <v>774</v>
      </c>
      <c r="B8" s="175">
        <v>230000000</v>
      </c>
      <c r="C8" s="175">
        <v>100000000</v>
      </c>
      <c r="D8" s="175">
        <v>230000000</v>
      </c>
      <c r="E8" s="175">
        <v>250000000</v>
      </c>
      <c r="F8" s="175">
        <v>230000000</v>
      </c>
      <c r="G8" s="175">
        <v>250000000</v>
      </c>
      <c r="H8" s="175">
        <v>290000000</v>
      </c>
      <c r="I8" s="175">
        <v>250000000</v>
      </c>
      <c r="J8" s="175">
        <v>320000000</v>
      </c>
      <c r="K8" s="175">
        <v>330000000</v>
      </c>
      <c r="L8" s="175">
        <v>280000000</v>
      </c>
      <c r="M8" s="175">
        <v>250000000</v>
      </c>
      <c r="N8" s="176">
        <v>3010000000</v>
      </c>
      <c r="P8" s="170" t="s">
        <v>774</v>
      </c>
      <c r="Q8" s="177">
        <v>6.0000000000000001E-3</v>
      </c>
      <c r="R8" s="177">
        <v>7.0000000000000001E-3</v>
      </c>
      <c r="S8" s="177">
        <v>8.0000000000000002E-3</v>
      </c>
      <c r="T8" s="177">
        <v>8.9999999999999993E-3</v>
      </c>
      <c r="U8" s="177">
        <v>1.2999999999999999E-2</v>
      </c>
      <c r="V8" s="177">
        <v>1.6E-2</v>
      </c>
      <c r="W8" s="177">
        <v>0.02</v>
      </c>
      <c r="Y8" s="170" t="s">
        <v>774</v>
      </c>
      <c r="Z8" s="177">
        <v>1.4999999999999999E-2</v>
      </c>
      <c r="AA8" s="177">
        <v>1.9E-2</v>
      </c>
      <c r="AB8" s="177">
        <v>1.9E-2</v>
      </c>
      <c r="AC8" s="177">
        <v>1.4999999999999999E-2</v>
      </c>
      <c r="AD8" s="177">
        <v>1.4999999999999999E-2</v>
      </c>
      <c r="AE8" s="177">
        <v>1.4999999999999999E-2</v>
      </c>
      <c r="AF8" s="177"/>
      <c r="AG8" s="177"/>
      <c r="AH8" s="177"/>
      <c r="AI8" s="177"/>
      <c r="AJ8" s="177"/>
      <c r="AK8" s="177"/>
      <c r="AL8" s="177">
        <v>0</v>
      </c>
      <c r="AM8" s="177">
        <v>0</v>
      </c>
      <c r="AN8" s="177">
        <v>1.7000000000000001E-2</v>
      </c>
      <c r="AO8" s="177">
        <v>1.9E-2</v>
      </c>
      <c r="AP8" s="177">
        <v>0.01</v>
      </c>
      <c r="AQ8" s="177">
        <v>7.000000000000001E-3</v>
      </c>
      <c r="AR8" s="177">
        <v>0.01</v>
      </c>
      <c r="AS8" s="177">
        <v>7.000000000000001E-3</v>
      </c>
    </row>
    <row r="9" spans="1:45">
      <c r="A9" s="170" t="s">
        <v>775</v>
      </c>
      <c r="B9" s="175">
        <v>275000000</v>
      </c>
      <c r="C9" s="175">
        <v>185000000</v>
      </c>
      <c r="D9" s="175">
        <v>275000000</v>
      </c>
      <c r="E9" s="175">
        <v>310000000</v>
      </c>
      <c r="F9" s="175">
        <v>325000000</v>
      </c>
      <c r="G9" s="175">
        <v>335000000</v>
      </c>
      <c r="H9" s="175">
        <v>415000000</v>
      </c>
      <c r="I9" s="175">
        <v>305000000</v>
      </c>
      <c r="J9" s="175">
        <v>395000000</v>
      </c>
      <c r="K9" s="175">
        <v>495000000</v>
      </c>
      <c r="L9" s="175">
        <v>530000000</v>
      </c>
      <c r="M9" s="175">
        <v>555000000</v>
      </c>
      <c r="N9" s="176">
        <v>4400000000</v>
      </c>
      <c r="P9" s="170" t="s">
        <v>775</v>
      </c>
      <c r="Q9" s="177">
        <v>6.0000000000000001E-3</v>
      </c>
      <c r="R9" s="177">
        <v>7.0000000000000001E-3</v>
      </c>
      <c r="S9" s="177">
        <v>8.0000000000000002E-3</v>
      </c>
      <c r="T9" s="177">
        <v>8.9999999999999993E-3</v>
      </c>
      <c r="U9" s="177">
        <v>1.2999999999999999E-2</v>
      </c>
      <c r="V9" s="177">
        <v>1.6E-2</v>
      </c>
      <c r="W9" s="177">
        <v>0.02</v>
      </c>
      <c r="Y9" s="170" t="s">
        <v>775</v>
      </c>
      <c r="Z9" s="177">
        <v>8.0000000000000002E-3</v>
      </c>
      <c r="AA9" s="177">
        <v>8.0000000000000002E-3</v>
      </c>
      <c r="AB9" s="177">
        <v>8.0000000000000002E-3</v>
      </c>
      <c r="AC9" s="177">
        <v>8.0000000000000002E-3</v>
      </c>
      <c r="AD9" s="177">
        <v>8.0000000000000002E-3</v>
      </c>
      <c r="AE9" s="177">
        <v>8.0000000000000002E-3</v>
      </c>
      <c r="AF9" s="177"/>
      <c r="AG9" s="177"/>
      <c r="AH9" s="177"/>
      <c r="AI9" s="177"/>
      <c r="AJ9" s="177"/>
      <c r="AK9" s="177"/>
      <c r="AL9" s="177">
        <v>0</v>
      </c>
      <c r="AM9" s="177">
        <v>0</v>
      </c>
      <c r="AN9" s="177">
        <v>1.7000000000000001E-2</v>
      </c>
      <c r="AO9" s="177">
        <v>1.9E-2</v>
      </c>
      <c r="AP9" s="177">
        <v>1.7000000000000001E-2</v>
      </c>
      <c r="AQ9" s="177">
        <v>1.9E-2</v>
      </c>
      <c r="AR9" s="177">
        <v>8.0000000000000002E-3</v>
      </c>
      <c r="AS9" s="177">
        <v>8.0000000000000002E-3</v>
      </c>
    </row>
    <row r="10" spans="1:45">
      <c r="A10" s="170" t="s">
        <v>776</v>
      </c>
      <c r="B10" s="175">
        <v>240000000</v>
      </c>
      <c r="C10" s="175">
        <v>180000000</v>
      </c>
      <c r="D10" s="175">
        <v>240000000</v>
      </c>
      <c r="E10" s="175">
        <v>250000000</v>
      </c>
      <c r="F10" s="175">
        <v>310000000</v>
      </c>
      <c r="G10" s="175">
        <v>360000000</v>
      </c>
      <c r="H10" s="175">
        <v>370000000</v>
      </c>
      <c r="I10" s="175">
        <v>325000000</v>
      </c>
      <c r="J10" s="175">
        <v>410000000</v>
      </c>
      <c r="K10" s="175">
        <v>420000000</v>
      </c>
      <c r="L10" s="175">
        <v>460000000</v>
      </c>
      <c r="M10" s="175">
        <v>500000000</v>
      </c>
      <c r="N10" s="176">
        <v>4065000000</v>
      </c>
      <c r="P10" s="170" t="s">
        <v>776</v>
      </c>
      <c r="Q10" s="177">
        <v>6.0000000000000001E-3</v>
      </c>
      <c r="R10" s="177">
        <v>7.0000000000000001E-3</v>
      </c>
      <c r="S10" s="177">
        <v>8.0000000000000002E-3</v>
      </c>
      <c r="T10" s="177">
        <v>8.9999999999999993E-3</v>
      </c>
      <c r="U10" s="177">
        <v>1.2999999999999999E-2</v>
      </c>
      <c r="V10" s="177">
        <v>1.6E-2</v>
      </c>
      <c r="W10" s="177">
        <v>0.02</v>
      </c>
      <c r="Y10" s="170" t="s">
        <v>776</v>
      </c>
      <c r="Z10" s="177">
        <v>1.7000000000000001E-2</v>
      </c>
      <c r="AA10" s="177">
        <v>1.9E-2</v>
      </c>
      <c r="AB10" s="177">
        <v>1.7000000000000001E-2</v>
      </c>
      <c r="AC10" s="177">
        <v>1.9E-2</v>
      </c>
      <c r="AD10" s="177">
        <v>1.7000000000000001E-2</v>
      </c>
      <c r="AE10" s="177">
        <v>1.7000000000000001E-2</v>
      </c>
      <c r="AF10" s="177"/>
      <c r="AG10" s="177"/>
      <c r="AH10" s="177"/>
      <c r="AI10" s="177"/>
      <c r="AJ10" s="177"/>
      <c r="AK10" s="177"/>
      <c r="AL10" s="177">
        <v>0</v>
      </c>
      <c r="AM10" s="177">
        <v>0</v>
      </c>
      <c r="AN10" s="177">
        <v>0</v>
      </c>
      <c r="AO10" s="177">
        <v>0</v>
      </c>
      <c r="AP10" s="177">
        <v>0</v>
      </c>
      <c r="AQ10" s="177">
        <v>1.3000000000000001E-2</v>
      </c>
      <c r="AR10" s="177">
        <v>1.3000000000000001E-2</v>
      </c>
      <c r="AS10" s="177">
        <v>1.3000000000000001E-2</v>
      </c>
    </row>
    <row r="11" spans="1:45">
      <c r="A11" s="170" t="s">
        <v>777</v>
      </c>
      <c r="B11" s="175">
        <v>400000000</v>
      </c>
      <c r="C11" s="175">
        <v>370000000</v>
      </c>
      <c r="D11" s="175">
        <v>390000000</v>
      </c>
      <c r="E11" s="175">
        <v>400000000</v>
      </c>
      <c r="F11" s="175">
        <v>570000000</v>
      </c>
      <c r="G11" s="175">
        <v>660000000</v>
      </c>
      <c r="H11" s="175">
        <v>660000000</v>
      </c>
      <c r="I11" s="175">
        <v>480000000</v>
      </c>
      <c r="J11" s="175">
        <v>750000000</v>
      </c>
      <c r="K11" s="175">
        <v>750000000</v>
      </c>
      <c r="L11" s="175">
        <v>840000000</v>
      </c>
      <c r="M11" s="175">
        <v>930000000</v>
      </c>
      <c r="N11" s="176">
        <v>7200000000</v>
      </c>
      <c r="P11" s="170" t="s">
        <v>777</v>
      </c>
      <c r="Q11" s="177">
        <v>6.0000000000000001E-3</v>
      </c>
      <c r="R11" s="177">
        <v>7.0000000000000001E-3</v>
      </c>
      <c r="S11" s="177">
        <v>8.0000000000000002E-3</v>
      </c>
      <c r="T11" s="177">
        <v>8.9999999999999993E-3</v>
      </c>
      <c r="U11" s="177">
        <v>1.2999999999999999E-2</v>
      </c>
      <c r="V11" s="177">
        <v>1.6E-2</v>
      </c>
      <c r="W11" s="177">
        <v>0.02</v>
      </c>
      <c r="Y11" s="170" t="s">
        <v>777</v>
      </c>
      <c r="Z11" s="177">
        <v>1.4999999999999999E-2</v>
      </c>
      <c r="AA11" s="177">
        <v>1.9E-2</v>
      </c>
      <c r="AB11" s="177">
        <v>1.9E-2</v>
      </c>
      <c r="AC11" s="177">
        <v>1.4999999999999999E-2</v>
      </c>
      <c r="AD11" s="177">
        <v>1.4999999999999999E-2</v>
      </c>
      <c r="AE11" s="177">
        <v>1.4999999999999999E-2</v>
      </c>
      <c r="AF11" s="177"/>
      <c r="AG11" s="177"/>
      <c r="AH11" s="177"/>
      <c r="AI11" s="177"/>
      <c r="AJ11" s="177"/>
      <c r="AK11" s="177"/>
      <c r="AL11" s="177">
        <v>0</v>
      </c>
      <c r="AM11" s="177">
        <v>0</v>
      </c>
      <c r="AN11" s="177">
        <v>0</v>
      </c>
      <c r="AO11" s="177">
        <v>0</v>
      </c>
      <c r="AP11" s="177">
        <v>0</v>
      </c>
      <c r="AQ11" s="177">
        <v>0.01</v>
      </c>
      <c r="AR11" s="177">
        <v>0.01</v>
      </c>
      <c r="AS11" s="177">
        <v>1.3000000000000001E-2</v>
      </c>
    </row>
    <row r="12" spans="1:45">
      <c r="A12" s="170" t="s">
        <v>778</v>
      </c>
      <c r="B12" s="175">
        <v>833000000</v>
      </c>
      <c r="C12" s="175">
        <v>441000000</v>
      </c>
      <c r="D12" s="175">
        <v>693000000</v>
      </c>
      <c r="E12" s="175">
        <v>930000000</v>
      </c>
      <c r="F12" s="175">
        <v>1050000000</v>
      </c>
      <c r="G12" s="175">
        <v>1120000000</v>
      </c>
      <c r="H12" s="175">
        <v>1246000000</v>
      </c>
      <c r="I12" s="175">
        <v>920000000</v>
      </c>
      <c r="J12" s="175">
        <v>1161000000</v>
      </c>
      <c r="K12" s="175">
        <v>1246000000</v>
      </c>
      <c r="L12" s="175">
        <v>1406000000</v>
      </c>
      <c r="M12" s="175">
        <v>1426000000</v>
      </c>
      <c r="N12" s="176">
        <v>12472000000</v>
      </c>
      <c r="P12" s="170" t="s">
        <v>778</v>
      </c>
      <c r="Q12" s="177">
        <v>6.0000000000000001E-3</v>
      </c>
      <c r="R12" s="177">
        <v>7.0000000000000001E-3</v>
      </c>
      <c r="S12" s="177">
        <v>8.0000000000000002E-3</v>
      </c>
      <c r="T12" s="177">
        <v>8.9999999999999993E-3</v>
      </c>
      <c r="U12" s="177">
        <v>1.2999999999999999E-2</v>
      </c>
      <c r="V12" s="177">
        <v>1.6E-2</v>
      </c>
      <c r="W12" s="177">
        <v>0.02</v>
      </c>
      <c r="Y12" s="170" t="s">
        <v>778</v>
      </c>
      <c r="Z12" s="177">
        <v>0.01</v>
      </c>
      <c r="AA12" s="177">
        <v>0.01</v>
      </c>
      <c r="AB12" s="177">
        <v>1.9E-2</v>
      </c>
      <c r="AC12" s="177">
        <v>1.9E-2</v>
      </c>
      <c r="AD12" s="177">
        <v>1.9E-2</v>
      </c>
      <c r="AE12" s="177">
        <v>0.01</v>
      </c>
      <c r="AF12" s="177"/>
      <c r="AG12" s="177"/>
      <c r="AH12" s="177"/>
      <c r="AI12" s="177"/>
      <c r="AJ12" s="177"/>
      <c r="AK12" s="177"/>
      <c r="AL12" s="177">
        <v>0</v>
      </c>
      <c r="AM12" s="177">
        <v>0</v>
      </c>
      <c r="AN12" s="177">
        <v>0</v>
      </c>
      <c r="AO12" s="177">
        <v>0</v>
      </c>
      <c r="AP12" s="177">
        <v>0</v>
      </c>
      <c r="AQ12" s="177">
        <v>0.01</v>
      </c>
      <c r="AR12" s="177">
        <v>0.01</v>
      </c>
      <c r="AS12" s="177">
        <v>1.3000000000000001E-2</v>
      </c>
    </row>
  </sheetData>
  <mergeCells count="2">
    <mergeCell ref="AL1:AS1"/>
    <mergeCell ref="Z1:AK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66"/>
  <sheetViews>
    <sheetView workbookViewId="0">
      <pane xSplit="1" ySplit="2" topLeftCell="B45" activePane="bottomRight" state="frozenSplit"/>
      <selection pane="topRight" activeCell="B1" sqref="B1"/>
      <selection pane="bottomLeft" activeCell="A3" sqref="A3"/>
      <selection pane="bottomRight" activeCell="M11" sqref="M11"/>
    </sheetView>
  </sheetViews>
  <sheetFormatPr defaultColWidth="9.21875" defaultRowHeight="14.4"/>
  <cols>
    <col min="1" max="1" width="11.5546875" style="163" customWidth="1"/>
    <col min="2" max="2" width="10.77734375" style="163" bestFit="1" customWidth="1"/>
    <col min="3" max="3" width="9.77734375" style="164" bestFit="1" customWidth="1"/>
    <col min="4" max="4" width="9.21875" style="163"/>
    <col min="5" max="5" width="11.21875" style="165" bestFit="1" customWidth="1"/>
    <col min="6" max="6" width="11.33203125" style="168" bestFit="1" customWidth="1"/>
    <col min="7" max="7" width="11.21875" style="169" bestFit="1" customWidth="1"/>
    <col min="8" max="8" width="5.77734375" style="166" customWidth="1"/>
    <col min="9" max="9" width="11.21875" style="166" bestFit="1" customWidth="1"/>
    <col min="10" max="10" width="11.21875" style="166" customWidth="1"/>
    <col min="11" max="11" width="4.77734375" style="166" customWidth="1"/>
    <col min="12" max="12" width="8.21875" style="167" customWidth="1"/>
    <col min="13" max="13" width="11.109375" style="164" bestFit="1" customWidth="1"/>
    <col min="14" max="14" width="7.44140625" style="163" bestFit="1" customWidth="1"/>
    <col min="15" max="15" width="10" style="163" bestFit="1" customWidth="1"/>
    <col min="16" max="16" width="12.77734375" style="163" customWidth="1"/>
    <col min="17" max="16384" width="9.21875" style="146"/>
  </cols>
  <sheetData>
    <row r="1" spans="1:16" customFormat="1">
      <c r="A1" s="65" t="s">
        <v>10</v>
      </c>
      <c r="B1" s="65" t="s">
        <v>91</v>
      </c>
      <c r="C1" s="65" t="s">
        <v>0</v>
      </c>
      <c r="D1" s="65" t="s">
        <v>1</v>
      </c>
      <c r="E1" s="65" t="s">
        <v>3</v>
      </c>
      <c r="F1" s="65" t="s">
        <v>4</v>
      </c>
      <c r="G1" s="65" t="s">
        <v>5</v>
      </c>
      <c r="H1" s="65" t="s">
        <v>7</v>
      </c>
      <c r="I1" s="65" t="s">
        <v>32</v>
      </c>
      <c r="J1" s="65" t="s">
        <v>8</v>
      </c>
      <c r="K1" s="65" t="s">
        <v>6</v>
      </c>
      <c r="L1" s="65" t="s">
        <v>9</v>
      </c>
      <c r="M1" s="65" t="s">
        <v>2</v>
      </c>
      <c r="N1" s="65" t="s">
        <v>71</v>
      </c>
      <c r="O1" s="65" t="s">
        <v>89</v>
      </c>
      <c r="P1" s="65" t="s">
        <v>11</v>
      </c>
    </row>
    <row r="2" spans="1:16" customFormat="1">
      <c r="A2" s="68"/>
      <c r="B2" s="68"/>
      <c r="C2" s="69"/>
      <c r="D2" s="70"/>
      <c r="E2" s="70"/>
      <c r="F2" s="71">
        <f>G2/1.1</f>
        <v>5475964714.545454</v>
      </c>
      <c r="G2" s="71">
        <f>SUBTOTAL(9,G3:G466)</f>
        <v>6023561186</v>
      </c>
      <c r="H2" s="72"/>
      <c r="I2" s="71">
        <f>J2/1.1</f>
        <v>4809487530.909091</v>
      </c>
      <c r="J2" s="71">
        <f>SUBTOTAL(9,J3:J466)</f>
        <v>5290436284</v>
      </c>
      <c r="K2" s="71"/>
      <c r="L2" s="95"/>
      <c r="M2" s="69"/>
      <c r="N2" s="72"/>
      <c r="O2" s="72"/>
      <c r="P2" s="66"/>
    </row>
    <row r="3" spans="1:16" ht="15" customHeight="1">
      <c r="A3" s="136" t="s">
        <v>779</v>
      </c>
      <c r="B3" s="74">
        <v>44902824</v>
      </c>
      <c r="C3" s="137" t="s">
        <v>140</v>
      </c>
      <c r="D3" s="138">
        <v>45047</v>
      </c>
      <c r="E3" s="139">
        <v>45078</v>
      </c>
      <c r="F3" s="140" t="s">
        <v>780</v>
      </c>
      <c r="G3" s="93">
        <v>0</v>
      </c>
      <c r="H3" s="141">
        <v>45078</v>
      </c>
      <c r="I3" s="142">
        <v>111</v>
      </c>
      <c r="J3" s="143">
        <v>1974000</v>
      </c>
      <c r="K3" s="143"/>
      <c r="L3" s="144">
        <f>IF(J3="","x",H3-E3)</f>
        <v>0</v>
      </c>
      <c r="M3" s="145" t="s">
        <v>772</v>
      </c>
      <c r="N3" s="145" t="s">
        <v>82</v>
      </c>
      <c r="O3" s="145" t="s">
        <v>90</v>
      </c>
      <c r="P3" s="145"/>
    </row>
    <row r="4" spans="1:16" ht="15" customHeight="1">
      <c r="A4" s="136" t="s">
        <v>779</v>
      </c>
      <c r="B4" s="74">
        <v>19275000</v>
      </c>
      <c r="C4" s="137" t="s">
        <v>141</v>
      </c>
      <c r="D4" s="138">
        <v>44154</v>
      </c>
      <c r="E4" s="139">
        <v>44169</v>
      </c>
      <c r="F4" s="140" t="s">
        <v>780</v>
      </c>
      <c r="G4" s="93">
        <v>0</v>
      </c>
      <c r="H4" s="141"/>
      <c r="I4" s="142"/>
      <c r="J4" s="143"/>
      <c r="K4" s="143"/>
      <c r="L4" s="144" t="str">
        <f t="shared" ref="L4:L67" si="0">IF(J4="","x",H4-E4)</f>
        <v>x</v>
      </c>
      <c r="M4" s="145" t="s">
        <v>769</v>
      </c>
      <c r="N4" s="145" t="s">
        <v>105</v>
      </c>
      <c r="O4" s="145" t="s">
        <v>90</v>
      </c>
      <c r="P4" s="145"/>
    </row>
    <row r="5" spans="1:16" ht="15" customHeight="1">
      <c r="A5" s="136" t="s">
        <v>779</v>
      </c>
      <c r="B5" s="74">
        <v>14610000</v>
      </c>
      <c r="C5" s="137" t="s">
        <v>142</v>
      </c>
      <c r="D5" s="138">
        <v>44165</v>
      </c>
      <c r="E5" s="139">
        <v>44180</v>
      </c>
      <c r="F5" s="140" t="s">
        <v>780</v>
      </c>
      <c r="G5" s="93">
        <v>0</v>
      </c>
      <c r="H5" s="141"/>
      <c r="I5" s="142"/>
      <c r="J5" s="143"/>
      <c r="K5" s="143"/>
      <c r="L5" s="144" t="str">
        <f t="shared" si="0"/>
        <v>x</v>
      </c>
      <c r="M5" s="145" t="s">
        <v>769</v>
      </c>
      <c r="N5" s="145" t="s">
        <v>106</v>
      </c>
      <c r="O5" s="145" t="s">
        <v>90</v>
      </c>
      <c r="P5" s="145"/>
    </row>
    <row r="6" spans="1:16" ht="15" customHeight="1">
      <c r="A6" s="136" t="s">
        <v>779</v>
      </c>
      <c r="B6" s="74">
        <v>7740000</v>
      </c>
      <c r="C6" s="137" t="s">
        <v>143</v>
      </c>
      <c r="D6" s="138">
        <v>44174</v>
      </c>
      <c r="E6" s="139">
        <v>44189</v>
      </c>
      <c r="F6" s="140" t="s">
        <v>780</v>
      </c>
      <c r="G6" s="93">
        <v>0</v>
      </c>
      <c r="H6" s="141"/>
      <c r="I6" s="142"/>
      <c r="J6" s="143"/>
      <c r="K6" s="143"/>
      <c r="L6" s="144" t="str">
        <f t="shared" si="0"/>
        <v>x</v>
      </c>
      <c r="M6" s="145" t="s">
        <v>769</v>
      </c>
      <c r="N6" s="145" t="s">
        <v>87</v>
      </c>
      <c r="O6" s="145" t="s">
        <v>90</v>
      </c>
      <c r="P6" s="145"/>
    </row>
    <row r="7" spans="1:16" ht="15" customHeight="1">
      <c r="A7" s="136" t="s">
        <v>779</v>
      </c>
      <c r="B7" s="74">
        <v>24200000</v>
      </c>
      <c r="C7" s="137" t="s">
        <v>144</v>
      </c>
      <c r="D7" s="138">
        <v>44278</v>
      </c>
      <c r="E7" s="139">
        <v>44296</v>
      </c>
      <c r="F7" s="140" t="s">
        <v>780</v>
      </c>
      <c r="G7" s="93">
        <v>0</v>
      </c>
      <c r="H7" s="141"/>
      <c r="I7" s="142"/>
      <c r="J7" s="143"/>
      <c r="K7" s="143"/>
      <c r="L7" s="144" t="str">
        <f t="shared" si="0"/>
        <v>x</v>
      </c>
      <c r="M7" s="145" t="s">
        <v>769</v>
      </c>
      <c r="N7" s="145" t="s">
        <v>107</v>
      </c>
      <c r="O7" s="145" t="s">
        <v>90</v>
      </c>
      <c r="P7" s="145"/>
    </row>
    <row r="8" spans="1:16" ht="15" customHeight="1">
      <c r="A8" s="136" t="s">
        <v>779</v>
      </c>
      <c r="B8" s="74">
        <v>24200000</v>
      </c>
      <c r="C8" s="137" t="s">
        <v>145</v>
      </c>
      <c r="D8" s="138">
        <v>44292</v>
      </c>
      <c r="E8" s="139">
        <v>44317</v>
      </c>
      <c r="F8" s="140" t="s">
        <v>780</v>
      </c>
      <c r="G8" s="93">
        <v>0</v>
      </c>
      <c r="H8" s="141"/>
      <c r="I8" s="142"/>
      <c r="J8" s="143"/>
      <c r="K8" s="143"/>
      <c r="L8" s="144" t="str">
        <f t="shared" si="0"/>
        <v>x</v>
      </c>
      <c r="M8" s="145" t="s">
        <v>769</v>
      </c>
      <c r="N8" s="145" t="s">
        <v>95</v>
      </c>
      <c r="O8" s="145" t="s">
        <v>90</v>
      </c>
      <c r="P8" s="145"/>
    </row>
    <row r="9" spans="1:16" ht="15" customHeight="1">
      <c r="A9" s="136" t="s">
        <v>779</v>
      </c>
      <c r="B9" s="74">
        <v>5123950</v>
      </c>
      <c r="C9" s="137" t="s">
        <v>146</v>
      </c>
      <c r="D9" s="138">
        <v>44659</v>
      </c>
      <c r="E9" s="139">
        <v>44666</v>
      </c>
      <c r="F9" s="140" t="s">
        <v>780</v>
      </c>
      <c r="G9" s="93">
        <v>0</v>
      </c>
      <c r="H9" s="141"/>
      <c r="I9" s="142"/>
      <c r="J9" s="143"/>
      <c r="K9" s="143"/>
      <c r="L9" s="144" t="str">
        <f t="shared" si="0"/>
        <v>x</v>
      </c>
      <c r="M9" s="145" t="s">
        <v>769</v>
      </c>
      <c r="N9" s="145" t="s">
        <v>88</v>
      </c>
      <c r="O9" s="145" t="s">
        <v>90</v>
      </c>
      <c r="P9" s="145"/>
    </row>
    <row r="10" spans="1:16" ht="15" customHeight="1">
      <c r="A10" s="136" t="s">
        <v>779</v>
      </c>
      <c r="B10" s="74">
        <v>60371850</v>
      </c>
      <c r="C10" s="137" t="s">
        <v>147</v>
      </c>
      <c r="D10" s="138">
        <v>44660</v>
      </c>
      <c r="E10" s="139">
        <v>44667</v>
      </c>
      <c r="F10" s="140" t="s">
        <v>780</v>
      </c>
      <c r="G10" s="93">
        <v>0</v>
      </c>
      <c r="H10" s="141"/>
      <c r="I10" s="142"/>
      <c r="J10" s="143"/>
      <c r="K10" s="143"/>
      <c r="L10" s="144" t="str">
        <f t="shared" si="0"/>
        <v>x</v>
      </c>
      <c r="M10" s="145" t="s">
        <v>769</v>
      </c>
      <c r="N10" s="145" t="s">
        <v>97</v>
      </c>
      <c r="O10" s="145" t="s">
        <v>90</v>
      </c>
      <c r="P10" s="145"/>
    </row>
    <row r="11" spans="1:16" ht="15" customHeight="1">
      <c r="A11" s="136" t="s">
        <v>779</v>
      </c>
      <c r="B11" s="74">
        <v>2843003</v>
      </c>
      <c r="C11" s="137" t="s">
        <v>149</v>
      </c>
      <c r="D11" s="138">
        <v>44776</v>
      </c>
      <c r="E11" s="139">
        <v>44806</v>
      </c>
      <c r="F11" s="140" t="s">
        <v>780</v>
      </c>
      <c r="G11" s="93">
        <v>0</v>
      </c>
      <c r="H11" s="141"/>
      <c r="I11" s="142"/>
      <c r="J11" s="143"/>
      <c r="K11" s="143"/>
      <c r="L11" s="144" t="str">
        <f t="shared" si="0"/>
        <v>x</v>
      </c>
      <c r="M11" s="145" t="s">
        <v>773</v>
      </c>
      <c r="N11" s="145" t="s">
        <v>130</v>
      </c>
      <c r="O11" s="145" t="s">
        <v>90</v>
      </c>
      <c r="P11" s="145"/>
    </row>
    <row r="12" spans="1:16" ht="15" customHeight="1">
      <c r="A12" s="136" t="s">
        <v>779</v>
      </c>
      <c r="B12" s="74">
        <v>26820000</v>
      </c>
      <c r="C12" s="137" t="s">
        <v>150</v>
      </c>
      <c r="D12" s="138">
        <v>44785</v>
      </c>
      <c r="E12" s="139">
        <v>44815</v>
      </c>
      <c r="F12" s="140" t="s">
        <v>780</v>
      </c>
      <c r="G12" s="93">
        <v>0</v>
      </c>
      <c r="H12" s="141"/>
      <c r="I12" s="142"/>
      <c r="J12" s="143"/>
      <c r="K12" s="143"/>
      <c r="L12" s="144" t="str">
        <f t="shared" si="0"/>
        <v>x</v>
      </c>
      <c r="M12" s="145" t="s">
        <v>773</v>
      </c>
      <c r="N12" s="145" t="s">
        <v>135</v>
      </c>
      <c r="O12" s="145" t="s">
        <v>90</v>
      </c>
      <c r="P12" s="145"/>
    </row>
    <row r="13" spans="1:16" ht="15" customHeight="1">
      <c r="A13" s="136" t="s">
        <v>779</v>
      </c>
      <c r="B13" s="74">
        <v>22749999</v>
      </c>
      <c r="C13" s="137" t="s">
        <v>151</v>
      </c>
      <c r="D13" s="138">
        <v>44795</v>
      </c>
      <c r="E13" s="139">
        <v>44825</v>
      </c>
      <c r="F13" s="140" t="s">
        <v>780</v>
      </c>
      <c r="G13" s="93">
        <v>0</v>
      </c>
      <c r="H13" s="141"/>
      <c r="I13" s="142"/>
      <c r="J13" s="143"/>
      <c r="K13" s="143"/>
      <c r="L13" s="144" t="str">
        <f t="shared" si="0"/>
        <v>x</v>
      </c>
      <c r="M13" s="145" t="s">
        <v>773</v>
      </c>
      <c r="N13" s="145" t="s">
        <v>105</v>
      </c>
      <c r="O13" s="145" t="s">
        <v>90</v>
      </c>
      <c r="P13" s="145"/>
    </row>
    <row r="14" spans="1:16" ht="15" customHeight="1">
      <c r="A14" s="136" t="s">
        <v>779</v>
      </c>
      <c r="B14" s="74">
        <v>131969470</v>
      </c>
      <c r="C14" s="137" t="s">
        <v>154</v>
      </c>
      <c r="D14" s="138">
        <v>44868</v>
      </c>
      <c r="E14" s="139">
        <v>44903</v>
      </c>
      <c r="F14" s="140" t="s">
        <v>780</v>
      </c>
      <c r="G14" s="93">
        <v>0</v>
      </c>
      <c r="H14" s="141"/>
      <c r="I14" s="142"/>
      <c r="J14" s="143"/>
      <c r="K14" s="143"/>
      <c r="L14" s="144" t="str">
        <f t="shared" si="0"/>
        <v>x</v>
      </c>
      <c r="M14" s="145" t="s">
        <v>772</v>
      </c>
      <c r="N14" s="145" t="s">
        <v>159</v>
      </c>
      <c r="O14" s="145" t="s">
        <v>90</v>
      </c>
      <c r="P14" s="145"/>
    </row>
    <row r="15" spans="1:16" ht="15" customHeight="1">
      <c r="A15" s="136" t="s">
        <v>779</v>
      </c>
      <c r="B15" s="74">
        <v>6120000</v>
      </c>
      <c r="C15" s="137" t="s">
        <v>155</v>
      </c>
      <c r="D15" s="138">
        <v>44869</v>
      </c>
      <c r="E15" s="139">
        <v>44904</v>
      </c>
      <c r="F15" s="140" t="s">
        <v>780</v>
      </c>
      <c r="G15" s="93">
        <v>0</v>
      </c>
      <c r="H15" s="141"/>
      <c r="I15" s="142"/>
      <c r="J15" s="143"/>
      <c r="K15" s="143"/>
      <c r="L15" s="144" t="str">
        <f t="shared" si="0"/>
        <v>x</v>
      </c>
      <c r="M15" s="145" t="s">
        <v>772</v>
      </c>
      <c r="N15" s="145" t="s">
        <v>160</v>
      </c>
      <c r="O15" s="145" t="s">
        <v>90</v>
      </c>
      <c r="P15" s="145"/>
    </row>
    <row r="16" spans="1:16" ht="15" customHeight="1">
      <c r="A16" s="136" t="s">
        <v>779</v>
      </c>
      <c r="B16" s="74">
        <v>9684000</v>
      </c>
      <c r="C16" s="137" t="s">
        <v>156</v>
      </c>
      <c r="D16" s="138">
        <v>44869</v>
      </c>
      <c r="E16" s="139">
        <v>44904</v>
      </c>
      <c r="F16" s="140" t="s">
        <v>780</v>
      </c>
      <c r="G16" s="93">
        <v>0</v>
      </c>
      <c r="H16" s="141"/>
      <c r="I16" s="142"/>
      <c r="J16" s="143"/>
      <c r="K16" s="143"/>
      <c r="L16" s="144" t="str">
        <f t="shared" si="0"/>
        <v>x</v>
      </c>
      <c r="M16" s="145" t="s">
        <v>772</v>
      </c>
      <c r="N16" s="145" t="s">
        <v>161</v>
      </c>
      <c r="O16" s="145" t="s">
        <v>90</v>
      </c>
      <c r="P16" s="145"/>
    </row>
    <row r="17" spans="1:16" ht="15" customHeight="1">
      <c r="A17" s="136" t="s">
        <v>779</v>
      </c>
      <c r="B17" s="74">
        <v>12244999</v>
      </c>
      <c r="C17" s="137" t="s">
        <v>157</v>
      </c>
      <c r="D17" s="138">
        <v>44870</v>
      </c>
      <c r="E17" s="139">
        <v>44905</v>
      </c>
      <c r="F17" s="140" t="s">
        <v>780</v>
      </c>
      <c r="G17" s="93">
        <v>0</v>
      </c>
      <c r="H17" s="141"/>
      <c r="I17" s="142"/>
      <c r="J17" s="143"/>
      <c r="K17" s="143"/>
      <c r="L17" s="144" t="str">
        <f t="shared" si="0"/>
        <v>x</v>
      </c>
      <c r="M17" s="145" t="s">
        <v>772</v>
      </c>
      <c r="N17" s="145" t="s">
        <v>162</v>
      </c>
      <c r="O17" s="145" t="s">
        <v>90</v>
      </c>
      <c r="P17" s="145"/>
    </row>
    <row r="18" spans="1:16" ht="15" customHeight="1">
      <c r="A18" s="136" t="s">
        <v>779</v>
      </c>
      <c r="B18" s="74">
        <v>48365000</v>
      </c>
      <c r="C18" s="137" t="s">
        <v>165</v>
      </c>
      <c r="D18" s="138">
        <v>44901</v>
      </c>
      <c r="E18" s="139">
        <v>44936</v>
      </c>
      <c r="F18" s="140" t="s">
        <v>780</v>
      </c>
      <c r="G18" s="93">
        <v>0</v>
      </c>
      <c r="H18" s="141"/>
      <c r="I18" s="142"/>
      <c r="J18" s="143"/>
      <c r="K18" s="143"/>
      <c r="L18" s="144" t="str">
        <f t="shared" si="0"/>
        <v>x</v>
      </c>
      <c r="M18" s="145" t="s">
        <v>772</v>
      </c>
      <c r="N18" s="145" t="s">
        <v>159</v>
      </c>
      <c r="O18" s="145" t="s">
        <v>90</v>
      </c>
      <c r="P18" s="145"/>
    </row>
    <row r="19" spans="1:16" ht="15" customHeight="1">
      <c r="A19" s="136" t="s">
        <v>779</v>
      </c>
      <c r="B19" s="74">
        <v>13325001</v>
      </c>
      <c r="C19" s="137" t="s">
        <v>166</v>
      </c>
      <c r="D19" s="138">
        <v>44901</v>
      </c>
      <c r="E19" s="139">
        <v>44936</v>
      </c>
      <c r="F19" s="140" t="s">
        <v>780</v>
      </c>
      <c r="G19" s="93">
        <v>0</v>
      </c>
      <c r="H19" s="141"/>
      <c r="I19" s="142"/>
      <c r="J19" s="143"/>
      <c r="K19" s="143"/>
      <c r="L19" s="144" t="str">
        <f t="shared" si="0"/>
        <v>x</v>
      </c>
      <c r="M19" s="145" t="s">
        <v>772</v>
      </c>
      <c r="N19" s="145" t="s">
        <v>160</v>
      </c>
      <c r="O19" s="145" t="s">
        <v>90</v>
      </c>
      <c r="P19" s="145"/>
    </row>
    <row r="20" spans="1:16" ht="15" customHeight="1">
      <c r="A20" s="136" t="s">
        <v>779</v>
      </c>
      <c r="B20" s="74">
        <v>6600000</v>
      </c>
      <c r="C20" s="137" t="s">
        <v>167</v>
      </c>
      <c r="D20" s="138">
        <v>44905</v>
      </c>
      <c r="E20" s="139">
        <v>44935</v>
      </c>
      <c r="F20" s="140" t="s">
        <v>780</v>
      </c>
      <c r="G20" s="93">
        <v>0</v>
      </c>
      <c r="H20" s="141"/>
      <c r="I20" s="142"/>
      <c r="J20" s="143"/>
      <c r="K20" s="143"/>
      <c r="L20" s="144" t="str">
        <f t="shared" si="0"/>
        <v>x</v>
      </c>
      <c r="M20" s="145" t="s">
        <v>773</v>
      </c>
      <c r="N20" s="145" t="s">
        <v>124</v>
      </c>
      <c r="O20" s="145" t="s">
        <v>90</v>
      </c>
      <c r="P20" s="145"/>
    </row>
    <row r="21" spans="1:16" ht="15" customHeight="1">
      <c r="A21" s="136" t="s">
        <v>779</v>
      </c>
      <c r="B21" s="74">
        <v>5642000</v>
      </c>
      <c r="C21" s="137" t="s">
        <v>181</v>
      </c>
      <c r="D21" s="138">
        <v>44968</v>
      </c>
      <c r="E21" s="139">
        <v>44998</v>
      </c>
      <c r="F21" s="140" t="s">
        <v>780</v>
      </c>
      <c r="G21" s="93">
        <v>0</v>
      </c>
      <c r="H21" s="141">
        <v>45107</v>
      </c>
      <c r="I21" s="142" t="s">
        <v>35</v>
      </c>
      <c r="J21" s="143">
        <v>5000000</v>
      </c>
      <c r="K21" s="143"/>
      <c r="L21" s="144">
        <f t="shared" si="0"/>
        <v>109</v>
      </c>
      <c r="M21" s="145" t="s">
        <v>771</v>
      </c>
      <c r="N21" s="145" t="s">
        <v>194</v>
      </c>
      <c r="O21" s="145" t="s">
        <v>90</v>
      </c>
      <c r="P21" s="145"/>
    </row>
    <row r="22" spans="1:16" ht="15" customHeight="1">
      <c r="A22" s="136" t="s">
        <v>779</v>
      </c>
      <c r="B22" s="74">
        <v>9315000</v>
      </c>
      <c r="C22" s="137" t="s">
        <v>182</v>
      </c>
      <c r="D22" s="138">
        <v>44968</v>
      </c>
      <c r="E22" s="139">
        <v>44975</v>
      </c>
      <c r="F22" s="140" t="s">
        <v>780</v>
      </c>
      <c r="G22" s="93">
        <v>0</v>
      </c>
      <c r="H22" s="141"/>
      <c r="I22" s="142"/>
      <c r="J22" s="143"/>
      <c r="K22" s="143"/>
      <c r="L22" s="144" t="str">
        <f t="shared" si="0"/>
        <v>x</v>
      </c>
      <c r="M22" s="145" t="s">
        <v>770</v>
      </c>
      <c r="N22" s="145" t="s">
        <v>78</v>
      </c>
      <c r="O22" s="145" t="s">
        <v>90</v>
      </c>
      <c r="P22" s="145"/>
    </row>
    <row r="23" spans="1:16" ht="15" customHeight="1">
      <c r="A23" s="136" t="s">
        <v>779</v>
      </c>
      <c r="B23" s="74">
        <v>70751049</v>
      </c>
      <c r="C23" s="137" t="s">
        <v>183</v>
      </c>
      <c r="D23" s="138">
        <v>44985</v>
      </c>
      <c r="E23" s="139">
        <v>45006</v>
      </c>
      <c r="F23" s="140" t="s">
        <v>780</v>
      </c>
      <c r="G23" s="93">
        <v>0</v>
      </c>
      <c r="H23" s="141">
        <v>45080</v>
      </c>
      <c r="I23" s="142" t="s">
        <v>35</v>
      </c>
      <c r="J23" s="143">
        <v>20000000</v>
      </c>
      <c r="K23" s="143"/>
      <c r="L23" s="144">
        <f t="shared" si="0"/>
        <v>74</v>
      </c>
      <c r="M23" s="145" t="s">
        <v>774</v>
      </c>
      <c r="N23" s="145" t="s">
        <v>119</v>
      </c>
      <c r="O23" s="145" t="s">
        <v>90</v>
      </c>
      <c r="P23" s="145"/>
    </row>
    <row r="24" spans="1:16" ht="15" customHeight="1">
      <c r="A24" s="136" t="s">
        <v>779</v>
      </c>
      <c r="B24" s="74"/>
      <c r="C24" s="137" t="s">
        <v>183</v>
      </c>
      <c r="D24" s="138">
        <v>44985</v>
      </c>
      <c r="E24" s="139">
        <v>45006</v>
      </c>
      <c r="F24" s="140" t="s">
        <v>780</v>
      </c>
      <c r="G24" s="93">
        <v>0</v>
      </c>
      <c r="H24" s="141">
        <v>45083</v>
      </c>
      <c r="I24" s="142" t="s">
        <v>35</v>
      </c>
      <c r="J24" s="143">
        <v>50751000</v>
      </c>
      <c r="K24" s="143"/>
      <c r="L24" s="144">
        <f t="shared" si="0"/>
        <v>77</v>
      </c>
      <c r="M24" s="145" t="s">
        <v>774</v>
      </c>
      <c r="N24" s="145" t="s">
        <v>119</v>
      </c>
      <c r="O24" s="145" t="s">
        <v>90</v>
      </c>
      <c r="P24" s="145"/>
    </row>
    <row r="25" spans="1:16" ht="15" customHeight="1">
      <c r="A25" s="136" t="s">
        <v>779</v>
      </c>
      <c r="B25" s="74"/>
      <c r="C25" s="137" t="s">
        <v>183</v>
      </c>
      <c r="D25" s="138">
        <v>44985</v>
      </c>
      <c r="E25" s="139">
        <v>45006</v>
      </c>
      <c r="F25" s="140" t="s">
        <v>780</v>
      </c>
      <c r="G25" s="93">
        <v>0</v>
      </c>
      <c r="H25" s="141">
        <v>45083</v>
      </c>
      <c r="I25" s="142">
        <v>641</v>
      </c>
      <c r="J25" s="143">
        <v>49</v>
      </c>
      <c r="K25" s="143"/>
      <c r="L25" s="144">
        <f t="shared" si="0"/>
        <v>77</v>
      </c>
      <c r="M25" s="145" t="s">
        <v>774</v>
      </c>
      <c r="N25" s="145" t="s">
        <v>119</v>
      </c>
      <c r="O25" s="145" t="s">
        <v>90</v>
      </c>
      <c r="P25" s="145"/>
    </row>
    <row r="26" spans="1:16" ht="15" customHeight="1">
      <c r="A26" s="136" t="s">
        <v>779</v>
      </c>
      <c r="B26" s="74">
        <v>74735870</v>
      </c>
      <c r="C26" s="137" t="s">
        <v>184</v>
      </c>
      <c r="D26" s="138">
        <v>44985</v>
      </c>
      <c r="E26" s="139">
        <v>45020</v>
      </c>
      <c r="F26" s="140" t="s">
        <v>780</v>
      </c>
      <c r="G26" s="93">
        <v>0</v>
      </c>
      <c r="H26" s="141">
        <v>45103</v>
      </c>
      <c r="I26" s="142" t="s">
        <v>35</v>
      </c>
      <c r="J26" s="143">
        <v>74735870</v>
      </c>
      <c r="K26" s="143"/>
      <c r="L26" s="144">
        <f t="shared" si="0"/>
        <v>83</v>
      </c>
      <c r="M26" s="145" t="s">
        <v>773</v>
      </c>
      <c r="N26" s="145" t="s">
        <v>230</v>
      </c>
      <c r="O26" s="145" t="s">
        <v>90</v>
      </c>
      <c r="P26" s="145"/>
    </row>
    <row r="27" spans="1:16" ht="15" customHeight="1">
      <c r="A27" s="136" t="s">
        <v>779</v>
      </c>
      <c r="B27" s="74">
        <v>3503999</v>
      </c>
      <c r="C27" s="137" t="s">
        <v>236</v>
      </c>
      <c r="D27" s="138">
        <v>44992</v>
      </c>
      <c r="E27" s="139">
        <v>45016</v>
      </c>
      <c r="F27" s="140" t="s">
        <v>780</v>
      </c>
      <c r="G27" s="93">
        <v>0</v>
      </c>
      <c r="H27" s="141">
        <v>45107</v>
      </c>
      <c r="I27" s="142">
        <v>531</v>
      </c>
      <c r="J27" s="143">
        <v>3503999</v>
      </c>
      <c r="K27" s="143"/>
      <c r="L27" s="144">
        <f t="shared" si="0"/>
        <v>91</v>
      </c>
      <c r="M27" s="145" t="s">
        <v>777</v>
      </c>
      <c r="N27" s="145" t="s">
        <v>86</v>
      </c>
      <c r="O27" s="145" t="s">
        <v>90</v>
      </c>
      <c r="P27" s="145"/>
    </row>
    <row r="28" spans="1:16" ht="15" customHeight="1">
      <c r="A28" s="136" t="s">
        <v>779</v>
      </c>
      <c r="B28" s="74">
        <v>14375000</v>
      </c>
      <c r="C28" s="137" t="s">
        <v>237</v>
      </c>
      <c r="D28" s="138">
        <v>44996</v>
      </c>
      <c r="E28" s="139">
        <v>45026</v>
      </c>
      <c r="F28" s="140" t="s">
        <v>780</v>
      </c>
      <c r="G28" s="93">
        <v>0</v>
      </c>
      <c r="H28" s="141">
        <v>45094</v>
      </c>
      <c r="I28" s="142" t="s">
        <v>35</v>
      </c>
      <c r="J28" s="143">
        <v>14375000</v>
      </c>
      <c r="K28" s="143"/>
      <c r="L28" s="144">
        <f t="shared" si="0"/>
        <v>68</v>
      </c>
      <c r="M28" s="145" t="s">
        <v>777</v>
      </c>
      <c r="N28" s="145" t="s">
        <v>246</v>
      </c>
      <c r="O28" s="145" t="s">
        <v>90</v>
      </c>
      <c r="P28" s="145"/>
    </row>
    <row r="29" spans="1:16" ht="15" customHeight="1">
      <c r="A29" s="136" t="s">
        <v>779</v>
      </c>
      <c r="B29" s="74">
        <v>12700001</v>
      </c>
      <c r="C29" s="137" t="s">
        <v>238</v>
      </c>
      <c r="D29" s="138">
        <v>45003</v>
      </c>
      <c r="E29" s="139">
        <v>45033</v>
      </c>
      <c r="F29" s="140" t="s">
        <v>780</v>
      </c>
      <c r="G29" s="93">
        <v>0</v>
      </c>
      <c r="H29" s="141"/>
      <c r="I29" s="142"/>
      <c r="J29" s="143"/>
      <c r="K29" s="143"/>
      <c r="L29" s="144" t="str">
        <f t="shared" si="0"/>
        <v>x</v>
      </c>
      <c r="M29" s="145" t="s">
        <v>773</v>
      </c>
      <c r="N29" s="145" t="s">
        <v>78</v>
      </c>
      <c r="O29" s="145" t="s">
        <v>90</v>
      </c>
      <c r="P29" s="145"/>
    </row>
    <row r="30" spans="1:16" ht="15" customHeight="1">
      <c r="A30" s="136" t="s">
        <v>779</v>
      </c>
      <c r="B30" s="74">
        <v>21425250</v>
      </c>
      <c r="C30" s="137" t="s">
        <v>239</v>
      </c>
      <c r="D30" s="138">
        <v>45007</v>
      </c>
      <c r="E30" s="139">
        <v>45037</v>
      </c>
      <c r="F30" s="140" t="s">
        <v>780</v>
      </c>
      <c r="G30" s="93">
        <v>0</v>
      </c>
      <c r="H30" s="141">
        <v>45093</v>
      </c>
      <c r="I30" s="142" t="s">
        <v>33</v>
      </c>
      <c r="J30" s="143">
        <v>21425250</v>
      </c>
      <c r="K30" s="143"/>
      <c r="L30" s="144">
        <f t="shared" si="0"/>
        <v>56</v>
      </c>
      <c r="M30" s="145" t="s">
        <v>772</v>
      </c>
      <c r="N30" s="145" t="s">
        <v>253</v>
      </c>
      <c r="O30" s="145" t="s">
        <v>90</v>
      </c>
      <c r="P30" s="145"/>
    </row>
    <row r="31" spans="1:16" ht="15" customHeight="1">
      <c r="A31" s="136" t="s">
        <v>779</v>
      </c>
      <c r="B31" s="74">
        <v>2973300</v>
      </c>
      <c r="C31" s="137" t="s">
        <v>240</v>
      </c>
      <c r="D31" s="138">
        <v>45007</v>
      </c>
      <c r="E31" s="139">
        <v>45037</v>
      </c>
      <c r="F31" s="140" t="s">
        <v>780</v>
      </c>
      <c r="G31" s="93">
        <v>0</v>
      </c>
      <c r="H31" s="141">
        <v>45093</v>
      </c>
      <c r="I31" s="142" t="s">
        <v>33</v>
      </c>
      <c r="J31" s="143">
        <v>2973300</v>
      </c>
      <c r="K31" s="143"/>
      <c r="L31" s="144">
        <f t="shared" si="0"/>
        <v>56</v>
      </c>
      <c r="M31" s="145" t="s">
        <v>772</v>
      </c>
      <c r="N31" s="145" t="s">
        <v>169</v>
      </c>
      <c r="O31" s="145" t="s">
        <v>90</v>
      </c>
      <c r="P31" s="145"/>
    </row>
    <row r="32" spans="1:16" ht="15" customHeight="1">
      <c r="A32" s="136" t="s">
        <v>779</v>
      </c>
      <c r="B32" s="74">
        <v>6956498</v>
      </c>
      <c r="C32" s="137" t="s">
        <v>241</v>
      </c>
      <c r="D32" s="138">
        <v>45008</v>
      </c>
      <c r="E32" s="139">
        <v>45018</v>
      </c>
      <c r="F32" s="140" t="s">
        <v>780</v>
      </c>
      <c r="G32" s="93">
        <v>0</v>
      </c>
      <c r="H32" s="141">
        <v>45084</v>
      </c>
      <c r="I32" s="142" t="s">
        <v>33</v>
      </c>
      <c r="J32" s="143">
        <v>6956498</v>
      </c>
      <c r="K32" s="143"/>
      <c r="L32" s="144">
        <f t="shared" si="0"/>
        <v>66</v>
      </c>
      <c r="M32" s="145" t="s">
        <v>778</v>
      </c>
      <c r="N32" s="145" t="s">
        <v>208</v>
      </c>
      <c r="O32" s="145" t="s">
        <v>90</v>
      </c>
      <c r="P32" s="145"/>
    </row>
    <row r="33" spans="1:16" ht="15" customHeight="1">
      <c r="A33" s="136" t="s">
        <v>779</v>
      </c>
      <c r="B33" s="74">
        <v>25000000</v>
      </c>
      <c r="C33" s="147" t="s">
        <v>242</v>
      </c>
      <c r="D33" s="148">
        <v>45008</v>
      </c>
      <c r="E33" s="149">
        <v>45023</v>
      </c>
      <c r="F33" s="140" t="s">
        <v>780</v>
      </c>
      <c r="G33" s="93">
        <v>0</v>
      </c>
      <c r="H33" s="141">
        <v>45085</v>
      </c>
      <c r="I33" s="142" t="s">
        <v>35</v>
      </c>
      <c r="J33" s="143">
        <v>5000000</v>
      </c>
      <c r="K33" s="143"/>
      <c r="L33" s="144">
        <f t="shared" si="0"/>
        <v>62</v>
      </c>
      <c r="M33" s="145" t="s">
        <v>774</v>
      </c>
      <c r="N33" s="145" t="s">
        <v>84</v>
      </c>
      <c r="O33" s="145" t="s">
        <v>90</v>
      </c>
      <c r="P33" s="150"/>
    </row>
    <row r="34" spans="1:16" ht="15" customHeight="1">
      <c r="A34" s="136" t="s">
        <v>779</v>
      </c>
      <c r="B34" s="74"/>
      <c r="C34" s="137" t="s">
        <v>242</v>
      </c>
      <c r="D34" s="148">
        <v>45008</v>
      </c>
      <c r="E34" s="149">
        <v>45023</v>
      </c>
      <c r="F34" s="140" t="s">
        <v>780</v>
      </c>
      <c r="G34" s="93">
        <v>0</v>
      </c>
      <c r="H34" s="141">
        <v>45105</v>
      </c>
      <c r="I34" s="142" t="s">
        <v>35</v>
      </c>
      <c r="J34" s="143">
        <v>5000000</v>
      </c>
      <c r="K34" s="143"/>
      <c r="L34" s="144">
        <f t="shared" si="0"/>
        <v>82</v>
      </c>
      <c r="M34" s="145" t="s">
        <v>774</v>
      </c>
      <c r="N34" s="145" t="s">
        <v>84</v>
      </c>
      <c r="O34" s="145" t="s">
        <v>90</v>
      </c>
      <c r="P34" s="150"/>
    </row>
    <row r="35" spans="1:16" ht="15" customHeight="1">
      <c r="A35" s="136" t="s">
        <v>779</v>
      </c>
      <c r="B35" s="74">
        <v>29106000</v>
      </c>
      <c r="C35" s="137" t="s">
        <v>243</v>
      </c>
      <c r="D35" s="138">
        <v>45015</v>
      </c>
      <c r="E35" s="149">
        <v>45045</v>
      </c>
      <c r="F35" s="140" t="s">
        <v>780</v>
      </c>
      <c r="G35" s="93">
        <v>0</v>
      </c>
      <c r="H35" s="141">
        <v>45093</v>
      </c>
      <c r="I35" s="142" t="s">
        <v>33</v>
      </c>
      <c r="J35" s="143">
        <v>29106000</v>
      </c>
      <c r="K35" s="143"/>
      <c r="L35" s="144">
        <f t="shared" si="0"/>
        <v>48</v>
      </c>
      <c r="M35" s="145" t="s">
        <v>772</v>
      </c>
      <c r="N35" s="145" t="s">
        <v>170</v>
      </c>
      <c r="O35" s="145" t="s">
        <v>90</v>
      </c>
      <c r="P35" s="145"/>
    </row>
    <row r="36" spans="1:16" ht="15" customHeight="1">
      <c r="A36" s="136" t="s">
        <v>779</v>
      </c>
      <c r="B36" s="74">
        <v>4039200</v>
      </c>
      <c r="C36" s="137" t="s">
        <v>244</v>
      </c>
      <c r="D36" s="138">
        <v>45015</v>
      </c>
      <c r="E36" s="149">
        <v>45045</v>
      </c>
      <c r="F36" s="140" t="s">
        <v>780</v>
      </c>
      <c r="G36" s="93">
        <v>0</v>
      </c>
      <c r="H36" s="141">
        <v>45093</v>
      </c>
      <c r="I36" s="142" t="s">
        <v>33</v>
      </c>
      <c r="J36" s="143">
        <v>4039200</v>
      </c>
      <c r="K36" s="143"/>
      <c r="L36" s="144">
        <f t="shared" si="0"/>
        <v>48</v>
      </c>
      <c r="M36" s="145" t="s">
        <v>772</v>
      </c>
      <c r="N36" s="145" t="s">
        <v>264</v>
      </c>
      <c r="O36" s="145" t="s">
        <v>90</v>
      </c>
      <c r="P36" s="145"/>
    </row>
    <row r="37" spans="1:16" ht="15" customHeight="1">
      <c r="A37" s="136" t="s">
        <v>779</v>
      </c>
      <c r="B37" s="74">
        <v>20520000</v>
      </c>
      <c r="C37" s="137" t="s">
        <v>245</v>
      </c>
      <c r="D37" s="138">
        <v>45016</v>
      </c>
      <c r="E37" s="149">
        <v>45031</v>
      </c>
      <c r="F37" s="140" t="s">
        <v>780</v>
      </c>
      <c r="G37" s="93">
        <v>0</v>
      </c>
      <c r="H37" s="141">
        <v>45085</v>
      </c>
      <c r="I37" s="142" t="s">
        <v>35</v>
      </c>
      <c r="J37" s="143">
        <v>10000000</v>
      </c>
      <c r="K37" s="143"/>
      <c r="L37" s="144">
        <f t="shared" si="0"/>
        <v>54</v>
      </c>
      <c r="M37" s="145" t="s">
        <v>773</v>
      </c>
      <c r="N37" s="145" t="s">
        <v>120</v>
      </c>
      <c r="O37" s="145" t="s">
        <v>90</v>
      </c>
      <c r="P37" s="145"/>
    </row>
    <row r="38" spans="1:16" ht="15" customHeight="1">
      <c r="A38" s="136" t="s">
        <v>779</v>
      </c>
      <c r="B38" s="74"/>
      <c r="C38" s="137" t="s">
        <v>245</v>
      </c>
      <c r="D38" s="138">
        <v>45016</v>
      </c>
      <c r="E38" s="149">
        <v>45031</v>
      </c>
      <c r="F38" s="140" t="s">
        <v>780</v>
      </c>
      <c r="G38" s="93">
        <v>0</v>
      </c>
      <c r="H38" s="141">
        <v>45089</v>
      </c>
      <c r="I38" s="142" t="s">
        <v>35</v>
      </c>
      <c r="J38" s="143">
        <v>10520000</v>
      </c>
      <c r="K38" s="143"/>
      <c r="L38" s="144">
        <f t="shared" si="0"/>
        <v>58</v>
      </c>
      <c r="M38" s="145" t="s">
        <v>773</v>
      </c>
      <c r="N38" s="145" t="s">
        <v>120</v>
      </c>
      <c r="O38" s="145" t="s">
        <v>90</v>
      </c>
      <c r="P38" s="145"/>
    </row>
    <row r="39" spans="1:16" ht="15" customHeight="1">
      <c r="A39" s="136" t="s">
        <v>779</v>
      </c>
      <c r="B39" s="74">
        <v>4560001</v>
      </c>
      <c r="C39" s="137" t="s">
        <v>442</v>
      </c>
      <c r="D39" s="138">
        <v>45019</v>
      </c>
      <c r="E39" s="149">
        <v>45044</v>
      </c>
      <c r="F39" s="140" t="s">
        <v>780</v>
      </c>
      <c r="G39" s="93">
        <v>0</v>
      </c>
      <c r="H39" s="141">
        <v>45091</v>
      </c>
      <c r="I39" s="142" t="s">
        <v>34</v>
      </c>
      <c r="J39" s="143">
        <v>4560001</v>
      </c>
      <c r="K39" s="143"/>
      <c r="L39" s="144">
        <f t="shared" si="0"/>
        <v>47</v>
      </c>
      <c r="M39" s="145" t="s">
        <v>776</v>
      </c>
      <c r="N39" s="145" t="s">
        <v>699</v>
      </c>
      <c r="O39" s="145" t="s">
        <v>90</v>
      </c>
      <c r="P39" s="145"/>
    </row>
    <row r="40" spans="1:16" ht="15" customHeight="1">
      <c r="A40" s="136" t="s">
        <v>779</v>
      </c>
      <c r="B40" s="74">
        <v>16740000</v>
      </c>
      <c r="C40" s="137" t="s">
        <v>270</v>
      </c>
      <c r="D40" s="138">
        <v>45020</v>
      </c>
      <c r="E40" s="149">
        <v>45050</v>
      </c>
      <c r="F40" s="140" t="s">
        <v>780</v>
      </c>
      <c r="G40" s="93">
        <v>0</v>
      </c>
      <c r="H40" s="141"/>
      <c r="I40" s="142"/>
      <c r="J40" s="143"/>
      <c r="K40" s="143"/>
      <c r="L40" s="144" t="str">
        <f t="shared" si="0"/>
        <v>x</v>
      </c>
      <c r="M40" s="145" t="s">
        <v>777</v>
      </c>
      <c r="N40" s="145" t="s">
        <v>83</v>
      </c>
      <c r="O40" s="145" t="s">
        <v>90</v>
      </c>
      <c r="P40" s="145"/>
    </row>
    <row r="41" spans="1:16" ht="15" customHeight="1">
      <c r="A41" s="136" t="s">
        <v>779</v>
      </c>
      <c r="B41" s="74">
        <v>3212000</v>
      </c>
      <c r="C41" s="137" t="s">
        <v>271</v>
      </c>
      <c r="D41" s="138">
        <v>45021</v>
      </c>
      <c r="E41" s="149">
        <v>45036</v>
      </c>
      <c r="F41" s="140" t="s">
        <v>780</v>
      </c>
      <c r="G41" s="93">
        <v>0</v>
      </c>
      <c r="H41" s="141"/>
      <c r="I41" s="142"/>
      <c r="J41" s="143"/>
      <c r="K41" s="143"/>
      <c r="L41" s="144" t="str">
        <f t="shared" si="0"/>
        <v>x</v>
      </c>
      <c r="M41" s="145" t="s">
        <v>770</v>
      </c>
      <c r="N41" s="145" t="s">
        <v>82</v>
      </c>
      <c r="O41" s="145" t="s">
        <v>90</v>
      </c>
      <c r="P41" s="145"/>
    </row>
    <row r="42" spans="1:16" ht="15" customHeight="1">
      <c r="A42" s="136" t="s">
        <v>779</v>
      </c>
      <c r="B42" s="74">
        <v>11750000</v>
      </c>
      <c r="C42" s="137" t="s">
        <v>272</v>
      </c>
      <c r="D42" s="138">
        <v>45022</v>
      </c>
      <c r="E42" s="149">
        <v>45029</v>
      </c>
      <c r="F42" s="140" t="s">
        <v>780</v>
      </c>
      <c r="G42" s="93">
        <v>0</v>
      </c>
      <c r="H42" s="141"/>
      <c r="I42" s="142"/>
      <c r="J42" s="143"/>
      <c r="K42" s="143"/>
      <c r="L42" s="144" t="str">
        <f t="shared" si="0"/>
        <v>x</v>
      </c>
      <c r="M42" s="145" t="s">
        <v>770</v>
      </c>
      <c r="N42" s="145" t="s">
        <v>95</v>
      </c>
      <c r="O42" s="145" t="s">
        <v>90</v>
      </c>
      <c r="P42" s="145"/>
    </row>
    <row r="43" spans="1:16" ht="15" customHeight="1">
      <c r="A43" s="136" t="s">
        <v>779</v>
      </c>
      <c r="B43" s="74">
        <v>4560001</v>
      </c>
      <c r="C43" s="137" t="s">
        <v>443</v>
      </c>
      <c r="D43" s="138">
        <v>45026</v>
      </c>
      <c r="E43" s="149">
        <v>45044</v>
      </c>
      <c r="F43" s="140" t="s">
        <v>780</v>
      </c>
      <c r="G43" s="93">
        <v>0</v>
      </c>
      <c r="H43" s="141">
        <v>45091</v>
      </c>
      <c r="I43" s="142" t="s">
        <v>34</v>
      </c>
      <c r="J43" s="143">
        <v>4560001</v>
      </c>
      <c r="K43" s="143"/>
      <c r="L43" s="144">
        <f t="shared" si="0"/>
        <v>47</v>
      </c>
      <c r="M43" s="145" t="s">
        <v>776</v>
      </c>
      <c r="N43" s="145" t="s">
        <v>700</v>
      </c>
      <c r="O43" s="145" t="s">
        <v>90</v>
      </c>
      <c r="P43" s="145"/>
    </row>
    <row r="44" spans="1:16" ht="15" customHeight="1">
      <c r="A44" s="136" t="s">
        <v>779</v>
      </c>
      <c r="B44" s="74">
        <v>947500</v>
      </c>
      <c r="C44" s="137" t="s">
        <v>444</v>
      </c>
      <c r="D44" s="138">
        <v>45028</v>
      </c>
      <c r="E44" s="149">
        <v>45044</v>
      </c>
      <c r="F44" s="140" t="s">
        <v>780</v>
      </c>
      <c r="G44" s="93">
        <v>0</v>
      </c>
      <c r="H44" s="141">
        <v>45091</v>
      </c>
      <c r="I44" s="142" t="s">
        <v>34</v>
      </c>
      <c r="J44" s="143">
        <v>947500</v>
      </c>
      <c r="K44" s="143"/>
      <c r="L44" s="144">
        <f t="shared" si="0"/>
        <v>47</v>
      </c>
      <c r="M44" s="145" t="s">
        <v>776</v>
      </c>
      <c r="N44" s="145" t="s">
        <v>701</v>
      </c>
      <c r="O44" s="145" t="s">
        <v>90</v>
      </c>
      <c r="P44" s="145"/>
    </row>
    <row r="45" spans="1:16" ht="15" customHeight="1">
      <c r="A45" s="136" t="s">
        <v>779</v>
      </c>
      <c r="B45" s="74">
        <v>8795001</v>
      </c>
      <c r="C45" s="137" t="s">
        <v>445</v>
      </c>
      <c r="D45" s="138">
        <v>45029</v>
      </c>
      <c r="E45" s="149">
        <v>45044</v>
      </c>
      <c r="F45" s="140" t="s">
        <v>780</v>
      </c>
      <c r="G45" s="93">
        <v>0</v>
      </c>
      <c r="H45" s="141">
        <v>45091</v>
      </c>
      <c r="I45" s="142" t="s">
        <v>34</v>
      </c>
      <c r="J45" s="143">
        <v>8795001</v>
      </c>
      <c r="K45" s="143"/>
      <c r="L45" s="144">
        <f t="shared" si="0"/>
        <v>47</v>
      </c>
      <c r="M45" s="145" t="s">
        <v>776</v>
      </c>
      <c r="N45" s="145" t="s">
        <v>702</v>
      </c>
      <c r="O45" s="145" t="s">
        <v>90</v>
      </c>
      <c r="P45" s="145"/>
    </row>
    <row r="46" spans="1:16" ht="15" customHeight="1">
      <c r="A46" s="136" t="s">
        <v>779</v>
      </c>
      <c r="B46" s="74">
        <v>31228400</v>
      </c>
      <c r="C46" s="137" t="s">
        <v>273</v>
      </c>
      <c r="D46" s="138">
        <v>45029</v>
      </c>
      <c r="E46" s="149">
        <v>45044</v>
      </c>
      <c r="F46" s="140" t="s">
        <v>780</v>
      </c>
      <c r="G46" s="93">
        <v>0</v>
      </c>
      <c r="H46" s="141">
        <v>45107</v>
      </c>
      <c r="I46" s="142" t="s">
        <v>35</v>
      </c>
      <c r="J46" s="151">
        <v>5000000</v>
      </c>
      <c r="K46" s="143"/>
      <c r="L46" s="144">
        <f t="shared" si="0"/>
        <v>63</v>
      </c>
      <c r="M46" s="145" t="s">
        <v>774</v>
      </c>
      <c r="N46" s="145" t="s">
        <v>85</v>
      </c>
      <c r="O46" s="145" t="s">
        <v>90</v>
      </c>
      <c r="P46" s="145"/>
    </row>
    <row r="47" spans="1:16" ht="15" customHeight="1">
      <c r="A47" s="136" t="s">
        <v>779</v>
      </c>
      <c r="B47" s="74">
        <v>32240000</v>
      </c>
      <c r="C47" s="137" t="s">
        <v>274</v>
      </c>
      <c r="D47" s="138">
        <v>45033</v>
      </c>
      <c r="E47" s="149">
        <v>45036</v>
      </c>
      <c r="F47" s="140" t="s">
        <v>780</v>
      </c>
      <c r="G47" s="93">
        <v>0</v>
      </c>
      <c r="H47" s="141">
        <v>45090</v>
      </c>
      <c r="I47" s="142" t="s">
        <v>35</v>
      </c>
      <c r="J47" s="151">
        <v>15000000</v>
      </c>
      <c r="K47" s="143"/>
      <c r="L47" s="144">
        <f t="shared" si="0"/>
        <v>54</v>
      </c>
      <c r="M47" s="145" t="s">
        <v>777</v>
      </c>
      <c r="N47" s="145" t="s">
        <v>251</v>
      </c>
      <c r="O47" s="145" t="s">
        <v>90</v>
      </c>
      <c r="P47" s="145"/>
    </row>
    <row r="48" spans="1:16" ht="15" customHeight="1">
      <c r="A48" s="136" t="s">
        <v>779</v>
      </c>
      <c r="B48" s="74">
        <v>31761600</v>
      </c>
      <c r="C48" s="137" t="s">
        <v>275</v>
      </c>
      <c r="D48" s="138">
        <v>45033</v>
      </c>
      <c r="E48" s="149">
        <v>45048</v>
      </c>
      <c r="F48" s="140" t="s">
        <v>780</v>
      </c>
      <c r="G48" s="93">
        <v>0</v>
      </c>
      <c r="H48" s="141">
        <v>45089</v>
      </c>
      <c r="I48" s="142" t="s">
        <v>35</v>
      </c>
      <c r="J48" s="143">
        <v>10000000</v>
      </c>
      <c r="K48" s="143"/>
      <c r="L48" s="144">
        <f t="shared" si="0"/>
        <v>41</v>
      </c>
      <c r="M48" s="145" t="s">
        <v>773</v>
      </c>
      <c r="N48" s="145" t="s">
        <v>111</v>
      </c>
      <c r="O48" s="145" t="s">
        <v>90</v>
      </c>
      <c r="P48" s="145"/>
    </row>
    <row r="49" spans="1:16" ht="15" customHeight="1">
      <c r="A49" s="136" t="s">
        <v>779</v>
      </c>
      <c r="B49" s="74">
        <v>3200000</v>
      </c>
      <c r="C49" s="137" t="s">
        <v>276</v>
      </c>
      <c r="D49" s="138">
        <v>45034</v>
      </c>
      <c r="E49" s="149">
        <v>45055</v>
      </c>
      <c r="F49" s="140" t="s">
        <v>780</v>
      </c>
      <c r="G49" s="93">
        <v>0</v>
      </c>
      <c r="H49" s="141"/>
      <c r="I49" s="142"/>
      <c r="J49" s="143"/>
      <c r="K49" s="143"/>
      <c r="L49" s="144" t="str">
        <f t="shared" si="0"/>
        <v>x</v>
      </c>
      <c r="M49" s="145" t="s">
        <v>769</v>
      </c>
      <c r="N49" s="145" t="s">
        <v>220</v>
      </c>
      <c r="O49" s="145" t="s">
        <v>90</v>
      </c>
      <c r="P49" s="145"/>
    </row>
    <row r="50" spans="1:16" ht="15" customHeight="1">
      <c r="A50" s="136" t="s">
        <v>779</v>
      </c>
      <c r="B50" s="74">
        <v>3750000</v>
      </c>
      <c r="C50" s="137" t="s">
        <v>277</v>
      </c>
      <c r="D50" s="138">
        <v>45035</v>
      </c>
      <c r="E50" s="149">
        <v>45065</v>
      </c>
      <c r="F50" s="140" t="s">
        <v>780</v>
      </c>
      <c r="G50" s="93">
        <v>0</v>
      </c>
      <c r="H50" s="141">
        <v>45105</v>
      </c>
      <c r="I50" s="142" t="s">
        <v>35</v>
      </c>
      <c r="J50" s="143">
        <v>3750000</v>
      </c>
      <c r="K50" s="143"/>
      <c r="L50" s="144">
        <f t="shared" si="0"/>
        <v>40</v>
      </c>
      <c r="M50" s="145" t="s">
        <v>777</v>
      </c>
      <c r="N50" s="145" t="s">
        <v>112</v>
      </c>
      <c r="O50" s="145" t="s">
        <v>90</v>
      </c>
      <c r="P50" s="145"/>
    </row>
    <row r="51" spans="1:16" ht="15" customHeight="1">
      <c r="A51" s="136" t="s">
        <v>779</v>
      </c>
      <c r="B51" s="74">
        <v>6880001</v>
      </c>
      <c r="C51" s="137" t="s">
        <v>446</v>
      </c>
      <c r="D51" s="138">
        <v>45036</v>
      </c>
      <c r="E51" s="149">
        <v>45044</v>
      </c>
      <c r="F51" s="140" t="s">
        <v>780</v>
      </c>
      <c r="G51" s="93">
        <v>0</v>
      </c>
      <c r="H51" s="141">
        <v>45091</v>
      </c>
      <c r="I51" s="142" t="s">
        <v>34</v>
      </c>
      <c r="J51" s="143">
        <v>6880001</v>
      </c>
      <c r="K51" s="143"/>
      <c r="L51" s="144">
        <f t="shared" si="0"/>
        <v>47</v>
      </c>
      <c r="M51" s="145" t="s">
        <v>776</v>
      </c>
      <c r="N51" s="145" t="s">
        <v>703</v>
      </c>
      <c r="O51" s="145" t="s">
        <v>90</v>
      </c>
      <c r="P51" s="145"/>
    </row>
    <row r="52" spans="1:16" ht="15" customHeight="1">
      <c r="A52" s="136" t="s">
        <v>779</v>
      </c>
      <c r="B52" s="74">
        <v>409450</v>
      </c>
      <c r="C52" s="137" t="s">
        <v>278</v>
      </c>
      <c r="D52" s="138">
        <v>45037</v>
      </c>
      <c r="E52" s="149">
        <v>45058</v>
      </c>
      <c r="F52" s="140" t="s">
        <v>780</v>
      </c>
      <c r="G52" s="93">
        <v>0</v>
      </c>
      <c r="H52" s="141"/>
      <c r="I52" s="142"/>
      <c r="J52" s="143"/>
      <c r="K52" s="143"/>
      <c r="L52" s="144" t="str">
        <f t="shared" si="0"/>
        <v>x</v>
      </c>
      <c r="M52" s="145" t="s">
        <v>769</v>
      </c>
      <c r="N52" s="145" t="s">
        <v>263</v>
      </c>
      <c r="O52" s="145" t="s">
        <v>90</v>
      </c>
      <c r="P52" s="145"/>
    </row>
    <row r="53" spans="1:16" ht="15" customHeight="1">
      <c r="A53" s="136" t="s">
        <v>779</v>
      </c>
      <c r="B53" s="74">
        <v>6952000</v>
      </c>
      <c r="C53" s="137" t="s">
        <v>279</v>
      </c>
      <c r="D53" s="138">
        <v>45038</v>
      </c>
      <c r="E53" s="149">
        <v>45053</v>
      </c>
      <c r="F53" s="140" t="s">
        <v>780</v>
      </c>
      <c r="G53" s="93">
        <v>0</v>
      </c>
      <c r="H53" s="141"/>
      <c r="I53" s="142"/>
      <c r="J53" s="143"/>
      <c r="K53" s="143"/>
      <c r="L53" s="144" t="str">
        <f t="shared" si="0"/>
        <v>x</v>
      </c>
      <c r="M53" s="145" t="s">
        <v>770</v>
      </c>
      <c r="N53" s="145" t="s">
        <v>219</v>
      </c>
      <c r="O53" s="145" t="s">
        <v>90</v>
      </c>
      <c r="P53" s="145"/>
    </row>
    <row r="54" spans="1:16" ht="15" customHeight="1">
      <c r="A54" s="136" t="s">
        <v>779</v>
      </c>
      <c r="B54" s="74">
        <v>24400001</v>
      </c>
      <c r="C54" s="137" t="s">
        <v>447</v>
      </c>
      <c r="D54" s="138">
        <v>45040</v>
      </c>
      <c r="E54" s="149">
        <v>45044</v>
      </c>
      <c r="F54" s="140" t="s">
        <v>780</v>
      </c>
      <c r="G54" s="93">
        <v>0</v>
      </c>
      <c r="H54" s="141">
        <v>45091</v>
      </c>
      <c r="I54" s="142" t="s">
        <v>34</v>
      </c>
      <c r="J54" s="143">
        <v>24400001</v>
      </c>
      <c r="K54" s="143"/>
      <c r="L54" s="144">
        <f t="shared" si="0"/>
        <v>47</v>
      </c>
      <c r="M54" s="145" t="s">
        <v>776</v>
      </c>
      <c r="N54" s="145" t="s">
        <v>704</v>
      </c>
      <c r="O54" s="145" t="s">
        <v>90</v>
      </c>
      <c r="P54" s="145"/>
    </row>
    <row r="55" spans="1:16" ht="15" customHeight="1">
      <c r="A55" s="136" t="s">
        <v>779</v>
      </c>
      <c r="B55" s="74">
        <v>1290000</v>
      </c>
      <c r="C55" s="137" t="s">
        <v>280</v>
      </c>
      <c r="D55" s="138">
        <v>45041</v>
      </c>
      <c r="E55" s="149">
        <v>45062</v>
      </c>
      <c r="F55" s="140" t="s">
        <v>780</v>
      </c>
      <c r="G55" s="93">
        <v>0</v>
      </c>
      <c r="H55" s="141">
        <v>45094</v>
      </c>
      <c r="I55" s="142" t="s">
        <v>35</v>
      </c>
      <c r="J55" s="143">
        <v>1290000</v>
      </c>
      <c r="K55" s="143"/>
      <c r="L55" s="144">
        <f t="shared" si="0"/>
        <v>32</v>
      </c>
      <c r="M55" s="145" t="s">
        <v>769</v>
      </c>
      <c r="N55" s="145" t="s">
        <v>306</v>
      </c>
      <c r="O55" s="145" t="s">
        <v>90</v>
      </c>
      <c r="P55" s="145"/>
    </row>
    <row r="56" spans="1:16" ht="15" customHeight="1">
      <c r="A56" s="136" t="s">
        <v>779</v>
      </c>
      <c r="B56" s="74">
        <v>16203532</v>
      </c>
      <c r="C56" s="137" t="s">
        <v>281</v>
      </c>
      <c r="D56" s="138">
        <v>45041</v>
      </c>
      <c r="E56" s="149">
        <v>45048</v>
      </c>
      <c r="F56" s="140" t="s">
        <v>780</v>
      </c>
      <c r="G56" s="93">
        <v>0</v>
      </c>
      <c r="H56" s="141">
        <v>45086</v>
      </c>
      <c r="I56" s="142">
        <v>111</v>
      </c>
      <c r="J56" s="143">
        <v>16203532</v>
      </c>
      <c r="K56" s="143"/>
      <c r="L56" s="144">
        <f t="shared" si="0"/>
        <v>38</v>
      </c>
      <c r="M56" s="145" t="s">
        <v>770</v>
      </c>
      <c r="N56" s="145" t="s">
        <v>307</v>
      </c>
      <c r="O56" s="145" t="s">
        <v>90</v>
      </c>
      <c r="P56" s="145"/>
    </row>
    <row r="57" spans="1:16" ht="15" customHeight="1">
      <c r="A57" s="136" t="s">
        <v>779</v>
      </c>
      <c r="B57" s="74">
        <v>10320000</v>
      </c>
      <c r="C57" s="137" t="s">
        <v>448</v>
      </c>
      <c r="D57" s="138">
        <v>45041</v>
      </c>
      <c r="E57" s="149">
        <v>45044</v>
      </c>
      <c r="F57" s="140" t="s">
        <v>780</v>
      </c>
      <c r="G57" s="93">
        <v>0</v>
      </c>
      <c r="H57" s="141">
        <v>45091</v>
      </c>
      <c r="I57" s="142" t="s">
        <v>34</v>
      </c>
      <c r="J57" s="143">
        <v>10320000</v>
      </c>
      <c r="K57" s="143"/>
      <c r="L57" s="144">
        <f t="shared" si="0"/>
        <v>47</v>
      </c>
      <c r="M57" s="145" t="s">
        <v>776</v>
      </c>
      <c r="N57" s="145" t="s">
        <v>705</v>
      </c>
      <c r="O57" s="145" t="s">
        <v>90</v>
      </c>
      <c r="P57" s="145"/>
    </row>
    <row r="58" spans="1:16" ht="15" customHeight="1">
      <c r="A58" s="136" t="s">
        <v>779</v>
      </c>
      <c r="B58" s="74">
        <v>6688000</v>
      </c>
      <c r="C58" s="137" t="s">
        <v>282</v>
      </c>
      <c r="D58" s="138">
        <v>45042</v>
      </c>
      <c r="E58" s="149">
        <v>45057</v>
      </c>
      <c r="F58" s="140" t="s">
        <v>780</v>
      </c>
      <c r="G58" s="93">
        <v>0</v>
      </c>
      <c r="H58" s="141">
        <v>45100</v>
      </c>
      <c r="I58" s="142" t="s">
        <v>35</v>
      </c>
      <c r="J58" s="143">
        <v>6688000</v>
      </c>
      <c r="K58" s="143"/>
      <c r="L58" s="144">
        <f t="shared" si="0"/>
        <v>43</v>
      </c>
      <c r="M58" s="145" t="s">
        <v>777</v>
      </c>
      <c r="N58" s="145" t="s">
        <v>312</v>
      </c>
      <c r="O58" s="145" t="s">
        <v>90</v>
      </c>
      <c r="P58" s="145"/>
    </row>
    <row r="59" spans="1:16" ht="15" customHeight="1">
      <c r="A59" s="136" t="s">
        <v>779</v>
      </c>
      <c r="B59" s="74">
        <v>12800001</v>
      </c>
      <c r="C59" s="137" t="s">
        <v>283</v>
      </c>
      <c r="D59" s="138">
        <v>45042</v>
      </c>
      <c r="E59" s="149">
        <v>45063</v>
      </c>
      <c r="F59" s="140" t="s">
        <v>780</v>
      </c>
      <c r="G59" s="93">
        <v>0</v>
      </c>
      <c r="H59" s="141"/>
      <c r="I59" s="142"/>
      <c r="J59" s="143"/>
      <c r="K59" s="143"/>
      <c r="L59" s="144" t="str">
        <f t="shared" si="0"/>
        <v>x</v>
      </c>
      <c r="M59" s="145" t="s">
        <v>769</v>
      </c>
      <c r="N59" s="145" t="s">
        <v>316</v>
      </c>
      <c r="O59" s="145" t="s">
        <v>90</v>
      </c>
      <c r="P59" s="145"/>
    </row>
    <row r="60" spans="1:16" ht="15" customHeight="1">
      <c r="A60" s="136" t="s">
        <v>779</v>
      </c>
      <c r="B60" s="74">
        <v>2974500</v>
      </c>
      <c r="C60" s="137" t="s">
        <v>284</v>
      </c>
      <c r="D60" s="138">
        <v>45042</v>
      </c>
      <c r="E60" s="149">
        <v>45072</v>
      </c>
      <c r="F60" s="140" t="s">
        <v>780</v>
      </c>
      <c r="G60" s="93">
        <v>0</v>
      </c>
      <c r="H60" s="141">
        <v>45105</v>
      </c>
      <c r="I60" s="142" t="s">
        <v>35</v>
      </c>
      <c r="J60" s="143">
        <v>2974000</v>
      </c>
      <c r="K60" s="143"/>
      <c r="L60" s="144">
        <f t="shared" si="0"/>
        <v>33</v>
      </c>
      <c r="M60" s="145" t="s">
        <v>777</v>
      </c>
      <c r="N60" s="145" t="s">
        <v>117</v>
      </c>
      <c r="O60" s="145" t="s">
        <v>90</v>
      </c>
      <c r="P60" s="145"/>
    </row>
    <row r="61" spans="1:16" ht="15" customHeight="1">
      <c r="A61" s="136" t="s">
        <v>779</v>
      </c>
      <c r="B61" s="74"/>
      <c r="C61" s="137" t="s">
        <v>284</v>
      </c>
      <c r="D61" s="138">
        <v>45042</v>
      </c>
      <c r="E61" s="149">
        <v>45072</v>
      </c>
      <c r="F61" s="140" t="s">
        <v>780</v>
      </c>
      <c r="G61" s="93">
        <v>0</v>
      </c>
      <c r="H61" s="141">
        <v>45105</v>
      </c>
      <c r="I61" s="142">
        <v>641</v>
      </c>
      <c r="J61" s="143">
        <v>500</v>
      </c>
      <c r="K61" s="143"/>
      <c r="L61" s="144">
        <f t="shared" si="0"/>
        <v>33</v>
      </c>
      <c r="M61" s="145" t="s">
        <v>777</v>
      </c>
      <c r="N61" s="145" t="s">
        <v>117</v>
      </c>
      <c r="O61" s="145" t="s">
        <v>90</v>
      </c>
      <c r="P61" s="145"/>
    </row>
    <row r="62" spans="1:16" ht="15" customHeight="1">
      <c r="A62" s="136" t="s">
        <v>779</v>
      </c>
      <c r="B62" s="74">
        <v>31348800</v>
      </c>
      <c r="C62" s="137" t="s">
        <v>285</v>
      </c>
      <c r="D62" s="138">
        <v>45043</v>
      </c>
      <c r="E62" s="149">
        <v>45058</v>
      </c>
      <c r="F62" s="140" t="s">
        <v>780</v>
      </c>
      <c r="G62" s="93">
        <v>0</v>
      </c>
      <c r="H62" s="141">
        <v>45093</v>
      </c>
      <c r="I62" s="142" t="s">
        <v>35</v>
      </c>
      <c r="J62" s="143">
        <v>10000000</v>
      </c>
      <c r="K62" s="143"/>
      <c r="L62" s="144">
        <f t="shared" si="0"/>
        <v>35</v>
      </c>
      <c r="M62" s="145" t="s">
        <v>773</v>
      </c>
      <c r="N62" s="145" t="s">
        <v>113</v>
      </c>
      <c r="O62" s="145" t="s">
        <v>90</v>
      </c>
      <c r="P62" s="145"/>
    </row>
    <row r="63" spans="1:16" ht="15" customHeight="1">
      <c r="A63" s="136" t="s">
        <v>779</v>
      </c>
      <c r="B63" s="74">
        <v>7660000</v>
      </c>
      <c r="C63" s="137" t="s">
        <v>286</v>
      </c>
      <c r="D63" s="138">
        <v>45044</v>
      </c>
      <c r="E63" s="149">
        <v>45054</v>
      </c>
      <c r="F63" s="140" t="s">
        <v>780</v>
      </c>
      <c r="G63" s="93">
        <v>0</v>
      </c>
      <c r="H63" s="141">
        <v>45084</v>
      </c>
      <c r="I63" s="142" t="s">
        <v>33</v>
      </c>
      <c r="J63" s="143">
        <v>7660000</v>
      </c>
      <c r="K63" s="143"/>
      <c r="L63" s="144">
        <f t="shared" si="0"/>
        <v>30</v>
      </c>
      <c r="M63" s="145" t="s">
        <v>778</v>
      </c>
      <c r="N63" s="145" t="s">
        <v>323</v>
      </c>
      <c r="O63" s="145" t="s">
        <v>90</v>
      </c>
      <c r="P63" s="145"/>
    </row>
    <row r="64" spans="1:16" ht="15" customHeight="1">
      <c r="A64" s="136" t="s">
        <v>779</v>
      </c>
      <c r="B64" s="74">
        <v>915875</v>
      </c>
      <c r="C64" s="137" t="s">
        <v>287</v>
      </c>
      <c r="D64" s="138">
        <v>45044</v>
      </c>
      <c r="E64" s="149">
        <v>45065</v>
      </c>
      <c r="F64" s="140" t="s">
        <v>780</v>
      </c>
      <c r="G64" s="93">
        <v>0</v>
      </c>
      <c r="H64" s="141"/>
      <c r="I64" s="142"/>
      <c r="J64" s="143"/>
      <c r="K64" s="143"/>
      <c r="L64" s="144" t="str">
        <f t="shared" si="0"/>
        <v>x</v>
      </c>
      <c r="M64" s="145" t="s">
        <v>769</v>
      </c>
      <c r="N64" s="145" t="s">
        <v>326</v>
      </c>
      <c r="O64" s="145" t="s">
        <v>90</v>
      </c>
      <c r="P64" s="145"/>
    </row>
    <row r="65" spans="1:16" ht="15" customHeight="1">
      <c r="A65" s="136" t="s">
        <v>779</v>
      </c>
      <c r="B65" s="74">
        <v>13145001</v>
      </c>
      <c r="C65" s="137" t="s">
        <v>449</v>
      </c>
      <c r="D65" s="138">
        <v>45044</v>
      </c>
      <c r="E65" s="149">
        <v>45044</v>
      </c>
      <c r="F65" s="140" t="s">
        <v>780</v>
      </c>
      <c r="G65" s="93">
        <v>0</v>
      </c>
      <c r="H65" s="141">
        <v>45091</v>
      </c>
      <c r="I65" s="142" t="s">
        <v>34</v>
      </c>
      <c r="J65" s="143">
        <v>13145001</v>
      </c>
      <c r="K65" s="143"/>
      <c r="L65" s="144">
        <f t="shared" si="0"/>
        <v>47</v>
      </c>
      <c r="M65" s="145" t="s">
        <v>776</v>
      </c>
      <c r="N65" s="145" t="s">
        <v>706</v>
      </c>
      <c r="O65" s="145" t="s">
        <v>90</v>
      </c>
      <c r="P65" s="145"/>
    </row>
    <row r="66" spans="1:16" ht="15" customHeight="1">
      <c r="A66" s="136" t="s">
        <v>779</v>
      </c>
      <c r="B66" s="74">
        <v>9120000</v>
      </c>
      <c r="C66" s="137" t="s">
        <v>450</v>
      </c>
      <c r="D66" s="138">
        <v>45044</v>
      </c>
      <c r="E66" s="149">
        <v>45044</v>
      </c>
      <c r="F66" s="140" t="s">
        <v>780</v>
      </c>
      <c r="G66" s="93">
        <v>0</v>
      </c>
      <c r="H66" s="141">
        <v>45091</v>
      </c>
      <c r="I66" s="142" t="s">
        <v>34</v>
      </c>
      <c r="J66" s="143">
        <v>9119994</v>
      </c>
      <c r="K66" s="143"/>
      <c r="L66" s="144">
        <f t="shared" si="0"/>
        <v>47</v>
      </c>
      <c r="M66" s="145" t="s">
        <v>776</v>
      </c>
      <c r="N66" s="145" t="s">
        <v>707</v>
      </c>
      <c r="O66" s="145" t="s">
        <v>90</v>
      </c>
      <c r="P66" s="145"/>
    </row>
    <row r="67" spans="1:16" ht="15" customHeight="1">
      <c r="A67" s="136" t="s">
        <v>779</v>
      </c>
      <c r="B67" s="74"/>
      <c r="C67" s="137" t="s">
        <v>450</v>
      </c>
      <c r="D67" s="138">
        <v>45044</v>
      </c>
      <c r="E67" s="149">
        <v>45044</v>
      </c>
      <c r="F67" s="140" t="s">
        <v>780</v>
      </c>
      <c r="G67" s="93">
        <v>0</v>
      </c>
      <c r="H67" s="141">
        <v>45091</v>
      </c>
      <c r="I67" s="142">
        <v>641</v>
      </c>
      <c r="J67" s="143">
        <v>6</v>
      </c>
      <c r="K67" s="143"/>
      <c r="L67" s="144">
        <f t="shared" si="0"/>
        <v>47</v>
      </c>
      <c r="M67" s="145" t="s">
        <v>776</v>
      </c>
      <c r="N67" s="145" t="s">
        <v>707</v>
      </c>
      <c r="O67" s="145" t="s">
        <v>90</v>
      </c>
      <c r="P67" s="145"/>
    </row>
    <row r="68" spans="1:16" ht="15" customHeight="1">
      <c r="A68" s="136" t="s">
        <v>779</v>
      </c>
      <c r="B68" s="74">
        <v>7740000</v>
      </c>
      <c r="C68" s="137" t="s">
        <v>330</v>
      </c>
      <c r="D68" s="138">
        <v>45050</v>
      </c>
      <c r="E68" s="149">
        <v>45057</v>
      </c>
      <c r="F68" s="140" t="s">
        <v>780</v>
      </c>
      <c r="G68" s="93">
        <v>0</v>
      </c>
      <c r="H68" s="141">
        <v>45107</v>
      </c>
      <c r="I68" s="142" t="s">
        <v>35</v>
      </c>
      <c r="J68" s="143">
        <v>7740000</v>
      </c>
      <c r="K68" s="143"/>
      <c r="L68" s="144">
        <f t="shared" ref="L68:L131" si="1">IF(J68="","x",H68-E68)</f>
        <v>50</v>
      </c>
      <c r="M68" s="145" t="s">
        <v>774</v>
      </c>
      <c r="N68" s="145" t="s">
        <v>423</v>
      </c>
      <c r="O68" s="145" t="s">
        <v>90</v>
      </c>
      <c r="P68" s="145"/>
    </row>
    <row r="69" spans="1:16" ht="15" customHeight="1">
      <c r="A69" s="136" t="s">
        <v>779</v>
      </c>
      <c r="B69" s="74">
        <v>19840000</v>
      </c>
      <c r="C69" s="137" t="s">
        <v>331</v>
      </c>
      <c r="D69" s="138">
        <v>45051</v>
      </c>
      <c r="E69" s="149">
        <v>45066</v>
      </c>
      <c r="F69" s="140" t="s">
        <v>780</v>
      </c>
      <c r="G69" s="93">
        <v>0</v>
      </c>
      <c r="H69" s="141"/>
      <c r="I69" s="142"/>
      <c r="J69" s="143"/>
      <c r="K69" s="143"/>
      <c r="L69" s="144" t="str">
        <f t="shared" si="1"/>
        <v>x</v>
      </c>
      <c r="M69" s="145" t="s">
        <v>777</v>
      </c>
      <c r="N69" s="145" t="s">
        <v>83</v>
      </c>
      <c r="O69" s="145" t="s">
        <v>90</v>
      </c>
      <c r="P69" s="145"/>
    </row>
    <row r="70" spans="1:16" ht="15" customHeight="1">
      <c r="A70" s="136" t="s">
        <v>779</v>
      </c>
      <c r="B70" s="74">
        <v>68140696</v>
      </c>
      <c r="C70" s="137" t="s">
        <v>332</v>
      </c>
      <c r="D70" s="138">
        <v>45051</v>
      </c>
      <c r="E70" s="149">
        <v>45066</v>
      </c>
      <c r="F70" s="140" t="s">
        <v>780</v>
      </c>
      <c r="G70" s="93">
        <v>0</v>
      </c>
      <c r="H70" s="141">
        <v>45087</v>
      </c>
      <c r="I70" s="142" t="s">
        <v>34</v>
      </c>
      <c r="J70" s="143">
        <v>68140696</v>
      </c>
      <c r="K70" s="143"/>
      <c r="L70" s="144">
        <f t="shared" si="1"/>
        <v>21</v>
      </c>
      <c r="M70" s="145" t="s">
        <v>770</v>
      </c>
      <c r="N70" s="145" t="s">
        <v>289</v>
      </c>
      <c r="O70" s="145" t="s">
        <v>90</v>
      </c>
      <c r="P70" s="145"/>
    </row>
    <row r="71" spans="1:16" ht="15" customHeight="1">
      <c r="A71" s="136" t="s">
        <v>779</v>
      </c>
      <c r="B71" s="74">
        <v>2889201</v>
      </c>
      <c r="C71" s="137" t="s">
        <v>333</v>
      </c>
      <c r="D71" s="138">
        <v>45051</v>
      </c>
      <c r="E71" s="149">
        <v>45066</v>
      </c>
      <c r="F71" s="140" t="s">
        <v>780</v>
      </c>
      <c r="G71" s="93">
        <v>0</v>
      </c>
      <c r="H71" s="141">
        <v>45087</v>
      </c>
      <c r="I71" s="142" t="s">
        <v>34</v>
      </c>
      <c r="J71" s="143">
        <v>2889201</v>
      </c>
      <c r="K71" s="143"/>
      <c r="L71" s="144">
        <f t="shared" si="1"/>
        <v>21</v>
      </c>
      <c r="M71" s="145" t="s">
        <v>770</v>
      </c>
      <c r="N71" s="145" t="s">
        <v>425</v>
      </c>
      <c r="O71" s="145" t="s">
        <v>90</v>
      </c>
      <c r="P71" s="145"/>
    </row>
    <row r="72" spans="1:16" ht="15" customHeight="1">
      <c r="A72" s="136" t="s">
        <v>779</v>
      </c>
      <c r="B72" s="74">
        <v>35859828</v>
      </c>
      <c r="C72" s="137" t="s">
        <v>334</v>
      </c>
      <c r="D72" s="138">
        <v>45051</v>
      </c>
      <c r="E72" s="149">
        <v>45061</v>
      </c>
      <c r="F72" s="140" t="s">
        <v>780</v>
      </c>
      <c r="G72" s="93">
        <v>0</v>
      </c>
      <c r="H72" s="141">
        <v>45090</v>
      </c>
      <c r="I72" s="142" t="s">
        <v>33</v>
      </c>
      <c r="J72" s="143">
        <v>35859828</v>
      </c>
      <c r="K72" s="143"/>
      <c r="L72" s="144">
        <f t="shared" si="1"/>
        <v>29</v>
      </c>
      <c r="M72" s="145" t="s">
        <v>770</v>
      </c>
      <c r="N72" s="145" t="s">
        <v>114</v>
      </c>
      <c r="O72" s="145" t="s">
        <v>90</v>
      </c>
      <c r="P72" s="145"/>
    </row>
    <row r="73" spans="1:16" ht="15" customHeight="1">
      <c r="A73" s="136" t="s">
        <v>779</v>
      </c>
      <c r="B73" s="74">
        <v>20974050</v>
      </c>
      <c r="C73" s="137" t="s">
        <v>335</v>
      </c>
      <c r="D73" s="138">
        <v>45051</v>
      </c>
      <c r="E73" s="149">
        <v>45066</v>
      </c>
      <c r="F73" s="140" t="s">
        <v>780</v>
      </c>
      <c r="G73" s="93">
        <v>0</v>
      </c>
      <c r="H73" s="141"/>
      <c r="I73" s="142"/>
      <c r="J73" s="143"/>
      <c r="K73" s="143"/>
      <c r="L73" s="144" t="str">
        <f t="shared" si="1"/>
        <v>x</v>
      </c>
      <c r="M73" s="145" t="s">
        <v>774</v>
      </c>
      <c r="N73" s="145" t="s">
        <v>115</v>
      </c>
      <c r="O73" s="145" t="s">
        <v>90</v>
      </c>
      <c r="P73" s="145"/>
    </row>
    <row r="74" spans="1:16" ht="15" customHeight="1">
      <c r="A74" s="136" t="s">
        <v>779</v>
      </c>
      <c r="B74" s="74">
        <v>9800001</v>
      </c>
      <c r="C74" s="137" t="s">
        <v>336</v>
      </c>
      <c r="D74" s="138">
        <v>45052</v>
      </c>
      <c r="E74" s="149">
        <v>45059</v>
      </c>
      <c r="F74" s="140" t="s">
        <v>780</v>
      </c>
      <c r="G74" s="93">
        <v>0</v>
      </c>
      <c r="H74" s="141">
        <v>45091</v>
      </c>
      <c r="I74" s="142" t="s">
        <v>35</v>
      </c>
      <c r="J74" s="143">
        <v>9800000</v>
      </c>
      <c r="K74" s="143"/>
      <c r="L74" s="144">
        <f t="shared" si="1"/>
        <v>32</v>
      </c>
      <c r="M74" s="145" t="s">
        <v>777</v>
      </c>
      <c r="N74" s="145" t="s">
        <v>116</v>
      </c>
      <c r="O74" s="145" t="s">
        <v>90</v>
      </c>
      <c r="P74" s="145"/>
    </row>
    <row r="75" spans="1:16" ht="15" customHeight="1">
      <c r="A75" s="136" t="s">
        <v>779</v>
      </c>
      <c r="B75" s="74"/>
      <c r="C75" s="137" t="s">
        <v>336</v>
      </c>
      <c r="D75" s="138">
        <v>45052</v>
      </c>
      <c r="E75" s="149">
        <v>45059</v>
      </c>
      <c r="F75" s="140" t="s">
        <v>780</v>
      </c>
      <c r="G75" s="93">
        <v>0</v>
      </c>
      <c r="H75" s="141">
        <v>45091</v>
      </c>
      <c r="I75" s="142">
        <v>641</v>
      </c>
      <c r="J75" s="143">
        <v>1</v>
      </c>
      <c r="K75" s="143"/>
      <c r="L75" s="144">
        <f t="shared" si="1"/>
        <v>32</v>
      </c>
      <c r="M75" s="145" t="s">
        <v>777</v>
      </c>
      <c r="N75" s="145" t="s">
        <v>116</v>
      </c>
      <c r="O75" s="145" t="s">
        <v>90</v>
      </c>
      <c r="P75" s="145"/>
    </row>
    <row r="76" spans="1:16" ht="15" customHeight="1">
      <c r="A76" s="136" t="s">
        <v>779</v>
      </c>
      <c r="B76" s="74">
        <v>13000000</v>
      </c>
      <c r="C76" s="137" t="s">
        <v>337</v>
      </c>
      <c r="D76" s="138">
        <v>45052</v>
      </c>
      <c r="E76" s="149">
        <v>45059</v>
      </c>
      <c r="F76" s="140" t="s">
        <v>780</v>
      </c>
      <c r="G76" s="93">
        <v>0</v>
      </c>
      <c r="H76" s="141">
        <v>45091</v>
      </c>
      <c r="I76" s="142" t="s">
        <v>35</v>
      </c>
      <c r="J76" s="143">
        <v>13000000</v>
      </c>
      <c r="K76" s="143"/>
      <c r="L76" s="144">
        <f t="shared" si="1"/>
        <v>32</v>
      </c>
      <c r="M76" s="145" t="s">
        <v>770</v>
      </c>
      <c r="N76" s="145" t="s">
        <v>95</v>
      </c>
      <c r="O76" s="145" t="s">
        <v>90</v>
      </c>
      <c r="P76" s="145"/>
    </row>
    <row r="77" spans="1:16" ht="15" customHeight="1">
      <c r="A77" s="136" t="s">
        <v>779</v>
      </c>
      <c r="B77" s="74">
        <v>7600001</v>
      </c>
      <c r="C77" s="137" t="s">
        <v>338</v>
      </c>
      <c r="D77" s="138">
        <v>45055</v>
      </c>
      <c r="E77" s="149">
        <v>45070</v>
      </c>
      <c r="F77" s="140" t="s">
        <v>780</v>
      </c>
      <c r="G77" s="93">
        <v>0</v>
      </c>
      <c r="H77" s="141"/>
      <c r="I77" s="142"/>
      <c r="J77" s="74"/>
      <c r="K77" s="143"/>
      <c r="L77" s="144" t="str">
        <f t="shared" si="1"/>
        <v>x</v>
      </c>
      <c r="M77" s="145" t="s">
        <v>777</v>
      </c>
      <c r="N77" s="145" t="s">
        <v>93</v>
      </c>
      <c r="O77" s="145" t="s">
        <v>90</v>
      </c>
      <c r="P77" s="145"/>
    </row>
    <row r="78" spans="1:16" ht="15" customHeight="1">
      <c r="A78" s="136" t="s">
        <v>779</v>
      </c>
      <c r="B78" s="74">
        <v>122479999</v>
      </c>
      <c r="C78" s="137" t="s">
        <v>339</v>
      </c>
      <c r="D78" s="138">
        <v>45055</v>
      </c>
      <c r="E78" s="149">
        <v>45076</v>
      </c>
      <c r="F78" s="140" t="s">
        <v>780</v>
      </c>
      <c r="G78" s="93">
        <v>0</v>
      </c>
      <c r="H78" s="141">
        <v>45098</v>
      </c>
      <c r="I78" s="142" t="s">
        <v>35</v>
      </c>
      <c r="J78" s="143">
        <v>76000000</v>
      </c>
      <c r="K78" s="143"/>
      <c r="L78" s="144">
        <f t="shared" si="1"/>
        <v>22</v>
      </c>
      <c r="M78" s="145" t="s">
        <v>769</v>
      </c>
      <c r="N78" s="145" t="s">
        <v>292</v>
      </c>
      <c r="O78" s="145" t="s">
        <v>90</v>
      </c>
      <c r="P78" s="145"/>
    </row>
    <row r="79" spans="1:16" ht="15" customHeight="1">
      <c r="A79" s="136" t="s">
        <v>779</v>
      </c>
      <c r="B79" s="74"/>
      <c r="C79" s="137" t="s">
        <v>339</v>
      </c>
      <c r="D79" s="138">
        <v>45055</v>
      </c>
      <c r="E79" s="149">
        <v>45076</v>
      </c>
      <c r="F79" s="140" t="s">
        <v>780</v>
      </c>
      <c r="G79" s="93">
        <v>0</v>
      </c>
      <c r="H79" s="141">
        <v>45104</v>
      </c>
      <c r="I79" s="142" t="s">
        <v>35</v>
      </c>
      <c r="J79" s="143">
        <v>46479999</v>
      </c>
      <c r="K79" s="143"/>
      <c r="L79" s="144">
        <f t="shared" si="1"/>
        <v>28</v>
      </c>
      <c r="M79" s="145" t="s">
        <v>769</v>
      </c>
      <c r="N79" s="145" t="s">
        <v>292</v>
      </c>
      <c r="O79" s="145" t="s">
        <v>90</v>
      </c>
      <c r="P79" s="145"/>
    </row>
    <row r="80" spans="1:16" ht="15" customHeight="1">
      <c r="A80" s="136" t="s">
        <v>779</v>
      </c>
      <c r="B80" s="74">
        <v>18600000</v>
      </c>
      <c r="C80" s="137" t="s">
        <v>340</v>
      </c>
      <c r="D80" s="138">
        <v>45056</v>
      </c>
      <c r="E80" s="149">
        <v>45086</v>
      </c>
      <c r="F80" s="140" t="s">
        <v>780</v>
      </c>
      <c r="G80" s="93">
        <v>0</v>
      </c>
      <c r="H80" s="141"/>
      <c r="I80" s="142"/>
      <c r="J80" s="143"/>
      <c r="K80" s="143"/>
      <c r="L80" s="144" t="str">
        <f t="shared" si="1"/>
        <v>x</v>
      </c>
      <c r="M80" s="145" t="s">
        <v>777</v>
      </c>
      <c r="N80" s="145" t="s">
        <v>185</v>
      </c>
      <c r="O80" s="145" t="s">
        <v>90</v>
      </c>
      <c r="P80" s="145"/>
    </row>
    <row r="81" spans="1:16" ht="15" customHeight="1">
      <c r="A81" s="136" t="s">
        <v>779</v>
      </c>
      <c r="B81" s="74">
        <v>21418200</v>
      </c>
      <c r="C81" s="137" t="s">
        <v>341</v>
      </c>
      <c r="D81" s="138">
        <v>45057</v>
      </c>
      <c r="E81" s="149">
        <v>45072</v>
      </c>
      <c r="F81" s="140" t="s">
        <v>780</v>
      </c>
      <c r="G81" s="93">
        <v>0</v>
      </c>
      <c r="H81" s="141"/>
      <c r="I81" s="142"/>
      <c r="J81" s="143"/>
      <c r="K81" s="143"/>
      <c r="L81" s="144" t="str">
        <f t="shared" si="1"/>
        <v>x</v>
      </c>
      <c r="M81" s="145" t="s">
        <v>773</v>
      </c>
      <c r="N81" s="145" t="s">
        <v>246</v>
      </c>
      <c r="O81" s="145" t="s">
        <v>90</v>
      </c>
      <c r="P81" s="145"/>
    </row>
    <row r="82" spans="1:16" ht="15" customHeight="1">
      <c r="A82" s="136" t="s">
        <v>779</v>
      </c>
      <c r="B82" s="74">
        <v>257285805</v>
      </c>
      <c r="C82" s="137" t="s">
        <v>342</v>
      </c>
      <c r="D82" s="138">
        <v>45057</v>
      </c>
      <c r="E82" s="149">
        <v>45072</v>
      </c>
      <c r="F82" s="140" t="s">
        <v>780</v>
      </c>
      <c r="G82" s="93">
        <v>0</v>
      </c>
      <c r="H82" s="141"/>
      <c r="I82" s="142"/>
      <c r="J82" s="143"/>
      <c r="K82" s="143"/>
      <c r="L82" s="144" t="str">
        <f t="shared" si="1"/>
        <v>x</v>
      </c>
      <c r="M82" s="145" t="s">
        <v>770</v>
      </c>
      <c r="N82" s="145" t="s">
        <v>97</v>
      </c>
      <c r="O82" s="145" t="s">
        <v>90</v>
      </c>
      <c r="P82" s="145"/>
    </row>
    <row r="83" spans="1:16" ht="15" customHeight="1">
      <c r="A83" s="136" t="s">
        <v>779</v>
      </c>
      <c r="B83" s="74">
        <v>203836</v>
      </c>
      <c r="C83" s="137" t="s">
        <v>343</v>
      </c>
      <c r="D83" s="138">
        <v>45057</v>
      </c>
      <c r="E83" s="149">
        <v>45102</v>
      </c>
      <c r="F83" s="140" t="s">
        <v>780</v>
      </c>
      <c r="G83" s="93">
        <v>0</v>
      </c>
      <c r="H83" s="141">
        <v>45093</v>
      </c>
      <c r="I83" s="142" t="s">
        <v>34</v>
      </c>
      <c r="J83" s="143">
        <v>203836</v>
      </c>
      <c r="K83" s="143"/>
      <c r="L83" s="144">
        <f t="shared" si="1"/>
        <v>-9</v>
      </c>
      <c r="M83" s="145" t="s">
        <v>777</v>
      </c>
      <c r="N83" s="145" t="s">
        <v>195</v>
      </c>
      <c r="O83" s="145" t="s">
        <v>90</v>
      </c>
      <c r="P83" s="145"/>
    </row>
    <row r="84" spans="1:16" ht="15" customHeight="1">
      <c r="A84" s="136" t="s">
        <v>779</v>
      </c>
      <c r="B84" s="74">
        <v>550000</v>
      </c>
      <c r="C84" s="137" t="s">
        <v>451</v>
      </c>
      <c r="D84" s="138">
        <v>45057</v>
      </c>
      <c r="E84" s="149">
        <v>45077</v>
      </c>
      <c r="F84" s="140" t="s">
        <v>780</v>
      </c>
      <c r="G84" s="93">
        <v>0</v>
      </c>
      <c r="H84" s="141"/>
      <c r="I84" s="142"/>
      <c r="J84" s="143"/>
      <c r="K84" s="143"/>
      <c r="L84" s="144" t="str">
        <f t="shared" si="1"/>
        <v>x</v>
      </c>
      <c r="M84" s="145" t="s">
        <v>776</v>
      </c>
      <c r="N84" s="145" t="s">
        <v>699</v>
      </c>
      <c r="O84" s="145" t="s">
        <v>90</v>
      </c>
      <c r="P84" s="145"/>
    </row>
    <row r="85" spans="1:16" ht="15" customHeight="1">
      <c r="A85" s="136" t="s">
        <v>779</v>
      </c>
      <c r="B85" s="74">
        <v>2400000</v>
      </c>
      <c r="C85" s="137" t="s">
        <v>344</v>
      </c>
      <c r="D85" s="138">
        <v>45058</v>
      </c>
      <c r="E85" s="149">
        <v>45068</v>
      </c>
      <c r="F85" s="140" t="s">
        <v>780</v>
      </c>
      <c r="G85" s="93">
        <v>0</v>
      </c>
      <c r="H85" s="141">
        <v>45078</v>
      </c>
      <c r="I85" s="142" t="s">
        <v>33</v>
      </c>
      <c r="J85" s="143">
        <v>2400000</v>
      </c>
      <c r="K85" s="143"/>
      <c r="L85" s="144">
        <f t="shared" si="1"/>
        <v>10</v>
      </c>
      <c r="M85" s="145" t="s">
        <v>770</v>
      </c>
      <c r="N85" s="145" t="s">
        <v>206</v>
      </c>
      <c r="O85" s="145" t="s">
        <v>90</v>
      </c>
      <c r="P85" s="150"/>
    </row>
    <row r="86" spans="1:16" ht="15" customHeight="1">
      <c r="A86" s="136" t="s">
        <v>779</v>
      </c>
      <c r="B86" s="74">
        <v>4560001</v>
      </c>
      <c r="C86" s="137" t="s">
        <v>452</v>
      </c>
      <c r="D86" s="138">
        <v>45058</v>
      </c>
      <c r="E86" s="149">
        <v>45077</v>
      </c>
      <c r="F86" s="140" t="s">
        <v>780</v>
      </c>
      <c r="G86" s="93">
        <v>0</v>
      </c>
      <c r="H86" s="141"/>
      <c r="I86" s="142"/>
      <c r="J86" s="143"/>
      <c r="K86" s="143"/>
      <c r="L86" s="144" t="str">
        <f t="shared" si="1"/>
        <v>x</v>
      </c>
      <c r="M86" s="145" t="s">
        <v>776</v>
      </c>
      <c r="N86" s="145" t="s">
        <v>708</v>
      </c>
      <c r="O86" s="145" t="s">
        <v>90</v>
      </c>
      <c r="P86" s="150"/>
    </row>
    <row r="87" spans="1:16" ht="15" customHeight="1">
      <c r="A87" s="136" t="s">
        <v>779</v>
      </c>
      <c r="B87" s="74">
        <v>3456000</v>
      </c>
      <c r="C87" s="137" t="s">
        <v>345</v>
      </c>
      <c r="D87" s="138">
        <v>45058</v>
      </c>
      <c r="E87" s="149">
        <v>45103</v>
      </c>
      <c r="F87" s="140" t="s">
        <v>780</v>
      </c>
      <c r="G87" s="93">
        <v>0</v>
      </c>
      <c r="H87" s="141">
        <v>45093</v>
      </c>
      <c r="I87" s="142" t="s">
        <v>34</v>
      </c>
      <c r="J87" s="143">
        <v>3456000</v>
      </c>
      <c r="K87" s="143"/>
      <c r="L87" s="144">
        <f t="shared" si="1"/>
        <v>-10</v>
      </c>
      <c r="M87" s="145" t="s">
        <v>777</v>
      </c>
      <c r="N87" s="145" t="s">
        <v>251</v>
      </c>
      <c r="O87" s="145" t="s">
        <v>90</v>
      </c>
      <c r="P87" s="150"/>
    </row>
    <row r="88" spans="1:16" ht="15" customHeight="1">
      <c r="A88" s="136" t="s">
        <v>779</v>
      </c>
      <c r="B88" s="74">
        <v>30850000</v>
      </c>
      <c r="C88" s="137" t="s">
        <v>346</v>
      </c>
      <c r="D88" s="138">
        <v>45059</v>
      </c>
      <c r="E88" s="149">
        <v>45077</v>
      </c>
      <c r="F88" s="140" t="s">
        <v>780</v>
      </c>
      <c r="G88" s="93">
        <v>0</v>
      </c>
      <c r="H88" s="141">
        <v>45082</v>
      </c>
      <c r="I88" s="142" t="s">
        <v>34</v>
      </c>
      <c r="J88" s="143">
        <v>30850000</v>
      </c>
      <c r="K88" s="143"/>
      <c r="L88" s="144">
        <f t="shared" si="1"/>
        <v>5</v>
      </c>
      <c r="M88" s="145" t="s">
        <v>777</v>
      </c>
      <c r="N88" s="145" t="s">
        <v>76</v>
      </c>
      <c r="O88" s="145" t="s">
        <v>90</v>
      </c>
      <c r="P88" s="145"/>
    </row>
    <row r="89" spans="1:16" ht="15" customHeight="1">
      <c r="A89" s="136" t="s">
        <v>779</v>
      </c>
      <c r="B89" s="74">
        <v>3213001</v>
      </c>
      <c r="C89" s="137" t="s">
        <v>347</v>
      </c>
      <c r="D89" s="138">
        <v>45061</v>
      </c>
      <c r="E89" s="149">
        <v>45106</v>
      </c>
      <c r="F89" s="140" t="s">
        <v>780</v>
      </c>
      <c r="G89" s="93">
        <v>0</v>
      </c>
      <c r="H89" s="141">
        <v>45093</v>
      </c>
      <c r="I89" s="142" t="s">
        <v>34</v>
      </c>
      <c r="J89" s="143">
        <v>3213000</v>
      </c>
      <c r="K89" s="143"/>
      <c r="L89" s="144">
        <f t="shared" si="1"/>
        <v>-13</v>
      </c>
      <c r="M89" s="145" t="s">
        <v>772</v>
      </c>
      <c r="N89" s="145" t="s">
        <v>213</v>
      </c>
      <c r="O89" s="145" t="s">
        <v>90</v>
      </c>
      <c r="P89" s="150"/>
    </row>
    <row r="90" spans="1:16" ht="15" customHeight="1">
      <c r="A90" s="136" t="s">
        <v>779</v>
      </c>
      <c r="B90" s="74"/>
      <c r="C90" s="137" t="s">
        <v>347</v>
      </c>
      <c r="D90" s="138">
        <v>45061</v>
      </c>
      <c r="E90" s="149">
        <v>45106</v>
      </c>
      <c r="F90" s="140" t="s">
        <v>780</v>
      </c>
      <c r="G90" s="93">
        <v>0</v>
      </c>
      <c r="H90" s="141">
        <v>45093</v>
      </c>
      <c r="I90" s="142">
        <v>641</v>
      </c>
      <c r="J90" s="143">
        <v>1</v>
      </c>
      <c r="K90" s="143"/>
      <c r="L90" s="144">
        <f t="shared" si="1"/>
        <v>-13</v>
      </c>
      <c r="M90" s="145" t="s">
        <v>772</v>
      </c>
      <c r="N90" s="145" t="s">
        <v>213</v>
      </c>
      <c r="O90" s="145" t="s">
        <v>90</v>
      </c>
      <c r="P90" s="150"/>
    </row>
    <row r="91" spans="1:16" ht="15" customHeight="1">
      <c r="A91" s="136" t="s">
        <v>779</v>
      </c>
      <c r="B91" s="74">
        <v>4175999</v>
      </c>
      <c r="C91" s="137" t="s">
        <v>348</v>
      </c>
      <c r="D91" s="138">
        <v>45062</v>
      </c>
      <c r="E91" s="149">
        <v>45083</v>
      </c>
      <c r="F91" s="140" t="s">
        <v>780</v>
      </c>
      <c r="G91" s="93">
        <v>0</v>
      </c>
      <c r="H91" s="141">
        <v>45083</v>
      </c>
      <c r="I91" s="142" t="s">
        <v>34</v>
      </c>
      <c r="J91" s="143">
        <v>4175999</v>
      </c>
      <c r="K91" s="143"/>
      <c r="L91" s="144">
        <f t="shared" si="1"/>
        <v>0</v>
      </c>
      <c r="M91" s="145" t="s">
        <v>769</v>
      </c>
      <c r="N91" s="145" t="s">
        <v>200</v>
      </c>
      <c r="O91" s="145" t="s">
        <v>90</v>
      </c>
      <c r="P91" s="150"/>
    </row>
    <row r="92" spans="1:16" ht="15" customHeight="1">
      <c r="A92" s="136" t="s">
        <v>779</v>
      </c>
      <c r="B92" s="74">
        <v>3989500</v>
      </c>
      <c r="C92" s="137" t="s">
        <v>349</v>
      </c>
      <c r="D92" s="138">
        <v>45062</v>
      </c>
      <c r="E92" s="149">
        <v>45092</v>
      </c>
      <c r="F92" s="140" t="s">
        <v>780</v>
      </c>
      <c r="G92" s="93">
        <v>0</v>
      </c>
      <c r="H92" s="141">
        <v>45100</v>
      </c>
      <c r="I92" s="142" t="s">
        <v>35</v>
      </c>
      <c r="J92" s="143">
        <v>3990000</v>
      </c>
      <c r="K92" s="143"/>
      <c r="L92" s="144">
        <f t="shared" si="1"/>
        <v>8</v>
      </c>
      <c r="M92" s="145" t="s">
        <v>777</v>
      </c>
      <c r="N92" s="145" t="s">
        <v>109</v>
      </c>
      <c r="O92" s="145" t="s">
        <v>90</v>
      </c>
      <c r="P92" s="150"/>
    </row>
    <row r="93" spans="1:16" ht="15" customHeight="1">
      <c r="A93" s="136" t="s">
        <v>779</v>
      </c>
      <c r="B93" s="74"/>
      <c r="C93" s="137" t="s">
        <v>349</v>
      </c>
      <c r="D93" s="138">
        <v>45062</v>
      </c>
      <c r="E93" s="149">
        <v>45092</v>
      </c>
      <c r="F93" s="140" t="s">
        <v>780</v>
      </c>
      <c r="G93" s="93">
        <v>500</v>
      </c>
      <c r="H93" s="141">
        <v>45100</v>
      </c>
      <c r="I93" s="142"/>
      <c r="J93" s="143"/>
      <c r="K93" s="143"/>
      <c r="L93" s="144" t="str">
        <f t="shared" si="1"/>
        <v>x</v>
      </c>
      <c r="M93" s="145" t="s">
        <v>777</v>
      </c>
      <c r="N93" s="145" t="s">
        <v>109</v>
      </c>
      <c r="O93" s="145" t="s">
        <v>90</v>
      </c>
      <c r="P93" s="150"/>
    </row>
    <row r="94" spans="1:16" ht="15" customHeight="1">
      <c r="A94" s="136" t="s">
        <v>779</v>
      </c>
      <c r="B94" s="74">
        <v>28879998</v>
      </c>
      <c r="C94" s="137" t="s">
        <v>350</v>
      </c>
      <c r="D94" s="138">
        <v>45062</v>
      </c>
      <c r="E94" s="149">
        <v>45077</v>
      </c>
      <c r="F94" s="140" t="s">
        <v>780</v>
      </c>
      <c r="G94" s="93">
        <v>0</v>
      </c>
      <c r="H94" s="141">
        <v>45079</v>
      </c>
      <c r="I94" s="142" t="s">
        <v>35</v>
      </c>
      <c r="J94" s="143">
        <v>28879998</v>
      </c>
      <c r="K94" s="143"/>
      <c r="L94" s="144">
        <f t="shared" si="1"/>
        <v>2</v>
      </c>
      <c r="M94" s="145" t="s">
        <v>777</v>
      </c>
      <c r="N94" s="145" t="s">
        <v>204</v>
      </c>
      <c r="O94" s="145" t="s">
        <v>90</v>
      </c>
      <c r="P94" s="150"/>
    </row>
    <row r="95" spans="1:16" ht="15" customHeight="1">
      <c r="A95" s="136" t="s">
        <v>779</v>
      </c>
      <c r="B95" s="74">
        <v>15708001</v>
      </c>
      <c r="C95" s="137" t="s">
        <v>351</v>
      </c>
      <c r="D95" s="138">
        <v>45062</v>
      </c>
      <c r="E95" s="149">
        <v>45077</v>
      </c>
      <c r="F95" s="140" t="s">
        <v>780</v>
      </c>
      <c r="G95" s="93">
        <v>0</v>
      </c>
      <c r="H95" s="141">
        <v>45097</v>
      </c>
      <c r="I95" s="142" t="s">
        <v>35</v>
      </c>
      <c r="J95" s="143">
        <v>14442000</v>
      </c>
      <c r="K95" s="143"/>
      <c r="L95" s="144">
        <f t="shared" si="1"/>
        <v>20</v>
      </c>
      <c r="M95" s="145" t="s">
        <v>770</v>
      </c>
      <c r="N95" s="145" t="s">
        <v>219</v>
      </c>
      <c r="O95" s="145" t="s">
        <v>90</v>
      </c>
      <c r="P95" s="145"/>
    </row>
    <row r="96" spans="1:16" ht="15" customHeight="1">
      <c r="A96" s="136" t="s">
        <v>779</v>
      </c>
      <c r="B96" s="74"/>
      <c r="C96" s="137" t="s">
        <v>351</v>
      </c>
      <c r="D96" s="138">
        <v>45062</v>
      </c>
      <c r="E96" s="149">
        <v>45077</v>
      </c>
      <c r="F96" s="140" t="s">
        <v>780</v>
      </c>
      <c r="G96" s="93">
        <v>0</v>
      </c>
      <c r="H96" s="141">
        <v>45098</v>
      </c>
      <c r="I96" s="142">
        <v>531</v>
      </c>
      <c r="J96" s="143">
        <v>1266001</v>
      </c>
      <c r="K96" s="143"/>
      <c r="L96" s="144">
        <f t="shared" si="1"/>
        <v>21</v>
      </c>
      <c r="M96" s="145" t="s">
        <v>770</v>
      </c>
      <c r="N96" s="145" t="s">
        <v>219</v>
      </c>
      <c r="O96" s="145" t="s">
        <v>90</v>
      </c>
      <c r="P96" s="145"/>
    </row>
    <row r="97" spans="1:16" ht="15" customHeight="1">
      <c r="A97" s="136" t="s">
        <v>779</v>
      </c>
      <c r="B97" s="74">
        <v>2205001</v>
      </c>
      <c r="C97" s="137" t="s">
        <v>352</v>
      </c>
      <c r="D97" s="138">
        <v>45062</v>
      </c>
      <c r="E97" s="149">
        <v>45107</v>
      </c>
      <c r="F97" s="140" t="s">
        <v>780</v>
      </c>
      <c r="G97" s="93">
        <v>0</v>
      </c>
      <c r="H97" s="141"/>
      <c r="I97" s="142"/>
      <c r="J97" s="143"/>
      <c r="K97" s="143"/>
      <c r="L97" s="144" t="str">
        <f t="shared" si="1"/>
        <v>x</v>
      </c>
      <c r="M97" s="145" t="s">
        <v>772</v>
      </c>
      <c r="N97" s="145" t="s">
        <v>125</v>
      </c>
      <c r="O97" s="145" t="s">
        <v>90</v>
      </c>
      <c r="P97" s="145"/>
    </row>
    <row r="98" spans="1:16" ht="15" customHeight="1">
      <c r="A98" s="136" t="s">
        <v>779</v>
      </c>
      <c r="B98" s="74">
        <v>1900000</v>
      </c>
      <c r="C98" s="137" t="s">
        <v>353</v>
      </c>
      <c r="D98" s="148">
        <v>45062</v>
      </c>
      <c r="E98" s="149">
        <v>45077</v>
      </c>
      <c r="F98" s="140" t="s">
        <v>780</v>
      </c>
      <c r="G98" s="93">
        <v>0</v>
      </c>
      <c r="H98" s="141">
        <v>45089</v>
      </c>
      <c r="I98" s="142" t="s">
        <v>33</v>
      </c>
      <c r="J98" s="143">
        <v>1900000</v>
      </c>
      <c r="K98" s="143"/>
      <c r="L98" s="144">
        <f t="shared" si="1"/>
        <v>12</v>
      </c>
      <c r="M98" s="145" t="s">
        <v>777</v>
      </c>
      <c r="N98" s="145" t="s">
        <v>85</v>
      </c>
      <c r="O98" s="145" t="s">
        <v>90</v>
      </c>
      <c r="P98" s="145"/>
    </row>
    <row r="99" spans="1:16" ht="15" customHeight="1">
      <c r="A99" s="136" t="s">
        <v>779</v>
      </c>
      <c r="B99" s="74">
        <v>6120000</v>
      </c>
      <c r="C99" s="137" t="s">
        <v>354</v>
      </c>
      <c r="D99" s="148">
        <v>45063</v>
      </c>
      <c r="E99" s="149">
        <v>45070</v>
      </c>
      <c r="F99" s="140" t="s">
        <v>780</v>
      </c>
      <c r="G99" s="93">
        <v>0</v>
      </c>
      <c r="H99" s="141">
        <v>45093</v>
      </c>
      <c r="I99" s="142" t="s">
        <v>35</v>
      </c>
      <c r="J99" s="143">
        <v>6120000</v>
      </c>
      <c r="K99" s="143"/>
      <c r="L99" s="144">
        <f t="shared" si="1"/>
        <v>23</v>
      </c>
      <c r="M99" s="145" t="s">
        <v>775</v>
      </c>
      <c r="N99" s="145" t="s">
        <v>211</v>
      </c>
      <c r="O99" s="145" t="s">
        <v>90</v>
      </c>
      <c r="P99" s="145"/>
    </row>
    <row r="100" spans="1:16" ht="15" customHeight="1">
      <c r="A100" s="136" t="s">
        <v>779</v>
      </c>
      <c r="B100" s="74">
        <v>50549996</v>
      </c>
      <c r="C100" s="137" t="s">
        <v>355</v>
      </c>
      <c r="D100" s="148">
        <v>45063</v>
      </c>
      <c r="E100" s="149">
        <v>45078</v>
      </c>
      <c r="F100" s="140" t="s">
        <v>780</v>
      </c>
      <c r="G100" s="93">
        <v>0</v>
      </c>
      <c r="H100" s="141">
        <v>45087</v>
      </c>
      <c r="I100" s="142" t="s">
        <v>34</v>
      </c>
      <c r="J100" s="143">
        <v>13970103</v>
      </c>
      <c r="K100" s="143"/>
      <c r="L100" s="144">
        <f t="shared" si="1"/>
        <v>9</v>
      </c>
      <c r="M100" s="145" t="s">
        <v>770</v>
      </c>
      <c r="N100" s="145" t="s">
        <v>208</v>
      </c>
      <c r="O100" s="145" t="s">
        <v>90</v>
      </c>
      <c r="P100" s="145"/>
    </row>
    <row r="101" spans="1:16" ht="15" customHeight="1">
      <c r="A101" s="136" t="s">
        <v>779</v>
      </c>
      <c r="B101" s="74"/>
      <c r="C101" s="137" t="s">
        <v>355</v>
      </c>
      <c r="D101" s="138">
        <v>45063</v>
      </c>
      <c r="E101" s="149">
        <v>45078</v>
      </c>
      <c r="F101" s="140" t="s">
        <v>780</v>
      </c>
      <c r="G101" s="93">
        <v>0</v>
      </c>
      <c r="H101" s="141">
        <v>45094</v>
      </c>
      <c r="I101" s="142" t="s">
        <v>34</v>
      </c>
      <c r="J101" s="143">
        <v>35000000</v>
      </c>
      <c r="K101" s="143"/>
      <c r="L101" s="144">
        <f t="shared" si="1"/>
        <v>16</v>
      </c>
      <c r="M101" s="145" t="s">
        <v>770</v>
      </c>
      <c r="N101" s="145" t="s">
        <v>208</v>
      </c>
      <c r="O101" s="145" t="s">
        <v>90</v>
      </c>
      <c r="P101" s="145"/>
    </row>
    <row r="102" spans="1:16" ht="15" customHeight="1">
      <c r="A102" s="136" t="s">
        <v>779</v>
      </c>
      <c r="B102" s="74">
        <v>7843500</v>
      </c>
      <c r="C102" s="137" t="s">
        <v>356</v>
      </c>
      <c r="D102" s="138">
        <v>45064</v>
      </c>
      <c r="E102" s="149">
        <v>45064</v>
      </c>
      <c r="F102" s="140" t="s">
        <v>780</v>
      </c>
      <c r="G102" s="93">
        <v>0</v>
      </c>
      <c r="H102" s="141">
        <v>45078</v>
      </c>
      <c r="I102" s="142" t="s">
        <v>35</v>
      </c>
      <c r="J102" s="143">
        <v>7843500</v>
      </c>
      <c r="K102" s="143"/>
      <c r="L102" s="144">
        <f t="shared" si="1"/>
        <v>14</v>
      </c>
      <c r="M102" s="145" t="s">
        <v>772</v>
      </c>
      <c r="N102" s="145" t="s">
        <v>430</v>
      </c>
      <c r="O102" s="145" t="s">
        <v>90</v>
      </c>
      <c r="P102" s="145"/>
    </row>
    <row r="103" spans="1:16" ht="15" customHeight="1">
      <c r="A103" s="136" t="s">
        <v>779</v>
      </c>
      <c r="B103" s="74">
        <v>10450000</v>
      </c>
      <c r="C103" s="137" t="s">
        <v>357</v>
      </c>
      <c r="D103" s="138">
        <v>45065</v>
      </c>
      <c r="E103" s="149">
        <v>45075</v>
      </c>
      <c r="F103" s="140" t="s">
        <v>780</v>
      </c>
      <c r="G103" s="93">
        <v>0</v>
      </c>
      <c r="H103" s="141">
        <v>45097</v>
      </c>
      <c r="I103" s="142" t="s">
        <v>34</v>
      </c>
      <c r="J103" s="143">
        <v>10450000</v>
      </c>
      <c r="K103" s="143"/>
      <c r="L103" s="144">
        <f t="shared" si="1"/>
        <v>22</v>
      </c>
      <c r="M103" s="145" t="s">
        <v>772</v>
      </c>
      <c r="N103" s="145" t="s">
        <v>214</v>
      </c>
      <c r="O103" s="145" t="s">
        <v>90</v>
      </c>
      <c r="P103" s="145"/>
    </row>
    <row r="104" spans="1:16" ht="15" customHeight="1">
      <c r="A104" s="136" t="s">
        <v>779</v>
      </c>
      <c r="B104" s="74">
        <v>94095008</v>
      </c>
      <c r="C104" s="137" t="s">
        <v>358</v>
      </c>
      <c r="D104" s="138">
        <v>45066</v>
      </c>
      <c r="E104" s="149">
        <v>45073</v>
      </c>
      <c r="F104" s="140" t="s">
        <v>780</v>
      </c>
      <c r="G104" s="93">
        <v>0</v>
      </c>
      <c r="H104" s="141"/>
      <c r="I104" s="142"/>
      <c r="J104" s="143"/>
      <c r="K104" s="143"/>
      <c r="L104" s="144" t="str">
        <f t="shared" si="1"/>
        <v>x</v>
      </c>
      <c r="M104" s="145" t="s">
        <v>772</v>
      </c>
      <c r="N104" s="145" t="s">
        <v>197</v>
      </c>
      <c r="O104" s="145" t="s">
        <v>90</v>
      </c>
      <c r="P104" s="145"/>
    </row>
    <row r="105" spans="1:16" ht="15" customHeight="1">
      <c r="A105" s="136" t="s">
        <v>779</v>
      </c>
      <c r="B105" s="74">
        <v>5800000</v>
      </c>
      <c r="C105" s="137" t="s">
        <v>359</v>
      </c>
      <c r="D105" s="138">
        <v>45068</v>
      </c>
      <c r="E105" s="149">
        <v>45075</v>
      </c>
      <c r="F105" s="140" t="s">
        <v>780</v>
      </c>
      <c r="G105" s="93">
        <v>0</v>
      </c>
      <c r="H105" s="141"/>
      <c r="I105" s="142"/>
      <c r="J105" s="143"/>
      <c r="K105" s="143"/>
      <c r="L105" s="144" t="str">
        <f t="shared" si="1"/>
        <v>x</v>
      </c>
      <c r="M105" s="145" t="s">
        <v>770</v>
      </c>
      <c r="N105" s="145" t="s">
        <v>217</v>
      </c>
      <c r="O105" s="145" t="s">
        <v>90</v>
      </c>
      <c r="P105" s="145"/>
    </row>
    <row r="106" spans="1:16" ht="15" customHeight="1">
      <c r="A106" s="136" t="s">
        <v>779</v>
      </c>
      <c r="B106" s="74">
        <v>3800001</v>
      </c>
      <c r="C106" s="137" t="s">
        <v>360</v>
      </c>
      <c r="D106" s="138">
        <v>45068</v>
      </c>
      <c r="E106" s="149">
        <v>45078</v>
      </c>
      <c r="F106" s="140" t="s">
        <v>780</v>
      </c>
      <c r="G106" s="93">
        <v>0</v>
      </c>
      <c r="H106" s="141">
        <v>45092</v>
      </c>
      <c r="I106" s="142" t="s">
        <v>35</v>
      </c>
      <c r="J106" s="143">
        <v>3800000</v>
      </c>
      <c r="K106" s="143"/>
      <c r="L106" s="144">
        <f t="shared" si="1"/>
        <v>14</v>
      </c>
      <c r="M106" s="145" t="s">
        <v>770</v>
      </c>
      <c r="N106" s="145" t="s">
        <v>215</v>
      </c>
      <c r="O106" s="145" t="s">
        <v>90</v>
      </c>
      <c r="P106" s="145"/>
    </row>
    <row r="107" spans="1:16" ht="15" customHeight="1">
      <c r="A107" s="136" t="s">
        <v>779</v>
      </c>
      <c r="B107" s="74"/>
      <c r="C107" s="137" t="s">
        <v>360</v>
      </c>
      <c r="D107" s="138">
        <v>45068</v>
      </c>
      <c r="E107" s="149">
        <v>45078</v>
      </c>
      <c r="F107" s="140" t="s">
        <v>780</v>
      </c>
      <c r="G107" s="93">
        <v>0</v>
      </c>
      <c r="H107" s="141">
        <v>45092</v>
      </c>
      <c r="I107" s="142">
        <v>641</v>
      </c>
      <c r="J107" s="143">
        <v>1</v>
      </c>
      <c r="K107" s="143"/>
      <c r="L107" s="144">
        <f t="shared" si="1"/>
        <v>14</v>
      </c>
      <c r="M107" s="145" t="s">
        <v>770</v>
      </c>
      <c r="N107" s="145" t="s">
        <v>215</v>
      </c>
      <c r="O107" s="145" t="s">
        <v>90</v>
      </c>
      <c r="P107" s="145"/>
    </row>
    <row r="108" spans="1:16" ht="15" customHeight="1">
      <c r="A108" s="136" t="s">
        <v>779</v>
      </c>
      <c r="B108" s="74">
        <v>39849997</v>
      </c>
      <c r="C108" s="137" t="s">
        <v>361</v>
      </c>
      <c r="D108" s="138">
        <v>45068</v>
      </c>
      <c r="E108" s="149">
        <v>45089</v>
      </c>
      <c r="F108" s="140" t="s">
        <v>780</v>
      </c>
      <c r="G108" s="93">
        <v>0</v>
      </c>
      <c r="H108" s="141">
        <v>45083</v>
      </c>
      <c r="I108" s="142" t="s">
        <v>34</v>
      </c>
      <c r="J108" s="143">
        <v>39849997</v>
      </c>
      <c r="K108" s="143"/>
      <c r="L108" s="144">
        <f t="shared" si="1"/>
        <v>-6</v>
      </c>
      <c r="M108" s="145" t="s">
        <v>769</v>
      </c>
      <c r="N108" s="145" t="s">
        <v>220</v>
      </c>
      <c r="O108" s="145" t="s">
        <v>90</v>
      </c>
      <c r="P108" s="145"/>
    </row>
    <row r="109" spans="1:16" ht="15" customHeight="1">
      <c r="A109" s="136" t="s">
        <v>779</v>
      </c>
      <c r="B109" s="74">
        <v>16045906</v>
      </c>
      <c r="C109" s="137" t="s">
        <v>362</v>
      </c>
      <c r="D109" s="138">
        <v>45069</v>
      </c>
      <c r="E109" s="149">
        <v>45076</v>
      </c>
      <c r="F109" s="140" t="s">
        <v>780</v>
      </c>
      <c r="G109" s="93">
        <v>0</v>
      </c>
      <c r="H109" s="141">
        <v>45105</v>
      </c>
      <c r="I109" s="142" t="s">
        <v>33</v>
      </c>
      <c r="J109" s="143">
        <v>16045906</v>
      </c>
      <c r="K109" s="143"/>
      <c r="L109" s="144">
        <f t="shared" si="1"/>
        <v>29</v>
      </c>
      <c r="M109" s="145" t="s">
        <v>778</v>
      </c>
      <c r="N109" s="145" t="s">
        <v>74</v>
      </c>
      <c r="O109" s="145" t="s">
        <v>90</v>
      </c>
      <c r="P109" s="145"/>
    </row>
    <row r="110" spans="1:16" ht="15" customHeight="1">
      <c r="A110" s="136" t="s">
        <v>779</v>
      </c>
      <c r="B110" s="74">
        <v>11400000</v>
      </c>
      <c r="C110" s="137" t="s">
        <v>363</v>
      </c>
      <c r="D110" s="138">
        <v>45069</v>
      </c>
      <c r="E110" s="149">
        <v>45090</v>
      </c>
      <c r="F110" s="140" t="s">
        <v>780</v>
      </c>
      <c r="G110" s="93">
        <v>0</v>
      </c>
      <c r="H110" s="141">
        <v>45098</v>
      </c>
      <c r="I110" s="142" t="s">
        <v>35</v>
      </c>
      <c r="J110" s="143">
        <v>11400000</v>
      </c>
      <c r="K110" s="143"/>
      <c r="L110" s="144">
        <f t="shared" si="1"/>
        <v>8</v>
      </c>
      <c r="M110" s="145" t="s">
        <v>769</v>
      </c>
      <c r="N110" s="145" t="s">
        <v>229</v>
      </c>
      <c r="O110" s="145" t="s">
        <v>90</v>
      </c>
      <c r="P110" s="145"/>
    </row>
    <row r="111" spans="1:16" ht="15" customHeight="1">
      <c r="A111" s="136" t="s">
        <v>779</v>
      </c>
      <c r="B111" s="74">
        <v>19757880</v>
      </c>
      <c r="C111" s="137" t="s">
        <v>364</v>
      </c>
      <c r="D111" s="138">
        <v>45069</v>
      </c>
      <c r="E111" s="149">
        <v>45074</v>
      </c>
      <c r="F111" s="140" t="s">
        <v>780</v>
      </c>
      <c r="G111" s="93">
        <v>0</v>
      </c>
      <c r="H111" s="141">
        <v>45097</v>
      </c>
      <c r="I111" s="142" t="s">
        <v>33</v>
      </c>
      <c r="J111" s="143">
        <v>19757880</v>
      </c>
      <c r="K111" s="143"/>
      <c r="L111" s="144">
        <f t="shared" si="1"/>
        <v>23</v>
      </c>
      <c r="M111" s="145" t="s">
        <v>778</v>
      </c>
      <c r="N111" s="145" t="s">
        <v>77</v>
      </c>
      <c r="O111" s="145" t="s">
        <v>90</v>
      </c>
      <c r="P111" s="145"/>
    </row>
    <row r="112" spans="1:16" ht="15" customHeight="1">
      <c r="A112" s="136" t="s">
        <v>779</v>
      </c>
      <c r="B112" s="74">
        <v>22000000</v>
      </c>
      <c r="C112" s="137" t="s">
        <v>365</v>
      </c>
      <c r="D112" s="138">
        <v>45069</v>
      </c>
      <c r="E112" s="149">
        <v>45079</v>
      </c>
      <c r="F112" s="140" t="s">
        <v>780</v>
      </c>
      <c r="G112" s="93">
        <v>0</v>
      </c>
      <c r="H112" s="141">
        <v>45078</v>
      </c>
      <c r="I112" s="142" t="s">
        <v>33</v>
      </c>
      <c r="J112" s="143">
        <v>22000000</v>
      </c>
      <c r="K112" s="143"/>
      <c r="L112" s="144">
        <f t="shared" si="1"/>
        <v>-1</v>
      </c>
      <c r="M112" s="145" t="s">
        <v>770</v>
      </c>
      <c r="N112" s="145" t="s">
        <v>232</v>
      </c>
      <c r="O112" s="145" t="s">
        <v>90</v>
      </c>
      <c r="P112" s="145"/>
    </row>
    <row r="113" spans="1:16" ht="15" customHeight="1">
      <c r="A113" s="136" t="s">
        <v>779</v>
      </c>
      <c r="B113" s="74">
        <v>612500</v>
      </c>
      <c r="C113" s="137" t="s">
        <v>366</v>
      </c>
      <c r="D113" s="138">
        <v>45069</v>
      </c>
      <c r="E113" s="149">
        <v>45077</v>
      </c>
      <c r="F113" s="140" t="s">
        <v>780</v>
      </c>
      <c r="G113" s="93">
        <v>0</v>
      </c>
      <c r="H113" s="141">
        <v>45089</v>
      </c>
      <c r="I113" s="142" t="s">
        <v>33</v>
      </c>
      <c r="J113" s="143">
        <v>612500</v>
      </c>
      <c r="K113" s="143"/>
      <c r="L113" s="144">
        <f t="shared" si="1"/>
        <v>12</v>
      </c>
      <c r="M113" s="145" t="s">
        <v>777</v>
      </c>
      <c r="N113" s="145" t="s">
        <v>110</v>
      </c>
      <c r="O113" s="145" t="s">
        <v>90</v>
      </c>
      <c r="P113" s="145"/>
    </row>
    <row r="114" spans="1:16" ht="15" customHeight="1">
      <c r="A114" s="136" t="s">
        <v>779</v>
      </c>
      <c r="B114" s="74">
        <v>8548501</v>
      </c>
      <c r="C114" s="137" t="s">
        <v>367</v>
      </c>
      <c r="D114" s="138">
        <v>45069</v>
      </c>
      <c r="E114" s="149">
        <v>45099</v>
      </c>
      <c r="F114" s="140" t="s">
        <v>780</v>
      </c>
      <c r="G114" s="93">
        <v>0</v>
      </c>
      <c r="H114" s="141">
        <v>45087</v>
      </c>
      <c r="I114" s="142">
        <v>521</v>
      </c>
      <c r="J114" s="143">
        <v>8548501</v>
      </c>
      <c r="K114" s="143"/>
      <c r="L114" s="144">
        <f t="shared" si="1"/>
        <v>-12</v>
      </c>
      <c r="M114" s="145" t="s">
        <v>776</v>
      </c>
      <c r="N114" s="145" t="s">
        <v>431</v>
      </c>
      <c r="O114" s="145" t="s">
        <v>90</v>
      </c>
      <c r="P114" s="145"/>
    </row>
    <row r="115" spans="1:16" ht="15" customHeight="1">
      <c r="A115" s="136" t="s">
        <v>779</v>
      </c>
      <c r="B115" s="74">
        <v>26199996</v>
      </c>
      <c r="C115" s="137" t="s">
        <v>368</v>
      </c>
      <c r="D115" s="138">
        <v>45069</v>
      </c>
      <c r="E115" s="149">
        <v>45090</v>
      </c>
      <c r="F115" s="140" t="s">
        <v>780</v>
      </c>
      <c r="G115" s="93">
        <v>0</v>
      </c>
      <c r="H115" s="141">
        <v>45083</v>
      </c>
      <c r="I115" s="142" t="s">
        <v>34</v>
      </c>
      <c r="J115" s="143">
        <v>26199996</v>
      </c>
      <c r="K115" s="143"/>
      <c r="L115" s="144">
        <f t="shared" si="1"/>
        <v>-7</v>
      </c>
      <c r="M115" s="145" t="s">
        <v>769</v>
      </c>
      <c r="N115" s="145" t="s">
        <v>255</v>
      </c>
      <c r="O115" s="145" t="s">
        <v>90</v>
      </c>
      <c r="P115" s="145"/>
    </row>
    <row r="116" spans="1:16" ht="15" customHeight="1">
      <c r="A116" s="136" t="s">
        <v>779</v>
      </c>
      <c r="B116" s="74">
        <v>9130501</v>
      </c>
      <c r="C116" s="137" t="s">
        <v>369</v>
      </c>
      <c r="D116" s="138">
        <v>45069</v>
      </c>
      <c r="E116" s="149">
        <v>45084</v>
      </c>
      <c r="F116" s="140" t="s">
        <v>780</v>
      </c>
      <c r="G116" s="93">
        <v>0</v>
      </c>
      <c r="H116" s="141">
        <v>45107</v>
      </c>
      <c r="I116" s="142" t="s">
        <v>35</v>
      </c>
      <c r="J116" s="143">
        <v>9130501</v>
      </c>
      <c r="K116" s="143"/>
      <c r="L116" s="144">
        <f t="shared" si="1"/>
        <v>23</v>
      </c>
      <c r="M116" s="145" t="s">
        <v>777</v>
      </c>
      <c r="N116" s="145" t="s">
        <v>432</v>
      </c>
      <c r="O116" s="145" t="s">
        <v>90</v>
      </c>
      <c r="P116" s="145"/>
    </row>
    <row r="117" spans="1:16" ht="15" customHeight="1">
      <c r="A117" s="136" t="s">
        <v>779</v>
      </c>
      <c r="B117" s="74">
        <v>28524997</v>
      </c>
      <c r="C117" s="137" t="s">
        <v>370</v>
      </c>
      <c r="D117" s="138">
        <v>45069</v>
      </c>
      <c r="E117" s="149">
        <v>45079</v>
      </c>
      <c r="F117" s="140" t="s">
        <v>780</v>
      </c>
      <c r="G117" s="93">
        <v>0</v>
      </c>
      <c r="H117" s="141">
        <v>45078</v>
      </c>
      <c r="I117" s="142" t="s">
        <v>33</v>
      </c>
      <c r="J117" s="143">
        <v>28524997</v>
      </c>
      <c r="K117" s="143"/>
      <c r="L117" s="144">
        <f t="shared" si="1"/>
        <v>-1</v>
      </c>
      <c r="M117" s="145" t="s">
        <v>770</v>
      </c>
      <c r="N117" s="145" t="s">
        <v>256</v>
      </c>
      <c r="O117" s="145" t="s">
        <v>90</v>
      </c>
      <c r="P117" s="145"/>
    </row>
    <row r="118" spans="1:16" ht="15" customHeight="1">
      <c r="A118" s="136" t="s">
        <v>779</v>
      </c>
      <c r="B118" s="74">
        <v>30227760</v>
      </c>
      <c r="C118" s="137" t="s">
        <v>371</v>
      </c>
      <c r="D118" s="138">
        <v>45069</v>
      </c>
      <c r="E118" s="149">
        <v>45084</v>
      </c>
      <c r="F118" s="140" t="s">
        <v>780</v>
      </c>
      <c r="G118" s="93">
        <v>0</v>
      </c>
      <c r="H118" s="141">
        <v>45104</v>
      </c>
      <c r="I118" s="142" t="s">
        <v>35</v>
      </c>
      <c r="J118" s="143">
        <v>30227000</v>
      </c>
      <c r="K118" s="143"/>
      <c r="L118" s="144">
        <f t="shared" si="1"/>
        <v>20</v>
      </c>
      <c r="M118" s="145" t="s">
        <v>774</v>
      </c>
      <c r="N118" s="145" t="s">
        <v>112</v>
      </c>
      <c r="O118" s="145" t="s">
        <v>90</v>
      </c>
      <c r="P118" s="145"/>
    </row>
    <row r="119" spans="1:16" ht="15" customHeight="1">
      <c r="A119" s="136" t="s">
        <v>779</v>
      </c>
      <c r="B119" s="74"/>
      <c r="C119" s="137" t="s">
        <v>371</v>
      </c>
      <c r="D119" s="138">
        <v>45069</v>
      </c>
      <c r="E119" s="149">
        <v>45084</v>
      </c>
      <c r="F119" s="140" t="s">
        <v>780</v>
      </c>
      <c r="G119" s="93">
        <v>0</v>
      </c>
      <c r="H119" s="141">
        <v>45104</v>
      </c>
      <c r="I119" s="142">
        <v>641</v>
      </c>
      <c r="J119" s="143">
        <v>760</v>
      </c>
      <c r="K119" s="143"/>
      <c r="L119" s="144">
        <f t="shared" si="1"/>
        <v>20</v>
      </c>
      <c r="M119" s="145" t="s">
        <v>774</v>
      </c>
      <c r="N119" s="145" t="s">
        <v>112</v>
      </c>
      <c r="O119" s="145" t="s">
        <v>90</v>
      </c>
      <c r="P119" s="145"/>
    </row>
    <row r="120" spans="1:16" ht="15" customHeight="1">
      <c r="A120" s="136" t="s">
        <v>779</v>
      </c>
      <c r="B120" s="74">
        <v>28524997</v>
      </c>
      <c r="C120" s="137" t="s">
        <v>372</v>
      </c>
      <c r="D120" s="138">
        <v>45069</v>
      </c>
      <c r="E120" s="149">
        <v>45079</v>
      </c>
      <c r="F120" s="140" t="s">
        <v>780</v>
      </c>
      <c r="G120" s="93">
        <v>0</v>
      </c>
      <c r="H120" s="141">
        <v>45078</v>
      </c>
      <c r="I120" s="142" t="s">
        <v>33</v>
      </c>
      <c r="J120" s="74">
        <v>28524997</v>
      </c>
      <c r="K120" s="143"/>
      <c r="L120" s="144">
        <f t="shared" si="1"/>
        <v>-1</v>
      </c>
      <c r="M120" s="145" t="s">
        <v>770</v>
      </c>
      <c r="N120" s="145" t="s">
        <v>259</v>
      </c>
      <c r="O120" s="145" t="s">
        <v>90</v>
      </c>
      <c r="P120" s="145"/>
    </row>
    <row r="121" spans="1:16" ht="15" customHeight="1">
      <c r="A121" s="136" t="s">
        <v>779</v>
      </c>
      <c r="B121" s="74">
        <v>115200</v>
      </c>
      <c r="C121" s="137" t="s">
        <v>373</v>
      </c>
      <c r="D121" s="138">
        <v>45069</v>
      </c>
      <c r="E121" s="149">
        <v>45076</v>
      </c>
      <c r="F121" s="140" t="s">
        <v>780</v>
      </c>
      <c r="G121" s="93">
        <v>0</v>
      </c>
      <c r="H121" s="141">
        <v>45082</v>
      </c>
      <c r="I121" s="142" t="s">
        <v>35</v>
      </c>
      <c r="J121" s="143">
        <v>115200</v>
      </c>
      <c r="K121" s="143"/>
      <c r="L121" s="144">
        <f t="shared" si="1"/>
        <v>6</v>
      </c>
      <c r="M121" s="145" t="s">
        <v>770</v>
      </c>
      <c r="N121" s="145" t="s">
        <v>258</v>
      </c>
      <c r="O121" s="145" t="s">
        <v>90</v>
      </c>
      <c r="P121" s="145"/>
    </row>
    <row r="122" spans="1:16" ht="15" customHeight="1">
      <c r="A122" s="136" t="s">
        <v>779</v>
      </c>
      <c r="B122" s="74">
        <v>14700001</v>
      </c>
      <c r="C122" s="137" t="s">
        <v>374</v>
      </c>
      <c r="D122" s="138">
        <v>45069</v>
      </c>
      <c r="E122" s="149">
        <v>45079</v>
      </c>
      <c r="F122" s="140" t="s">
        <v>780</v>
      </c>
      <c r="G122" s="93">
        <v>0</v>
      </c>
      <c r="H122" s="141">
        <v>45078</v>
      </c>
      <c r="I122" s="142" t="s">
        <v>33</v>
      </c>
      <c r="J122" s="143">
        <v>14700001</v>
      </c>
      <c r="K122" s="143"/>
      <c r="L122" s="144">
        <f t="shared" si="1"/>
        <v>-1</v>
      </c>
      <c r="M122" s="145" t="s">
        <v>770</v>
      </c>
      <c r="N122" s="145" t="s">
        <v>260</v>
      </c>
      <c r="O122" s="145" t="s">
        <v>90</v>
      </c>
      <c r="P122" s="145"/>
    </row>
    <row r="123" spans="1:16" ht="15" customHeight="1">
      <c r="A123" s="136" t="s">
        <v>779</v>
      </c>
      <c r="B123" s="74">
        <v>6739999</v>
      </c>
      <c r="C123" s="137" t="s">
        <v>375</v>
      </c>
      <c r="D123" s="138">
        <v>45070</v>
      </c>
      <c r="E123" s="149">
        <v>45091</v>
      </c>
      <c r="F123" s="140" t="s">
        <v>780</v>
      </c>
      <c r="G123" s="93">
        <v>0</v>
      </c>
      <c r="H123" s="141">
        <v>45094</v>
      </c>
      <c r="I123" s="142" t="s">
        <v>35</v>
      </c>
      <c r="J123" s="143">
        <v>6739999</v>
      </c>
      <c r="K123" s="143"/>
      <c r="L123" s="144">
        <f t="shared" si="1"/>
        <v>3</v>
      </c>
      <c r="M123" s="145" t="s">
        <v>769</v>
      </c>
      <c r="N123" s="145" t="s">
        <v>265</v>
      </c>
      <c r="O123" s="145" t="s">
        <v>90</v>
      </c>
      <c r="P123" s="145"/>
    </row>
    <row r="124" spans="1:16" ht="15" customHeight="1">
      <c r="A124" s="136" t="s">
        <v>779</v>
      </c>
      <c r="B124" s="74">
        <v>23025001</v>
      </c>
      <c r="C124" s="137" t="s">
        <v>376</v>
      </c>
      <c r="D124" s="138">
        <v>45070</v>
      </c>
      <c r="E124" s="149">
        <v>45080</v>
      </c>
      <c r="F124" s="140" t="s">
        <v>780</v>
      </c>
      <c r="G124" s="93">
        <v>0</v>
      </c>
      <c r="H124" s="141">
        <v>45079</v>
      </c>
      <c r="I124" s="142" t="s">
        <v>33</v>
      </c>
      <c r="J124" s="143">
        <v>23025001</v>
      </c>
      <c r="K124" s="143"/>
      <c r="L124" s="144">
        <f t="shared" si="1"/>
        <v>-1</v>
      </c>
      <c r="M124" s="145" t="s">
        <v>770</v>
      </c>
      <c r="N124" s="145" t="s">
        <v>261</v>
      </c>
      <c r="O124" s="145" t="s">
        <v>90</v>
      </c>
      <c r="P124" s="145"/>
    </row>
    <row r="125" spans="1:16" ht="15" customHeight="1">
      <c r="A125" s="136" t="s">
        <v>779</v>
      </c>
      <c r="B125" s="74">
        <v>30237601</v>
      </c>
      <c r="C125" s="137" t="s">
        <v>377</v>
      </c>
      <c r="D125" s="138">
        <v>45070</v>
      </c>
      <c r="E125" s="149">
        <v>45077</v>
      </c>
      <c r="F125" s="140" t="s">
        <v>780</v>
      </c>
      <c r="G125" s="93">
        <v>0</v>
      </c>
      <c r="H125" s="141"/>
      <c r="I125" s="142"/>
      <c r="J125" s="143"/>
      <c r="K125" s="143"/>
      <c r="L125" s="144" t="str">
        <f t="shared" si="1"/>
        <v>x</v>
      </c>
      <c r="M125" s="145" t="s">
        <v>773</v>
      </c>
      <c r="N125" s="145" t="s">
        <v>433</v>
      </c>
      <c r="O125" s="145" t="s">
        <v>90</v>
      </c>
      <c r="P125" s="145"/>
    </row>
    <row r="126" spans="1:16" ht="15" customHeight="1">
      <c r="A126" s="136" t="s">
        <v>779</v>
      </c>
      <c r="B126" s="74">
        <v>50550000</v>
      </c>
      <c r="C126" s="137" t="s">
        <v>378</v>
      </c>
      <c r="D126" s="138">
        <v>45070</v>
      </c>
      <c r="E126" s="149">
        <v>45080</v>
      </c>
      <c r="F126" s="140" t="s">
        <v>780</v>
      </c>
      <c r="G126" s="93">
        <v>0</v>
      </c>
      <c r="H126" s="141">
        <v>45079</v>
      </c>
      <c r="I126" s="142" t="s">
        <v>33</v>
      </c>
      <c r="J126" s="143">
        <v>50550000</v>
      </c>
      <c r="K126" s="143"/>
      <c r="L126" s="144">
        <f t="shared" si="1"/>
        <v>-1</v>
      </c>
      <c r="M126" s="145" t="s">
        <v>770</v>
      </c>
      <c r="N126" s="145" t="s">
        <v>296</v>
      </c>
      <c r="O126" s="145" t="s">
        <v>90</v>
      </c>
      <c r="P126" s="145"/>
    </row>
    <row r="127" spans="1:16" ht="15" customHeight="1">
      <c r="A127" s="136" t="s">
        <v>779</v>
      </c>
      <c r="B127" s="74">
        <v>322500</v>
      </c>
      <c r="C127" s="137" t="s">
        <v>379</v>
      </c>
      <c r="D127" s="138">
        <v>45070</v>
      </c>
      <c r="E127" s="149">
        <v>45100</v>
      </c>
      <c r="F127" s="140" t="s">
        <v>780</v>
      </c>
      <c r="G127" s="93">
        <v>0</v>
      </c>
      <c r="H127" s="141">
        <v>45087</v>
      </c>
      <c r="I127" s="142">
        <v>521</v>
      </c>
      <c r="J127" s="143">
        <v>322500</v>
      </c>
      <c r="K127" s="143"/>
      <c r="L127" s="144">
        <f t="shared" si="1"/>
        <v>-13</v>
      </c>
      <c r="M127" s="145" t="s">
        <v>775</v>
      </c>
      <c r="N127" s="145" t="s">
        <v>297</v>
      </c>
      <c r="O127" s="145" t="s">
        <v>90</v>
      </c>
      <c r="P127" s="145"/>
    </row>
    <row r="128" spans="1:16" ht="15" customHeight="1">
      <c r="A128" s="136" t="s">
        <v>779</v>
      </c>
      <c r="B128" s="74">
        <v>5549999</v>
      </c>
      <c r="C128" s="137" t="s">
        <v>380</v>
      </c>
      <c r="D128" s="138">
        <v>45071</v>
      </c>
      <c r="E128" s="149">
        <v>45101</v>
      </c>
      <c r="F128" s="140" t="s">
        <v>780</v>
      </c>
      <c r="G128" s="93">
        <v>0</v>
      </c>
      <c r="H128" s="141">
        <v>45087</v>
      </c>
      <c r="I128" s="142">
        <v>521</v>
      </c>
      <c r="J128" s="143">
        <v>5549999</v>
      </c>
      <c r="K128" s="143"/>
      <c r="L128" s="144">
        <f t="shared" si="1"/>
        <v>-14</v>
      </c>
      <c r="M128" s="145" t="s">
        <v>775</v>
      </c>
      <c r="N128" s="145" t="s">
        <v>266</v>
      </c>
      <c r="O128" s="145" t="s">
        <v>90</v>
      </c>
      <c r="P128" s="145"/>
    </row>
    <row r="129" spans="1:16" ht="15" customHeight="1">
      <c r="A129" s="136" t="s">
        <v>779</v>
      </c>
      <c r="B129" s="74">
        <v>13664000</v>
      </c>
      <c r="C129" s="137" t="s">
        <v>381</v>
      </c>
      <c r="D129" s="138">
        <v>45071</v>
      </c>
      <c r="E129" s="149">
        <v>45101</v>
      </c>
      <c r="F129" s="140" t="s">
        <v>780</v>
      </c>
      <c r="G129" s="93">
        <v>0</v>
      </c>
      <c r="H129" s="141">
        <v>45087</v>
      </c>
      <c r="I129" s="142">
        <v>521</v>
      </c>
      <c r="J129" s="143">
        <v>13664000</v>
      </c>
      <c r="K129" s="143"/>
      <c r="L129" s="144">
        <f t="shared" si="1"/>
        <v>-14</v>
      </c>
      <c r="M129" s="145" t="s">
        <v>772</v>
      </c>
      <c r="N129" s="145" t="s">
        <v>298</v>
      </c>
      <c r="O129" s="145" t="s">
        <v>90</v>
      </c>
      <c r="P129" s="145"/>
    </row>
    <row r="130" spans="1:16" ht="15" customHeight="1">
      <c r="A130" s="136" t="s">
        <v>779</v>
      </c>
      <c r="B130" s="74">
        <v>23444837</v>
      </c>
      <c r="C130" s="137" t="s">
        <v>382</v>
      </c>
      <c r="D130" s="138">
        <v>45071</v>
      </c>
      <c r="E130" s="149">
        <v>45078</v>
      </c>
      <c r="F130" s="140" t="s">
        <v>780</v>
      </c>
      <c r="G130" s="93">
        <v>0</v>
      </c>
      <c r="H130" s="141"/>
      <c r="I130" s="142"/>
      <c r="J130" s="143"/>
      <c r="K130" s="143"/>
      <c r="L130" s="144" t="str">
        <f t="shared" si="1"/>
        <v>x</v>
      </c>
      <c r="M130" s="145" t="s">
        <v>772</v>
      </c>
      <c r="N130" s="145" t="s">
        <v>164</v>
      </c>
      <c r="O130" s="145" t="s">
        <v>90</v>
      </c>
      <c r="P130" s="145"/>
    </row>
    <row r="131" spans="1:16" ht="15" customHeight="1">
      <c r="A131" s="136" t="s">
        <v>779</v>
      </c>
      <c r="B131" s="74">
        <v>1850000</v>
      </c>
      <c r="C131" s="137" t="s">
        <v>383</v>
      </c>
      <c r="D131" s="138">
        <v>45071</v>
      </c>
      <c r="E131" s="149">
        <v>45101</v>
      </c>
      <c r="F131" s="140" t="s">
        <v>780</v>
      </c>
      <c r="G131" s="93">
        <v>0</v>
      </c>
      <c r="H131" s="141">
        <v>45087</v>
      </c>
      <c r="I131" s="142">
        <v>521</v>
      </c>
      <c r="J131" s="143">
        <v>1850000</v>
      </c>
      <c r="K131" s="143"/>
      <c r="L131" s="144">
        <f t="shared" si="1"/>
        <v>-14</v>
      </c>
      <c r="M131" s="145" t="s">
        <v>776</v>
      </c>
      <c r="N131" s="145" t="s">
        <v>434</v>
      </c>
      <c r="O131" s="145" t="s">
        <v>90</v>
      </c>
      <c r="P131" s="145"/>
    </row>
    <row r="132" spans="1:16" ht="15" customHeight="1">
      <c r="A132" s="136" t="s">
        <v>779</v>
      </c>
      <c r="B132" s="74">
        <v>33295997</v>
      </c>
      <c r="C132" s="137" t="s">
        <v>384</v>
      </c>
      <c r="D132" s="138">
        <v>45071</v>
      </c>
      <c r="E132" s="149">
        <v>45092</v>
      </c>
      <c r="F132" s="140" t="s">
        <v>780</v>
      </c>
      <c r="G132" s="93">
        <v>0</v>
      </c>
      <c r="H132" s="141">
        <v>45083</v>
      </c>
      <c r="I132" s="142" t="s">
        <v>34</v>
      </c>
      <c r="J132" s="143">
        <v>33295997</v>
      </c>
      <c r="K132" s="143"/>
      <c r="L132" s="144">
        <f t="shared" ref="L132:L194" si="2">IF(J132="","x",H132-E132)</f>
        <v>-9</v>
      </c>
      <c r="M132" s="145" t="s">
        <v>769</v>
      </c>
      <c r="N132" s="145" t="s">
        <v>268</v>
      </c>
      <c r="O132" s="145" t="s">
        <v>90</v>
      </c>
      <c r="P132" s="145"/>
    </row>
    <row r="133" spans="1:16" ht="15" customHeight="1">
      <c r="A133" s="136" t="s">
        <v>779</v>
      </c>
      <c r="B133" s="74">
        <v>4644000</v>
      </c>
      <c r="C133" s="137" t="s">
        <v>453</v>
      </c>
      <c r="D133" s="138">
        <v>45071</v>
      </c>
      <c r="E133" s="149">
        <v>45077</v>
      </c>
      <c r="F133" s="140" t="s">
        <v>780</v>
      </c>
      <c r="G133" s="93">
        <v>0</v>
      </c>
      <c r="H133" s="141"/>
      <c r="I133" s="142"/>
      <c r="J133" s="143"/>
      <c r="K133" s="143"/>
      <c r="L133" s="144" t="str">
        <f t="shared" si="2"/>
        <v>x</v>
      </c>
      <c r="M133" s="145" t="s">
        <v>776</v>
      </c>
      <c r="N133" s="145" t="s">
        <v>701</v>
      </c>
      <c r="O133" s="145" t="s">
        <v>90</v>
      </c>
      <c r="P133" s="145"/>
    </row>
    <row r="134" spans="1:16" ht="15" customHeight="1">
      <c r="A134" s="136" t="s">
        <v>779</v>
      </c>
      <c r="B134" s="74">
        <v>4800000</v>
      </c>
      <c r="C134" s="137" t="s">
        <v>385</v>
      </c>
      <c r="D134" s="138">
        <v>45071</v>
      </c>
      <c r="E134" s="149">
        <v>45078</v>
      </c>
      <c r="F134" s="140" t="s">
        <v>780</v>
      </c>
      <c r="G134" s="93">
        <v>0</v>
      </c>
      <c r="H134" s="141">
        <v>45093</v>
      </c>
      <c r="I134" s="142" t="s">
        <v>35</v>
      </c>
      <c r="J134" s="143">
        <v>4800000</v>
      </c>
      <c r="K134" s="143"/>
      <c r="L134" s="144">
        <f t="shared" si="2"/>
        <v>15</v>
      </c>
      <c r="M134" s="145" t="s">
        <v>775</v>
      </c>
      <c r="N134" s="145" t="s">
        <v>249</v>
      </c>
      <c r="O134" s="145" t="s">
        <v>90</v>
      </c>
      <c r="P134" s="145"/>
    </row>
    <row r="135" spans="1:16" ht="15" customHeight="1">
      <c r="A135" s="136" t="s">
        <v>779</v>
      </c>
      <c r="B135" s="74">
        <v>310200</v>
      </c>
      <c r="C135" s="137" t="s">
        <v>386</v>
      </c>
      <c r="D135" s="138">
        <v>45071</v>
      </c>
      <c r="E135" s="149">
        <v>45071</v>
      </c>
      <c r="F135" s="140" t="s">
        <v>780</v>
      </c>
      <c r="G135" s="93">
        <v>0</v>
      </c>
      <c r="H135" s="141"/>
      <c r="I135" s="142"/>
      <c r="J135" s="143"/>
      <c r="K135" s="143"/>
      <c r="L135" s="144" t="str">
        <f t="shared" si="2"/>
        <v>x</v>
      </c>
      <c r="M135" s="145" t="s">
        <v>770</v>
      </c>
      <c r="N135" s="145" t="s">
        <v>435</v>
      </c>
      <c r="O135" s="145" t="s">
        <v>90</v>
      </c>
      <c r="P135" s="145"/>
    </row>
    <row r="136" spans="1:16" ht="15" customHeight="1">
      <c r="A136" s="136" t="s">
        <v>779</v>
      </c>
      <c r="B136" s="74">
        <v>1600001</v>
      </c>
      <c r="C136" s="137" t="s">
        <v>387</v>
      </c>
      <c r="D136" s="148">
        <v>45072</v>
      </c>
      <c r="E136" s="149">
        <v>45079</v>
      </c>
      <c r="F136" s="140" t="s">
        <v>780</v>
      </c>
      <c r="G136" s="93">
        <v>0</v>
      </c>
      <c r="H136" s="141">
        <v>45082</v>
      </c>
      <c r="I136" s="142" t="s">
        <v>35</v>
      </c>
      <c r="J136" s="143">
        <v>1600001</v>
      </c>
      <c r="K136" s="143"/>
      <c r="L136" s="144">
        <f t="shared" si="2"/>
        <v>3</v>
      </c>
      <c r="M136" s="145" t="s">
        <v>770</v>
      </c>
      <c r="N136" s="145" t="s">
        <v>314</v>
      </c>
      <c r="O136" s="145" t="s">
        <v>90</v>
      </c>
      <c r="P136" s="145"/>
    </row>
    <row r="137" spans="1:16" ht="15" customHeight="1">
      <c r="A137" s="136" t="s">
        <v>779</v>
      </c>
      <c r="B137" s="74">
        <v>231699987</v>
      </c>
      <c r="C137" s="137" t="s">
        <v>388</v>
      </c>
      <c r="D137" s="148">
        <v>45072</v>
      </c>
      <c r="E137" s="149">
        <v>45102</v>
      </c>
      <c r="F137" s="140" t="s">
        <v>780</v>
      </c>
      <c r="G137" s="93">
        <v>0</v>
      </c>
      <c r="H137" s="141">
        <v>45087</v>
      </c>
      <c r="I137" s="142">
        <v>521</v>
      </c>
      <c r="J137" s="143">
        <v>4033015</v>
      </c>
      <c r="K137" s="143"/>
      <c r="L137" s="144">
        <f t="shared" si="2"/>
        <v>-15</v>
      </c>
      <c r="M137" s="145" t="s">
        <v>775</v>
      </c>
      <c r="N137" s="145" t="s">
        <v>262</v>
      </c>
      <c r="O137" s="145" t="s">
        <v>90</v>
      </c>
      <c r="P137" s="145"/>
    </row>
    <row r="138" spans="1:16" ht="15" customHeight="1">
      <c r="A138" s="136" t="s">
        <v>779</v>
      </c>
      <c r="B138" s="74"/>
      <c r="C138" s="137" t="s">
        <v>388</v>
      </c>
      <c r="D138" s="148">
        <v>45072</v>
      </c>
      <c r="E138" s="149">
        <v>45102</v>
      </c>
      <c r="F138" s="140" t="s">
        <v>780</v>
      </c>
      <c r="G138" s="93">
        <v>0</v>
      </c>
      <c r="H138" s="141">
        <v>45087</v>
      </c>
      <c r="I138" s="142">
        <v>641</v>
      </c>
      <c r="J138" s="143">
        <v>24290293</v>
      </c>
      <c r="K138" s="143"/>
      <c r="L138" s="144">
        <f t="shared" si="2"/>
        <v>-15</v>
      </c>
      <c r="M138" s="145" t="s">
        <v>775</v>
      </c>
      <c r="N138" s="145" t="s">
        <v>262</v>
      </c>
      <c r="O138" s="145" t="s">
        <v>90</v>
      </c>
      <c r="P138" s="145"/>
    </row>
    <row r="139" spans="1:16" ht="15" customHeight="1">
      <c r="A139" s="136" t="s">
        <v>779</v>
      </c>
      <c r="B139" s="74"/>
      <c r="C139" s="137" t="s">
        <v>388</v>
      </c>
      <c r="D139" s="148">
        <v>45072</v>
      </c>
      <c r="E139" s="149">
        <v>45102</v>
      </c>
      <c r="F139" s="140" t="s">
        <v>780</v>
      </c>
      <c r="G139" s="93">
        <v>0</v>
      </c>
      <c r="H139" s="141">
        <v>45087</v>
      </c>
      <c r="I139" s="142">
        <v>641</v>
      </c>
      <c r="J139" s="143">
        <v>7000000</v>
      </c>
      <c r="K139" s="143"/>
      <c r="L139" s="144">
        <f t="shared" si="2"/>
        <v>-15</v>
      </c>
      <c r="M139" s="145" t="s">
        <v>775</v>
      </c>
      <c r="N139" s="145" t="s">
        <v>262</v>
      </c>
      <c r="O139" s="145" t="s">
        <v>90</v>
      </c>
      <c r="P139" s="145"/>
    </row>
    <row r="140" spans="1:16" ht="15" customHeight="1">
      <c r="A140" s="136" t="s">
        <v>779</v>
      </c>
      <c r="B140" s="74"/>
      <c r="C140" s="137" t="s">
        <v>388</v>
      </c>
      <c r="D140" s="148">
        <v>45072</v>
      </c>
      <c r="E140" s="149">
        <v>45102</v>
      </c>
      <c r="F140" s="140" t="s">
        <v>780</v>
      </c>
      <c r="G140" s="93">
        <v>0</v>
      </c>
      <c r="H140" s="141">
        <v>45087</v>
      </c>
      <c r="I140" s="142">
        <v>641</v>
      </c>
      <c r="J140" s="143">
        <v>724700</v>
      </c>
      <c r="K140" s="143"/>
      <c r="L140" s="144">
        <f t="shared" si="2"/>
        <v>-15</v>
      </c>
      <c r="M140" s="145" t="s">
        <v>775</v>
      </c>
      <c r="N140" s="145" t="s">
        <v>262</v>
      </c>
      <c r="O140" s="145" t="s">
        <v>90</v>
      </c>
      <c r="P140" s="145"/>
    </row>
    <row r="141" spans="1:16" ht="15" customHeight="1">
      <c r="A141" s="136" t="s">
        <v>779</v>
      </c>
      <c r="B141" s="74"/>
      <c r="C141" s="137" t="s">
        <v>388</v>
      </c>
      <c r="D141" s="148">
        <v>45072</v>
      </c>
      <c r="E141" s="149">
        <v>45102</v>
      </c>
      <c r="F141" s="140" t="s">
        <v>780</v>
      </c>
      <c r="G141" s="93">
        <v>0</v>
      </c>
      <c r="H141" s="141">
        <v>45093</v>
      </c>
      <c r="I141" s="142">
        <v>531</v>
      </c>
      <c r="J141" s="143">
        <v>25185999</v>
      </c>
      <c r="K141" s="143"/>
      <c r="L141" s="144">
        <f t="shared" si="2"/>
        <v>-9</v>
      </c>
      <c r="M141" s="145" t="s">
        <v>775</v>
      </c>
      <c r="N141" s="145" t="s">
        <v>262</v>
      </c>
      <c r="O141" s="145" t="s">
        <v>90</v>
      </c>
      <c r="P141" s="145"/>
    </row>
    <row r="142" spans="1:16" ht="15" customHeight="1">
      <c r="A142" s="136" t="s">
        <v>779</v>
      </c>
      <c r="B142" s="74"/>
      <c r="C142" s="137" t="s">
        <v>388</v>
      </c>
      <c r="D142" s="148">
        <v>45072</v>
      </c>
      <c r="E142" s="149">
        <v>45102</v>
      </c>
      <c r="F142" s="140" t="s">
        <v>780</v>
      </c>
      <c r="G142" s="93">
        <v>0</v>
      </c>
      <c r="H142" s="141">
        <v>45096</v>
      </c>
      <c r="I142" s="142" t="s">
        <v>35</v>
      </c>
      <c r="J142" s="143">
        <v>170465980</v>
      </c>
      <c r="K142" s="143"/>
      <c r="L142" s="144">
        <f t="shared" si="2"/>
        <v>-6</v>
      </c>
      <c r="M142" s="145" t="s">
        <v>775</v>
      </c>
      <c r="N142" s="145" t="s">
        <v>262</v>
      </c>
      <c r="O142" s="145" t="s">
        <v>90</v>
      </c>
      <c r="P142" s="145"/>
    </row>
    <row r="143" spans="1:16" ht="15" customHeight="1">
      <c r="A143" s="136" t="s">
        <v>779</v>
      </c>
      <c r="B143" s="74">
        <v>32599996</v>
      </c>
      <c r="C143" s="137" t="s">
        <v>389</v>
      </c>
      <c r="D143" s="138">
        <v>45072</v>
      </c>
      <c r="E143" s="149">
        <v>45102</v>
      </c>
      <c r="F143" s="140" t="s">
        <v>780</v>
      </c>
      <c r="G143" s="93">
        <v>0</v>
      </c>
      <c r="H143" s="141">
        <v>45096</v>
      </c>
      <c r="I143" s="142" t="s">
        <v>35</v>
      </c>
      <c r="J143" s="143">
        <v>32599996</v>
      </c>
      <c r="K143" s="143"/>
      <c r="L143" s="144">
        <f t="shared" si="2"/>
        <v>-6</v>
      </c>
      <c r="M143" s="145" t="s">
        <v>775</v>
      </c>
      <c r="N143" s="145" t="s">
        <v>263</v>
      </c>
      <c r="O143" s="145" t="s">
        <v>90</v>
      </c>
      <c r="P143" s="145"/>
    </row>
    <row r="144" spans="1:16" ht="15" customHeight="1">
      <c r="A144" s="136" t="s">
        <v>779</v>
      </c>
      <c r="B144" s="74">
        <v>19600000</v>
      </c>
      <c r="C144" s="137" t="s">
        <v>390</v>
      </c>
      <c r="D144" s="138">
        <v>45072</v>
      </c>
      <c r="E144" s="149">
        <v>45082</v>
      </c>
      <c r="F144" s="140" t="s">
        <v>780</v>
      </c>
      <c r="G144" s="93">
        <v>0</v>
      </c>
      <c r="H144" s="141">
        <v>45082</v>
      </c>
      <c r="I144" s="142" t="s">
        <v>33</v>
      </c>
      <c r="J144" s="143">
        <v>19600000</v>
      </c>
      <c r="K144" s="143"/>
      <c r="L144" s="144">
        <f t="shared" si="2"/>
        <v>0</v>
      </c>
      <c r="M144" s="145" t="s">
        <v>770</v>
      </c>
      <c r="N144" s="145" t="s">
        <v>303</v>
      </c>
      <c r="O144" s="145" t="s">
        <v>90</v>
      </c>
      <c r="P144" s="145"/>
    </row>
    <row r="145" spans="1:16" ht="15" customHeight="1">
      <c r="A145" s="136" t="s">
        <v>779</v>
      </c>
      <c r="B145" s="74">
        <v>4175999</v>
      </c>
      <c r="C145" s="137" t="s">
        <v>391</v>
      </c>
      <c r="D145" s="138">
        <v>45072</v>
      </c>
      <c r="E145" s="149">
        <v>45093</v>
      </c>
      <c r="F145" s="140" t="s">
        <v>780</v>
      </c>
      <c r="G145" s="93">
        <v>0</v>
      </c>
      <c r="H145" s="141">
        <v>45083</v>
      </c>
      <c r="I145" s="142" t="s">
        <v>34</v>
      </c>
      <c r="J145" s="143">
        <v>4175999</v>
      </c>
      <c r="K145" s="143"/>
      <c r="L145" s="144">
        <f t="shared" si="2"/>
        <v>-10</v>
      </c>
      <c r="M145" s="145" t="s">
        <v>769</v>
      </c>
      <c r="N145" s="145" t="s">
        <v>301</v>
      </c>
      <c r="O145" s="145" t="s">
        <v>90</v>
      </c>
      <c r="P145" s="145"/>
    </row>
    <row r="146" spans="1:16" ht="15" customHeight="1">
      <c r="A146" s="136" t="s">
        <v>779</v>
      </c>
      <c r="B146" s="74">
        <v>16299998</v>
      </c>
      <c r="C146" s="137" t="s">
        <v>392</v>
      </c>
      <c r="D146" s="138">
        <v>45072</v>
      </c>
      <c r="E146" s="149">
        <v>45082</v>
      </c>
      <c r="F146" s="140" t="s">
        <v>780</v>
      </c>
      <c r="G146" s="93">
        <v>0</v>
      </c>
      <c r="H146" s="141">
        <v>45082</v>
      </c>
      <c r="I146" s="142" t="s">
        <v>33</v>
      </c>
      <c r="J146" s="143">
        <v>16299998</v>
      </c>
      <c r="K146" s="143"/>
      <c r="L146" s="144">
        <f t="shared" si="2"/>
        <v>0</v>
      </c>
      <c r="M146" s="145" t="s">
        <v>770</v>
      </c>
      <c r="N146" s="145" t="s">
        <v>304</v>
      </c>
      <c r="O146" s="145" t="s">
        <v>90</v>
      </c>
      <c r="P146" s="145"/>
    </row>
    <row r="147" spans="1:16" ht="15" customHeight="1">
      <c r="A147" s="136" t="s">
        <v>779</v>
      </c>
      <c r="B147" s="74">
        <v>14700001</v>
      </c>
      <c r="C147" s="137" t="s">
        <v>393</v>
      </c>
      <c r="D147" s="138">
        <v>45072</v>
      </c>
      <c r="E147" s="149">
        <v>45082</v>
      </c>
      <c r="F147" s="140" t="s">
        <v>780</v>
      </c>
      <c r="G147" s="93">
        <v>0</v>
      </c>
      <c r="H147" s="141">
        <v>45082</v>
      </c>
      <c r="I147" s="142" t="s">
        <v>33</v>
      </c>
      <c r="J147" s="143">
        <v>14700001</v>
      </c>
      <c r="K147" s="143"/>
      <c r="L147" s="144">
        <f t="shared" si="2"/>
        <v>0</v>
      </c>
      <c r="M147" s="145" t="s">
        <v>770</v>
      </c>
      <c r="N147" s="145" t="s">
        <v>311</v>
      </c>
      <c r="O147" s="145" t="s">
        <v>90</v>
      </c>
      <c r="P147" s="145"/>
    </row>
    <row r="148" spans="1:16" ht="15" customHeight="1">
      <c r="A148" s="136" t="s">
        <v>779</v>
      </c>
      <c r="B148" s="74">
        <v>4213949</v>
      </c>
      <c r="C148" s="137" t="s">
        <v>394</v>
      </c>
      <c r="D148" s="138">
        <v>45072</v>
      </c>
      <c r="E148" s="149">
        <v>45072</v>
      </c>
      <c r="F148" s="140" t="s">
        <v>780</v>
      </c>
      <c r="G148" s="93">
        <v>0</v>
      </c>
      <c r="H148" s="141">
        <v>45078</v>
      </c>
      <c r="I148" s="142" t="s">
        <v>35</v>
      </c>
      <c r="J148" s="143">
        <v>4214000</v>
      </c>
      <c r="K148" s="143"/>
      <c r="L148" s="144">
        <f t="shared" si="2"/>
        <v>6</v>
      </c>
      <c r="M148" s="145" t="s">
        <v>770</v>
      </c>
      <c r="N148" s="145" t="s">
        <v>436</v>
      </c>
      <c r="O148" s="145" t="s">
        <v>90</v>
      </c>
      <c r="P148" s="145"/>
    </row>
    <row r="149" spans="1:16" ht="15" customHeight="1">
      <c r="A149" s="136" t="s">
        <v>779</v>
      </c>
      <c r="B149" s="74"/>
      <c r="C149" s="137" t="s">
        <v>394</v>
      </c>
      <c r="D149" s="138">
        <v>45072</v>
      </c>
      <c r="E149" s="149">
        <v>45072</v>
      </c>
      <c r="F149" s="140" t="s">
        <v>780</v>
      </c>
      <c r="G149" s="93">
        <v>51</v>
      </c>
      <c r="H149" s="141">
        <v>45078</v>
      </c>
      <c r="I149" s="142"/>
      <c r="J149" s="143"/>
      <c r="K149" s="143"/>
      <c r="L149" s="144" t="str">
        <f t="shared" si="2"/>
        <v>x</v>
      </c>
      <c r="M149" s="145" t="s">
        <v>770</v>
      </c>
      <c r="N149" s="145" t="s">
        <v>436</v>
      </c>
      <c r="O149" s="145" t="s">
        <v>90</v>
      </c>
      <c r="P149" s="145"/>
    </row>
    <row r="150" spans="1:16" ht="15" customHeight="1">
      <c r="A150" s="136" t="s">
        <v>779</v>
      </c>
      <c r="B150" s="74">
        <v>60699994</v>
      </c>
      <c r="C150" s="137" t="s">
        <v>395</v>
      </c>
      <c r="D150" s="138">
        <v>45072</v>
      </c>
      <c r="E150" s="149">
        <v>45082</v>
      </c>
      <c r="F150" s="140" t="s">
        <v>780</v>
      </c>
      <c r="G150" s="93">
        <v>0</v>
      </c>
      <c r="H150" s="141">
        <v>45082</v>
      </c>
      <c r="I150" s="142" t="s">
        <v>33</v>
      </c>
      <c r="J150" s="143">
        <v>60699994</v>
      </c>
      <c r="K150" s="143"/>
      <c r="L150" s="144">
        <f t="shared" si="2"/>
        <v>0</v>
      </c>
      <c r="M150" s="145" t="s">
        <v>770</v>
      </c>
      <c r="N150" s="145" t="s">
        <v>305</v>
      </c>
      <c r="O150" s="145" t="s">
        <v>90</v>
      </c>
      <c r="P150" s="145"/>
    </row>
    <row r="151" spans="1:16" ht="15" customHeight="1">
      <c r="A151" s="136" t="s">
        <v>779</v>
      </c>
      <c r="B151" s="74">
        <v>2080000</v>
      </c>
      <c r="C151" s="137" t="s">
        <v>396</v>
      </c>
      <c r="D151" s="138">
        <v>45073</v>
      </c>
      <c r="E151" s="149">
        <v>45080</v>
      </c>
      <c r="F151" s="140" t="s">
        <v>780</v>
      </c>
      <c r="G151" s="93">
        <v>0</v>
      </c>
      <c r="H151" s="141">
        <v>45082</v>
      </c>
      <c r="I151" s="142" t="s">
        <v>35</v>
      </c>
      <c r="J151" s="143">
        <v>2080000</v>
      </c>
      <c r="K151" s="143"/>
      <c r="L151" s="144">
        <f t="shared" si="2"/>
        <v>2</v>
      </c>
      <c r="M151" s="145" t="s">
        <v>770</v>
      </c>
      <c r="N151" s="145" t="s">
        <v>295</v>
      </c>
      <c r="O151" s="145" t="s">
        <v>90</v>
      </c>
      <c r="P151" s="145"/>
    </row>
    <row r="152" spans="1:16" ht="15" customHeight="1">
      <c r="A152" s="136" t="s">
        <v>779</v>
      </c>
      <c r="B152" s="74">
        <v>25954997</v>
      </c>
      <c r="C152" s="137" t="s">
        <v>397</v>
      </c>
      <c r="D152" s="138">
        <v>45073</v>
      </c>
      <c r="E152" s="149">
        <v>45080</v>
      </c>
      <c r="F152" s="140" t="s">
        <v>780</v>
      </c>
      <c r="G152" s="93">
        <v>0</v>
      </c>
      <c r="H152" s="141"/>
      <c r="I152" s="142"/>
      <c r="J152" s="143"/>
      <c r="K152" s="143"/>
      <c r="L152" s="144" t="str">
        <f t="shared" si="2"/>
        <v>x</v>
      </c>
      <c r="M152" s="145" t="s">
        <v>772</v>
      </c>
      <c r="N152" s="145" t="s">
        <v>75</v>
      </c>
      <c r="O152" s="145" t="s">
        <v>90</v>
      </c>
      <c r="P152" s="145"/>
    </row>
    <row r="153" spans="1:16" ht="15" customHeight="1">
      <c r="A153" s="136" t="s">
        <v>779</v>
      </c>
      <c r="B153" s="74">
        <v>1720000</v>
      </c>
      <c r="C153" s="137" t="s">
        <v>398</v>
      </c>
      <c r="D153" s="138">
        <v>45073</v>
      </c>
      <c r="E153" s="149">
        <v>45094</v>
      </c>
      <c r="F153" s="140" t="s">
        <v>780</v>
      </c>
      <c r="G153" s="93">
        <v>0</v>
      </c>
      <c r="H153" s="141">
        <v>45094</v>
      </c>
      <c r="I153" s="142" t="s">
        <v>35</v>
      </c>
      <c r="J153" s="143">
        <v>1720000</v>
      </c>
      <c r="K153" s="143"/>
      <c r="L153" s="144">
        <f t="shared" si="2"/>
        <v>0</v>
      </c>
      <c r="M153" s="145" t="s">
        <v>769</v>
      </c>
      <c r="N153" s="145" t="s">
        <v>307</v>
      </c>
      <c r="O153" s="145" t="s">
        <v>90</v>
      </c>
      <c r="P153" s="145"/>
    </row>
    <row r="154" spans="1:16" ht="15" customHeight="1">
      <c r="A154" s="136" t="s">
        <v>779</v>
      </c>
      <c r="B154" s="74">
        <v>19500000</v>
      </c>
      <c r="C154" s="137" t="s">
        <v>399</v>
      </c>
      <c r="D154" s="138">
        <v>45075</v>
      </c>
      <c r="E154" s="149">
        <v>45080</v>
      </c>
      <c r="F154" s="140" t="s">
        <v>780</v>
      </c>
      <c r="G154" s="93">
        <v>0</v>
      </c>
      <c r="H154" s="141">
        <v>45097</v>
      </c>
      <c r="I154" s="142" t="s">
        <v>33</v>
      </c>
      <c r="J154" s="143">
        <v>19500000</v>
      </c>
      <c r="K154" s="143"/>
      <c r="L154" s="144">
        <f t="shared" si="2"/>
        <v>17</v>
      </c>
      <c r="M154" s="145" t="s">
        <v>778</v>
      </c>
      <c r="N154" s="145" t="s">
        <v>437</v>
      </c>
      <c r="O154" s="145" t="s">
        <v>90</v>
      </c>
      <c r="P154" s="145"/>
    </row>
    <row r="155" spans="1:16" ht="15" customHeight="1">
      <c r="A155" s="136" t="s">
        <v>779</v>
      </c>
      <c r="B155" s="74">
        <v>49000001</v>
      </c>
      <c r="C155" s="137" t="s">
        <v>400</v>
      </c>
      <c r="D155" s="138">
        <v>45075</v>
      </c>
      <c r="E155" s="149">
        <v>45082</v>
      </c>
      <c r="F155" s="140" t="s">
        <v>780</v>
      </c>
      <c r="G155" s="93">
        <v>0</v>
      </c>
      <c r="H155" s="141">
        <v>45083</v>
      </c>
      <c r="I155" s="142" t="s">
        <v>35</v>
      </c>
      <c r="J155" s="143">
        <v>49000000</v>
      </c>
      <c r="K155" s="143"/>
      <c r="L155" s="144">
        <f t="shared" si="2"/>
        <v>1</v>
      </c>
      <c r="M155" s="145" t="s">
        <v>775</v>
      </c>
      <c r="N155" s="145" t="s">
        <v>308</v>
      </c>
      <c r="O155" s="145" t="s">
        <v>90</v>
      </c>
      <c r="P155" s="145"/>
    </row>
    <row r="156" spans="1:16" ht="15" customHeight="1">
      <c r="A156" s="136" t="s">
        <v>779</v>
      </c>
      <c r="B156" s="74"/>
      <c r="C156" s="137" t="s">
        <v>400</v>
      </c>
      <c r="D156" s="138">
        <v>45075</v>
      </c>
      <c r="E156" s="149">
        <v>45082</v>
      </c>
      <c r="F156" s="140" t="s">
        <v>780</v>
      </c>
      <c r="G156" s="93">
        <v>0</v>
      </c>
      <c r="H156" s="141">
        <v>45083</v>
      </c>
      <c r="I156" s="142">
        <v>641</v>
      </c>
      <c r="J156" s="143">
        <v>1</v>
      </c>
      <c r="K156" s="143"/>
      <c r="L156" s="144">
        <f t="shared" si="2"/>
        <v>1</v>
      </c>
      <c r="M156" s="145" t="s">
        <v>775</v>
      </c>
      <c r="N156" s="145" t="s">
        <v>308</v>
      </c>
      <c r="O156" s="145" t="s">
        <v>90</v>
      </c>
      <c r="P156" s="145"/>
    </row>
    <row r="157" spans="1:16" ht="15" customHeight="1">
      <c r="A157" s="136" t="s">
        <v>779</v>
      </c>
      <c r="B157" s="74">
        <v>360000</v>
      </c>
      <c r="C157" s="137" t="s">
        <v>401</v>
      </c>
      <c r="D157" s="138">
        <v>45075</v>
      </c>
      <c r="E157" s="149">
        <v>45105</v>
      </c>
      <c r="F157" s="140" t="s">
        <v>780</v>
      </c>
      <c r="G157" s="93">
        <v>0</v>
      </c>
      <c r="H157" s="141">
        <v>45096</v>
      </c>
      <c r="I157" s="142" t="s">
        <v>35</v>
      </c>
      <c r="J157" s="143">
        <v>360000</v>
      </c>
      <c r="K157" s="143"/>
      <c r="L157" s="144">
        <f t="shared" si="2"/>
        <v>-9</v>
      </c>
      <c r="M157" s="145" t="s">
        <v>776</v>
      </c>
      <c r="N157" s="145" t="s">
        <v>438</v>
      </c>
      <c r="O157" s="145" t="s">
        <v>90</v>
      </c>
      <c r="P157" s="145"/>
    </row>
    <row r="158" spans="1:16" ht="15" customHeight="1">
      <c r="A158" s="136" t="s">
        <v>779</v>
      </c>
      <c r="B158" s="74">
        <v>6880001</v>
      </c>
      <c r="C158" s="137" t="s">
        <v>454</v>
      </c>
      <c r="D158" s="138">
        <v>45075</v>
      </c>
      <c r="E158" s="149">
        <v>45077</v>
      </c>
      <c r="F158" s="140" t="s">
        <v>780</v>
      </c>
      <c r="G158" s="93">
        <v>0</v>
      </c>
      <c r="H158" s="141"/>
      <c r="I158" s="142"/>
      <c r="J158" s="143"/>
      <c r="K158" s="143"/>
      <c r="L158" s="144" t="str">
        <f t="shared" si="2"/>
        <v>x</v>
      </c>
      <c r="M158" s="145" t="s">
        <v>776</v>
      </c>
      <c r="N158" s="145" t="s">
        <v>709</v>
      </c>
      <c r="O158" s="145" t="s">
        <v>90</v>
      </c>
      <c r="P158" s="145"/>
    </row>
    <row r="159" spans="1:16" ht="15" customHeight="1">
      <c r="A159" s="136" t="s">
        <v>779</v>
      </c>
      <c r="B159" s="74">
        <v>780000</v>
      </c>
      <c r="C159" s="137" t="s">
        <v>402</v>
      </c>
      <c r="D159" s="138">
        <v>45075</v>
      </c>
      <c r="E159" s="149">
        <v>45082</v>
      </c>
      <c r="F159" s="140" t="s">
        <v>780</v>
      </c>
      <c r="G159" s="93">
        <v>0</v>
      </c>
      <c r="H159" s="141">
        <v>45082</v>
      </c>
      <c r="I159" s="142" t="s">
        <v>35</v>
      </c>
      <c r="J159" s="143">
        <v>780000</v>
      </c>
      <c r="K159" s="143"/>
      <c r="L159" s="144">
        <f t="shared" si="2"/>
        <v>0</v>
      </c>
      <c r="M159" s="145" t="s">
        <v>770</v>
      </c>
      <c r="N159" s="145" t="s">
        <v>315</v>
      </c>
      <c r="O159" s="145" t="s">
        <v>90</v>
      </c>
      <c r="P159" s="145"/>
    </row>
    <row r="160" spans="1:16" ht="15" customHeight="1">
      <c r="A160" s="136" t="s">
        <v>779</v>
      </c>
      <c r="B160" s="74">
        <v>1720000</v>
      </c>
      <c r="C160" s="137" t="s">
        <v>403</v>
      </c>
      <c r="D160" s="138">
        <v>45075</v>
      </c>
      <c r="E160" s="149">
        <v>45077</v>
      </c>
      <c r="F160" s="140" t="s">
        <v>780</v>
      </c>
      <c r="G160" s="93">
        <v>0</v>
      </c>
      <c r="H160" s="141">
        <v>45089</v>
      </c>
      <c r="I160" s="142" t="s">
        <v>33</v>
      </c>
      <c r="J160" s="143">
        <v>1720000</v>
      </c>
      <c r="K160" s="143"/>
      <c r="L160" s="144">
        <f t="shared" si="2"/>
        <v>12</v>
      </c>
      <c r="M160" s="145" t="s">
        <v>777</v>
      </c>
      <c r="N160" s="145" t="s">
        <v>119</v>
      </c>
      <c r="O160" s="145" t="s">
        <v>90</v>
      </c>
      <c r="P160" s="145"/>
    </row>
    <row r="161" spans="1:16" ht="15" customHeight="1">
      <c r="A161" s="136" t="s">
        <v>779</v>
      </c>
      <c r="B161" s="74">
        <v>28589999</v>
      </c>
      <c r="C161" s="137" t="s">
        <v>404</v>
      </c>
      <c r="D161" s="138">
        <v>45075</v>
      </c>
      <c r="E161" s="149">
        <v>45096</v>
      </c>
      <c r="F161" s="140" t="s">
        <v>780</v>
      </c>
      <c r="G161" s="93">
        <v>0</v>
      </c>
      <c r="H161" s="141">
        <v>45083</v>
      </c>
      <c r="I161" s="142" t="s">
        <v>34</v>
      </c>
      <c r="J161" s="143">
        <v>28589999</v>
      </c>
      <c r="K161" s="143"/>
      <c r="L161" s="144">
        <f t="shared" si="2"/>
        <v>-13</v>
      </c>
      <c r="M161" s="145" t="s">
        <v>769</v>
      </c>
      <c r="N161" s="145" t="s">
        <v>310</v>
      </c>
      <c r="O161" s="145" t="s">
        <v>90</v>
      </c>
      <c r="P161" s="145"/>
    </row>
    <row r="162" spans="1:16" ht="15" customHeight="1">
      <c r="A162" s="136" t="s">
        <v>779</v>
      </c>
      <c r="B162" s="74">
        <v>16580000</v>
      </c>
      <c r="C162" s="137" t="s">
        <v>405</v>
      </c>
      <c r="D162" s="138">
        <v>45075</v>
      </c>
      <c r="E162" s="149">
        <v>45105</v>
      </c>
      <c r="F162" s="140" t="s">
        <v>780</v>
      </c>
      <c r="G162" s="93">
        <v>0</v>
      </c>
      <c r="H162" s="141"/>
      <c r="I162" s="142"/>
      <c r="J162" s="143"/>
      <c r="K162" s="143"/>
      <c r="L162" s="144" t="str">
        <f t="shared" si="2"/>
        <v>x</v>
      </c>
      <c r="M162" s="145" t="s">
        <v>773</v>
      </c>
      <c r="N162" s="145" t="s">
        <v>439</v>
      </c>
      <c r="O162" s="145" t="s">
        <v>90</v>
      </c>
      <c r="P162" s="145"/>
    </row>
    <row r="163" spans="1:16" ht="15" customHeight="1">
      <c r="A163" s="136" t="s">
        <v>779</v>
      </c>
      <c r="B163" s="74">
        <v>8149999</v>
      </c>
      <c r="C163" s="152" t="s">
        <v>406</v>
      </c>
      <c r="D163" s="138">
        <v>45076</v>
      </c>
      <c r="E163" s="149">
        <v>45086</v>
      </c>
      <c r="F163" s="140" t="s">
        <v>780</v>
      </c>
      <c r="G163" s="93">
        <v>0</v>
      </c>
      <c r="H163" s="141">
        <v>45085</v>
      </c>
      <c r="I163" s="142" t="s">
        <v>33</v>
      </c>
      <c r="J163" s="143">
        <v>8149999</v>
      </c>
      <c r="K163" s="143"/>
      <c r="L163" s="144">
        <f t="shared" si="2"/>
        <v>-1</v>
      </c>
      <c r="M163" s="145" t="s">
        <v>770</v>
      </c>
      <c r="N163" s="145" t="s">
        <v>318</v>
      </c>
      <c r="O163" s="145" t="s">
        <v>90</v>
      </c>
      <c r="P163" s="145"/>
    </row>
    <row r="164" spans="1:16" ht="15" customHeight="1">
      <c r="A164" s="136" t="s">
        <v>779</v>
      </c>
      <c r="B164" s="74">
        <v>31176801</v>
      </c>
      <c r="C164" s="137" t="s">
        <v>407</v>
      </c>
      <c r="D164" s="138">
        <v>45076</v>
      </c>
      <c r="E164" s="149">
        <v>45083</v>
      </c>
      <c r="F164" s="140" t="s">
        <v>780</v>
      </c>
      <c r="G164" s="93">
        <v>0</v>
      </c>
      <c r="H164" s="141"/>
      <c r="I164" s="142"/>
      <c r="J164" s="143"/>
      <c r="K164" s="143"/>
      <c r="L164" s="144" t="str">
        <f t="shared" si="2"/>
        <v>x</v>
      </c>
      <c r="M164" s="145" t="s">
        <v>777</v>
      </c>
      <c r="N164" s="145" t="s">
        <v>117</v>
      </c>
      <c r="O164" s="145" t="s">
        <v>90</v>
      </c>
      <c r="P164" s="145"/>
    </row>
    <row r="165" spans="1:16" ht="15" customHeight="1">
      <c r="A165" s="136" t="s">
        <v>779</v>
      </c>
      <c r="B165" s="74">
        <v>1240000</v>
      </c>
      <c r="C165" s="137" t="s">
        <v>408</v>
      </c>
      <c r="D165" s="138">
        <v>45076</v>
      </c>
      <c r="E165" s="149">
        <v>45083</v>
      </c>
      <c r="F165" s="140" t="s">
        <v>780</v>
      </c>
      <c r="G165" s="93">
        <v>0</v>
      </c>
      <c r="H165" s="141">
        <v>45082</v>
      </c>
      <c r="I165" s="142" t="s">
        <v>35</v>
      </c>
      <c r="J165" s="143">
        <v>424799</v>
      </c>
      <c r="K165" s="143"/>
      <c r="L165" s="144">
        <f t="shared" si="2"/>
        <v>-1</v>
      </c>
      <c r="M165" s="145" t="s">
        <v>770</v>
      </c>
      <c r="N165" s="145" t="s">
        <v>323</v>
      </c>
      <c r="O165" s="145" t="s">
        <v>90</v>
      </c>
      <c r="P165" s="145"/>
    </row>
    <row r="166" spans="1:16" ht="15" customHeight="1">
      <c r="A166" s="136" t="s">
        <v>779</v>
      </c>
      <c r="B166" s="74"/>
      <c r="C166" s="137" t="s">
        <v>408</v>
      </c>
      <c r="D166" s="138">
        <v>45076</v>
      </c>
      <c r="E166" s="149">
        <v>45083</v>
      </c>
      <c r="F166" s="140" t="s">
        <v>780</v>
      </c>
      <c r="G166" s="93">
        <v>0</v>
      </c>
      <c r="H166" s="141">
        <v>45086</v>
      </c>
      <c r="I166" s="142" t="s">
        <v>33</v>
      </c>
      <c r="J166" s="143">
        <v>815201</v>
      </c>
      <c r="K166" s="143"/>
      <c r="L166" s="144">
        <f t="shared" si="2"/>
        <v>3</v>
      </c>
      <c r="M166" s="145" t="s">
        <v>770</v>
      </c>
      <c r="N166" s="145" t="s">
        <v>323</v>
      </c>
      <c r="O166" s="145" t="s">
        <v>90</v>
      </c>
      <c r="P166" s="145"/>
    </row>
    <row r="167" spans="1:16" ht="15" customHeight="1">
      <c r="A167" s="136" t="s">
        <v>779</v>
      </c>
      <c r="B167" s="74">
        <v>41899200</v>
      </c>
      <c r="C167" s="137" t="s">
        <v>409</v>
      </c>
      <c r="D167" s="138">
        <v>45076</v>
      </c>
      <c r="E167" s="149">
        <v>45091</v>
      </c>
      <c r="F167" s="140" t="s">
        <v>780</v>
      </c>
      <c r="G167" s="93">
        <v>0</v>
      </c>
      <c r="H167" s="141">
        <v>45080</v>
      </c>
      <c r="I167" s="142" t="s">
        <v>35</v>
      </c>
      <c r="J167" s="143">
        <v>11000000</v>
      </c>
      <c r="K167" s="143"/>
      <c r="L167" s="144">
        <f t="shared" si="2"/>
        <v>-11</v>
      </c>
      <c r="M167" s="145" t="s">
        <v>773</v>
      </c>
      <c r="N167" s="145" t="s">
        <v>120</v>
      </c>
      <c r="O167" s="145" t="s">
        <v>90</v>
      </c>
      <c r="P167" s="145"/>
    </row>
    <row r="168" spans="1:16" ht="15" customHeight="1">
      <c r="A168" s="136" t="s">
        <v>779</v>
      </c>
      <c r="B168" s="74">
        <v>4416000</v>
      </c>
      <c r="C168" s="137" t="s">
        <v>410</v>
      </c>
      <c r="D168" s="138">
        <v>45076</v>
      </c>
      <c r="E168" s="149">
        <v>45076</v>
      </c>
      <c r="F168" s="140" t="s">
        <v>780</v>
      </c>
      <c r="G168" s="93">
        <v>0</v>
      </c>
      <c r="H168" s="141">
        <v>45082</v>
      </c>
      <c r="I168" s="142" t="s">
        <v>35</v>
      </c>
      <c r="J168" s="143">
        <v>4416000</v>
      </c>
      <c r="K168" s="143"/>
      <c r="L168" s="144">
        <f t="shared" si="2"/>
        <v>6</v>
      </c>
      <c r="M168" s="145" t="s">
        <v>778</v>
      </c>
      <c r="N168" s="145" t="s">
        <v>440</v>
      </c>
      <c r="O168" s="145" t="s">
        <v>90</v>
      </c>
      <c r="P168" s="145"/>
    </row>
    <row r="169" spans="1:16" ht="15" customHeight="1">
      <c r="A169" s="136" t="s">
        <v>779</v>
      </c>
      <c r="B169" s="74">
        <v>1653000</v>
      </c>
      <c r="C169" s="137" t="s">
        <v>411</v>
      </c>
      <c r="D169" s="138">
        <v>45076</v>
      </c>
      <c r="E169" s="149">
        <v>45106</v>
      </c>
      <c r="F169" s="140" t="s">
        <v>780</v>
      </c>
      <c r="G169" s="93">
        <v>0</v>
      </c>
      <c r="H169" s="141"/>
      <c r="I169" s="142"/>
      <c r="J169" s="143"/>
      <c r="K169" s="143"/>
      <c r="L169" s="144" t="str">
        <f t="shared" si="2"/>
        <v>x</v>
      </c>
      <c r="M169" s="145" t="s">
        <v>777</v>
      </c>
      <c r="N169" s="145" t="s">
        <v>92</v>
      </c>
      <c r="O169" s="145" t="s">
        <v>90</v>
      </c>
      <c r="P169" s="145"/>
    </row>
    <row r="170" spans="1:16" ht="15" customHeight="1">
      <c r="A170" s="136" t="s">
        <v>779</v>
      </c>
      <c r="B170" s="74">
        <v>5704001</v>
      </c>
      <c r="C170" s="137" t="s">
        <v>412</v>
      </c>
      <c r="D170" s="138">
        <v>45076</v>
      </c>
      <c r="E170" s="149">
        <v>45106</v>
      </c>
      <c r="F170" s="140" t="s">
        <v>780</v>
      </c>
      <c r="G170" s="93">
        <v>0</v>
      </c>
      <c r="H170" s="141"/>
      <c r="I170" s="142"/>
      <c r="J170" s="143"/>
      <c r="K170" s="143"/>
      <c r="L170" s="144" t="str">
        <f t="shared" si="2"/>
        <v>x</v>
      </c>
      <c r="M170" s="145" t="s">
        <v>777</v>
      </c>
      <c r="N170" s="145" t="s">
        <v>441</v>
      </c>
      <c r="O170" s="145" t="s">
        <v>90</v>
      </c>
      <c r="P170" s="145"/>
    </row>
    <row r="171" spans="1:16" ht="15" customHeight="1">
      <c r="A171" s="136" t="s">
        <v>779</v>
      </c>
      <c r="B171" s="74">
        <v>8440000</v>
      </c>
      <c r="C171" s="137" t="s">
        <v>413</v>
      </c>
      <c r="D171" s="138">
        <v>45076</v>
      </c>
      <c r="E171" s="149">
        <v>45106</v>
      </c>
      <c r="F171" s="140" t="s">
        <v>780</v>
      </c>
      <c r="G171" s="93">
        <v>0</v>
      </c>
      <c r="H171" s="141">
        <v>45096</v>
      </c>
      <c r="I171" s="142" t="s">
        <v>35</v>
      </c>
      <c r="J171" s="143">
        <v>8440000</v>
      </c>
      <c r="K171" s="143"/>
      <c r="L171" s="144">
        <f t="shared" si="2"/>
        <v>-10</v>
      </c>
      <c r="M171" s="145" t="s">
        <v>775</v>
      </c>
      <c r="N171" s="145" t="s">
        <v>319</v>
      </c>
      <c r="O171" s="145" t="s">
        <v>90</v>
      </c>
      <c r="P171" s="145"/>
    </row>
    <row r="172" spans="1:16" ht="15" customHeight="1">
      <c r="A172" s="136" t="s">
        <v>779</v>
      </c>
      <c r="B172" s="74">
        <v>28524997</v>
      </c>
      <c r="C172" s="137" t="s">
        <v>414</v>
      </c>
      <c r="D172" s="138">
        <v>45076</v>
      </c>
      <c r="E172" s="149">
        <v>45086</v>
      </c>
      <c r="F172" s="140" t="s">
        <v>780</v>
      </c>
      <c r="G172" s="93">
        <v>0</v>
      </c>
      <c r="H172" s="141">
        <v>45085</v>
      </c>
      <c r="I172" s="142" t="s">
        <v>33</v>
      </c>
      <c r="J172" s="143">
        <v>28524997</v>
      </c>
      <c r="K172" s="143"/>
      <c r="L172" s="144">
        <f t="shared" si="2"/>
        <v>-1</v>
      </c>
      <c r="M172" s="145" t="s">
        <v>770</v>
      </c>
      <c r="N172" s="145" t="s">
        <v>317</v>
      </c>
      <c r="O172" s="145" t="s">
        <v>90</v>
      </c>
      <c r="P172" s="145"/>
    </row>
    <row r="173" spans="1:16" ht="15" customHeight="1">
      <c r="A173" s="136" t="s">
        <v>779</v>
      </c>
      <c r="B173" s="74">
        <v>12400000</v>
      </c>
      <c r="C173" s="152" t="s">
        <v>415</v>
      </c>
      <c r="D173" s="138">
        <v>45077</v>
      </c>
      <c r="E173" s="149">
        <v>45107</v>
      </c>
      <c r="F173" s="140" t="s">
        <v>780</v>
      </c>
      <c r="G173" s="93">
        <v>0</v>
      </c>
      <c r="H173" s="141"/>
      <c r="I173" s="142"/>
      <c r="J173" s="143"/>
      <c r="K173" s="143"/>
      <c r="L173" s="144" t="str">
        <f t="shared" si="2"/>
        <v>x</v>
      </c>
      <c r="M173" s="145" t="s">
        <v>777</v>
      </c>
      <c r="N173" s="145" t="s">
        <v>230</v>
      </c>
      <c r="O173" s="145" t="s">
        <v>90</v>
      </c>
      <c r="P173" s="145"/>
    </row>
    <row r="174" spans="1:16" ht="15" customHeight="1">
      <c r="A174" s="136" t="s">
        <v>779</v>
      </c>
      <c r="B174" s="74">
        <v>30380000</v>
      </c>
      <c r="C174" s="137" t="s">
        <v>416</v>
      </c>
      <c r="D174" s="138">
        <v>45077</v>
      </c>
      <c r="E174" s="149">
        <v>45107</v>
      </c>
      <c r="F174" s="140" t="s">
        <v>780</v>
      </c>
      <c r="G174" s="93">
        <v>0</v>
      </c>
      <c r="H174" s="141"/>
      <c r="I174" s="142"/>
      <c r="J174" s="143"/>
      <c r="K174" s="143"/>
      <c r="L174" s="144" t="str">
        <f t="shared" si="2"/>
        <v>x</v>
      </c>
      <c r="M174" s="145" t="s">
        <v>777</v>
      </c>
      <c r="N174" s="145" t="s">
        <v>231</v>
      </c>
      <c r="O174" s="145" t="s">
        <v>90</v>
      </c>
      <c r="P174" s="145"/>
    </row>
    <row r="175" spans="1:16" ht="15" customHeight="1">
      <c r="A175" s="136" t="s">
        <v>779</v>
      </c>
      <c r="B175" s="74">
        <v>1040000</v>
      </c>
      <c r="C175" s="137" t="s">
        <v>417</v>
      </c>
      <c r="D175" s="138">
        <v>45077</v>
      </c>
      <c r="E175" s="149">
        <v>45084</v>
      </c>
      <c r="F175" s="140" t="s">
        <v>780</v>
      </c>
      <c r="G175" s="93">
        <v>0</v>
      </c>
      <c r="H175" s="141">
        <v>45086</v>
      </c>
      <c r="I175" s="142" t="s">
        <v>33</v>
      </c>
      <c r="J175" s="143">
        <v>1040000</v>
      </c>
      <c r="K175" s="143"/>
      <c r="L175" s="144">
        <f t="shared" si="2"/>
        <v>2</v>
      </c>
      <c r="M175" s="145" t="s">
        <v>770</v>
      </c>
      <c r="N175" s="145" t="s">
        <v>328</v>
      </c>
      <c r="O175" s="145" t="s">
        <v>90</v>
      </c>
      <c r="P175" s="145"/>
    </row>
    <row r="176" spans="1:16" ht="15" customHeight="1">
      <c r="A176" s="136" t="s">
        <v>779</v>
      </c>
      <c r="B176" s="74">
        <v>8399999</v>
      </c>
      <c r="C176" s="137" t="s">
        <v>418</v>
      </c>
      <c r="D176" s="138">
        <v>45077</v>
      </c>
      <c r="E176" s="149">
        <v>45098</v>
      </c>
      <c r="F176" s="140" t="s">
        <v>780</v>
      </c>
      <c r="G176" s="93">
        <v>0</v>
      </c>
      <c r="H176" s="141">
        <v>45094</v>
      </c>
      <c r="I176" s="142" t="s">
        <v>35</v>
      </c>
      <c r="J176" s="143">
        <v>8399999</v>
      </c>
      <c r="K176" s="143"/>
      <c r="L176" s="144">
        <f t="shared" si="2"/>
        <v>-4</v>
      </c>
      <c r="M176" s="145" t="s">
        <v>769</v>
      </c>
      <c r="N176" s="145" t="s">
        <v>321</v>
      </c>
      <c r="O176" s="145" t="s">
        <v>90</v>
      </c>
      <c r="P176" s="145"/>
    </row>
    <row r="177" spans="1:16" ht="15" customHeight="1">
      <c r="A177" s="136" t="s">
        <v>779</v>
      </c>
      <c r="B177" s="74">
        <v>6639999</v>
      </c>
      <c r="C177" s="137" t="s">
        <v>419</v>
      </c>
      <c r="D177" s="138">
        <v>45077</v>
      </c>
      <c r="E177" s="149">
        <v>45084</v>
      </c>
      <c r="F177" s="140" t="s">
        <v>780</v>
      </c>
      <c r="G177" s="93">
        <v>0</v>
      </c>
      <c r="H177" s="141">
        <v>45086</v>
      </c>
      <c r="I177" s="142" t="s">
        <v>33</v>
      </c>
      <c r="J177" s="143">
        <v>6639999</v>
      </c>
      <c r="K177" s="143"/>
      <c r="L177" s="144">
        <f t="shared" si="2"/>
        <v>2</v>
      </c>
      <c r="M177" s="145" t="s">
        <v>770</v>
      </c>
      <c r="N177" s="145" t="s">
        <v>325</v>
      </c>
      <c r="O177" s="145" t="s">
        <v>90</v>
      </c>
      <c r="P177" s="145"/>
    </row>
    <row r="178" spans="1:16" ht="15" customHeight="1">
      <c r="A178" s="136" t="s">
        <v>779</v>
      </c>
      <c r="B178" s="74">
        <v>22000000</v>
      </c>
      <c r="C178" s="137" t="s">
        <v>420</v>
      </c>
      <c r="D178" s="138">
        <v>45077</v>
      </c>
      <c r="E178" s="149">
        <v>45087</v>
      </c>
      <c r="F178" s="140" t="s">
        <v>780</v>
      </c>
      <c r="G178" s="93">
        <v>0</v>
      </c>
      <c r="H178" s="141">
        <v>45086</v>
      </c>
      <c r="I178" s="142" t="s">
        <v>33</v>
      </c>
      <c r="J178" s="143">
        <v>22000000</v>
      </c>
      <c r="K178" s="143"/>
      <c r="L178" s="144">
        <f t="shared" si="2"/>
        <v>-1</v>
      </c>
      <c r="M178" s="145" t="s">
        <v>770</v>
      </c>
      <c r="N178" s="145" t="s">
        <v>326</v>
      </c>
      <c r="O178" s="145" t="s">
        <v>90</v>
      </c>
      <c r="P178" s="145"/>
    </row>
    <row r="179" spans="1:16" ht="15" customHeight="1">
      <c r="A179" s="136" t="s">
        <v>779</v>
      </c>
      <c r="B179" s="74">
        <v>24024999</v>
      </c>
      <c r="C179" s="137" t="s">
        <v>421</v>
      </c>
      <c r="D179" s="138">
        <v>45077</v>
      </c>
      <c r="E179" s="149">
        <v>45087</v>
      </c>
      <c r="F179" s="140" t="s">
        <v>780</v>
      </c>
      <c r="G179" s="93">
        <v>0</v>
      </c>
      <c r="H179" s="141">
        <v>45086</v>
      </c>
      <c r="I179" s="142" t="s">
        <v>33</v>
      </c>
      <c r="J179" s="143">
        <v>24024999</v>
      </c>
      <c r="K179" s="143"/>
      <c r="L179" s="144">
        <f t="shared" si="2"/>
        <v>-1</v>
      </c>
      <c r="M179" s="145" t="s">
        <v>770</v>
      </c>
      <c r="N179" s="145" t="s">
        <v>329</v>
      </c>
      <c r="O179" s="145" t="s">
        <v>90</v>
      </c>
      <c r="P179" s="145"/>
    </row>
    <row r="180" spans="1:16" ht="15" customHeight="1">
      <c r="A180" s="136" t="s">
        <v>779</v>
      </c>
      <c r="B180" s="74">
        <v>16353000</v>
      </c>
      <c r="C180" s="137" t="s">
        <v>455</v>
      </c>
      <c r="D180" s="138">
        <v>45077</v>
      </c>
      <c r="E180" s="149">
        <v>45077</v>
      </c>
      <c r="F180" s="140" t="s">
        <v>780</v>
      </c>
      <c r="G180" s="93">
        <v>0</v>
      </c>
      <c r="H180" s="141"/>
      <c r="I180" s="142"/>
      <c r="J180" s="143"/>
      <c r="K180" s="143"/>
      <c r="L180" s="144" t="str">
        <f t="shared" si="2"/>
        <v>x</v>
      </c>
      <c r="M180" s="145" t="s">
        <v>776</v>
      </c>
      <c r="N180" s="145" t="s">
        <v>703</v>
      </c>
      <c r="O180" s="145" t="s">
        <v>90</v>
      </c>
      <c r="P180" s="145"/>
    </row>
    <row r="181" spans="1:16" ht="15" customHeight="1">
      <c r="A181" s="136" t="s">
        <v>779</v>
      </c>
      <c r="B181" s="74">
        <v>0</v>
      </c>
      <c r="C181" s="152" t="s">
        <v>456</v>
      </c>
      <c r="D181" s="138">
        <v>45078</v>
      </c>
      <c r="E181" s="149">
        <v>45086</v>
      </c>
      <c r="F181" s="140" t="s">
        <v>780</v>
      </c>
      <c r="G181" s="93">
        <v>97410000</v>
      </c>
      <c r="H181" s="141">
        <v>45079</v>
      </c>
      <c r="I181" s="142">
        <v>1312</v>
      </c>
      <c r="J181" s="143">
        <v>8773015</v>
      </c>
      <c r="K181" s="143"/>
      <c r="L181" s="144">
        <f t="shared" si="2"/>
        <v>-7</v>
      </c>
      <c r="M181" s="145" t="s">
        <v>769</v>
      </c>
      <c r="N181" s="145" t="s">
        <v>288</v>
      </c>
      <c r="O181" s="145" t="s">
        <v>90</v>
      </c>
      <c r="P181" s="145"/>
    </row>
    <row r="182" spans="1:16" ht="15" customHeight="1">
      <c r="A182" s="136" t="s">
        <v>779</v>
      </c>
      <c r="B182" s="74">
        <v>0</v>
      </c>
      <c r="C182" s="137" t="s">
        <v>456</v>
      </c>
      <c r="D182" s="138">
        <v>45078</v>
      </c>
      <c r="E182" s="149">
        <v>45086</v>
      </c>
      <c r="F182" s="140" t="s">
        <v>780</v>
      </c>
      <c r="G182" s="93">
        <v>0</v>
      </c>
      <c r="H182" s="141">
        <v>45086</v>
      </c>
      <c r="I182" s="142" t="s">
        <v>33</v>
      </c>
      <c r="J182" s="143">
        <v>88636985</v>
      </c>
      <c r="K182" s="143"/>
      <c r="L182" s="144">
        <f t="shared" si="2"/>
        <v>0</v>
      </c>
      <c r="M182" s="145" t="s">
        <v>769</v>
      </c>
      <c r="N182" s="145" t="s">
        <v>288</v>
      </c>
      <c r="O182" s="145" t="s">
        <v>90</v>
      </c>
      <c r="P182" s="145"/>
    </row>
    <row r="183" spans="1:16" ht="15" customHeight="1">
      <c r="A183" s="136" t="s">
        <v>779</v>
      </c>
      <c r="B183" s="74">
        <v>0</v>
      </c>
      <c r="C183" s="137" t="s">
        <v>457</v>
      </c>
      <c r="D183" s="138">
        <v>45078</v>
      </c>
      <c r="E183" s="149">
        <v>45088</v>
      </c>
      <c r="F183" s="140" t="s">
        <v>780</v>
      </c>
      <c r="G183" s="93">
        <v>14700001</v>
      </c>
      <c r="H183" s="141">
        <v>45086</v>
      </c>
      <c r="I183" s="142" t="s">
        <v>33</v>
      </c>
      <c r="J183" s="143">
        <v>14700001</v>
      </c>
      <c r="K183" s="143"/>
      <c r="L183" s="144">
        <f t="shared" si="2"/>
        <v>-2</v>
      </c>
      <c r="M183" s="145" t="s">
        <v>770</v>
      </c>
      <c r="N183" s="145" t="s">
        <v>137</v>
      </c>
      <c r="O183" s="145" t="s">
        <v>90</v>
      </c>
      <c r="P183" s="145"/>
    </row>
    <row r="184" spans="1:16" ht="15" customHeight="1">
      <c r="A184" s="136" t="s">
        <v>779</v>
      </c>
      <c r="B184" s="74">
        <v>0</v>
      </c>
      <c r="C184" s="137" t="s">
        <v>458</v>
      </c>
      <c r="D184" s="138">
        <v>45078</v>
      </c>
      <c r="E184" s="149">
        <v>45085</v>
      </c>
      <c r="F184" s="140" t="s">
        <v>780</v>
      </c>
      <c r="G184" s="93">
        <v>760000</v>
      </c>
      <c r="H184" s="141">
        <v>45086</v>
      </c>
      <c r="I184" s="142" t="s">
        <v>33</v>
      </c>
      <c r="J184" s="143">
        <v>760000</v>
      </c>
      <c r="K184" s="143"/>
      <c r="L184" s="144">
        <f t="shared" si="2"/>
        <v>1</v>
      </c>
      <c r="M184" s="145" t="s">
        <v>770</v>
      </c>
      <c r="N184" s="145" t="s">
        <v>131</v>
      </c>
      <c r="O184" s="145" t="s">
        <v>90</v>
      </c>
      <c r="P184" s="145"/>
    </row>
    <row r="185" spans="1:16" ht="15" customHeight="1">
      <c r="A185" s="136" t="s">
        <v>779</v>
      </c>
      <c r="B185" s="74">
        <v>0</v>
      </c>
      <c r="C185" s="137" t="s">
        <v>459</v>
      </c>
      <c r="D185" s="138">
        <v>45078</v>
      </c>
      <c r="E185" s="149">
        <v>45098</v>
      </c>
      <c r="F185" s="140" t="s">
        <v>780</v>
      </c>
      <c r="G185" s="93">
        <v>38903996</v>
      </c>
      <c r="H185" s="141">
        <v>45098</v>
      </c>
      <c r="I185" s="142" t="s">
        <v>34</v>
      </c>
      <c r="J185" s="143">
        <v>38903996</v>
      </c>
      <c r="K185" s="143"/>
      <c r="L185" s="144">
        <f t="shared" si="2"/>
        <v>0</v>
      </c>
      <c r="M185" s="145" t="s">
        <v>769</v>
      </c>
      <c r="N185" s="145" t="s">
        <v>136</v>
      </c>
      <c r="O185" s="145" t="s">
        <v>90</v>
      </c>
      <c r="P185" s="145"/>
    </row>
    <row r="186" spans="1:16" ht="15" customHeight="1">
      <c r="A186" s="136" t="s">
        <v>779</v>
      </c>
      <c r="B186" s="74">
        <v>0</v>
      </c>
      <c r="C186" s="137" t="s">
        <v>460</v>
      </c>
      <c r="D186" s="138">
        <v>45078</v>
      </c>
      <c r="E186" s="149">
        <v>45088</v>
      </c>
      <c r="F186" s="140" t="s">
        <v>780</v>
      </c>
      <c r="G186" s="93">
        <v>88027995</v>
      </c>
      <c r="H186" s="141">
        <v>45090</v>
      </c>
      <c r="I186" s="142" t="s">
        <v>33</v>
      </c>
      <c r="J186" s="143">
        <v>44140172</v>
      </c>
      <c r="K186" s="143"/>
      <c r="L186" s="144">
        <f t="shared" si="2"/>
        <v>2</v>
      </c>
      <c r="M186" s="145" t="s">
        <v>770</v>
      </c>
      <c r="N186" s="145" t="s">
        <v>79</v>
      </c>
      <c r="O186" s="145" t="s">
        <v>90</v>
      </c>
      <c r="P186" s="145"/>
    </row>
    <row r="187" spans="1:16" ht="15" customHeight="1">
      <c r="A187" s="136" t="s">
        <v>779</v>
      </c>
      <c r="B187" s="74">
        <v>0</v>
      </c>
      <c r="C187" s="137" t="s">
        <v>460</v>
      </c>
      <c r="D187" s="138">
        <v>45078</v>
      </c>
      <c r="E187" s="149">
        <v>45088</v>
      </c>
      <c r="F187" s="140" t="s">
        <v>780</v>
      </c>
      <c r="G187" s="93">
        <v>0</v>
      </c>
      <c r="H187" s="141">
        <v>45103</v>
      </c>
      <c r="I187" s="142" t="s">
        <v>33</v>
      </c>
      <c r="J187" s="143">
        <v>20000000</v>
      </c>
      <c r="K187" s="143"/>
      <c r="L187" s="144">
        <f t="shared" si="2"/>
        <v>15</v>
      </c>
      <c r="M187" s="145" t="s">
        <v>770</v>
      </c>
      <c r="N187" s="145" t="s">
        <v>79</v>
      </c>
      <c r="O187" s="145" t="s">
        <v>90</v>
      </c>
      <c r="P187" s="145"/>
    </row>
    <row r="188" spans="1:16" ht="15" customHeight="1">
      <c r="A188" s="136" t="s">
        <v>779</v>
      </c>
      <c r="B188" s="74">
        <v>0</v>
      </c>
      <c r="C188" s="137" t="s">
        <v>461</v>
      </c>
      <c r="D188" s="138">
        <v>45078</v>
      </c>
      <c r="E188" s="149">
        <v>45088</v>
      </c>
      <c r="F188" s="140" t="s">
        <v>780</v>
      </c>
      <c r="G188" s="93">
        <v>6000001</v>
      </c>
      <c r="H188" s="141"/>
      <c r="I188" s="142"/>
      <c r="J188" s="143"/>
      <c r="K188" s="143"/>
      <c r="L188" s="144" t="str">
        <f t="shared" si="2"/>
        <v>x</v>
      </c>
      <c r="M188" s="145" t="s">
        <v>770</v>
      </c>
      <c r="N188" s="145" t="s">
        <v>422</v>
      </c>
      <c r="O188" s="145" t="s">
        <v>90</v>
      </c>
      <c r="P188" s="145"/>
    </row>
    <row r="189" spans="1:16" ht="15" customHeight="1">
      <c r="A189" s="136" t="s">
        <v>779</v>
      </c>
      <c r="B189" s="74">
        <v>0</v>
      </c>
      <c r="C189" s="137" t="s">
        <v>462</v>
      </c>
      <c r="D189" s="138">
        <v>45078</v>
      </c>
      <c r="E189" s="149">
        <v>45088</v>
      </c>
      <c r="F189" s="140" t="s">
        <v>780</v>
      </c>
      <c r="G189" s="93">
        <v>33525003</v>
      </c>
      <c r="H189" s="141">
        <v>45086</v>
      </c>
      <c r="I189" s="142" t="s">
        <v>33</v>
      </c>
      <c r="J189" s="143">
        <v>33525003</v>
      </c>
      <c r="K189" s="143"/>
      <c r="L189" s="144">
        <f t="shared" si="2"/>
        <v>-2</v>
      </c>
      <c r="M189" s="145" t="s">
        <v>770</v>
      </c>
      <c r="N189" s="145" t="s">
        <v>114</v>
      </c>
      <c r="O189" s="145" t="s">
        <v>90</v>
      </c>
      <c r="P189" s="145"/>
    </row>
    <row r="190" spans="1:16" ht="15" customHeight="1">
      <c r="A190" s="136" t="s">
        <v>779</v>
      </c>
      <c r="B190" s="74">
        <v>0</v>
      </c>
      <c r="C190" s="137" t="s">
        <v>463</v>
      </c>
      <c r="D190" s="138">
        <v>45078</v>
      </c>
      <c r="E190" s="149">
        <v>45107</v>
      </c>
      <c r="F190" s="140" t="s">
        <v>780</v>
      </c>
      <c r="G190" s="93">
        <v>10320000</v>
      </c>
      <c r="H190" s="141"/>
      <c r="I190" s="142"/>
      <c r="J190" s="143"/>
      <c r="K190" s="143"/>
      <c r="L190" s="144" t="str">
        <f t="shared" si="2"/>
        <v>x</v>
      </c>
      <c r="M190" s="145" t="s">
        <v>776</v>
      </c>
      <c r="N190" s="145" t="s">
        <v>699</v>
      </c>
      <c r="O190" s="145" t="s">
        <v>90</v>
      </c>
      <c r="P190" s="145"/>
    </row>
    <row r="191" spans="1:16" ht="15" customHeight="1">
      <c r="A191" s="136" t="s">
        <v>779</v>
      </c>
      <c r="B191" s="74">
        <v>0</v>
      </c>
      <c r="C191" s="137" t="s">
        <v>464</v>
      </c>
      <c r="D191" s="138">
        <v>45078</v>
      </c>
      <c r="E191" s="149">
        <v>45108</v>
      </c>
      <c r="F191" s="140" t="s">
        <v>780</v>
      </c>
      <c r="G191" s="93">
        <v>86000</v>
      </c>
      <c r="H191" s="141">
        <v>45096</v>
      </c>
      <c r="I191" s="142" t="s">
        <v>35</v>
      </c>
      <c r="J191" s="143">
        <v>86000</v>
      </c>
      <c r="K191" s="143"/>
      <c r="L191" s="144">
        <f t="shared" si="2"/>
        <v>-12</v>
      </c>
      <c r="M191" s="145" t="s">
        <v>771</v>
      </c>
      <c r="N191" s="145" t="s">
        <v>168</v>
      </c>
      <c r="O191" s="145" t="s">
        <v>90</v>
      </c>
      <c r="P191" s="145"/>
    </row>
    <row r="192" spans="1:16" ht="15" customHeight="1">
      <c r="A192" s="136" t="s">
        <v>779</v>
      </c>
      <c r="B192" s="74">
        <v>0</v>
      </c>
      <c r="C192" s="137" t="s">
        <v>465</v>
      </c>
      <c r="D192" s="138">
        <v>45078</v>
      </c>
      <c r="E192" s="149">
        <v>45078</v>
      </c>
      <c r="F192" s="140" t="s">
        <v>780</v>
      </c>
      <c r="G192" s="93">
        <v>2857400</v>
      </c>
      <c r="H192" s="141"/>
      <c r="I192" s="142"/>
      <c r="J192" s="143"/>
      <c r="K192" s="143"/>
      <c r="L192" s="144" t="str">
        <f t="shared" si="2"/>
        <v>x</v>
      </c>
      <c r="M192" s="145" t="s">
        <v>770</v>
      </c>
      <c r="N192" s="145" t="s">
        <v>134</v>
      </c>
      <c r="O192" s="145" t="s">
        <v>90</v>
      </c>
      <c r="P192" s="145"/>
    </row>
    <row r="193" spans="1:16" ht="15" customHeight="1">
      <c r="A193" s="136" t="s">
        <v>779</v>
      </c>
      <c r="B193" s="74">
        <v>0</v>
      </c>
      <c r="C193" s="137" t="s">
        <v>466</v>
      </c>
      <c r="D193" s="138">
        <v>45079</v>
      </c>
      <c r="E193" s="149">
        <v>45086</v>
      </c>
      <c r="F193" s="140" t="s">
        <v>780</v>
      </c>
      <c r="G193" s="93">
        <v>2080000</v>
      </c>
      <c r="H193" s="141">
        <v>45086</v>
      </c>
      <c r="I193" s="142" t="s">
        <v>33</v>
      </c>
      <c r="J193" s="143">
        <v>744800</v>
      </c>
      <c r="K193" s="143"/>
      <c r="L193" s="144">
        <f t="shared" si="2"/>
        <v>0</v>
      </c>
      <c r="M193" s="145" t="s">
        <v>770</v>
      </c>
      <c r="N193" s="145" t="s">
        <v>289</v>
      </c>
      <c r="O193" s="145" t="s">
        <v>90</v>
      </c>
      <c r="P193" s="145"/>
    </row>
    <row r="194" spans="1:16" ht="15" customHeight="1">
      <c r="A194" s="136" t="s">
        <v>779</v>
      </c>
      <c r="B194" s="74">
        <v>0</v>
      </c>
      <c r="C194" s="137" t="s">
        <v>466</v>
      </c>
      <c r="D194" s="138">
        <v>45079</v>
      </c>
      <c r="E194" s="149">
        <v>45086</v>
      </c>
      <c r="F194" s="140" t="s">
        <v>780</v>
      </c>
      <c r="G194" s="93">
        <v>0</v>
      </c>
      <c r="H194" s="141">
        <v>45100</v>
      </c>
      <c r="I194" s="142" t="s">
        <v>35</v>
      </c>
      <c r="J194" s="143">
        <v>1335200</v>
      </c>
      <c r="K194" s="143"/>
      <c r="L194" s="144">
        <f t="shared" si="2"/>
        <v>14</v>
      </c>
      <c r="M194" s="145" t="s">
        <v>770</v>
      </c>
      <c r="N194" s="145" t="s">
        <v>289</v>
      </c>
      <c r="O194" s="145" t="s">
        <v>90</v>
      </c>
      <c r="P194" s="145"/>
    </row>
    <row r="195" spans="1:16" ht="15" customHeight="1">
      <c r="A195" s="136" t="s">
        <v>779</v>
      </c>
      <c r="B195" s="74">
        <v>0</v>
      </c>
      <c r="C195" s="137" t="s">
        <v>467</v>
      </c>
      <c r="D195" s="138">
        <v>45079</v>
      </c>
      <c r="E195" s="149">
        <v>45098</v>
      </c>
      <c r="F195" s="140" t="s">
        <v>780</v>
      </c>
      <c r="G195" s="93">
        <v>14550000</v>
      </c>
      <c r="H195" s="141">
        <v>45098</v>
      </c>
      <c r="I195" s="142" t="s">
        <v>34</v>
      </c>
      <c r="J195" s="143">
        <v>14550000</v>
      </c>
      <c r="K195" s="143"/>
      <c r="L195" s="144">
        <f t="shared" ref="L195:L258" si="3">IF(J195="","x",H195-E195)</f>
        <v>0</v>
      </c>
      <c r="M195" s="145" t="s">
        <v>769</v>
      </c>
      <c r="N195" s="145" t="s">
        <v>108</v>
      </c>
      <c r="O195" s="145" t="s">
        <v>90</v>
      </c>
      <c r="P195" s="145"/>
    </row>
    <row r="196" spans="1:16" ht="15" customHeight="1">
      <c r="A196" s="136" t="s">
        <v>779</v>
      </c>
      <c r="B196" s="74">
        <v>0</v>
      </c>
      <c r="C196" s="137" t="s">
        <v>468</v>
      </c>
      <c r="D196" s="138">
        <v>45079</v>
      </c>
      <c r="E196" s="149">
        <v>45109</v>
      </c>
      <c r="F196" s="140" t="s">
        <v>780</v>
      </c>
      <c r="G196" s="93">
        <v>227500</v>
      </c>
      <c r="H196" s="141">
        <v>45096</v>
      </c>
      <c r="I196" s="142" t="s">
        <v>35</v>
      </c>
      <c r="J196" s="143">
        <v>227500</v>
      </c>
      <c r="K196" s="143"/>
      <c r="L196" s="144">
        <f t="shared" si="3"/>
        <v>-13</v>
      </c>
      <c r="M196" s="145" t="s">
        <v>775</v>
      </c>
      <c r="N196" s="145" t="s">
        <v>72</v>
      </c>
      <c r="O196" s="145" t="s">
        <v>90</v>
      </c>
      <c r="P196" s="145"/>
    </row>
    <row r="197" spans="1:16" ht="15" customHeight="1">
      <c r="A197" s="136" t="s">
        <v>779</v>
      </c>
      <c r="B197" s="74">
        <v>0</v>
      </c>
      <c r="C197" s="137" t="s">
        <v>469</v>
      </c>
      <c r="D197" s="138">
        <v>45079</v>
      </c>
      <c r="E197" s="149">
        <v>45109</v>
      </c>
      <c r="F197" s="140" t="s">
        <v>780</v>
      </c>
      <c r="G197" s="93">
        <v>13750000</v>
      </c>
      <c r="H197" s="141">
        <v>45096</v>
      </c>
      <c r="I197" s="142" t="s">
        <v>35</v>
      </c>
      <c r="J197" s="143">
        <v>13750000</v>
      </c>
      <c r="K197" s="143"/>
      <c r="L197" s="144">
        <f t="shared" si="3"/>
        <v>-13</v>
      </c>
      <c r="M197" s="145" t="s">
        <v>775</v>
      </c>
      <c r="N197" s="145" t="s">
        <v>247</v>
      </c>
      <c r="O197" s="145" t="s">
        <v>90</v>
      </c>
      <c r="P197" s="145"/>
    </row>
    <row r="198" spans="1:16" ht="15" customHeight="1">
      <c r="A198" s="136" t="s">
        <v>779</v>
      </c>
      <c r="B198" s="74">
        <v>0</v>
      </c>
      <c r="C198" s="137" t="s">
        <v>470</v>
      </c>
      <c r="D198" s="138">
        <v>45080</v>
      </c>
      <c r="E198" s="149">
        <v>45110</v>
      </c>
      <c r="F198" s="140" t="s">
        <v>780</v>
      </c>
      <c r="G198" s="93">
        <v>8450000</v>
      </c>
      <c r="H198" s="141">
        <v>45096</v>
      </c>
      <c r="I198" s="142" t="s">
        <v>35</v>
      </c>
      <c r="J198" s="143">
        <v>8450000</v>
      </c>
      <c r="K198" s="143"/>
      <c r="L198" s="144">
        <f t="shared" si="3"/>
        <v>-14</v>
      </c>
      <c r="M198" s="145" t="s">
        <v>775</v>
      </c>
      <c r="N198" s="145" t="s">
        <v>290</v>
      </c>
      <c r="O198" s="145" t="s">
        <v>90</v>
      </c>
      <c r="P198" s="145"/>
    </row>
    <row r="199" spans="1:16" ht="15" customHeight="1">
      <c r="A199" s="136" t="s">
        <v>779</v>
      </c>
      <c r="B199" s="74">
        <v>0</v>
      </c>
      <c r="C199" s="137" t="s">
        <v>471</v>
      </c>
      <c r="D199" s="138">
        <v>45080</v>
      </c>
      <c r="E199" s="149">
        <v>45098</v>
      </c>
      <c r="F199" s="140" t="s">
        <v>780</v>
      </c>
      <c r="G199" s="93">
        <v>28099998</v>
      </c>
      <c r="H199" s="141">
        <v>45098</v>
      </c>
      <c r="I199" s="142" t="s">
        <v>34</v>
      </c>
      <c r="J199" s="143">
        <v>28099998</v>
      </c>
      <c r="K199" s="143"/>
      <c r="L199" s="144">
        <f t="shared" si="3"/>
        <v>0</v>
      </c>
      <c r="M199" s="145" t="s">
        <v>769</v>
      </c>
      <c r="N199" s="145" t="s">
        <v>80</v>
      </c>
      <c r="O199" s="145" t="s">
        <v>90</v>
      </c>
      <c r="P199" s="145"/>
    </row>
    <row r="200" spans="1:16" ht="15" customHeight="1">
      <c r="A200" s="136" t="s">
        <v>779</v>
      </c>
      <c r="B200" s="74">
        <v>0</v>
      </c>
      <c r="C200" s="137" t="s">
        <v>472</v>
      </c>
      <c r="D200" s="138">
        <v>45080</v>
      </c>
      <c r="E200" s="149">
        <v>45090</v>
      </c>
      <c r="F200" s="140" t="s">
        <v>780</v>
      </c>
      <c r="G200" s="93">
        <v>22024999</v>
      </c>
      <c r="H200" s="141">
        <v>45089</v>
      </c>
      <c r="I200" s="142" t="s">
        <v>33</v>
      </c>
      <c r="J200" s="143">
        <v>22024999</v>
      </c>
      <c r="K200" s="143"/>
      <c r="L200" s="144">
        <f t="shared" si="3"/>
        <v>-1</v>
      </c>
      <c r="M200" s="145" t="s">
        <v>770</v>
      </c>
      <c r="N200" s="145" t="s">
        <v>81</v>
      </c>
      <c r="O200" s="145" t="s">
        <v>90</v>
      </c>
      <c r="P200" s="145"/>
    </row>
    <row r="201" spans="1:16" ht="15" customHeight="1">
      <c r="A201" s="136" t="s">
        <v>779</v>
      </c>
      <c r="B201" s="74">
        <v>0</v>
      </c>
      <c r="C201" s="137" t="s">
        <v>473</v>
      </c>
      <c r="D201" s="138">
        <v>45080</v>
      </c>
      <c r="E201" s="149">
        <v>45098</v>
      </c>
      <c r="F201" s="140" t="s">
        <v>780</v>
      </c>
      <c r="G201" s="93">
        <v>24000000</v>
      </c>
      <c r="H201" s="141">
        <v>45098</v>
      </c>
      <c r="I201" s="142" t="s">
        <v>34</v>
      </c>
      <c r="J201" s="143">
        <v>24000000</v>
      </c>
      <c r="K201" s="143"/>
      <c r="L201" s="144">
        <f t="shared" si="3"/>
        <v>0</v>
      </c>
      <c r="M201" s="145" t="s">
        <v>769</v>
      </c>
      <c r="N201" s="145" t="s">
        <v>86</v>
      </c>
      <c r="O201" s="145" t="s">
        <v>90</v>
      </c>
      <c r="P201" s="145"/>
    </row>
    <row r="202" spans="1:16" ht="15" customHeight="1">
      <c r="A202" s="136" t="s">
        <v>779</v>
      </c>
      <c r="B202" s="74">
        <v>0</v>
      </c>
      <c r="C202" s="137" t="s">
        <v>474</v>
      </c>
      <c r="D202" s="138">
        <v>45082</v>
      </c>
      <c r="E202" s="149">
        <v>45082</v>
      </c>
      <c r="F202" s="140" t="s">
        <v>780</v>
      </c>
      <c r="G202" s="93">
        <v>4400000</v>
      </c>
      <c r="H202" s="141">
        <v>45086</v>
      </c>
      <c r="I202" s="142">
        <v>111</v>
      </c>
      <c r="J202" s="143">
        <v>4400000</v>
      </c>
      <c r="K202" s="143"/>
      <c r="L202" s="144">
        <f t="shared" si="3"/>
        <v>4</v>
      </c>
      <c r="M202" s="145" t="s">
        <v>771</v>
      </c>
      <c r="N202" s="145" t="s">
        <v>158</v>
      </c>
      <c r="O202" s="145" t="s">
        <v>90</v>
      </c>
      <c r="P202" s="145"/>
    </row>
    <row r="203" spans="1:16" ht="15" customHeight="1">
      <c r="A203" s="136" t="s">
        <v>779</v>
      </c>
      <c r="B203" s="74">
        <v>0</v>
      </c>
      <c r="C203" s="137" t="s">
        <v>475</v>
      </c>
      <c r="D203" s="138">
        <v>45082</v>
      </c>
      <c r="E203" s="149">
        <v>45089</v>
      </c>
      <c r="F203" s="140" t="s">
        <v>780</v>
      </c>
      <c r="G203" s="93">
        <v>2080000</v>
      </c>
      <c r="H203" s="141">
        <v>45100</v>
      </c>
      <c r="I203" s="142" t="s">
        <v>35</v>
      </c>
      <c r="J203" s="143">
        <v>2080000</v>
      </c>
      <c r="K203" s="143"/>
      <c r="L203" s="144">
        <f t="shared" si="3"/>
        <v>11</v>
      </c>
      <c r="M203" s="145" t="s">
        <v>770</v>
      </c>
      <c r="N203" s="145" t="s">
        <v>426</v>
      </c>
      <c r="O203" s="145" t="s">
        <v>90</v>
      </c>
      <c r="P203" s="145"/>
    </row>
    <row r="204" spans="1:16" ht="15" customHeight="1">
      <c r="A204" s="136" t="s">
        <v>779</v>
      </c>
      <c r="B204" s="74">
        <v>0</v>
      </c>
      <c r="C204" s="137" t="s">
        <v>476</v>
      </c>
      <c r="D204" s="138">
        <v>45082</v>
      </c>
      <c r="E204" s="149">
        <v>45082</v>
      </c>
      <c r="F204" s="140" t="s">
        <v>780</v>
      </c>
      <c r="G204" s="93">
        <v>14400000</v>
      </c>
      <c r="H204" s="141">
        <v>45083</v>
      </c>
      <c r="I204" s="142" t="s">
        <v>35</v>
      </c>
      <c r="J204" s="143">
        <v>14400000</v>
      </c>
      <c r="K204" s="143"/>
      <c r="L204" s="144">
        <f t="shared" si="3"/>
        <v>1</v>
      </c>
      <c r="M204" s="145" t="s">
        <v>771</v>
      </c>
      <c r="N204" s="145" t="s">
        <v>116</v>
      </c>
      <c r="O204" s="145" t="s">
        <v>90</v>
      </c>
      <c r="P204" s="145"/>
    </row>
    <row r="205" spans="1:16" ht="15" customHeight="1">
      <c r="A205" s="136" t="s">
        <v>779</v>
      </c>
      <c r="B205" s="74">
        <v>0</v>
      </c>
      <c r="C205" s="137" t="s">
        <v>477</v>
      </c>
      <c r="D205" s="138">
        <v>45082</v>
      </c>
      <c r="E205" s="149">
        <v>45098</v>
      </c>
      <c r="F205" s="140" t="s">
        <v>780</v>
      </c>
      <c r="G205" s="93">
        <v>27459997</v>
      </c>
      <c r="H205" s="141">
        <v>45098</v>
      </c>
      <c r="I205" s="142" t="s">
        <v>34</v>
      </c>
      <c r="J205" s="143">
        <v>27459997</v>
      </c>
      <c r="K205" s="143"/>
      <c r="L205" s="144">
        <f t="shared" si="3"/>
        <v>0</v>
      </c>
      <c r="M205" s="145" t="s">
        <v>769</v>
      </c>
      <c r="N205" s="145" t="s">
        <v>427</v>
      </c>
      <c r="O205" s="145" t="s">
        <v>90</v>
      </c>
      <c r="P205" s="145"/>
    </row>
    <row r="206" spans="1:16" ht="15" customHeight="1">
      <c r="A206" s="136" t="s">
        <v>779</v>
      </c>
      <c r="B206" s="74">
        <v>0</v>
      </c>
      <c r="C206" s="137" t="s">
        <v>478</v>
      </c>
      <c r="D206" s="138">
        <v>45082</v>
      </c>
      <c r="E206" s="149">
        <v>45082</v>
      </c>
      <c r="F206" s="140" t="s">
        <v>780</v>
      </c>
      <c r="G206" s="93">
        <v>3280000</v>
      </c>
      <c r="H206" s="141">
        <v>45086</v>
      </c>
      <c r="I206" s="142">
        <v>111</v>
      </c>
      <c r="J206" s="143">
        <v>3280000</v>
      </c>
      <c r="K206" s="143"/>
      <c r="L206" s="144">
        <f t="shared" si="3"/>
        <v>4</v>
      </c>
      <c r="M206" s="145" t="s">
        <v>771</v>
      </c>
      <c r="N206" s="145" t="s">
        <v>152</v>
      </c>
      <c r="O206" s="145" t="s">
        <v>90</v>
      </c>
      <c r="P206" s="145"/>
    </row>
    <row r="207" spans="1:16" ht="15" customHeight="1">
      <c r="A207" s="136" t="s">
        <v>779</v>
      </c>
      <c r="B207" s="74">
        <v>0</v>
      </c>
      <c r="C207" s="137" t="s">
        <v>479</v>
      </c>
      <c r="D207" s="138">
        <v>45082</v>
      </c>
      <c r="E207" s="149">
        <v>45092</v>
      </c>
      <c r="F207" s="140" t="s">
        <v>780</v>
      </c>
      <c r="G207" s="93">
        <v>24449997</v>
      </c>
      <c r="H207" s="141">
        <v>45091</v>
      </c>
      <c r="I207" s="142" t="s">
        <v>33</v>
      </c>
      <c r="J207" s="143">
        <v>24449997</v>
      </c>
      <c r="K207" s="143"/>
      <c r="L207" s="144">
        <f t="shared" si="3"/>
        <v>-1</v>
      </c>
      <c r="M207" s="145" t="s">
        <v>770</v>
      </c>
      <c r="N207" s="145" t="s">
        <v>248</v>
      </c>
      <c r="O207" s="145" t="s">
        <v>90</v>
      </c>
      <c r="P207" s="145"/>
    </row>
    <row r="208" spans="1:16" ht="15" customHeight="1">
      <c r="A208" s="136" t="s">
        <v>779</v>
      </c>
      <c r="B208" s="74">
        <v>0</v>
      </c>
      <c r="C208" s="137" t="s">
        <v>480</v>
      </c>
      <c r="D208" s="138">
        <v>45082</v>
      </c>
      <c r="E208" s="149">
        <v>45082</v>
      </c>
      <c r="F208" s="140" t="s">
        <v>780</v>
      </c>
      <c r="G208" s="93">
        <v>16490000</v>
      </c>
      <c r="H208" s="141">
        <v>45083</v>
      </c>
      <c r="I208" s="142" t="s">
        <v>35</v>
      </c>
      <c r="J208" s="143">
        <v>16490000</v>
      </c>
      <c r="K208" s="143"/>
      <c r="L208" s="144">
        <f t="shared" si="3"/>
        <v>1</v>
      </c>
      <c r="M208" s="145" t="s">
        <v>778</v>
      </c>
      <c r="N208" s="145" t="s">
        <v>186</v>
      </c>
      <c r="O208" s="145" t="s">
        <v>90</v>
      </c>
      <c r="P208" s="145"/>
    </row>
    <row r="209" spans="1:16" ht="15" customHeight="1">
      <c r="A209" s="136" t="s">
        <v>779</v>
      </c>
      <c r="B209" s="74">
        <v>0</v>
      </c>
      <c r="C209" s="137" t="s">
        <v>481</v>
      </c>
      <c r="D209" s="138">
        <v>45082</v>
      </c>
      <c r="E209" s="149">
        <v>45092</v>
      </c>
      <c r="F209" s="140" t="s">
        <v>780</v>
      </c>
      <c r="G209" s="93">
        <v>14700001</v>
      </c>
      <c r="H209" s="141">
        <v>45091</v>
      </c>
      <c r="I209" s="142" t="s">
        <v>33</v>
      </c>
      <c r="J209" s="143">
        <v>14700001</v>
      </c>
      <c r="K209" s="143"/>
      <c r="L209" s="144">
        <f t="shared" si="3"/>
        <v>-1</v>
      </c>
      <c r="M209" s="145" t="s">
        <v>770</v>
      </c>
      <c r="N209" s="145" t="s">
        <v>138</v>
      </c>
      <c r="O209" s="145" t="s">
        <v>90</v>
      </c>
      <c r="P209" s="145"/>
    </row>
    <row r="210" spans="1:16" ht="15" customHeight="1">
      <c r="A210" s="136" t="s">
        <v>779</v>
      </c>
      <c r="B210" s="74">
        <v>0</v>
      </c>
      <c r="C210" s="137" t="s">
        <v>482</v>
      </c>
      <c r="D210" s="138">
        <v>45082</v>
      </c>
      <c r="E210" s="149">
        <v>45092</v>
      </c>
      <c r="F210" s="140" t="s">
        <v>780</v>
      </c>
      <c r="G210" s="93">
        <v>28524997</v>
      </c>
      <c r="H210" s="141">
        <v>45091</v>
      </c>
      <c r="I210" s="142" t="s">
        <v>33</v>
      </c>
      <c r="J210" s="143">
        <v>28524997</v>
      </c>
      <c r="K210" s="143"/>
      <c r="L210" s="144">
        <f t="shared" si="3"/>
        <v>-1</v>
      </c>
      <c r="M210" s="145" t="s">
        <v>770</v>
      </c>
      <c r="N210" s="145" t="s">
        <v>188</v>
      </c>
      <c r="O210" s="145" t="s">
        <v>90</v>
      </c>
      <c r="P210" s="145"/>
    </row>
    <row r="211" spans="1:16" ht="15" customHeight="1">
      <c r="A211" s="136" t="s">
        <v>779</v>
      </c>
      <c r="B211" s="74">
        <v>0</v>
      </c>
      <c r="C211" s="137" t="s">
        <v>483</v>
      </c>
      <c r="D211" s="138">
        <v>45083</v>
      </c>
      <c r="E211" s="149">
        <v>45083</v>
      </c>
      <c r="F211" s="140" t="s">
        <v>780</v>
      </c>
      <c r="G211" s="93">
        <v>14400000</v>
      </c>
      <c r="H211" s="141">
        <v>45084</v>
      </c>
      <c r="I211" s="142" t="s">
        <v>35</v>
      </c>
      <c r="J211" s="143">
        <v>14400000</v>
      </c>
      <c r="K211" s="143"/>
      <c r="L211" s="144">
        <f t="shared" si="3"/>
        <v>1</v>
      </c>
      <c r="M211" s="145" t="s">
        <v>771</v>
      </c>
      <c r="N211" s="145" t="s">
        <v>710</v>
      </c>
      <c r="O211" s="145" t="s">
        <v>90</v>
      </c>
      <c r="P211" s="145"/>
    </row>
    <row r="212" spans="1:16" ht="15" customHeight="1">
      <c r="A212" s="136" t="s">
        <v>779</v>
      </c>
      <c r="B212" s="74">
        <v>0</v>
      </c>
      <c r="C212" s="137" t="s">
        <v>484</v>
      </c>
      <c r="D212" s="138">
        <v>45083</v>
      </c>
      <c r="E212" s="149">
        <v>45083</v>
      </c>
      <c r="F212" s="140" t="s">
        <v>780</v>
      </c>
      <c r="G212" s="93">
        <v>12400001</v>
      </c>
      <c r="H212" s="141">
        <v>45084</v>
      </c>
      <c r="I212" s="142" t="s">
        <v>35</v>
      </c>
      <c r="J212" s="143">
        <v>12400000</v>
      </c>
      <c r="K212" s="143"/>
      <c r="L212" s="144">
        <f t="shared" si="3"/>
        <v>1</v>
      </c>
      <c r="M212" s="145" t="s">
        <v>772</v>
      </c>
      <c r="N212" s="145" t="s">
        <v>711</v>
      </c>
      <c r="O212" s="145" t="s">
        <v>90</v>
      </c>
      <c r="P212" s="145"/>
    </row>
    <row r="213" spans="1:16" ht="15" customHeight="1">
      <c r="A213" s="136" t="s">
        <v>779</v>
      </c>
      <c r="B213" s="74">
        <v>0</v>
      </c>
      <c r="C213" s="137" t="s">
        <v>484</v>
      </c>
      <c r="D213" s="138">
        <v>45083</v>
      </c>
      <c r="E213" s="149">
        <v>45083</v>
      </c>
      <c r="F213" s="140" t="s">
        <v>780</v>
      </c>
      <c r="G213" s="93">
        <v>0</v>
      </c>
      <c r="H213" s="141">
        <v>45084</v>
      </c>
      <c r="I213" s="142">
        <v>641</v>
      </c>
      <c r="J213" s="143">
        <v>1</v>
      </c>
      <c r="K213" s="143"/>
      <c r="L213" s="144">
        <f t="shared" si="3"/>
        <v>1</v>
      </c>
      <c r="M213" s="145" t="s">
        <v>772</v>
      </c>
      <c r="N213" s="145" t="s">
        <v>711</v>
      </c>
      <c r="O213" s="145" t="s">
        <v>90</v>
      </c>
      <c r="P213" s="145"/>
    </row>
    <row r="214" spans="1:16" ht="15" customHeight="1">
      <c r="A214" s="136" t="s">
        <v>779</v>
      </c>
      <c r="B214" s="74">
        <v>0</v>
      </c>
      <c r="C214" s="137" t="s">
        <v>485</v>
      </c>
      <c r="D214" s="138">
        <v>45083</v>
      </c>
      <c r="E214" s="149">
        <v>45113</v>
      </c>
      <c r="F214" s="140" t="s">
        <v>780</v>
      </c>
      <c r="G214" s="93">
        <v>26910000</v>
      </c>
      <c r="H214" s="141">
        <v>45096</v>
      </c>
      <c r="I214" s="142" t="s">
        <v>35</v>
      </c>
      <c r="J214" s="143">
        <v>26910000</v>
      </c>
      <c r="K214" s="143"/>
      <c r="L214" s="144">
        <f t="shared" si="3"/>
        <v>-17</v>
      </c>
      <c r="M214" s="145" t="s">
        <v>775</v>
      </c>
      <c r="N214" s="145" t="s">
        <v>96</v>
      </c>
      <c r="O214" s="145" t="s">
        <v>90</v>
      </c>
      <c r="P214" s="145"/>
    </row>
    <row r="215" spans="1:16" ht="15" customHeight="1">
      <c r="A215" s="136" t="s">
        <v>779</v>
      </c>
      <c r="B215" s="74">
        <v>0</v>
      </c>
      <c r="C215" s="137" t="s">
        <v>486</v>
      </c>
      <c r="D215" s="138">
        <v>45083</v>
      </c>
      <c r="E215" s="149">
        <v>45107</v>
      </c>
      <c r="F215" s="140" t="s">
        <v>780</v>
      </c>
      <c r="G215" s="93">
        <v>40850000</v>
      </c>
      <c r="H215" s="141">
        <v>45082</v>
      </c>
      <c r="I215" s="142" t="s">
        <v>34</v>
      </c>
      <c r="J215" s="143">
        <v>3401000</v>
      </c>
      <c r="K215" s="143"/>
      <c r="L215" s="144">
        <f t="shared" si="3"/>
        <v>-25</v>
      </c>
      <c r="M215" s="145" t="s">
        <v>777</v>
      </c>
      <c r="N215" s="145" t="s">
        <v>115</v>
      </c>
      <c r="O215" s="145" t="s">
        <v>90</v>
      </c>
      <c r="P215" s="145"/>
    </row>
    <row r="216" spans="1:16" ht="15" customHeight="1">
      <c r="A216" s="136" t="s">
        <v>779</v>
      </c>
      <c r="B216" s="74">
        <v>0</v>
      </c>
      <c r="C216" s="137" t="s">
        <v>486</v>
      </c>
      <c r="D216" s="138">
        <v>45083</v>
      </c>
      <c r="E216" s="149">
        <v>45107</v>
      </c>
      <c r="F216" s="140" t="s">
        <v>780</v>
      </c>
      <c r="G216" s="93">
        <v>0</v>
      </c>
      <c r="H216" s="141">
        <v>45084</v>
      </c>
      <c r="I216" s="142" t="s">
        <v>35</v>
      </c>
      <c r="J216" s="143">
        <v>6600000</v>
      </c>
      <c r="K216" s="143"/>
      <c r="L216" s="144">
        <f t="shared" si="3"/>
        <v>-23</v>
      </c>
      <c r="M216" s="145" t="s">
        <v>777</v>
      </c>
      <c r="N216" s="145" t="s">
        <v>115</v>
      </c>
      <c r="O216" s="145" t="s">
        <v>90</v>
      </c>
      <c r="P216" s="145"/>
    </row>
    <row r="217" spans="1:16" ht="15" customHeight="1">
      <c r="A217" s="136" t="s">
        <v>779</v>
      </c>
      <c r="B217" s="74">
        <v>0</v>
      </c>
      <c r="C217" s="137" t="s">
        <v>487</v>
      </c>
      <c r="D217" s="153">
        <v>45083</v>
      </c>
      <c r="E217" s="149">
        <v>45113</v>
      </c>
      <c r="F217" s="140" t="s">
        <v>780</v>
      </c>
      <c r="G217" s="93">
        <v>10375000</v>
      </c>
      <c r="H217" s="141"/>
      <c r="I217" s="142"/>
      <c r="J217" s="143"/>
      <c r="K217" s="143"/>
      <c r="L217" s="144" t="str">
        <f t="shared" si="3"/>
        <v>x</v>
      </c>
      <c r="M217" s="154" t="s">
        <v>777</v>
      </c>
      <c r="N217" s="154" t="s">
        <v>185</v>
      </c>
      <c r="O217" s="154" t="s">
        <v>90</v>
      </c>
      <c r="P217" s="155"/>
    </row>
    <row r="218" spans="1:16" ht="15" customHeight="1">
      <c r="A218" s="136" t="s">
        <v>779</v>
      </c>
      <c r="B218" s="74">
        <v>0</v>
      </c>
      <c r="C218" s="137" t="s">
        <v>488</v>
      </c>
      <c r="D218" s="153">
        <v>45083</v>
      </c>
      <c r="E218" s="149">
        <v>45090</v>
      </c>
      <c r="F218" s="140" t="s">
        <v>780</v>
      </c>
      <c r="G218" s="93">
        <v>1740000</v>
      </c>
      <c r="H218" s="141">
        <v>45100</v>
      </c>
      <c r="I218" s="142" t="s">
        <v>35</v>
      </c>
      <c r="J218" s="143">
        <v>1740000</v>
      </c>
      <c r="K218" s="143"/>
      <c r="L218" s="144">
        <f t="shared" si="3"/>
        <v>10</v>
      </c>
      <c r="M218" s="154" t="s">
        <v>770</v>
      </c>
      <c r="N218" s="154" t="s">
        <v>249</v>
      </c>
      <c r="O218" s="154" t="s">
        <v>90</v>
      </c>
      <c r="P218" s="155"/>
    </row>
    <row r="219" spans="1:16" ht="15" customHeight="1">
      <c r="A219" s="136" t="s">
        <v>779</v>
      </c>
      <c r="B219" s="74">
        <v>0</v>
      </c>
      <c r="C219" s="137" t="s">
        <v>489</v>
      </c>
      <c r="D219" s="153">
        <v>45083</v>
      </c>
      <c r="E219" s="149">
        <v>45098</v>
      </c>
      <c r="F219" s="140" t="s">
        <v>780</v>
      </c>
      <c r="G219" s="93">
        <v>4740000</v>
      </c>
      <c r="H219" s="141">
        <v>45098</v>
      </c>
      <c r="I219" s="142">
        <v>531</v>
      </c>
      <c r="J219" s="143">
        <v>4740000</v>
      </c>
      <c r="K219" s="143"/>
      <c r="L219" s="144">
        <f t="shared" si="3"/>
        <v>0</v>
      </c>
      <c r="M219" s="154" t="s">
        <v>770</v>
      </c>
      <c r="N219" s="154" t="s">
        <v>82</v>
      </c>
      <c r="O219" s="154" t="s">
        <v>90</v>
      </c>
      <c r="P219" s="155"/>
    </row>
    <row r="220" spans="1:16" ht="15" customHeight="1">
      <c r="A220" s="136" t="s">
        <v>779</v>
      </c>
      <c r="B220" s="74">
        <v>0</v>
      </c>
      <c r="C220" s="137" t="s">
        <v>490</v>
      </c>
      <c r="D220" s="153">
        <v>45083</v>
      </c>
      <c r="E220" s="149">
        <v>45107</v>
      </c>
      <c r="F220" s="140" t="s">
        <v>780</v>
      </c>
      <c r="G220" s="93">
        <v>4644000</v>
      </c>
      <c r="H220" s="141"/>
      <c r="I220" s="142"/>
      <c r="J220" s="143"/>
      <c r="K220" s="143"/>
      <c r="L220" s="144" t="str">
        <f t="shared" si="3"/>
        <v>x</v>
      </c>
      <c r="M220" s="154" t="s">
        <v>776</v>
      </c>
      <c r="N220" s="154" t="s">
        <v>708</v>
      </c>
      <c r="O220" s="154" t="s">
        <v>90</v>
      </c>
      <c r="P220" s="155"/>
    </row>
    <row r="221" spans="1:16" ht="15" customHeight="1">
      <c r="A221" s="136" t="s">
        <v>779</v>
      </c>
      <c r="B221" s="74">
        <v>0</v>
      </c>
      <c r="C221" s="156" t="s">
        <v>491</v>
      </c>
      <c r="D221" s="153">
        <v>45084</v>
      </c>
      <c r="E221" s="149">
        <v>45105</v>
      </c>
      <c r="F221" s="140" t="s">
        <v>780</v>
      </c>
      <c r="G221" s="93">
        <v>96000000</v>
      </c>
      <c r="H221" s="141"/>
      <c r="I221" s="142"/>
      <c r="J221" s="143"/>
      <c r="K221" s="143"/>
      <c r="L221" s="144" t="str">
        <f t="shared" si="3"/>
        <v>x</v>
      </c>
      <c r="M221" s="154" t="s">
        <v>774</v>
      </c>
      <c r="N221" s="154" t="s">
        <v>83</v>
      </c>
      <c r="O221" s="154" t="s">
        <v>90</v>
      </c>
      <c r="P221" s="155"/>
    </row>
    <row r="222" spans="1:16" ht="15" customHeight="1">
      <c r="A222" s="136" t="s">
        <v>779</v>
      </c>
      <c r="B222" s="74">
        <v>0</v>
      </c>
      <c r="C222" s="137" t="s">
        <v>492</v>
      </c>
      <c r="D222" s="153">
        <v>45084</v>
      </c>
      <c r="E222" s="149">
        <v>45114</v>
      </c>
      <c r="F222" s="140" t="s">
        <v>780</v>
      </c>
      <c r="G222" s="93">
        <v>56500000</v>
      </c>
      <c r="H222" s="141">
        <v>45096</v>
      </c>
      <c r="I222" s="142" t="s">
        <v>35</v>
      </c>
      <c r="J222" s="143">
        <v>56500000</v>
      </c>
      <c r="K222" s="143"/>
      <c r="L222" s="144">
        <f t="shared" si="3"/>
        <v>-18</v>
      </c>
      <c r="M222" s="154" t="s">
        <v>775</v>
      </c>
      <c r="N222" s="154" t="s">
        <v>292</v>
      </c>
      <c r="O222" s="154" t="s">
        <v>90</v>
      </c>
      <c r="P222" s="155"/>
    </row>
    <row r="223" spans="1:16" ht="15" customHeight="1">
      <c r="A223" s="136" t="s">
        <v>779</v>
      </c>
      <c r="B223" s="74">
        <v>0</v>
      </c>
      <c r="C223" s="137" t="s">
        <v>493</v>
      </c>
      <c r="D223" s="153">
        <v>45084</v>
      </c>
      <c r="E223" s="149">
        <v>45114</v>
      </c>
      <c r="F223" s="140" t="s">
        <v>780</v>
      </c>
      <c r="G223" s="93">
        <v>860000</v>
      </c>
      <c r="H223" s="141">
        <v>45096</v>
      </c>
      <c r="I223" s="142" t="s">
        <v>35</v>
      </c>
      <c r="J223" s="143">
        <v>860000</v>
      </c>
      <c r="K223" s="143"/>
      <c r="L223" s="144">
        <f t="shared" si="3"/>
        <v>-18</v>
      </c>
      <c r="M223" s="154" t="s">
        <v>775</v>
      </c>
      <c r="N223" s="154" t="s">
        <v>187</v>
      </c>
      <c r="O223" s="154" t="s">
        <v>90</v>
      </c>
      <c r="P223" s="155"/>
    </row>
    <row r="224" spans="1:16" ht="15" customHeight="1">
      <c r="A224" s="136" t="s">
        <v>779</v>
      </c>
      <c r="B224" s="74">
        <v>0</v>
      </c>
      <c r="C224" s="137" t="s">
        <v>494</v>
      </c>
      <c r="D224" s="153">
        <v>45084</v>
      </c>
      <c r="E224" s="149">
        <v>45098</v>
      </c>
      <c r="F224" s="140" t="s">
        <v>780</v>
      </c>
      <c r="G224" s="93">
        <v>22960000</v>
      </c>
      <c r="H224" s="141">
        <v>45098</v>
      </c>
      <c r="I224" s="142" t="s">
        <v>34</v>
      </c>
      <c r="J224" s="143">
        <v>22960000</v>
      </c>
      <c r="K224" s="143"/>
      <c r="L224" s="144">
        <f t="shared" si="3"/>
        <v>0</v>
      </c>
      <c r="M224" s="154" t="s">
        <v>769</v>
      </c>
      <c r="N224" s="154" t="s">
        <v>189</v>
      </c>
      <c r="O224" s="154" t="s">
        <v>90</v>
      </c>
      <c r="P224" s="155"/>
    </row>
    <row r="225" spans="1:16" ht="15" customHeight="1">
      <c r="A225" s="136" t="s">
        <v>779</v>
      </c>
      <c r="B225" s="74">
        <v>0</v>
      </c>
      <c r="C225" s="137" t="s">
        <v>495</v>
      </c>
      <c r="D225" s="148">
        <v>45084</v>
      </c>
      <c r="E225" s="149">
        <v>45094</v>
      </c>
      <c r="F225" s="140" t="s">
        <v>780</v>
      </c>
      <c r="G225" s="93">
        <v>28524997</v>
      </c>
      <c r="H225" s="141">
        <v>45093</v>
      </c>
      <c r="I225" s="142" t="s">
        <v>33</v>
      </c>
      <c r="J225" s="143">
        <v>28524997</v>
      </c>
      <c r="K225" s="143"/>
      <c r="L225" s="144">
        <f t="shared" si="3"/>
        <v>-1</v>
      </c>
      <c r="M225" s="145" t="s">
        <v>770</v>
      </c>
      <c r="N225" s="145" t="s">
        <v>190</v>
      </c>
      <c r="O225" s="145" t="s">
        <v>90</v>
      </c>
      <c r="P225" s="145"/>
    </row>
    <row r="226" spans="1:16" ht="15" customHeight="1">
      <c r="A226" s="136" t="s">
        <v>779</v>
      </c>
      <c r="B226" s="74">
        <v>0</v>
      </c>
      <c r="C226" s="137" t="s">
        <v>496</v>
      </c>
      <c r="D226" s="148">
        <v>45084</v>
      </c>
      <c r="E226" s="149">
        <v>45098</v>
      </c>
      <c r="F226" s="140" t="s">
        <v>780</v>
      </c>
      <c r="G226" s="93">
        <v>4032001</v>
      </c>
      <c r="H226" s="141">
        <v>45098</v>
      </c>
      <c r="I226" s="142" t="s">
        <v>34</v>
      </c>
      <c r="J226" s="143">
        <v>4032001</v>
      </c>
      <c r="K226" s="143"/>
      <c r="L226" s="144">
        <f t="shared" si="3"/>
        <v>0</v>
      </c>
      <c r="M226" s="145" t="s">
        <v>769</v>
      </c>
      <c r="N226" s="145" t="s">
        <v>118</v>
      </c>
      <c r="O226" s="145" t="s">
        <v>90</v>
      </c>
      <c r="P226" s="145"/>
    </row>
    <row r="227" spans="1:16" ht="15" customHeight="1">
      <c r="A227" s="136" t="s">
        <v>779</v>
      </c>
      <c r="B227" s="74">
        <v>0</v>
      </c>
      <c r="C227" s="137" t="s">
        <v>497</v>
      </c>
      <c r="D227" s="148">
        <v>45084</v>
      </c>
      <c r="E227" s="149">
        <v>45094</v>
      </c>
      <c r="F227" s="140" t="s">
        <v>780</v>
      </c>
      <c r="G227" s="93">
        <v>41355995</v>
      </c>
      <c r="H227" s="141">
        <v>45093</v>
      </c>
      <c r="I227" s="142" t="s">
        <v>33</v>
      </c>
      <c r="J227" s="143">
        <v>41355995</v>
      </c>
      <c r="K227" s="143"/>
      <c r="L227" s="144">
        <f t="shared" si="3"/>
        <v>-1</v>
      </c>
      <c r="M227" s="145" t="s">
        <v>770</v>
      </c>
      <c r="N227" s="145" t="s">
        <v>93</v>
      </c>
      <c r="O227" s="145" t="s">
        <v>90</v>
      </c>
      <c r="P227" s="145"/>
    </row>
    <row r="228" spans="1:16" ht="15" customHeight="1">
      <c r="A228" s="136" t="s">
        <v>779</v>
      </c>
      <c r="B228" s="74">
        <v>0</v>
      </c>
      <c r="C228" s="137" t="s">
        <v>498</v>
      </c>
      <c r="D228" s="148">
        <v>45085</v>
      </c>
      <c r="E228" s="149">
        <v>45092</v>
      </c>
      <c r="F228" s="140" t="s">
        <v>780</v>
      </c>
      <c r="G228" s="93">
        <v>5600000</v>
      </c>
      <c r="H228" s="141">
        <v>45100</v>
      </c>
      <c r="I228" s="142" t="s">
        <v>35</v>
      </c>
      <c r="J228" s="143">
        <v>5600000</v>
      </c>
      <c r="K228" s="143"/>
      <c r="L228" s="144">
        <f t="shared" si="3"/>
        <v>8</v>
      </c>
      <c r="M228" s="145" t="s">
        <v>770</v>
      </c>
      <c r="N228" s="145" t="s">
        <v>126</v>
      </c>
      <c r="O228" s="145" t="s">
        <v>90</v>
      </c>
      <c r="P228" s="145"/>
    </row>
    <row r="229" spans="1:16" ht="15" customHeight="1">
      <c r="A229" s="136" t="s">
        <v>779</v>
      </c>
      <c r="B229" s="74">
        <v>0</v>
      </c>
      <c r="C229" s="137" t="s">
        <v>499</v>
      </c>
      <c r="D229" s="138">
        <v>45085</v>
      </c>
      <c r="E229" s="149">
        <v>45092</v>
      </c>
      <c r="F229" s="140" t="s">
        <v>780</v>
      </c>
      <c r="G229" s="93">
        <v>2030001</v>
      </c>
      <c r="H229" s="141">
        <v>45100</v>
      </c>
      <c r="I229" s="142" t="s">
        <v>35</v>
      </c>
      <c r="J229" s="143">
        <v>2030001</v>
      </c>
      <c r="K229" s="143"/>
      <c r="L229" s="144">
        <f t="shared" si="3"/>
        <v>8</v>
      </c>
      <c r="M229" s="145" t="s">
        <v>770</v>
      </c>
      <c r="N229" s="145" t="s">
        <v>73</v>
      </c>
      <c r="O229" s="145" t="s">
        <v>90</v>
      </c>
      <c r="P229" s="145"/>
    </row>
    <row r="230" spans="1:16" ht="15" customHeight="1">
      <c r="A230" s="136" t="s">
        <v>779</v>
      </c>
      <c r="B230" s="74">
        <v>0</v>
      </c>
      <c r="C230" s="137" t="s">
        <v>500</v>
      </c>
      <c r="D230" s="138">
        <v>45085</v>
      </c>
      <c r="E230" s="149">
        <v>45092</v>
      </c>
      <c r="F230" s="140" t="s">
        <v>780</v>
      </c>
      <c r="G230" s="93">
        <v>300000</v>
      </c>
      <c r="H230" s="141">
        <v>45100</v>
      </c>
      <c r="I230" s="142" t="s">
        <v>35</v>
      </c>
      <c r="J230" s="143">
        <v>300000</v>
      </c>
      <c r="K230" s="143"/>
      <c r="L230" s="144">
        <f t="shared" si="3"/>
        <v>8</v>
      </c>
      <c r="M230" s="145" t="s">
        <v>770</v>
      </c>
      <c r="N230" s="145" t="s">
        <v>712</v>
      </c>
      <c r="O230" s="145" t="s">
        <v>90</v>
      </c>
      <c r="P230" s="145"/>
    </row>
    <row r="231" spans="1:16" ht="15" customHeight="1">
      <c r="A231" s="136" t="s">
        <v>779</v>
      </c>
      <c r="B231" s="74">
        <v>0</v>
      </c>
      <c r="C231" s="137" t="s">
        <v>501</v>
      </c>
      <c r="D231" s="138">
        <v>45085</v>
      </c>
      <c r="E231" s="149">
        <v>45095</v>
      </c>
      <c r="F231" s="140" t="s">
        <v>780</v>
      </c>
      <c r="G231" s="93">
        <v>162999980</v>
      </c>
      <c r="H231" s="141"/>
      <c r="I231" s="142"/>
      <c r="J231" s="143"/>
      <c r="K231" s="143"/>
      <c r="L231" s="144" t="str">
        <f t="shared" si="3"/>
        <v>x</v>
      </c>
      <c r="M231" s="145" t="s">
        <v>778</v>
      </c>
      <c r="N231" s="145" t="s">
        <v>88</v>
      </c>
      <c r="O231" s="145" t="s">
        <v>90</v>
      </c>
      <c r="P231" s="145"/>
    </row>
    <row r="232" spans="1:16" ht="15" customHeight="1">
      <c r="A232" s="136" t="s">
        <v>779</v>
      </c>
      <c r="B232" s="74">
        <v>0</v>
      </c>
      <c r="C232" s="137" t="s">
        <v>502</v>
      </c>
      <c r="D232" s="138">
        <v>45085</v>
      </c>
      <c r="E232" s="149">
        <v>45095</v>
      </c>
      <c r="F232" s="140" t="s">
        <v>780</v>
      </c>
      <c r="G232" s="93">
        <v>257500</v>
      </c>
      <c r="H232" s="141">
        <v>45093</v>
      </c>
      <c r="I232" s="142" t="s">
        <v>35</v>
      </c>
      <c r="J232" s="143">
        <v>257500</v>
      </c>
      <c r="K232" s="143"/>
      <c r="L232" s="144">
        <f t="shared" si="3"/>
        <v>-2</v>
      </c>
      <c r="M232" s="145" t="s">
        <v>772</v>
      </c>
      <c r="N232" s="145" t="s">
        <v>132</v>
      </c>
      <c r="O232" s="145" t="s">
        <v>90</v>
      </c>
      <c r="P232" s="145"/>
    </row>
    <row r="233" spans="1:16" ht="15" customHeight="1">
      <c r="A233" s="136" t="s">
        <v>779</v>
      </c>
      <c r="B233" s="74">
        <v>0</v>
      </c>
      <c r="C233" s="137" t="s">
        <v>503</v>
      </c>
      <c r="D233" s="138">
        <v>45085</v>
      </c>
      <c r="E233" s="149">
        <v>45095</v>
      </c>
      <c r="F233" s="140" t="s">
        <v>780</v>
      </c>
      <c r="G233" s="93">
        <v>6847500</v>
      </c>
      <c r="H233" s="141"/>
      <c r="I233" s="142"/>
      <c r="J233" s="143"/>
      <c r="K233" s="143"/>
      <c r="L233" s="144" t="str">
        <f t="shared" si="3"/>
        <v>x</v>
      </c>
      <c r="M233" s="145" t="s">
        <v>778</v>
      </c>
      <c r="N233" s="145" t="s">
        <v>425</v>
      </c>
      <c r="O233" s="145" t="s">
        <v>90</v>
      </c>
      <c r="P233" s="145"/>
    </row>
    <row r="234" spans="1:16" ht="15" customHeight="1">
      <c r="A234" s="136" t="s">
        <v>779</v>
      </c>
      <c r="B234" s="74">
        <v>0</v>
      </c>
      <c r="C234" s="137" t="s">
        <v>504</v>
      </c>
      <c r="D234" s="138">
        <v>45086</v>
      </c>
      <c r="E234" s="149">
        <v>45096</v>
      </c>
      <c r="F234" s="140" t="s">
        <v>780</v>
      </c>
      <c r="G234" s="93">
        <v>3800000</v>
      </c>
      <c r="H234" s="141"/>
      <c r="I234" s="142"/>
      <c r="J234" s="143"/>
      <c r="K234" s="143"/>
      <c r="L234" s="144" t="str">
        <f t="shared" si="3"/>
        <v>x</v>
      </c>
      <c r="M234" s="145" t="s">
        <v>772</v>
      </c>
      <c r="N234" s="145" t="s">
        <v>198</v>
      </c>
      <c r="O234" s="145" t="s">
        <v>90</v>
      </c>
      <c r="P234" s="145"/>
    </row>
    <row r="235" spans="1:16" ht="15" customHeight="1">
      <c r="A235" s="136" t="s">
        <v>779</v>
      </c>
      <c r="B235" s="74">
        <v>0</v>
      </c>
      <c r="C235" s="137" t="s">
        <v>505</v>
      </c>
      <c r="D235" s="138">
        <v>45086</v>
      </c>
      <c r="E235" s="149">
        <v>45116</v>
      </c>
      <c r="F235" s="140" t="s">
        <v>780</v>
      </c>
      <c r="G235" s="93">
        <v>30246000</v>
      </c>
      <c r="H235" s="141">
        <v>45106</v>
      </c>
      <c r="I235" s="142" t="s">
        <v>33</v>
      </c>
      <c r="J235" s="143">
        <v>30246000</v>
      </c>
      <c r="K235" s="143"/>
      <c r="L235" s="144">
        <f t="shared" si="3"/>
        <v>-10</v>
      </c>
      <c r="M235" s="145" t="s">
        <v>778</v>
      </c>
      <c r="N235" s="145" t="s">
        <v>713</v>
      </c>
      <c r="O235" s="145" t="s">
        <v>90</v>
      </c>
      <c r="P235" s="145"/>
    </row>
    <row r="236" spans="1:16" ht="15" customHeight="1">
      <c r="A236" s="136" t="s">
        <v>779</v>
      </c>
      <c r="B236" s="74">
        <v>0</v>
      </c>
      <c r="C236" s="137" t="s">
        <v>506</v>
      </c>
      <c r="D236" s="138">
        <v>45086</v>
      </c>
      <c r="E236" s="149">
        <v>45086</v>
      </c>
      <c r="F236" s="140" t="s">
        <v>780</v>
      </c>
      <c r="G236" s="93">
        <v>15148000</v>
      </c>
      <c r="H236" s="141"/>
      <c r="I236" s="142"/>
      <c r="J236" s="143"/>
      <c r="K236" s="143"/>
      <c r="L236" s="144" t="str">
        <f t="shared" si="3"/>
        <v>x</v>
      </c>
      <c r="M236" s="145" t="s">
        <v>778</v>
      </c>
      <c r="N236" s="145" t="s">
        <v>191</v>
      </c>
      <c r="O236" s="145" t="s">
        <v>90</v>
      </c>
      <c r="P236" s="145"/>
    </row>
    <row r="237" spans="1:16" ht="15" customHeight="1">
      <c r="A237" s="136" t="s">
        <v>779</v>
      </c>
      <c r="B237" s="74">
        <v>0</v>
      </c>
      <c r="C237" s="137" t="s">
        <v>507</v>
      </c>
      <c r="D237" s="138">
        <v>45086</v>
      </c>
      <c r="E237" s="149">
        <v>45096</v>
      </c>
      <c r="F237" s="140" t="s">
        <v>780</v>
      </c>
      <c r="G237" s="93">
        <v>15449999</v>
      </c>
      <c r="H237" s="141"/>
      <c r="I237" s="142"/>
      <c r="J237" s="143"/>
      <c r="K237" s="143"/>
      <c r="L237" s="144" t="str">
        <f t="shared" si="3"/>
        <v>x</v>
      </c>
      <c r="M237" s="145" t="s">
        <v>778</v>
      </c>
      <c r="N237" s="145" t="s">
        <v>714</v>
      </c>
      <c r="O237" s="145" t="s">
        <v>90</v>
      </c>
      <c r="P237" s="145"/>
    </row>
    <row r="238" spans="1:16" ht="15" customHeight="1">
      <c r="A238" s="136" t="s">
        <v>779</v>
      </c>
      <c r="B238" s="74">
        <v>0</v>
      </c>
      <c r="C238" s="137" t="s">
        <v>508</v>
      </c>
      <c r="D238" s="138">
        <v>45086</v>
      </c>
      <c r="E238" s="149">
        <v>45096</v>
      </c>
      <c r="F238" s="140" t="s">
        <v>780</v>
      </c>
      <c r="G238" s="93">
        <v>16299998</v>
      </c>
      <c r="H238" s="141">
        <v>45096</v>
      </c>
      <c r="I238" s="142" t="s">
        <v>33</v>
      </c>
      <c r="J238" s="143">
        <v>16299998</v>
      </c>
      <c r="K238" s="143"/>
      <c r="L238" s="144">
        <f t="shared" si="3"/>
        <v>0</v>
      </c>
      <c r="M238" s="145" t="s">
        <v>770</v>
      </c>
      <c r="N238" s="145" t="s">
        <v>103</v>
      </c>
      <c r="O238" s="145" t="s">
        <v>90</v>
      </c>
      <c r="P238" s="145"/>
    </row>
    <row r="239" spans="1:16" ht="15" customHeight="1">
      <c r="A239" s="136" t="s">
        <v>779</v>
      </c>
      <c r="B239" s="74">
        <v>0</v>
      </c>
      <c r="C239" s="137" t="s">
        <v>509</v>
      </c>
      <c r="D239" s="157">
        <v>45086</v>
      </c>
      <c r="E239" s="149">
        <v>45096</v>
      </c>
      <c r="F239" s="140" t="s">
        <v>780</v>
      </c>
      <c r="G239" s="93">
        <v>32275001</v>
      </c>
      <c r="H239" s="141">
        <v>45096</v>
      </c>
      <c r="I239" s="142" t="s">
        <v>33</v>
      </c>
      <c r="J239" s="143">
        <v>32275001</v>
      </c>
      <c r="K239" s="143"/>
      <c r="L239" s="144">
        <f t="shared" si="3"/>
        <v>0</v>
      </c>
      <c r="M239" s="145" t="s">
        <v>770</v>
      </c>
      <c r="N239" s="145" t="s">
        <v>199</v>
      </c>
      <c r="O239" s="145" t="s">
        <v>90</v>
      </c>
      <c r="P239" s="145"/>
    </row>
    <row r="240" spans="1:16" ht="15" customHeight="1">
      <c r="A240" s="136" t="s">
        <v>779</v>
      </c>
      <c r="B240" s="74">
        <v>0</v>
      </c>
      <c r="C240" s="137" t="s">
        <v>510</v>
      </c>
      <c r="D240" s="138">
        <v>45086</v>
      </c>
      <c r="E240" s="149">
        <v>45093</v>
      </c>
      <c r="F240" s="140" t="s">
        <v>780</v>
      </c>
      <c r="G240" s="93">
        <v>6800000</v>
      </c>
      <c r="H240" s="141">
        <v>45100</v>
      </c>
      <c r="I240" s="142" t="s">
        <v>35</v>
      </c>
      <c r="J240" s="143">
        <v>6800000</v>
      </c>
      <c r="K240" s="143"/>
      <c r="L240" s="144">
        <f t="shared" si="3"/>
        <v>7</v>
      </c>
      <c r="M240" s="145" t="s">
        <v>770</v>
      </c>
      <c r="N240" s="145" t="s">
        <v>201</v>
      </c>
      <c r="O240" s="145" t="s">
        <v>90</v>
      </c>
      <c r="P240" s="145"/>
    </row>
    <row r="241" spans="1:16" ht="15" customHeight="1">
      <c r="A241" s="136" t="s">
        <v>779</v>
      </c>
      <c r="B241" s="74">
        <v>0</v>
      </c>
      <c r="C241" s="137" t="s">
        <v>511</v>
      </c>
      <c r="D241" s="138">
        <v>45086</v>
      </c>
      <c r="E241" s="149">
        <v>45086</v>
      </c>
      <c r="F241" s="140" t="s">
        <v>780</v>
      </c>
      <c r="G241" s="93">
        <v>79870014</v>
      </c>
      <c r="H241" s="141">
        <v>45089</v>
      </c>
      <c r="I241" s="142" t="s">
        <v>35</v>
      </c>
      <c r="J241" s="143">
        <v>39870014</v>
      </c>
      <c r="K241" s="143"/>
      <c r="L241" s="144">
        <f t="shared" si="3"/>
        <v>3</v>
      </c>
      <c r="M241" s="145" t="s">
        <v>772</v>
      </c>
      <c r="N241" s="145" t="s">
        <v>424</v>
      </c>
      <c r="O241" s="145" t="s">
        <v>90</v>
      </c>
      <c r="P241" s="145"/>
    </row>
    <row r="242" spans="1:16" ht="15" customHeight="1">
      <c r="A242" s="136" t="s">
        <v>779</v>
      </c>
      <c r="B242" s="74">
        <v>0</v>
      </c>
      <c r="C242" s="137" t="s">
        <v>511</v>
      </c>
      <c r="D242" s="138">
        <v>45086</v>
      </c>
      <c r="E242" s="149">
        <v>45086</v>
      </c>
      <c r="F242" s="140" t="s">
        <v>780</v>
      </c>
      <c r="G242" s="93">
        <v>0</v>
      </c>
      <c r="H242" s="141">
        <v>45097</v>
      </c>
      <c r="I242" s="142" t="s">
        <v>35</v>
      </c>
      <c r="J242" s="143">
        <v>40000000</v>
      </c>
      <c r="K242" s="143"/>
      <c r="L242" s="144">
        <f t="shared" si="3"/>
        <v>11</v>
      </c>
      <c r="M242" s="145" t="s">
        <v>772</v>
      </c>
      <c r="N242" s="145" t="s">
        <v>424</v>
      </c>
      <c r="O242" s="145" t="s">
        <v>90</v>
      </c>
      <c r="P242" s="145"/>
    </row>
    <row r="243" spans="1:16" ht="15" customHeight="1">
      <c r="A243" s="136" t="s">
        <v>779</v>
      </c>
      <c r="B243" s="74">
        <v>0</v>
      </c>
      <c r="C243" s="137" t="s">
        <v>512</v>
      </c>
      <c r="D243" s="138">
        <v>45086</v>
      </c>
      <c r="E243" s="149">
        <v>45096</v>
      </c>
      <c r="F243" s="140" t="s">
        <v>780</v>
      </c>
      <c r="G243" s="93">
        <v>24449997</v>
      </c>
      <c r="H243" s="141">
        <v>45096</v>
      </c>
      <c r="I243" s="142" t="s">
        <v>33</v>
      </c>
      <c r="J243" s="143">
        <v>24449997</v>
      </c>
      <c r="K243" s="143"/>
      <c r="L243" s="144">
        <f t="shared" si="3"/>
        <v>0</v>
      </c>
      <c r="M243" s="145" t="s">
        <v>770</v>
      </c>
      <c r="N243" s="145" t="s">
        <v>293</v>
      </c>
      <c r="O243" s="145" t="s">
        <v>90</v>
      </c>
      <c r="P243" s="145"/>
    </row>
    <row r="244" spans="1:16" ht="15" customHeight="1">
      <c r="A244" s="136" t="s">
        <v>779</v>
      </c>
      <c r="B244" s="74">
        <v>0</v>
      </c>
      <c r="C244" s="152" t="s">
        <v>513</v>
      </c>
      <c r="D244" s="138">
        <v>45086</v>
      </c>
      <c r="E244" s="149">
        <v>45086</v>
      </c>
      <c r="F244" s="140" t="s">
        <v>780</v>
      </c>
      <c r="G244" s="93">
        <v>9680000</v>
      </c>
      <c r="H244" s="141">
        <v>45089</v>
      </c>
      <c r="I244" s="142" t="s">
        <v>34</v>
      </c>
      <c r="J244" s="143">
        <v>9680000</v>
      </c>
      <c r="K244" s="143"/>
      <c r="L244" s="144">
        <f t="shared" si="3"/>
        <v>3</v>
      </c>
      <c r="M244" s="145" t="s">
        <v>769</v>
      </c>
      <c r="N244" s="145" t="s">
        <v>202</v>
      </c>
      <c r="O244" s="145" t="s">
        <v>90</v>
      </c>
      <c r="P244" s="145"/>
    </row>
    <row r="245" spans="1:16" ht="15" customHeight="1">
      <c r="A245" s="136" t="s">
        <v>779</v>
      </c>
      <c r="B245" s="74">
        <v>0</v>
      </c>
      <c r="C245" s="137" t="s">
        <v>514</v>
      </c>
      <c r="D245" s="138">
        <v>45086</v>
      </c>
      <c r="E245" s="149">
        <v>45086</v>
      </c>
      <c r="F245" s="140" t="s">
        <v>780</v>
      </c>
      <c r="G245" s="93">
        <v>5200000</v>
      </c>
      <c r="H245" s="141"/>
      <c r="I245" s="142"/>
      <c r="J245" s="143"/>
      <c r="K245" s="143"/>
      <c r="L245" s="144" t="str">
        <f t="shared" si="3"/>
        <v>x</v>
      </c>
      <c r="M245" s="145" t="s">
        <v>769</v>
      </c>
      <c r="N245" s="145" t="s">
        <v>291</v>
      </c>
      <c r="O245" s="145" t="s">
        <v>90</v>
      </c>
      <c r="P245" s="145"/>
    </row>
    <row r="246" spans="1:16" ht="15" customHeight="1">
      <c r="A246" s="136" t="s">
        <v>779</v>
      </c>
      <c r="B246" s="74">
        <v>0</v>
      </c>
      <c r="C246" s="137" t="s">
        <v>515</v>
      </c>
      <c r="D246" s="138">
        <v>45087</v>
      </c>
      <c r="E246" s="149">
        <v>45097</v>
      </c>
      <c r="F246" s="140" t="s">
        <v>780</v>
      </c>
      <c r="G246" s="93">
        <v>1900000</v>
      </c>
      <c r="H246" s="141">
        <v>45093</v>
      </c>
      <c r="I246" s="142" t="s">
        <v>35</v>
      </c>
      <c r="J246" s="143">
        <v>1900000</v>
      </c>
      <c r="K246" s="143"/>
      <c r="L246" s="144">
        <f t="shared" si="3"/>
        <v>-4</v>
      </c>
      <c r="M246" s="145" t="s">
        <v>772</v>
      </c>
      <c r="N246" s="145" t="s">
        <v>250</v>
      </c>
      <c r="O246" s="145" t="s">
        <v>90</v>
      </c>
      <c r="P246" s="145"/>
    </row>
    <row r="247" spans="1:16" ht="15" customHeight="1">
      <c r="A247" s="136" t="s">
        <v>779</v>
      </c>
      <c r="B247" s="74">
        <v>0</v>
      </c>
      <c r="C247" s="137" t="s">
        <v>516</v>
      </c>
      <c r="D247" s="138">
        <v>45087</v>
      </c>
      <c r="E247" s="149">
        <v>45097</v>
      </c>
      <c r="F247" s="140" t="s">
        <v>780</v>
      </c>
      <c r="G247" s="93">
        <v>830000</v>
      </c>
      <c r="H247" s="141">
        <v>45093</v>
      </c>
      <c r="I247" s="142" t="s">
        <v>35</v>
      </c>
      <c r="J247" s="143">
        <v>830000</v>
      </c>
      <c r="K247" s="143"/>
      <c r="L247" s="144">
        <f t="shared" si="3"/>
        <v>-4</v>
      </c>
      <c r="M247" s="145" t="s">
        <v>772</v>
      </c>
      <c r="N247" s="145" t="s">
        <v>715</v>
      </c>
      <c r="O247" s="145" t="s">
        <v>90</v>
      </c>
      <c r="P247" s="145"/>
    </row>
    <row r="248" spans="1:16" ht="15" customHeight="1">
      <c r="A248" s="136" t="s">
        <v>779</v>
      </c>
      <c r="B248" s="74">
        <v>0</v>
      </c>
      <c r="C248" s="137" t="s">
        <v>517</v>
      </c>
      <c r="D248" s="138">
        <v>45087</v>
      </c>
      <c r="E248" s="149">
        <v>45117</v>
      </c>
      <c r="F248" s="140" t="s">
        <v>780</v>
      </c>
      <c r="G248" s="93">
        <v>6479999</v>
      </c>
      <c r="H248" s="141">
        <v>45096</v>
      </c>
      <c r="I248" s="142" t="s">
        <v>35</v>
      </c>
      <c r="J248" s="143">
        <v>6479999</v>
      </c>
      <c r="K248" s="143"/>
      <c r="L248" s="144">
        <f t="shared" si="3"/>
        <v>-21</v>
      </c>
      <c r="M248" s="145" t="s">
        <v>775</v>
      </c>
      <c r="N248" s="145" t="s">
        <v>99</v>
      </c>
      <c r="O248" s="145" t="s">
        <v>90</v>
      </c>
      <c r="P248" s="145"/>
    </row>
    <row r="249" spans="1:16" ht="15" customHeight="1">
      <c r="A249" s="136" t="s">
        <v>779</v>
      </c>
      <c r="B249" s="74">
        <v>0</v>
      </c>
      <c r="C249" s="137" t="s">
        <v>518</v>
      </c>
      <c r="D249" s="138">
        <v>45087</v>
      </c>
      <c r="E249" s="149">
        <v>45097</v>
      </c>
      <c r="F249" s="140" t="s">
        <v>780</v>
      </c>
      <c r="G249" s="93">
        <v>15700000</v>
      </c>
      <c r="H249" s="141">
        <v>45096</v>
      </c>
      <c r="I249" s="142" t="s">
        <v>33</v>
      </c>
      <c r="J249" s="143">
        <v>15700000</v>
      </c>
      <c r="K249" s="143"/>
      <c r="L249" s="144">
        <f t="shared" si="3"/>
        <v>-1</v>
      </c>
      <c r="M249" s="145" t="s">
        <v>770</v>
      </c>
      <c r="N249" s="145" t="s">
        <v>716</v>
      </c>
      <c r="O249" s="145" t="s">
        <v>90</v>
      </c>
      <c r="P249" s="145"/>
    </row>
    <row r="250" spans="1:16" ht="15" customHeight="1">
      <c r="A250" s="136" t="s">
        <v>779</v>
      </c>
      <c r="B250" s="74">
        <v>0</v>
      </c>
      <c r="C250" s="137" t="s">
        <v>519</v>
      </c>
      <c r="D250" s="138">
        <v>45087</v>
      </c>
      <c r="E250" s="149">
        <v>45117</v>
      </c>
      <c r="F250" s="140" t="s">
        <v>780</v>
      </c>
      <c r="G250" s="93">
        <v>264299983</v>
      </c>
      <c r="H250" s="141">
        <v>45096</v>
      </c>
      <c r="I250" s="142" t="s">
        <v>35</v>
      </c>
      <c r="J250" s="143">
        <v>74870525</v>
      </c>
      <c r="K250" s="143"/>
      <c r="L250" s="144">
        <f t="shared" si="3"/>
        <v>-21</v>
      </c>
      <c r="M250" s="145" t="s">
        <v>775</v>
      </c>
      <c r="N250" s="145" t="s">
        <v>121</v>
      </c>
      <c r="O250" s="145" t="s">
        <v>90</v>
      </c>
      <c r="P250" s="145"/>
    </row>
    <row r="251" spans="1:16" ht="15" customHeight="1">
      <c r="A251" s="136" t="s">
        <v>779</v>
      </c>
      <c r="B251" s="74">
        <v>0</v>
      </c>
      <c r="C251" s="137" t="s">
        <v>519</v>
      </c>
      <c r="D251" s="148">
        <v>45087</v>
      </c>
      <c r="E251" s="149">
        <v>45117</v>
      </c>
      <c r="F251" s="140" t="s">
        <v>780</v>
      </c>
      <c r="G251" s="93">
        <v>0</v>
      </c>
      <c r="H251" s="141">
        <v>45103</v>
      </c>
      <c r="I251" s="142" t="s">
        <v>35</v>
      </c>
      <c r="J251" s="143">
        <v>189429458</v>
      </c>
      <c r="K251" s="143"/>
      <c r="L251" s="144">
        <f t="shared" si="3"/>
        <v>-14</v>
      </c>
      <c r="M251" s="145" t="s">
        <v>775</v>
      </c>
      <c r="N251" s="145" t="s">
        <v>121</v>
      </c>
      <c r="O251" s="145" t="s">
        <v>90</v>
      </c>
      <c r="P251" s="150"/>
    </row>
    <row r="252" spans="1:16" ht="15" customHeight="1">
      <c r="A252" s="136" t="s">
        <v>779</v>
      </c>
      <c r="B252" s="74">
        <v>0</v>
      </c>
      <c r="C252" s="137" t="s">
        <v>520</v>
      </c>
      <c r="D252" s="148">
        <v>45087</v>
      </c>
      <c r="E252" s="149">
        <v>45097</v>
      </c>
      <c r="F252" s="140" t="s">
        <v>780</v>
      </c>
      <c r="G252" s="93">
        <v>4900001</v>
      </c>
      <c r="H252" s="141">
        <v>45096</v>
      </c>
      <c r="I252" s="142" t="s">
        <v>33</v>
      </c>
      <c r="J252" s="143">
        <v>4900001</v>
      </c>
      <c r="K252" s="143"/>
      <c r="L252" s="144">
        <f t="shared" si="3"/>
        <v>-1</v>
      </c>
      <c r="M252" s="145" t="s">
        <v>770</v>
      </c>
      <c r="N252" s="145" t="s">
        <v>98</v>
      </c>
      <c r="O252" s="145" t="s">
        <v>90</v>
      </c>
      <c r="P252" s="150"/>
    </row>
    <row r="253" spans="1:16" ht="15" customHeight="1">
      <c r="A253" s="136" t="s">
        <v>779</v>
      </c>
      <c r="B253" s="74">
        <v>0</v>
      </c>
      <c r="C253" s="152" t="s">
        <v>521</v>
      </c>
      <c r="D253" s="148">
        <v>45087</v>
      </c>
      <c r="E253" s="149">
        <v>45097</v>
      </c>
      <c r="F253" s="140" t="s">
        <v>780</v>
      </c>
      <c r="G253" s="93">
        <v>5000001</v>
      </c>
      <c r="H253" s="141"/>
      <c r="I253" s="142"/>
      <c r="J253" s="143"/>
      <c r="K253" s="143"/>
      <c r="L253" s="144" t="str">
        <f t="shared" si="3"/>
        <v>x</v>
      </c>
      <c r="M253" s="145" t="s">
        <v>770</v>
      </c>
      <c r="N253" s="145" t="s">
        <v>97</v>
      </c>
      <c r="O253" s="145" t="s">
        <v>90</v>
      </c>
      <c r="P253" s="150"/>
    </row>
    <row r="254" spans="1:16" ht="15" customHeight="1">
      <c r="A254" s="136" t="s">
        <v>779</v>
      </c>
      <c r="B254" s="74">
        <v>0</v>
      </c>
      <c r="C254" s="137" t="s">
        <v>522</v>
      </c>
      <c r="D254" s="148">
        <v>45087</v>
      </c>
      <c r="E254" s="149">
        <v>45102</v>
      </c>
      <c r="F254" s="140" t="s">
        <v>780</v>
      </c>
      <c r="G254" s="93">
        <v>58889992</v>
      </c>
      <c r="H254" s="141"/>
      <c r="I254" s="142"/>
      <c r="J254" s="143"/>
      <c r="K254" s="143"/>
      <c r="L254" s="144" t="str">
        <f t="shared" si="3"/>
        <v>x</v>
      </c>
      <c r="M254" s="145" t="s">
        <v>770</v>
      </c>
      <c r="N254" s="145" t="s">
        <v>206</v>
      </c>
      <c r="O254" s="145" t="s">
        <v>90</v>
      </c>
      <c r="P254" s="150"/>
    </row>
    <row r="255" spans="1:16" ht="15" customHeight="1">
      <c r="A255" s="136" t="s">
        <v>779</v>
      </c>
      <c r="B255" s="74">
        <v>0</v>
      </c>
      <c r="C255" s="137" t="s">
        <v>523</v>
      </c>
      <c r="D255" s="148">
        <v>45087</v>
      </c>
      <c r="E255" s="149">
        <v>45097</v>
      </c>
      <c r="F255" s="140" t="s">
        <v>780</v>
      </c>
      <c r="G255" s="93">
        <v>24024999</v>
      </c>
      <c r="H255" s="141">
        <v>45096</v>
      </c>
      <c r="I255" s="142" t="s">
        <v>33</v>
      </c>
      <c r="J255" s="143">
        <v>24024999</v>
      </c>
      <c r="K255" s="143"/>
      <c r="L255" s="144">
        <f t="shared" si="3"/>
        <v>-1</v>
      </c>
      <c r="M255" s="145" t="s">
        <v>770</v>
      </c>
      <c r="N255" s="145" t="s">
        <v>203</v>
      </c>
      <c r="O255" s="145" t="s">
        <v>90</v>
      </c>
      <c r="P255" s="150"/>
    </row>
    <row r="256" spans="1:16" ht="15" customHeight="1">
      <c r="A256" s="136" t="s">
        <v>779</v>
      </c>
      <c r="B256" s="74">
        <v>0</v>
      </c>
      <c r="C256" s="137" t="s">
        <v>524</v>
      </c>
      <c r="D256" s="148">
        <v>45089</v>
      </c>
      <c r="E256" s="149">
        <v>45089</v>
      </c>
      <c r="F256" s="140" t="s">
        <v>780</v>
      </c>
      <c r="G256" s="93">
        <v>2200000</v>
      </c>
      <c r="H256" s="141">
        <v>45092</v>
      </c>
      <c r="I256" s="142">
        <v>111</v>
      </c>
      <c r="J256" s="143">
        <v>1991000</v>
      </c>
      <c r="K256" s="143"/>
      <c r="L256" s="144">
        <f t="shared" si="3"/>
        <v>3</v>
      </c>
      <c r="M256" s="145" t="s">
        <v>771</v>
      </c>
      <c r="N256" s="145" t="s">
        <v>163</v>
      </c>
      <c r="O256" s="145" t="s">
        <v>90</v>
      </c>
      <c r="P256" s="150"/>
    </row>
    <row r="257" spans="1:16" ht="15" customHeight="1">
      <c r="A257" s="136" t="s">
        <v>779</v>
      </c>
      <c r="B257" s="74">
        <v>0</v>
      </c>
      <c r="C257" s="137" t="s">
        <v>524</v>
      </c>
      <c r="D257" s="148">
        <v>45089</v>
      </c>
      <c r="E257" s="149">
        <v>45089</v>
      </c>
      <c r="F257" s="140" t="s">
        <v>780</v>
      </c>
      <c r="G257" s="93">
        <v>0</v>
      </c>
      <c r="H257" s="141">
        <v>45092</v>
      </c>
      <c r="I257" s="142" t="s">
        <v>35</v>
      </c>
      <c r="J257" s="143">
        <v>209000</v>
      </c>
      <c r="K257" s="143"/>
      <c r="L257" s="144">
        <f t="shared" si="3"/>
        <v>3</v>
      </c>
      <c r="M257" s="145" t="s">
        <v>771</v>
      </c>
      <c r="N257" s="145" t="s">
        <v>163</v>
      </c>
      <c r="O257" s="145" t="s">
        <v>90</v>
      </c>
      <c r="P257" s="150"/>
    </row>
    <row r="258" spans="1:16" ht="15" customHeight="1">
      <c r="A258" s="136" t="s">
        <v>779</v>
      </c>
      <c r="B258" s="74">
        <v>0</v>
      </c>
      <c r="C258" s="137" t="s">
        <v>525</v>
      </c>
      <c r="D258" s="148">
        <v>45089</v>
      </c>
      <c r="E258" s="149">
        <v>45099</v>
      </c>
      <c r="F258" s="140" t="s">
        <v>780</v>
      </c>
      <c r="G258" s="93">
        <v>22024999</v>
      </c>
      <c r="H258" s="141">
        <v>45098</v>
      </c>
      <c r="I258" s="142" t="s">
        <v>33</v>
      </c>
      <c r="J258" s="143">
        <v>22024999</v>
      </c>
      <c r="K258" s="143"/>
      <c r="L258" s="144">
        <f t="shared" si="3"/>
        <v>-1</v>
      </c>
      <c r="M258" s="145" t="s">
        <v>770</v>
      </c>
      <c r="N258" s="145" t="s">
        <v>252</v>
      </c>
      <c r="O258" s="145" t="s">
        <v>90</v>
      </c>
      <c r="P258" s="150"/>
    </row>
    <row r="259" spans="1:16" ht="15" customHeight="1">
      <c r="A259" s="136" t="s">
        <v>779</v>
      </c>
      <c r="B259" s="74">
        <v>0</v>
      </c>
      <c r="C259" s="137" t="s">
        <v>526</v>
      </c>
      <c r="D259" s="148">
        <v>45089</v>
      </c>
      <c r="E259" s="149">
        <v>45096</v>
      </c>
      <c r="F259" s="140" t="s">
        <v>780</v>
      </c>
      <c r="G259" s="93">
        <v>44399996</v>
      </c>
      <c r="H259" s="141">
        <v>45093</v>
      </c>
      <c r="I259" s="142" t="s">
        <v>35</v>
      </c>
      <c r="J259" s="143">
        <v>44399996</v>
      </c>
      <c r="K259" s="143"/>
      <c r="L259" s="144">
        <f t="shared" ref="L259:L322" si="4">IF(J259="","x",H259-E259)</f>
        <v>-3</v>
      </c>
      <c r="M259" s="145" t="s">
        <v>775</v>
      </c>
      <c r="N259" s="145" t="s">
        <v>122</v>
      </c>
      <c r="O259" s="145" t="s">
        <v>90</v>
      </c>
      <c r="P259" s="150"/>
    </row>
    <row r="260" spans="1:16" ht="15" customHeight="1">
      <c r="A260" s="136" t="s">
        <v>779</v>
      </c>
      <c r="B260" s="74">
        <v>0</v>
      </c>
      <c r="C260" s="137" t="s">
        <v>527</v>
      </c>
      <c r="D260" s="138">
        <v>45089</v>
      </c>
      <c r="E260" s="149">
        <v>45089</v>
      </c>
      <c r="F260" s="140" t="s">
        <v>780</v>
      </c>
      <c r="G260" s="93">
        <v>690000</v>
      </c>
      <c r="H260" s="141">
        <v>45092</v>
      </c>
      <c r="I260" s="142" t="s">
        <v>35</v>
      </c>
      <c r="J260" s="143">
        <v>690000</v>
      </c>
      <c r="K260" s="143"/>
      <c r="L260" s="144">
        <f t="shared" si="4"/>
        <v>3</v>
      </c>
      <c r="M260" s="145" t="s">
        <v>772</v>
      </c>
      <c r="N260" s="145" t="s">
        <v>180</v>
      </c>
      <c r="O260" s="145" t="s">
        <v>90</v>
      </c>
      <c r="P260" s="145"/>
    </row>
    <row r="261" spans="1:16" ht="15" customHeight="1">
      <c r="A261" s="136" t="s">
        <v>779</v>
      </c>
      <c r="B261" s="74">
        <v>0</v>
      </c>
      <c r="C261" s="152" t="s">
        <v>528</v>
      </c>
      <c r="D261" s="138">
        <v>45089</v>
      </c>
      <c r="E261" s="149">
        <v>45089</v>
      </c>
      <c r="F261" s="140" t="s">
        <v>780</v>
      </c>
      <c r="G261" s="93">
        <v>1960001</v>
      </c>
      <c r="H261" s="141"/>
      <c r="I261" s="142"/>
      <c r="J261" s="143"/>
      <c r="K261" s="143"/>
      <c r="L261" s="144" t="str">
        <f t="shared" si="4"/>
        <v>x</v>
      </c>
      <c r="M261" s="145" t="s">
        <v>769</v>
      </c>
      <c r="N261" s="145" t="s">
        <v>100</v>
      </c>
      <c r="O261" s="145" t="s">
        <v>90</v>
      </c>
      <c r="P261" s="145"/>
    </row>
    <row r="262" spans="1:16" ht="15" customHeight="1">
      <c r="A262" s="136" t="s">
        <v>779</v>
      </c>
      <c r="B262" s="74">
        <v>0</v>
      </c>
      <c r="C262" s="137" t="s">
        <v>529</v>
      </c>
      <c r="D262" s="138">
        <v>45089</v>
      </c>
      <c r="E262" s="149">
        <v>45089</v>
      </c>
      <c r="F262" s="140" t="s">
        <v>780</v>
      </c>
      <c r="G262" s="93">
        <v>14716000</v>
      </c>
      <c r="H262" s="141"/>
      <c r="I262" s="142"/>
      <c r="J262" s="143"/>
      <c r="K262" s="143"/>
      <c r="L262" s="144" t="str">
        <f t="shared" si="4"/>
        <v>x</v>
      </c>
      <c r="M262" s="145" t="s">
        <v>769</v>
      </c>
      <c r="N262" s="145" t="s">
        <v>130</v>
      </c>
      <c r="O262" s="145" t="s">
        <v>90</v>
      </c>
      <c r="P262" s="145"/>
    </row>
    <row r="263" spans="1:16" ht="15" customHeight="1">
      <c r="A263" s="136" t="s">
        <v>779</v>
      </c>
      <c r="B263" s="74">
        <v>0</v>
      </c>
      <c r="C263" s="137" t="s">
        <v>530</v>
      </c>
      <c r="D263" s="138">
        <v>45089</v>
      </c>
      <c r="E263" s="149">
        <v>45089</v>
      </c>
      <c r="F263" s="140" t="s">
        <v>780</v>
      </c>
      <c r="G263" s="93">
        <v>14400000</v>
      </c>
      <c r="H263" s="141">
        <v>45093</v>
      </c>
      <c r="I263" s="142" t="s">
        <v>35</v>
      </c>
      <c r="J263" s="143">
        <v>14400000</v>
      </c>
      <c r="K263" s="143"/>
      <c r="L263" s="144">
        <f t="shared" si="4"/>
        <v>4</v>
      </c>
      <c r="M263" s="145" t="s">
        <v>771</v>
      </c>
      <c r="N263" s="145" t="s">
        <v>717</v>
      </c>
      <c r="O263" s="145" t="s">
        <v>90</v>
      </c>
      <c r="P263" s="145"/>
    </row>
    <row r="264" spans="1:16" ht="15" customHeight="1">
      <c r="A264" s="136" t="s">
        <v>779</v>
      </c>
      <c r="B264" s="74">
        <v>0</v>
      </c>
      <c r="C264" s="137" t="s">
        <v>531</v>
      </c>
      <c r="D264" s="138">
        <v>45089</v>
      </c>
      <c r="E264" s="149">
        <v>45092</v>
      </c>
      <c r="F264" s="140" t="s">
        <v>780</v>
      </c>
      <c r="G264" s="93">
        <v>3420000</v>
      </c>
      <c r="H264" s="141">
        <v>45092</v>
      </c>
      <c r="I264" s="142" t="s">
        <v>34</v>
      </c>
      <c r="J264" s="143">
        <v>3420000</v>
      </c>
      <c r="K264" s="143"/>
      <c r="L264" s="144">
        <f t="shared" si="4"/>
        <v>0</v>
      </c>
      <c r="M264" s="145" t="s">
        <v>776</v>
      </c>
      <c r="N264" s="145" t="s">
        <v>700</v>
      </c>
      <c r="O264" s="145" t="s">
        <v>90</v>
      </c>
      <c r="P264" s="145"/>
    </row>
    <row r="265" spans="1:16" ht="15" customHeight="1">
      <c r="A265" s="136" t="s">
        <v>779</v>
      </c>
      <c r="B265" s="74">
        <v>0</v>
      </c>
      <c r="C265" s="137" t="s">
        <v>532</v>
      </c>
      <c r="D265" s="138">
        <v>45089</v>
      </c>
      <c r="E265" s="149">
        <v>45099</v>
      </c>
      <c r="F265" s="140" t="s">
        <v>780</v>
      </c>
      <c r="G265" s="93">
        <v>27025000</v>
      </c>
      <c r="H265" s="141">
        <v>45098</v>
      </c>
      <c r="I265" s="142" t="s">
        <v>33</v>
      </c>
      <c r="J265" s="143">
        <v>27025000</v>
      </c>
      <c r="K265" s="143"/>
      <c r="L265" s="144">
        <f t="shared" si="4"/>
        <v>-1</v>
      </c>
      <c r="M265" s="145" t="s">
        <v>770</v>
      </c>
      <c r="N265" s="145" t="s">
        <v>207</v>
      </c>
      <c r="O265" s="145" t="s">
        <v>90</v>
      </c>
      <c r="P265" s="145"/>
    </row>
    <row r="266" spans="1:16" ht="15" customHeight="1">
      <c r="A266" s="136" t="s">
        <v>779</v>
      </c>
      <c r="B266" s="74">
        <v>0</v>
      </c>
      <c r="C266" s="137" t="s">
        <v>533</v>
      </c>
      <c r="D266" s="138">
        <v>45089</v>
      </c>
      <c r="E266" s="149">
        <v>45098</v>
      </c>
      <c r="F266" s="140" t="s">
        <v>780</v>
      </c>
      <c r="G266" s="93">
        <v>19600000</v>
      </c>
      <c r="H266" s="141">
        <v>45098</v>
      </c>
      <c r="I266" s="142" t="s">
        <v>34</v>
      </c>
      <c r="J266" s="143">
        <v>19600000</v>
      </c>
      <c r="K266" s="143"/>
      <c r="L266" s="144">
        <f t="shared" si="4"/>
        <v>0</v>
      </c>
      <c r="M266" s="145" t="s">
        <v>769</v>
      </c>
      <c r="N266" s="145" t="s">
        <v>128</v>
      </c>
      <c r="O266" s="145" t="s">
        <v>90</v>
      </c>
      <c r="P266" s="145"/>
    </row>
    <row r="267" spans="1:16" ht="15" customHeight="1">
      <c r="A267" s="136" t="s">
        <v>779</v>
      </c>
      <c r="B267" s="74">
        <v>0</v>
      </c>
      <c r="C267" s="152" t="s">
        <v>534</v>
      </c>
      <c r="D267" s="138">
        <v>45089</v>
      </c>
      <c r="E267" s="149">
        <v>45089</v>
      </c>
      <c r="F267" s="140" t="s">
        <v>780</v>
      </c>
      <c r="G267" s="93">
        <v>421500</v>
      </c>
      <c r="H267" s="141">
        <v>45107</v>
      </c>
      <c r="I267" s="142" t="s">
        <v>35</v>
      </c>
      <c r="J267" s="143">
        <v>421500</v>
      </c>
      <c r="K267" s="143"/>
      <c r="L267" s="144">
        <f t="shared" si="4"/>
        <v>18</v>
      </c>
      <c r="M267" s="145" t="s">
        <v>778</v>
      </c>
      <c r="N267" s="145" t="s">
        <v>428</v>
      </c>
      <c r="O267" s="145" t="s">
        <v>90</v>
      </c>
      <c r="P267" s="145"/>
    </row>
    <row r="268" spans="1:16" ht="15" customHeight="1">
      <c r="A268" s="136" t="s">
        <v>779</v>
      </c>
      <c r="B268" s="74">
        <v>0</v>
      </c>
      <c r="C268" s="152" t="s">
        <v>535</v>
      </c>
      <c r="D268" s="138">
        <v>45089</v>
      </c>
      <c r="E268" s="149">
        <v>45096</v>
      </c>
      <c r="F268" s="140" t="s">
        <v>780</v>
      </c>
      <c r="G268" s="93">
        <v>720001</v>
      </c>
      <c r="H268" s="141">
        <v>45100</v>
      </c>
      <c r="I268" s="142" t="s">
        <v>35</v>
      </c>
      <c r="J268" s="143">
        <v>114799</v>
      </c>
      <c r="K268" s="143"/>
      <c r="L268" s="144">
        <f t="shared" si="4"/>
        <v>4</v>
      </c>
      <c r="M268" s="145" t="s">
        <v>770</v>
      </c>
      <c r="N268" s="145" t="s">
        <v>94</v>
      </c>
      <c r="O268" s="145" t="s">
        <v>90</v>
      </c>
      <c r="P268" s="145"/>
    </row>
    <row r="269" spans="1:16" ht="15" customHeight="1">
      <c r="A269" s="136" t="s">
        <v>779</v>
      </c>
      <c r="B269" s="74">
        <v>0</v>
      </c>
      <c r="C269" s="137" t="s">
        <v>536</v>
      </c>
      <c r="D269" s="138">
        <v>45089</v>
      </c>
      <c r="E269" s="149">
        <v>45099</v>
      </c>
      <c r="F269" s="140" t="s">
        <v>780</v>
      </c>
      <c r="G269" s="93">
        <v>28524997</v>
      </c>
      <c r="H269" s="141">
        <v>45100</v>
      </c>
      <c r="I269" s="142" t="s">
        <v>33</v>
      </c>
      <c r="J269" s="143">
        <v>28524997</v>
      </c>
      <c r="K269" s="143"/>
      <c r="L269" s="144">
        <f t="shared" si="4"/>
        <v>1</v>
      </c>
      <c r="M269" s="145" t="s">
        <v>770</v>
      </c>
      <c r="N269" s="145" t="s">
        <v>718</v>
      </c>
      <c r="O269" s="145" t="s">
        <v>90</v>
      </c>
      <c r="P269" s="145"/>
    </row>
    <row r="270" spans="1:16" ht="15" customHeight="1">
      <c r="A270" s="136" t="s">
        <v>779</v>
      </c>
      <c r="B270" s="74">
        <v>0</v>
      </c>
      <c r="C270" s="137" t="s">
        <v>537</v>
      </c>
      <c r="D270" s="138">
        <v>45090</v>
      </c>
      <c r="E270" s="149">
        <v>45120</v>
      </c>
      <c r="F270" s="140" t="s">
        <v>780</v>
      </c>
      <c r="G270" s="93">
        <v>37519999</v>
      </c>
      <c r="H270" s="141">
        <v>45090</v>
      </c>
      <c r="I270" s="142" t="s">
        <v>34</v>
      </c>
      <c r="J270" s="143">
        <v>37519999</v>
      </c>
      <c r="K270" s="143"/>
      <c r="L270" s="144">
        <f t="shared" si="4"/>
        <v>-30</v>
      </c>
      <c r="M270" s="145" t="s">
        <v>772</v>
      </c>
      <c r="N270" s="145" t="s">
        <v>204</v>
      </c>
      <c r="O270" s="145" t="s">
        <v>90</v>
      </c>
      <c r="P270" s="145"/>
    </row>
    <row r="271" spans="1:16" ht="15" customHeight="1">
      <c r="A271" s="136" t="s">
        <v>779</v>
      </c>
      <c r="B271" s="74">
        <v>0</v>
      </c>
      <c r="C271" s="137" t="s">
        <v>538</v>
      </c>
      <c r="D271" s="138">
        <v>45090</v>
      </c>
      <c r="E271" s="149">
        <v>45120</v>
      </c>
      <c r="F271" s="140" t="s">
        <v>780</v>
      </c>
      <c r="G271" s="93">
        <v>11079999</v>
      </c>
      <c r="H271" s="141">
        <v>45103</v>
      </c>
      <c r="I271" s="142" t="s">
        <v>35</v>
      </c>
      <c r="J271" s="143">
        <v>11079999</v>
      </c>
      <c r="K271" s="143"/>
      <c r="L271" s="144">
        <f t="shared" si="4"/>
        <v>-17</v>
      </c>
      <c r="M271" s="145" t="s">
        <v>775</v>
      </c>
      <c r="N271" s="145" t="s">
        <v>101</v>
      </c>
      <c r="O271" s="145" t="s">
        <v>90</v>
      </c>
      <c r="P271" s="145"/>
    </row>
    <row r="272" spans="1:16" ht="15" customHeight="1">
      <c r="A272" s="136" t="s">
        <v>779</v>
      </c>
      <c r="B272" s="74">
        <v>0</v>
      </c>
      <c r="C272" s="137" t="s">
        <v>539</v>
      </c>
      <c r="D272" s="138">
        <v>45090</v>
      </c>
      <c r="E272" s="149">
        <v>45097</v>
      </c>
      <c r="F272" s="140" t="s">
        <v>780</v>
      </c>
      <c r="G272" s="93">
        <v>1140000</v>
      </c>
      <c r="H272" s="141"/>
      <c r="I272" s="142"/>
      <c r="J272" s="143"/>
      <c r="K272" s="143"/>
      <c r="L272" s="144" t="str">
        <f t="shared" si="4"/>
        <v>x</v>
      </c>
      <c r="M272" s="145" t="s">
        <v>770</v>
      </c>
      <c r="N272" s="145" t="s">
        <v>208</v>
      </c>
      <c r="O272" s="145" t="s">
        <v>90</v>
      </c>
      <c r="P272" s="145"/>
    </row>
    <row r="273" spans="1:16" ht="15" customHeight="1">
      <c r="A273" s="136" t="s">
        <v>779</v>
      </c>
      <c r="B273" s="74">
        <v>0</v>
      </c>
      <c r="C273" s="137" t="s">
        <v>540</v>
      </c>
      <c r="D273" s="138">
        <v>45090</v>
      </c>
      <c r="E273" s="149">
        <v>45105</v>
      </c>
      <c r="F273" s="140" t="s">
        <v>780</v>
      </c>
      <c r="G273" s="93">
        <v>2082001</v>
      </c>
      <c r="H273" s="141">
        <v>45098</v>
      </c>
      <c r="I273" s="142">
        <v>531</v>
      </c>
      <c r="J273" s="143">
        <v>2081999</v>
      </c>
      <c r="K273" s="143"/>
      <c r="L273" s="144">
        <f t="shared" si="4"/>
        <v>-7</v>
      </c>
      <c r="M273" s="145" t="s">
        <v>770</v>
      </c>
      <c r="N273" s="145" t="s">
        <v>78</v>
      </c>
      <c r="O273" s="145" t="s">
        <v>90</v>
      </c>
      <c r="P273" s="145"/>
    </row>
    <row r="274" spans="1:16" ht="15" customHeight="1">
      <c r="A274" s="136" t="s">
        <v>779</v>
      </c>
      <c r="B274" s="74">
        <v>0</v>
      </c>
      <c r="C274" s="137" t="s">
        <v>540</v>
      </c>
      <c r="D274" s="138">
        <v>45090</v>
      </c>
      <c r="E274" s="149">
        <v>45105</v>
      </c>
      <c r="F274" s="140" t="s">
        <v>780</v>
      </c>
      <c r="G274" s="93">
        <v>0</v>
      </c>
      <c r="H274" s="141">
        <v>45098</v>
      </c>
      <c r="I274" s="142">
        <v>641</v>
      </c>
      <c r="J274" s="143">
        <v>2</v>
      </c>
      <c r="K274" s="143"/>
      <c r="L274" s="144">
        <f t="shared" si="4"/>
        <v>-7</v>
      </c>
      <c r="M274" s="145" t="s">
        <v>770</v>
      </c>
      <c r="N274" s="145" t="s">
        <v>78</v>
      </c>
      <c r="O274" s="145" t="s">
        <v>90</v>
      </c>
      <c r="P274" s="145"/>
    </row>
    <row r="275" spans="1:16" ht="15" customHeight="1">
      <c r="A275" s="136" t="s">
        <v>779</v>
      </c>
      <c r="B275" s="74">
        <v>0</v>
      </c>
      <c r="C275" s="137" t="s">
        <v>541</v>
      </c>
      <c r="D275" s="138">
        <v>45090</v>
      </c>
      <c r="E275" s="149">
        <v>45098</v>
      </c>
      <c r="F275" s="140" t="s">
        <v>780</v>
      </c>
      <c r="G275" s="93">
        <v>4175999</v>
      </c>
      <c r="H275" s="141">
        <v>45098</v>
      </c>
      <c r="I275" s="142" t="s">
        <v>34</v>
      </c>
      <c r="J275" s="143">
        <v>4175999</v>
      </c>
      <c r="K275" s="143"/>
      <c r="L275" s="144">
        <f t="shared" si="4"/>
        <v>0</v>
      </c>
      <c r="M275" s="145" t="s">
        <v>769</v>
      </c>
      <c r="N275" s="145" t="s">
        <v>719</v>
      </c>
      <c r="O275" s="145" t="s">
        <v>90</v>
      </c>
      <c r="P275" s="145"/>
    </row>
    <row r="276" spans="1:16" ht="15" customHeight="1">
      <c r="A276" s="136" t="s">
        <v>779</v>
      </c>
      <c r="B276" s="74">
        <v>0</v>
      </c>
      <c r="C276" s="137" t="s">
        <v>542</v>
      </c>
      <c r="D276" s="138">
        <v>45090</v>
      </c>
      <c r="E276" s="149">
        <v>45098</v>
      </c>
      <c r="F276" s="140" t="s">
        <v>780</v>
      </c>
      <c r="G276" s="93">
        <v>16015999</v>
      </c>
      <c r="H276" s="141">
        <v>45098</v>
      </c>
      <c r="I276" s="142" t="s">
        <v>34</v>
      </c>
      <c r="J276" s="143">
        <v>16015999</v>
      </c>
      <c r="K276" s="143"/>
      <c r="L276" s="144">
        <f t="shared" si="4"/>
        <v>0</v>
      </c>
      <c r="M276" s="145" t="s">
        <v>769</v>
      </c>
      <c r="N276" s="145" t="s">
        <v>210</v>
      </c>
      <c r="O276" s="145" t="s">
        <v>90</v>
      </c>
      <c r="P276" s="145"/>
    </row>
    <row r="277" spans="1:16" ht="15" customHeight="1">
      <c r="A277" s="136" t="s">
        <v>779</v>
      </c>
      <c r="B277" s="74">
        <v>0</v>
      </c>
      <c r="C277" s="137" t="s">
        <v>543</v>
      </c>
      <c r="D277" s="138">
        <v>45090</v>
      </c>
      <c r="E277" s="149">
        <v>45100</v>
      </c>
      <c r="F277" s="140" t="s">
        <v>780</v>
      </c>
      <c r="G277" s="93">
        <v>66449999</v>
      </c>
      <c r="H277" s="141"/>
      <c r="I277" s="142"/>
      <c r="J277" s="143"/>
      <c r="K277" s="143"/>
      <c r="L277" s="144" t="str">
        <f t="shared" si="4"/>
        <v>x</v>
      </c>
      <c r="M277" s="145" t="s">
        <v>770</v>
      </c>
      <c r="N277" s="145" t="s">
        <v>211</v>
      </c>
      <c r="O277" s="145" t="s">
        <v>90</v>
      </c>
      <c r="P277" s="158"/>
    </row>
    <row r="278" spans="1:16" ht="15" customHeight="1">
      <c r="A278" s="136" t="s">
        <v>779</v>
      </c>
      <c r="B278" s="74">
        <v>0</v>
      </c>
      <c r="C278" s="137" t="s">
        <v>544</v>
      </c>
      <c r="D278" s="138">
        <v>45090</v>
      </c>
      <c r="E278" s="149">
        <v>45090</v>
      </c>
      <c r="F278" s="140" t="s">
        <v>780</v>
      </c>
      <c r="G278" s="93">
        <v>0</v>
      </c>
      <c r="H278" s="141"/>
      <c r="I278" s="142"/>
      <c r="J278" s="143"/>
      <c r="K278" s="143"/>
      <c r="L278" s="144" t="str">
        <f t="shared" si="4"/>
        <v>x</v>
      </c>
      <c r="M278" s="145" t="s">
        <v>772</v>
      </c>
      <c r="N278" s="145" t="s">
        <v>104</v>
      </c>
      <c r="O278" s="145" t="s">
        <v>153</v>
      </c>
      <c r="P278" s="158"/>
    </row>
    <row r="279" spans="1:16" ht="15" customHeight="1">
      <c r="A279" s="136" t="s">
        <v>779</v>
      </c>
      <c r="B279" s="74">
        <v>0</v>
      </c>
      <c r="C279" s="137" t="s">
        <v>545</v>
      </c>
      <c r="D279" s="138">
        <v>45091</v>
      </c>
      <c r="E279" s="149">
        <v>45098</v>
      </c>
      <c r="F279" s="140" t="s">
        <v>780</v>
      </c>
      <c r="G279" s="93">
        <v>19000003</v>
      </c>
      <c r="H279" s="141"/>
      <c r="I279" s="142"/>
      <c r="J279" s="143"/>
      <c r="K279" s="143"/>
      <c r="L279" s="144" t="str">
        <f t="shared" si="4"/>
        <v>x</v>
      </c>
      <c r="M279" s="145" t="s">
        <v>770</v>
      </c>
      <c r="N279" s="145" t="s">
        <v>139</v>
      </c>
      <c r="O279" s="145" t="s">
        <v>90</v>
      </c>
      <c r="P279" s="158"/>
    </row>
    <row r="280" spans="1:16" ht="15" customHeight="1">
      <c r="A280" s="136" t="s">
        <v>779</v>
      </c>
      <c r="B280" s="74">
        <v>0</v>
      </c>
      <c r="C280" s="137" t="s">
        <v>546</v>
      </c>
      <c r="D280" s="138">
        <v>45091</v>
      </c>
      <c r="E280" s="149">
        <v>45091</v>
      </c>
      <c r="F280" s="140" t="s">
        <v>780</v>
      </c>
      <c r="G280" s="93">
        <v>2880000</v>
      </c>
      <c r="H280" s="141">
        <v>45092</v>
      </c>
      <c r="I280" s="142" t="s">
        <v>35</v>
      </c>
      <c r="J280" s="143">
        <v>2880000</v>
      </c>
      <c r="K280" s="143"/>
      <c r="L280" s="144">
        <f t="shared" si="4"/>
        <v>1</v>
      </c>
      <c r="M280" s="145" t="s">
        <v>772</v>
      </c>
      <c r="N280" s="145" t="s">
        <v>123</v>
      </c>
      <c r="O280" s="145" t="s">
        <v>90</v>
      </c>
      <c r="P280" s="158"/>
    </row>
    <row r="281" spans="1:16" ht="15" customHeight="1">
      <c r="A281" s="136" t="s">
        <v>779</v>
      </c>
      <c r="B281" s="74">
        <v>0</v>
      </c>
      <c r="C281" s="137" t="s">
        <v>547</v>
      </c>
      <c r="D281" s="138">
        <v>45091</v>
      </c>
      <c r="E281" s="149">
        <v>45107</v>
      </c>
      <c r="F281" s="140" t="s">
        <v>780</v>
      </c>
      <c r="G281" s="93">
        <v>2230003</v>
      </c>
      <c r="H281" s="141"/>
      <c r="I281" s="142"/>
      <c r="J281" s="143"/>
      <c r="K281" s="143"/>
      <c r="L281" s="144" t="str">
        <f t="shared" si="4"/>
        <v>x</v>
      </c>
      <c r="M281" s="145" t="s">
        <v>777</v>
      </c>
      <c r="N281" s="145" t="s">
        <v>246</v>
      </c>
      <c r="O281" s="145" t="s">
        <v>90</v>
      </c>
      <c r="P281" s="158"/>
    </row>
    <row r="282" spans="1:16" ht="15" customHeight="1">
      <c r="A282" s="136" t="s">
        <v>779</v>
      </c>
      <c r="B282" s="74">
        <v>0</v>
      </c>
      <c r="C282" s="137" t="s">
        <v>548</v>
      </c>
      <c r="D282" s="138">
        <v>45091</v>
      </c>
      <c r="E282" s="149">
        <v>45101</v>
      </c>
      <c r="F282" s="140" t="s">
        <v>780</v>
      </c>
      <c r="G282" s="93">
        <v>28099998</v>
      </c>
      <c r="H282" s="141">
        <v>45100</v>
      </c>
      <c r="I282" s="142" t="s">
        <v>33</v>
      </c>
      <c r="J282" s="143">
        <v>28099998</v>
      </c>
      <c r="K282" s="143"/>
      <c r="L282" s="144">
        <f t="shared" si="4"/>
        <v>-1</v>
      </c>
      <c r="M282" s="145" t="s">
        <v>770</v>
      </c>
      <c r="N282" s="145" t="s">
        <v>102</v>
      </c>
      <c r="O282" s="145" t="s">
        <v>90</v>
      </c>
      <c r="P282" s="158"/>
    </row>
    <row r="283" spans="1:16" ht="15" customHeight="1">
      <c r="A283" s="136" t="s">
        <v>779</v>
      </c>
      <c r="B283" s="74">
        <v>0</v>
      </c>
      <c r="C283" s="137" t="s">
        <v>549</v>
      </c>
      <c r="D283" s="138">
        <v>45091</v>
      </c>
      <c r="E283" s="149">
        <v>45098</v>
      </c>
      <c r="F283" s="140" t="s">
        <v>780</v>
      </c>
      <c r="G283" s="93">
        <v>49000001</v>
      </c>
      <c r="H283" s="141">
        <v>45086</v>
      </c>
      <c r="I283" s="142" t="s">
        <v>33</v>
      </c>
      <c r="J283" s="143">
        <v>25363015</v>
      </c>
      <c r="K283" s="143"/>
      <c r="L283" s="144">
        <f t="shared" si="4"/>
        <v>-12</v>
      </c>
      <c r="M283" s="145" t="s">
        <v>769</v>
      </c>
      <c r="N283" s="145" t="s">
        <v>205</v>
      </c>
      <c r="O283" s="145" t="s">
        <v>90</v>
      </c>
      <c r="P283" s="158"/>
    </row>
    <row r="284" spans="1:16" ht="15" customHeight="1">
      <c r="A284" s="136" t="s">
        <v>779</v>
      </c>
      <c r="B284" s="74">
        <v>0</v>
      </c>
      <c r="C284" s="137" t="s">
        <v>549</v>
      </c>
      <c r="D284" s="138">
        <v>45091</v>
      </c>
      <c r="E284" s="149">
        <v>45098</v>
      </c>
      <c r="F284" s="140" t="s">
        <v>780</v>
      </c>
      <c r="G284" s="93">
        <v>0</v>
      </c>
      <c r="H284" s="141">
        <v>45096</v>
      </c>
      <c r="I284" s="142" t="s">
        <v>33</v>
      </c>
      <c r="J284" s="143">
        <v>23636986</v>
      </c>
      <c r="K284" s="143"/>
      <c r="L284" s="144">
        <f t="shared" si="4"/>
        <v>-2</v>
      </c>
      <c r="M284" s="145" t="s">
        <v>769</v>
      </c>
      <c r="N284" s="145" t="s">
        <v>205</v>
      </c>
      <c r="O284" s="145" t="s">
        <v>90</v>
      </c>
      <c r="P284" s="158"/>
    </row>
    <row r="285" spans="1:16" ht="15" customHeight="1">
      <c r="A285" s="136" t="s">
        <v>779</v>
      </c>
      <c r="B285" s="74">
        <v>0</v>
      </c>
      <c r="C285" s="137" t="s">
        <v>550</v>
      </c>
      <c r="D285" s="138">
        <v>45091</v>
      </c>
      <c r="E285" s="149">
        <v>45091</v>
      </c>
      <c r="F285" s="140" t="s">
        <v>780</v>
      </c>
      <c r="G285" s="93">
        <v>907500</v>
      </c>
      <c r="H285" s="141">
        <v>45096</v>
      </c>
      <c r="I285" s="142" t="s">
        <v>35</v>
      </c>
      <c r="J285" s="143">
        <v>907500</v>
      </c>
      <c r="K285" s="143"/>
      <c r="L285" s="144">
        <f t="shared" si="4"/>
        <v>5</v>
      </c>
      <c r="M285" s="145" t="s">
        <v>769</v>
      </c>
      <c r="N285" s="145" t="s">
        <v>214</v>
      </c>
      <c r="O285" s="145" t="s">
        <v>90</v>
      </c>
      <c r="P285" s="158"/>
    </row>
    <row r="286" spans="1:16" ht="15" customHeight="1">
      <c r="A286" s="136" t="s">
        <v>779</v>
      </c>
      <c r="B286" s="74">
        <v>0</v>
      </c>
      <c r="C286" s="152" t="s">
        <v>551</v>
      </c>
      <c r="D286" s="138">
        <v>45091</v>
      </c>
      <c r="E286" s="149">
        <v>45098</v>
      </c>
      <c r="F286" s="140" t="s">
        <v>780</v>
      </c>
      <c r="G286" s="93">
        <v>19600000</v>
      </c>
      <c r="H286" s="141">
        <v>45098</v>
      </c>
      <c r="I286" s="142" t="s">
        <v>34</v>
      </c>
      <c r="J286" s="143">
        <v>19600000</v>
      </c>
      <c r="K286" s="143"/>
      <c r="L286" s="144">
        <f t="shared" si="4"/>
        <v>0</v>
      </c>
      <c r="M286" s="145" t="s">
        <v>769</v>
      </c>
      <c r="N286" s="145" t="s">
        <v>216</v>
      </c>
      <c r="O286" s="145" t="s">
        <v>90</v>
      </c>
      <c r="P286" s="145"/>
    </row>
    <row r="287" spans="1:16" ht="15" customHeight="1">
      <c r="A287" s="136" t="s">
        <v>779</v>
      </c>
      <c r="B287" s="74">
        <v>0</v>
      </c>
      <c r="C287" s="137" t="s">
        <v>552</v>
      </c>
      <c r="D287" s="138">
        <v>45091</v>
      </c>
      <c r="E287" s="149">
        <v>45112</v>
      </c>
      <c r="F287" s="140" t="s">
        <v>780</v>
      </c>
      <c r="G287" s="93">
        <v>5749999</v>
      </c>
      <c r="H287" s="141">
        <v>45094</v>
      </c>
      <c r="I287" s="142" t="s">
        <v>35</v>
      </c>
      <c r="J287" s="143">
        <v>5750002</v>
      </c>
      <c r="K287" s="143"/>
      <c r="L287" s="144">
        <f t="shared" si="4"/>
        <v>-18</v>
      </c>
      <c r="M287" s="145" t="s">
        <v>769</v>
      </c>
      <c r="N287" s="145" t="s">
        <v>218</v>
      </c>
      <c r="O287" s="145" t="s">
        <v>90</v>
      </c>
      <c r="P287" s="158"/>
    </row>
    <row r="288" spans="1:16" ht="15" customHeight="1">
      <c r="A288" s="136" t="s">
        <v>779</v>
      </c>
      <c r="B288" s="74">
        <v>0</v>
      </c>
      <c r="C288" s="137" t="s">
        <v>552</v>
      </c>
      <c r="D288" s="138">
        <v>45091</v>
      </c>
      <c r="E288" s="149">
        <v>45112</v>
      </c>
      <c r="F288" s="140" t="s">
        <v>780</v>
      </c>
      <c r="G288" s="93">
        <v>3</v>
      </c>
      <c r="H288" s="141">
        <v>45094</v>
      </c>
      <c r="I288" s="142"/>
      <c r="J288" s="143"/>
      <c r="K288" s="143"/>
      <c r="L288" s="144" t="str">
        <f t="shared" si="4"/>
        <v>x</v>
      </c>
      <c r="M288" s="145" t="s">
        <v>769</v>
      </c>
      <c r="N288" s="145" t="s">
        <v>218</v>
      </c>
      <c r="O288" s="145" t="s">
        <v>90</v>
      </c>
      <c r="P288" s="158"/>
    </row>
    <row r="289" spans="1:16" ht="15" customHeight="1">
      <c r="A289" s="136" t="s">
        <v>779</v>
      </c>
      <c r="B289" s="74">
        <v>0</v>
      </c>
      <c r="C289" s="137" t="s">
        <v>553</v>
      </c>
      <c r="D289" s="138">
        <v>45091</v>
      </c>
      <c r="E289" s="149">
        <v>45107</v>
      </c>
      <c r="F289" s="140" t="s">
        <v>780</v>
      </c>
      <c r="G289" s="93">
        <v>7740000</v>
      </c>
      <c r="H289" s="141"/>
      <c r="I289" s="142"/>
      <c r="J289" s="143"/>
      <c r="K289" s="143"/>
      <c r="L289" s="144" t="str">
        <f t="shared" si="4"/>
        <v>x</v>
      </c>
      <c r="M289" s="145" t="s">
        <v>776</v>
      </c>
      <c r="N289" s="145" t="s">
        <v>701</v>
      </c>
      <c r="O289" s="145" t="s">
        <v>90</v>
      </c>
      <c r="P289" s="158"/>
    </row>
    <row r="290" spans="1:16" ht="15" customHeight="1">
      <c r="A290" s="136" t="s">
        <v>779</v>
      </c>
      <c r="B290" s="74">
        <v>0</v>
      </c>
      <c r="C290" s="137" t="s">
        <v>554</v>
      </c>
      <c r="D290" s="138">
        <v>45091</v>
      </c>
      <c r="E290" s="149">
        <v>45091</v>
      </c>
      <c r="F290" s="140" t="s">
        <v>780</v>
      </c>
      <c r="G290" s="93">
        <v>8000001</v>
      </c>
      <c r="H290" s="141"/>
      <c r="I290" s="142"/>
      <c r="J290" s="143"/>
      <c r="K290" s="143"/>
      <c r="L290" s="144" t="str">
        <f t="shared" si="4"/>
        <v>x</v>
      </c>
      <c r="M290" s="145" t="s">
        <v>769</v>
      </c>
      <c r="N290" s="145" t="s">
        <v>215</v>
      </c>
      <c r="O290" s="145" t="s">
        <v>90</v>
      </c>
      <c r="P290" s="158"/>
    </row>
    <row r="291" spans="1:16" ht="15" customHeight="1">
      <c r="A291" s="136" t="s">
        <v>779</v>
      </c>
      <c r="B291" s="74">
        <v>0</v>
      </c>
      <c r="C291" s="137" t="s">
        <v>555</v>
      </c>
      <c r="D291" s="138">
        <v>45091</v>
      </c>
      <c r="E291" s="149">
        <v>45098</v>
      </c>
      <c r="F291" s="140" t="s">
        <v>780</v>
      </c>
      <c r="G291" s="93">
        <v>12799996</v>
      </c>
      <c r="H291" s="141">
        <v>45086</v>
      </c>
      <c r="I291" s="142">
        <v>111</v>
      </c>
      <c r="J291" s="143">
        <v>3396468</v>
      </c>
      <c r="K291" s="143"/>
      <c r="L291" s="144">
        <f t="shared" si="4"/>
        <v>-12</v>
      </c>
      <c r="M291" s="145" t="s">
        <v>770</v>
      </c>
      <c r="N291" s="145" t="s">
        <v>221</v>
      </c>
      <c r="O291" s="145" t="s">
        <v>90</v>
      </c>
      <c r="P291" s="158"/>
    </row>
    <row r="292" spans="1:16" ht="15" customHeight="1">
      <c r="A292" s="136" t="s">
        <v>779</v>
      </c>
      <c r="B292" s="74">
        <v>0</v>
      </c>
      <c r="C292" s="137" t="s">
        <v>556</v>
      </c>
      <c r="D292" s="138">
        <v>45091</v>
      </c>
      <c r="E292" s="149">
        <v>45098</v>
      </c>
      <c r="F292" s="140" t="s">
        <v>780</v>
      </c>
      <c r="G292" s="93">
        <v>13000000</v>
      </c>
      <c r="H292" s="141"/>
      <c r="I292" s="142"/>
      <c r="J292" s="143"/>
      <c r="K292" s="143"/>
      <c r="L292" s="144" t="str">
        <f t="shared" si="4"/>
        <v>x</v>
      </c>
      <c r="M292" s="145" t="s">
        <v>770</v>
      </c>
      <c r="N292" s="145" t="s">
        <v>220</v>
      </c>
      <c r="O292" s="145" t="s">
        <v>90</v>
      </c>
      <c r="P292" s="158"/>
    </row>
    <row r="293" spans="1:16" ht="15" customHeight="1">
      <c r="A293" s="136" t="s">
        <v>779</v>
      </c>
      <c r="B293" s="74">
        <v>0</v>
      </c>
      <c r="C293" s="137" t="s">
        <v>557</v>
      </c>
      <c r="D293" s="138">
        <v>45091</v>
      </c>
      <c r="E293" s="149">
        <v>45101</v>
      </c>
      <c r="F293" s="140" t="s">
        <v>780</v>
      </c>
      <c r="G293" s="93">
        <v>32599996</v>
      </c>
      <c r="H293" s="141">
        <v>45100</v>
      </c>
      <c r="I293" s="142" t="s">
        <v>33</v>
      </c>
      <c r="J293" s="143">
        <v>32599996</v>
      </c>
      <c r="K293" s="143"/>
      <c r="L293" s="144">
        <f t="shared" si="4"/>
        <v>-1</v>
      </c>
      <c r="M293" s="145" t="s">
        <v>770</v>
      </c>
      <c r="N293" s="145" t="s">
        <v>217</v>
      </c>
      <c r="O293" s="145" t="s">
        <v>90</v>
      </c>
      <c r="P293" s="158"/>
    </row>
    <row r="294" spans="1:16" ht="15" customHeight="1">
      <c r="A294" s="136" t="s">
        <v>779</v>
      </c>
      <c r="B294" s="74">
        <v>0</v>
      </c>
      <c r="C294" s="137" t="s">
        <v>558</v>
      </c>
      <c r="D294" s="138">
        <v>45091</v>
      </c>
      <c r="E294" s="149">
        <v>45101</v>
      </c>
      <c r="F294" s="140" t="s">
        <v>780</v>
      </c>
      <c r="G294" s="93">
        <v>22000000</v>
      </c>
      <c r="H294" s="141">
        <v>45100</v>
      </c>
      <c r="I294" s="142" t="s">
        <v>33</v>
      </c>
      <c r="J294" s="143">
        <v>22000000</v>
      </c>
      <c r="K294" s="143"/>
      <c r="L294" s="144">
        <f t="shared" si="4"/>
        <v>-1</v>
      </c>
      <c r="M294" s="145" t="s">
        <v>770</v>
      </c>
      <c r="N294" s="145" t="s">
        <v>129</v>
      </c>
      <c r="O294" s="145" t="s">
        <v>90</v>
      </c>
      <c r="P294" s="145"/>
    </row>
    <row r="295" spans="1:16" ht="15" customHeight="1">
      <c r="A295" s="136" t="s">
        <v>779</v>
      </c>
      <c r="B295" s="74">
        <v>0</v>
      </c>
      <c r="C295" s="137" t="s">
        <v>559</v>
      </c>
      <c r="D295" s="138">
        <v>45091</v>
      </c>
      <c r="E295" s="149">
        <v>45101</v>
      </c>
      <c r="F295" s="140" t="s">
        <v>780</v>
      </c>
      <c r="G295" s="93">
        <v>24525002</v>
      </c>
      <c r="H295" s="141">
        <v>45100</v>
      </c>
      <c r="I295" s="142" t="s">
        <v>33</v>
      </c>
      <c r="J295" s="143">
        <v>24525002</v>
      </c>
      <c r="K295" s="143"/>
      <c r="L295" s="144">
        <f t="shared" si="4"/>
        <v>-1</v>
      </c>
      <c r="M295" s="145" t="s">
        <v>770</v>
      </c>
      <c r="N295" s="145" t="s">
        <v>225</v>
      </c>
      <c r="O295" s="145" t="s">
        <v>90</v>
      </c>
      <c r="P295" s="145"/>
    </row>
    <row r="296" spans="1:16" ht="15" customHeight="1">
      <c r="A296" s="136" t="s">
        <v>779</v>
      </c>
      <c r="B296" s="74">
        <v>0</v>
      </c>
      <c r="C296" s="152" t="s">
        <v>560</v>
      </c>
      <c r="D296" s="138">
        <v>45092</v>
      </c>
      <c r="E296" s="149">
        <v>45092</v>
      </c>
      <c r="F296" s="140" t="s">
        <v>780</v>
      </c>
      <c r="G296" s="93">
        <v>4622499</v>
      </c>
      <c r="H296" s="141">
        <v>45092</v>
      </c>
      <c r="I296" s="142" t="s">
        <v>35</v>
      </c>
      <c r="J296" s="143">
        <v>4622499</v>
      </c>
      <c r="K296" s="143"/>
      <c r="L296" s="144">
        <f t="shared" si="4"/>
        <v>0</v>
      </c>
      <c r="M296" s="145" t="s">
        <v>771</v>
      </c>
      <c r="N296" s="145" t="s">
        <v>228</v>
      </c>
      <c r="O296" s="145" t="s">
        <v>90</v>
      </c>
      <c r="P296" s="145"/>
    </row>
    <row r="297" spans="1:16" ht="15" customHeight="1">
      <c r="A297" s="136" t="s">
        <v>779</v>
      </c>
      <c r="B297" s="74">
        <v>0</v>
      </c>
      <c r="C297" s="152" t="s">
        <v>561</v>
      </c>
      <c r="D297" s="138">
        <v>45092</v>
      </c>
      <c r="E297" s="149">
        <v>45099</v>
      </c>
      <c r="F297" s="140" t="s">
        <v>780</v>
      </c>
      <c r="G297" s="93">
        <v>13100000</v>
      </c>
      <c r="H297" s="141"/>
      <c r="I297" s="142"/>
      <c r="J297" s="143"/>
      <c r="K297" s="143"/>
      <c r="L297" s="144" t="str">
        <f t="shared" si="4"/>
        <v>x</v>
      </c>
      <c r="M297" s="145" t="s">
        <v>770</v>
      </c>
      <c r="N297" s="145" t="s">
        <v>223</v>
      </c>
      <c r="O297" s="145" t="s">
        <v>90</v>
      </c>
      <c r="P297" s="145"/>
    </row>
    <row r="298" spans="1:16" ht="15" customHeight="1">
      <c r="A298" s="136" t="s">
        <v>779</v>
      </c>
      <c r="B298" s="74">
        <v>0</v>
      </c>
      <c r="C298" s="152" t="s">
        <v>562</v>
      </c>
      <c r="D298" s="138">
        <v>45092</v>
      </c>
      <c r="E298" s="149">
        <v>45092</v>
      </c>
      <c r="F298" s="140" t="s">
        <v>780</v>
      </c>
      <c r="G298" s="93">
        <v>6387002</v>
      </c>
      <c r="H298" s="141"/>
      <c r="I298" s="142"/>
      <c r="J298" s="143"/>
      <c r="K298" s="143"/>
      <c r="L298" s="144" t="str">
        <f t="shared" si="4"/>
        <v>x</v>
      </c>
      <c r="M298" s="145" t="s">
        <v>769</v>
      </c>
      <c r="N298" s="145" t="s">
        <v>226</v>
      </c>
      <c r="O298" s="145" t="s">
        <v>90</v>
      </c>
      <c r="P298" s="145"/>
    </row>
    <row r="299" spans="1:16" ht="15" customHeight="1">
      <c r="A299" s="136" t="s">
        <v>779</v>
      </c>
      <c r="B299" s="74">
        <v>0</v>
      </c>
      <c r="C299" s="152" t="s">
        <v>563</v>
      </c>
      <c r="D299" s="138">
        <v>45092</v>
      </c>
      <c r="E299" s="149">
        <v>45092</v>
      </c>
      <c r="F299" s="140" t="s">
        <v>780</v>
      </c>
      <c r="G299" s="93">
        <v>1920001</v>
      </c>
      <c r="H299" s="141">
        <v>45096</v>
      </c>
      <c r="I299" s="142">
        <v>111</v>
      </c>
      <c r="J299" s="143">
        <v>1920001</v>
      </c>
      <c r="K299" s="143"/>
      <c r="L299" s="144">
        <f t="shared" si="4"/>
        <v>4</v>
      </c>
      <c r="M299" s="145" t="s">
        <v>771</v>
      </c>
      <c r="N299" s="145" t="s">
        <v>227</v>
      </c>
      <c r="O299" s="145" t="s">
        <v>90</v>
      </c>
      <c r="P299" s="145"/>
    </row>
    <row r="300" spans="1:16" ht="15" customHeight="1">
      <c r="A300" s="136" t="s">
        <v>779</v>
      </c>
      <c r="B300" s="74">
        <v>0</v>
      </c>
      <c r="C300" s="152" t="s">
        <v>564</v>
      </c>
      <c r="D300" s="138">
        <v>45092</v>
      </c>
      <c r="E300" s="149">
        <v>45099</v>
      </c>
      <c r="F300" s="140" t="s">
        <v>780</v>
      </c>
      <c r="G300" s="93">
        <v>15420000</v>
      </c>
      <c r="H300" s="141">
        <v>45093</v>
      </c>
      <c r="I300" s="142" t="s">
        <v>35</v>
      </c>
      <c r="J300" s="143">
        <v>15420000</v>
      </c>
      <c r="K300" s="143"/>
      <c r="L300" s="144">
        <f t="shared" si="4"/>
        <v>-6</v>
      </c>
      <c r="M300" s="145" t="s">
        <v>775</v>
      </c>
      <c r="N300" s="145" t="s">
        <v>232</v>
      </c>
      <c r="O300" s="145" t="s">
        <v>90</v>
      </c>
      <c r="P300" s="145"/>
    </row>
    <row r="301" spans="1:16" ht="15" customHeight="1">
      <c r="A301" s="136" t="s">
        <v>779</v>
      </c>
      <c r="B301" s="74">
        <v>0</v>
      </c>
      <c r="C301" s="152" t="s">
        <v>565</v>
      </c>
      <c r="D301" s="138">
        <v>45092</v>
      </c>
      <c r="E301" s="149">
        <v>45102</v>
      </c>
      <c r="F301" s="140" t="s">
        <v>780</v>
      </c>
      <c r="G301" s="93">
        <v>4900001</v>
      </c>
      <c r="H301" s="141">
        <v>45100</v>
      </c>
      <c r="I301" s="142" t="s">
        <v>33</v>
      </c>
      <c r="J301" s="143">
        <v>4900001</v>
      </c>
      <c r="K301" s="143"/>
      <c r="L301" s="144">
        <f t="shared" si="4"/>
        <v>-2</v>
      </c>
      <c r="M301" s="145" t="s">
        <v>770</v>
      </c>
      <c r="N301" s="145" t="s">
        <v>229</v>
      </c>
      <c r="O301" s="145" t="s">
        <v>90</v>
      </c>
      <c r="P301" s="145"/>
    </row>
    <row r="302" spans="1:16" ht="15" customHeight="1">
      <c r="A302" s="136" t="s">
        <v>779</v>
      </c>
      <c r="B302" s="74">
        <v>0</v>
      </c>
      <c r="C302" s="152" t="s">
        <v>566</v>
      </c>
      <c r="D302" s="138">
        <v>45092</v>
      </c>
      <c r="E302" s="149">
        <v>45122</v>
      </c>
      <c r="F302" s="140" t="s">
        <v>780</v>
      </c>
      <c r="G302" s="93">
        <v>60474997</v>
      </c>
      <c r="H302" s="141">
        <v>45103</v>
      </c>
      <c r="I302" s="142" t="s">
        <v>35</v>
      </c>
      <c r="J302" s="143">
        <v>60474997</v>
      </c>
      <c r="K302" s="143"/>
      <c r="L302" s="144">
        <f t="shared" si="4"/>
        <v>-19</v>
      </c>
      <c r="M302" s="145" t="s">
        <v>775</v>
      </c>
      <c r="N302" s="145" t="s">
        <v>295</v>
      </c>
      <c r="O302" s="145" t="s">
        <v>90</v>
      </c>
      <c r="P302" s="145"/>
    </row>
    <row r="303" spans="1:16" ht="15" customHeight="1">
      <c r="A303" s="136" t="s">
        <v>779</v>
      </c>
      <c r="B303" s="74">
        <v>0</v>
      </c>
      <c r="C303" s="152" t="s">
        <v>567</v>
      </c>
      <c r="D303" s="138">
        <v>45092</v>
      </c>
      <c r="E303" s="149">
        <v>45102</v>
      </c>
      <c r="F303" s="140" t="s">
        <v>780</v>
      </c>
      <c r="G303" s="93">
        <v>24064998</v>
      </c>
      <c r="H303" s="141">
        <v>45100</v>
      </c>
      <c r="I303" s="142" t="s">
        <v>33</v>
      </c>
      <c r="J303" s="143">
        <v>24064998</v>
      </c>
      <c r="K303" s="143"/>
      <c r="L303" s="144">
        <f t="shared" si="4"/>
        <v>-2</v>
      </c>
      <c r="M303" s="145" t="s">
        <v>770</v>
      </c>
      <c r="N303" s="145" t="s">
        <v>254</v>
      </c>
      <c r="O303" s="145" t="s">
        <v>90</v>
      </c>
      <c r="P303" s="145"/>
    </row>
    <row r="304" spans="1:16" ht="15" customHeight="1">
      <c r="A304" s="136" t="s">
        <v>779</v>
      </c>
      <c r="B304" s="74">
        <v>0</v>
      </c>
      <c r="C304" s="152" t="s">
        <v>568</v>
      </c>
      <c r="D304" s="138">
        <v>45092</v>
      </c>
      <c r="E304" s="149">
        <v>45102</v>
      </c>
      <c r="F304" s="140" t="s">
        <v>780</v>
      </c>
      <c r="G304" s="93">
        <v>28524997</v>
      </c>
      <c r="H304" s="141">
        <v>45103</v>
      </c>
      <c r="I304" s="142" t="s">
        <v>33</v>
      </c>
      <c r="J304" s="143">
        <v>28524997</v>
      </c>
      <c r="K304" s="143"/>
      <c r="L304" s="144">
        <f t="shared" si="4"/>
        <v>1</v>
      </c>
      <c r="M304" s="145" t="s">
        <v>770</v>
      </c>
      <c r="N304" s="145" t="s">
        <v>255</v>
      </c>
      <c r="O304" s="145" t="s">
        <v>90</v>
      </c>
      <c r="P304" s="145"/>
    </row>
    <row r="305" spans="1:16" ht="15" customHeight="1">
      <c r="A305" s="136" t="s">
        <v>779</v>
      </c>
      <c r="B305" s="74">
        <v>0</v>
      </c>
      <c r="C305" s="152" t="s">
        <v>569</v>
      </c>
      <c r="D305" s="138">
        <v>45092</v>
      </c>
      <c r="E305" s="149">
        <v>45122</v>
      </c>
      <c r="F305" s="140" t="s">
        <v>780</v>
      </c>
      <c r="G305" s="93">
        <v>5511200</v>
      </c>
      <c r="H305" s="141">
        <v>45103</v>
      </c>
      <c r="I305" s="142" t="s">
        <v>35</v>
      </c>
      <c r="J305" s="143">
        <v>5511200</v>
      </c>
      <c r="K305" s="143"/>
      <c r="L305" s="144">
        <f t="shared" si="4"/>
        <v>-19</v>
      </c>
      <c r="M305" s="145" t="s">
        <v>772</v>
      </c>
      <c r="N305" s="145" t="s">
        <v>256</v>
      </c>
      <c r="O305" s="145" t="s">
        <v>90</v>
      </c>
      <c r="P305" s="145"/>
    </row>
    <row r="306" spans="1:16" ht="15" customHeight="1">
      <c r="A306" s="136" t="s">
        <v>779</v>
      </c>
      <c r="B306" s="74">
        <v>0</v>
      </c>
      <c r="C306" s="152" t="s">
        <v>570</v>
      </c>
      <c r="D306" s="138">
        <v>45092</v>
      </c>
      <c r="E306" s="149">
        <v>45122</v>
      </c>
      <c r="F306" s="140" t="s">
        <v>780</v>
      </c>
      <c r="G306" s="93">
        <v>33799999</v>
      </c>
      <c r="H306" s="141">
        <v>45103</v>
      </c>
      <c r="I306" s="142" t="s">
        <v>35</v>
      </c>
      <c r="J306" s="143">
        <v>33799999</v>
      </c>
      <c r="K306" s="143"/>
      <c r="L306" s="144">
        <f t="shared" si="4"/>
        <v>-19</v>
      </c>
      <c r="M306" s="145" t="s">
        <v>775</v>
      </c>
      <c r="N306" s="145" t="s">
        <v>257</v>
      </c>
      <c r="O306" s="145" t="s">
        <v>90</v>
      </c>
      <c r="P306" s="145"/>
    </row>
    <row r="307" spans="1:16" ht="15" customHeight="1">
      <c r="A307" s="136" t="s">
        <v>779</v>
      </c>
      <c r="B307" s="74">
        <v>0</v>
      </c>
      <c r="C307" s="152" t="s">
        <v>571</v>
      </c>
      <c r="D307" s="138">
        <v>45092</v>
      </c>
      <c r="E307" s="149">
        <v>45122</v>
      </c>
      <c r="F307" s="140" t="s">
        <v>780</v>
      </c>
      <c r="G307" s="93">
        <v>4200000</v>
      </c>
      <c r="H307" s="141">
        <v>45103</v>
      </c>
      <c r="I307" s="142" t="s">
        <v>35</v>
      </c>
      <c r="J307" s="143">
        <v>4200000</v>
      </c>
      <c r="K307" s="143"/>
      <c r="L307" s="144">
        <f t="shared" si="4"/>
        <v>-19</v>
      </c>
      <c r="M307" s="145" t="s">
        <v>772</v>
      </c>
      <c r="N307" s="145" t="s">
        <v>258</v>
      </c>
      <c r="O307" s="145" t="s">
        <v>90</v>
      </c>
      <c r="P307" s="145"/>
    </row>
    <row r="308" spans="1:16" ht="15" customHeight="1">
      <c r="A308" s="136" t="s">
        <v>779</v>
      </c>
      <c r="B308" s="74">
        <v>0</v>
      </c>
      <c r="C308" s="137" t="s">
        <v>572</v>
      </c>
      <c r="D308" s="138">
        <v>45092</v>
      </c>
      <c r="E308" s="149">
        <v>45102</v>
      </c>
      <c r="F308" s="140" t="s">
        <v>780</v>
      </c>
      <c r="G308" s="93">
        <v>22212501</v>
      </c>
      <c r="H308" s="141">
        <v>45103</v>
      </c>
      <c r="I308" s="142" t="s">
        <v>33</v>
      </c>
      <c r="J308" s="143">
        <v>22212501</v>
      </c>
      <c r="K308" s="143"/>
      <c r="L308" s="144">
        <f t="shared" si="4"/>
        <v>1</v>
      </c>
      <c r="M308" s="145" t="s">
        <v>770</v>
      </c>
      <c r="N308" s="145" t="s">
        <v>259</v>
      </c>
      <c r="O308" s="145" t="s">
        <v>90</v>
      </c>
      <c r="P308" s="145"/>
    </row>
    <row r="309" spans="1:16" ht="15" customHeight="1">
      <c r="A309" s="136" t="s">
        <v>779</v>
      </c>
      <c r="B309" s="74">
        <v>0</v>
      </c>
      <c r="C309" s="137" t="s">
        <v>573</v>
      </c>
      <c r="D309" s="138">
        <v>45092</v>
      </c>
      <c r="E309" s="149">
        <v>45127</v>
      </c>
      <c r="F309" s="140" t="s">
        <v>780</v>
      </c>
      <c r="G309" s="93">
        <v>4400000</v>
      </c>
      <c r="H309" s="141">
        <v>45093</v>
      </c>
      <c r="I309" s="142">
        <v>521</v>
      </c>
      <c r="J309" s="143">
        <v>4400000</v>
      </c>
      <c r="K309" s="143"/>
      <c r="L309" s="144">
        <f t="shared" si="4"/>
        <v>-34</v>
      </c>
      <c r="M309" s="145" t="s">
        <v>778</v>
      </c>
      <c r="N309" s="145" t="s">
        <v>430</v>
      </c>
      <c r="O309" s="145" t="s">
        <v>90</v>
      </c>
      <c r="P309" s="145"/>
    </row>
    <row r="310" spans="1:16" ht="15" customHeight="1">
      <c r="A310" s="136" t="s">
        <v>779</v>
      </c>
      <c r="B310" s="74">
        <v>0</v>
      </c>
      <c r="C310" s="152" t="s">
        <v>574</v>
      </c>
      <c r="D310" s="138">
        <v>45093</v>
      </c>
      <c r="E310" s="149">
        <v>45100</v>
      </c>
      <c r="F310" s="140" t="s">
        <v>780</v>
      </c>
      <c r="G310" s="93">
        <v>18700000</v>
      </c>
      <c r="H310" s="141"/>
      <c r="I310" s="142"/>
      <c r="J310" s="143"/>
      <c r="K310" s="143"/>
      <c r="L310" s="144" t="str">
        <f t="shared" si="4"/>
        <v>x</v>
      </c>
      <c r="M310" s="145" t="s">
        <v>770</v>
      </c>
      <c r="N310" s="145" t="s">
        <v>224</v>
      </c>
      <c r="O310" s="145" t="s">
        <v>90</v>
      </c>
      <c r="P310" s="145"/>
    </row>
    <row r="311" spans="1:16" ht="15" customHeight="1">
      <c r="A311" s="136" t="s">
        <v>779</v>
      </c>
      <c r="B311" s="74">
        <v>0</v>
      </c>
      <c r="C311" s="152" t="s">
        <v>575</v>
      </c>
      <c r="D311" s="138">
        <v>45093</v>
      </c>
      <c r="E311" s="149">
        <v>45114</v>
      </c>
      <c r="F311" s="140" t="s">
        <v>780</v>
      </c>
      <c r="G311" s="93">
        <v>4602000</v>
      </c>
      <c r="H311" s="141"/>
      <c r="I311" s="142"/>
      <c r="J311" s="143"/>
      <c r="K311" s="143"/>
      <c r="L311" s="144" t="str">
        <f t="shared" si="4"/>
        <v>x</v>
      </c>
      <c r="M311" s="145" t="s">
        <v>769</v>
      </c>
      <c r="N311" s="145" t="s">
        <v>260</v>
      </c>
      <c r="O311" s="145" t="s">
        <v>90</v>
      </c>
      <c r="P311" s="145"/>
    </row>
    <row r="312" spans="1:16" ht="15" customHeight="1">
      <c r="A312" s="136" t="s">
        <v>779</v>
      </c>
      <c r="B312" s="74">
        <v>0</v>
      </c>
      <c r="C312" s="152" t="s">
        <v>576</v>
      </c>
      <c r="D312" s="138">
        <v>45093</v>
      </c>
      <c r="E312" s="149">
        <v>45093</v>
      </c>
      <c r="F312" s="140" t="s">
        <v>780</v>
      </c>
      <c r="G312" s="93">
        <v>1540000</v>
      </c>
      <c r="H312" s="141">
        <v>45096</v>
      </c>
      <c r="I312" s="142">
        <v>111</v>
      </c>
      <c r="J312" s="143">
        <v>1540000</v>
      </c>
      <c r="K312" s="143"/>
      <c r="L312" s="144">
        <f t="shared" si="4"/>
        <v>3</v>
      </c>
      <c r="M312" s="145" t="s">
        <v>771</v>
      </c>
      <c r="N312" s="145" t="s">
        <v>263</v>
      </c>
      <c r="O312" s="145" t="s">
        <v>90</v>
      </c>
      <c r="P312" s="145"/>
    </row>
    <row r="313" spans="1:16" ht="15" customHeight="1">
      <c r="A313" s="136" t="s">
        <v>779</v>
      </c>
      <c r="B313" s="74">
        <v>0</v>
      </c>
      <c r="C313" s="152" t="s">
        <v>577</v>
      </c>
      <c r="D313" s="138">
        <v>45093</v>
      </c>
      <c r="E313" s="149">
        <v>45123</v>
      </c>
      <c r="F313" s="140" t="s">
        <v>780</v>
      </c>
      <c r="G313" s="93">
        <v>13635001</v>
      </c>
      <c r="H313" s="141">
        <v>45103</v>
      </c>
      <c r="I313" s="142" t="s">
        <v>35</v>
      </c>
      <c r="J313" s="143">
        <v>13635001</v>
      </c>
      <c r="K313" s="143"/>
      <c r="L313" s="144">
        <f t="shared" si="4"/>
        <v>-20</v>
      </c>
      <c r="M313" s="145" t="s">
        <v>775</v>
      </c>
      <c r="N313" s="145" t="s">
        <v>261</v>
      </c>
      <c r="O313" s="145" t="s">
        <v>90</v>
      </c>
      <c r="P313" s="145"/>
    </row>
    <row r="314" spans="1:16" ht="15" customHeight="1">
      <c r="A314" s="136" t="s">
        <v>779</v>
      </c>
      <c r="B314" s="74">
        <v>0</v>
      </c>
      <c r="C314" s="152" t="s">
        <v>578</v>
      </c>
      <c r="D314" s="138">
        <v>45093</v>
      </c>
      <c r="E314" s="149">
        <v>45107</v>
      </c>
      <c r="F314" s="140" t="s">
        <v>780</v>
      </c>
      <c r="G314" s="93">
        <v>200000</v>
      </c>
      <c r="H314" s="141"/>
      <c r="I314" s="142"/>
      <c r="J314" s="143"/>
      <c r="K314" s="143"/>
      <c r="L314" s="144" t="str">
        <f t="shared" si="4"/>
        <v>x</v>
      </c>
      <c r="M314" s="145" t="s">
        <v>776</v>
      </c>
      <c r="N314" s="145" t="s">
        <v>720</v>
      </c>
      <c r="O314" s="145" t="s">
        <v>90</v>
      </c>
      <c r="P314" s="145"/>
    </row>
    <row r="315" spans="1:16" ht="15" customHeight="1">
      <c r="A315" s="136" t="s">
        <v>779</v>
      </c>
      <c r="B315" s="74">
        <v>0</v>
      </c>
      <c r="C315" s="152" t="s">
        <v>579</v>
      </c>
      <c r="D315" s="138">
        <v>45093</v>
      </c>
      <c r="E315" s="149">
        <v>45103</v>
      </c>
      <c r="F315" s="140" t="s">
        <v>780</v>
      </c>
      <c r="G315" s="93">
        <v>21600000</v>
      </c>
      <c r="H315" s="141">
        <v>45103</v>
      </c>
      <c r="I315" s="142" t="s">
        <v>33</v>
      </c>
      <c r="J315" s="143">
        <v>21600000</v>
      </c>
      <c r="K315" s="143"/>
      <c r="L315" s="144">
        <f t="shared" si="4"/>
        <v>0</v>
      </c>
      <c r="M315" s="145" t="s">
        <v>770</v>
      </c>
      <c r="N315" s="145" t="s">
        <v>265</v>
      </c>
      <c r="O315" s="145" t="s">
        <v>90</v>
      </c>
      <c r="P315" s="145"/>
    </row>
    <row r="316" spans="1:16" ht="15" customHeight="1">
      <c r="A316" s="136" t="s">
        <v>779</v>
      </c>
      <c r="B316" s="74">
        <v>0</v>
      </c>
      <c r="C316" s="152" t="s">
        <v>580</v>
      </c>
      <c r="D316" s="138">
        <v>45093</v>
      </c>
      <c r="E316" s="149">
        <v>45103</v>
      </c>
      <c r="F316" s="140" t="s">
        <v>780</v>
      </c>
      <c r="G316" s="93">
        <v>29231497</v>
      </c>
      <c r="H316" s="141">
        <v>45103</v>
      </c>
      <c r="I316" s="142" t="s">
        <v>33</v>
      </c>
      <c r="J316" s="143">
        <v>29231497</v>
      </c>
      <c r="K316" s="143"/>
      <c r="L316" s="144">
        <f t="shared" si="4"/>
        <v>0</v>
      </c>
      <c r="M316" s="145" t="s">
        <v>770</v>
      </c>
      <c r="N316" s="145" t="s">
        <v>296</v>
      </c>
      <c r="O316" s="145" t="s">
        <v>90</v>
      </c>
      <c r="P316" s="145"/>
    </row>
    <row r="317" spans="1:16" ht="15" customHeight="1">
      <c r="A317" s="136" t="s">
        <v>779</v>
      </c>
      <c r="B317" s="74">
        <v>0</v>
      </c>
      <c r="C317" s="137" t="s">
        <v>581</v>
      </c>
      <c r="D317" s="138">
        <v>45093</v>
      </c>
      <c r="E317" s="149">
        <v>45123</v>
      </c>
      <c r="F317" s="140" t="s">
        <v>780</v>
      </c>
      <c r="G317" s="93">
        <v>800000</v>
      </c>
      <c r="H317" s="141">
        <v>45103</v>
      </c>
      <c r="I317" s="142" t="s">
        <v>35</v>
      </c>
      <c r="J317" s="143">
        <v>800000</v>
      </c>
      <c r="K317" s="143"/>
      <c r="L317" s="144">
        <f t="shared" si="4"/>
        <v>-20</v>
      </c>
      <c r="M317" s="145" t="s">
        <v>776</v>
      </c>
      <c r="N317" s="145" t="s">
        <v>429</v>
      </c>
      <c r="O317" s="145" t="s">
        <v>90</v>
      </c>
      <c r="P317" s="145"/>
    </row>
    <row r="318" spans="1:16" ht="15" customHeight="1">
      <c r="A318" s="136" t="s">
        <v>779</v>
      </c>
      <c r="B318" s="74">
        <v>0</v>
      </c>
      <c r="C318" s="152" t="s">
        <v>582</v>
      </c>
      <c r="D318" s="138">
        <v>45096</v>
      </c>
      <c r="E318" s="149">
        <v>45111</v>
      </c>
      <c r="F318" s="140" t="s">
        <v>780</v>
      </c>
      <c r="G318" s="93">
        <v>59766501</v>
      </c>
      <c r="H318" s="141"/>
      <c r="I318" s="142"/>
      <c r="J318" s="143"/>
      <c r="K318" s="143"/>
      <c r="L318" s="144" t="str">
        <f t="shared" si="4"/>
        <v>x</v>
      </c>
      <c r="M318" s="145" t="s">
        <v>770</v>
      </c>
      <c r="N318" s="145" t="s">
        <v>297</v>
      </c>
      <c r="O318" s="145" t="s">
        <v>90</v>
      </c>
      <c r="P318" s="145"/>
    </row>
    <row r="319" spans="1:16" ht="15" customHeight="1">
      <c r="A319" s="136" t="s">
        <v>779</v>
      </c>
      <c r="B319" s="74">
        <v>0</v>
      </c>
      <c r="C319" s="152" t="s">
        <v>583</v>
      </c>
      <c r="D319" s="138">
        <v>45096</v>
      </c>
      <c r="E319" s="149">
        <v>45096</v>
      </c>
      <c r="F319" s="140" t="s">
        <v>780</v>
      </c>
      <c r="G319" s="93">
        <v>7200001</v>
      </c>
      <c r="H319" s="141">
        <v>45106</v>
      </c>
      <c r="I319" s="142" t="s">
        <v>35</v>
      </c>
      <c r="J319" s="143">
        <v>7200000</v>
      </c>
      <c r="K319" s="143"/>
      <c r="L319" s="144">
        <f t="shared" si="4"/>
        <v>10</v>
      </c>
      <c r="M319" s="145" t="s">
        <v>771</v>
      </c>
      <c r="N319" s="145" t="s">
        <v>269</v>
      </c>
      <c r="O319" s="145" t="s">
        <v>90</v>
      </c>
      <c r="P319" s="145"/>
    </row>
    <row r="320" spans="1:16" ht="15" customHeight="1">
      <c r="A320" s="136" t="s">
        <v>779</v>
      </c>
      <c r="B320" s="74">
        <v>0</v>
      </c>
      <c r="C320" s="152" t="s">
        <v>583</v>
      </c>
      <c r="D320" s="138">
        <v>45096</v>
      </c>
      <c r="E320" s="149">
        <v>45096</v>
      </c>
      <c r="F320" s="140" t="s">
        <v>780</v>
      </c>
      <c r="G320" s="93">
        <v>0</v>
      </c>
      <c r="H320" s="141">
        <v>45106</v>
      </c>
      <c r="I320" s="142">
        <v>641</v>
      </c>
      <c r="J320" s="143">
        <v>1</v>
      </c>
      <c r="K320" s="143"/>
      <c r="L320" s="144">
        <f t="shared" si="4"/>
        <v>10</v>
      </c>
      <c r="M320" s="145" t="s">
        <v>771</v>
      </c>
      <c r="N320" s="145" t="s">
        <v>269</v>
      </c>
      <c r="O320" s="145" t="s">
        <v>90</v>
      </c>
      <c r="P320" s="145"/>
    </row>
    <row r="321" spans="1:16" ht="15" customHeight="1">
      <c r="A321" s="136" t="s">
        <v>779</v>
      </c>
      <c r="B321" s="74">
        <v>0</v>
      </c>
      <c r="C321" s="152" t="s">
        <v>584</v>
      </c>
      <c r="D321" s="138">
        <v>45096</v>
      </c>
      <c r="E321" s="149">
        <v>45096</v>
      </c>
      <c r="F321" s="140" t="s">
        <v>780</v>
      </c>
      <c r="G321" s="93">
        <v>2880000</v>
      </c>
      <c r="H321" s="141">
        <v>45099</v>
      </c>
      <c r="I321" s="142" t="s">
        <v>35</v>
      </c>
      <c r="J321" s="143">
        <v>2880000</v>
      </c>
      <c r="K321" s="143"/>
      <c r="L321" s="144">
        <f t="shared" si="4"/>
        <v>3</v>
      </c>
      <c r="M321" s="145" t="s">
        <v>772</v>
      </c>
      <c r="N321" s="145" t="s">
        <v>266</v>
      </c>
      <c r="O321" s="145" t="s">
        <v>90</v>
      </c>
      <c r="P321" s="145"/>
    </row>
    <row r="322" spans="1:16" ht="15" customHeight="1">
      <c r="A322" s="136" t="s">
        <v>779</v>
      </c>
      <c r="B322" s="74">
        <v>0</v>
      </c>
      <c r="C322" s="152" t="s">
        <v>585</v>
      </c>
      <c r="D322" s="138">
        <v>45096</v>
      </c>
      <c r="E322" s="149">
        <v>45106</v>
      </c>
      <c r="F322" s="140" t="s">
        <v>780</v>
      </c>
      <c r="G322" s="93">
        <v>14700001</v>
      </c>
      <c r="H322" s="141">
        <v>45105</v>
      </c>
      <c r="I322" s="142" t="s">
        <v>33</v>
      </c>
      <c r="J322" s="143">
        <v>14700001</v>
      </c>
      <c r="K322" s="143"/>
      <c r="L322" s="144">
        <f t="shared" si="4"/>
        <v>-1</v>
      </c>
      <c r="M322" s="145" t="s">
        <v>770</v>
      </c>
      <c r="N322" s="145" t="s">
        <v>298</v>
      </c>
      <c r="O322" s="145" t="s">
        <v>90</v>
      </c>
      <c r="P322" s="145"/>
    </row>
    <row r="323" spans="1:16" ht="15" customHeight="1">
      <c r="A323" s="136" t="s">
        <v>779</v>
      </c>
      <c r="B323" s="74">
        <v>0</v>
      </c>
      <c r="C323" s="137" t="s">
        <v>148</v>
      </c>
      <c r="D323" s="148">
        <v>45096</v>
      </c>
      <c r="E323" s="159">
        <v>45096</v>
      </c>
      <c r="F323" s="140" t="s">
        <v>780</v>
      </c>
      <c r="G323" s="78">
        <v>4230001</v>
      </c>
      <c r="H323" s="141">
        <v>45096</v>
      </c>
      <c r="I323" s="142" t="s">
        <v>35</v>
      </c>
      <c r="J323" s="143">
        <v>4230001</v>
      </c>
      <c r="K323" s="143"/>
      <c r="L323" s="144">
        <f t="shared" ref="L323:L386" si="5">IF(J323="","x",H323-E323)</f>
        <v>0</v>
      </c>
      <c r="M323" s="145" t="s">
        <v>769</v>
      </c>
      <c r="N323" s="145" t="s">
        <v>299</v>
      </c>
      <c r="O323" s="145" t="s">
        <v>90</v>
      </c>
      <c r="P323" s="145"/>
    </row>
    <row r="324" spans="1:16" ht="15" customHeight="1">
      <c r="A324" s="136" t="s">
        <v>779</v>
      </c>
      <c r="B324" s="74">
        <v>0</v>
      </c>
      <c r="C324" s="137" t="s">
        <v>586</v>
      </c>
      <c r="D324" s="148">
        <v>45096</v>
      </c>
      <c r="E324" s="159">
        <v>45106</v>
      </c>
      <c r="F324" s="140" t="s">
        <v>780</v>
      </c>
      <c r="G324" s="78">
        <v>4032001</v>
      </c>
      <c r="H324" s="141">
        <v>45105</v>
      </c>
      <c r="I324" s="142" t="s">
        <v>33</v>
      </c>
      <c r="J324" s="143">
        <v>4032001</v>
      </c>
      <c r="K324" s="143"/>
      <c r="L324" s="144">
        <f t="shared" si="5"/>
        <v>-1</v>
      </c>
      <c r="M324" s="145" t="s">
        <v>770</v>
      </c>
      <c r="N324" s="145" t="s">
        <v>268</v>
      </c>
      <c r="O324" s="145" t="s">
        <v>90</v>
      </c>
      <c r="P324" s="145"/>
    </row>
    <row r="325" spans="1:16" ht="15" customHeight="1">
      <c r="A325" s="136" t="s">
        <v>779</v>
      </c>
      <c r="B325" s="74">
        <v>0</v>
      </c>
      <c r="C325" s="137" t="s">
        <v>587</v>
      </c>
      <c r="D325" s="148">
        <v>45096</v>
      </c>
      <c r="E325" s="159">
        <v>45107</v>
      </c>
      <c r="F325" s="140" t="s">
        <v>780</v>
      </c>
      <c r="G325" s="78">
        <v>1720000</v>
      </c>
      <c r="H325" s="141"/>
      <c r="I325" s="142"/>
      <c r="J325" s="143"/>
      <c r="K325" s="143"/>
      <c r="L325" s="144" t="str">
        <f t="shared" si="5"/>
        <v>x</v>
      </c>
      <c r="M325" s="145" t="s">
        <v>776</v>
      </c>
      <c r="N325" s="145" t="s">
        <v>709</v>
      </c>
      <c r="O325" s="145" t="s">
        <v>90</v>
      </c>
      <c r="P325" s="145"/>
    </row>
    <row r="326" spans="1:16" ht="15" customHeight="1">
      <c r="A326" s="136" t="s">
        <v>779</v>
      </c>
      <c r="B326" s="74">
        <v>0</v>
      </c>
      <c r="C326" s="137" t="s">
        <v>588</v>
      </c>
      <c r="D326" s="148">
        <v>45096</v>
      </c>
      <c r="E326" s="159">
        <v>45106</v>
      </c>
      <c r="F326" s="140" t="s">
        <v>780</v>
      </c>
      <c r="G326" s="78">
        <v>14700001</v>
      </c>
      <c r="H326" s="141">
        <v>45105</v>
      </c>
      <c r="I326" s="142" t="s">
        <v>33</v>
      </c>
      <c r="J326" s="143">
        <v>14700001</v>
      </c>
      <c r="K326" s="143"/>
      <c r="L326" s="144">
        <f t="shared" si="5"/>
        <v>-1</v>
      </c>
      <c r="M326" s="145" t="s">
        <v>770</v>
      </c>
      <c r="N326" s="145" t="s">
        <v>300</v>
      </c>
      <c r="O326" s="145" t="s">
        <v>90</v>
      </c>
      <c r="P326" s="145"/>
    </row>
    <row r="327" spans="1:16" ht="15" customHeight="1">
      <c r="A327" s="136" t="s">
        <v>779</v>
      </c>
      <c r="B327" s="74">
        <v>0</v>
      </c>
      <c r="C327" s="137" t="s">
        <v>589</v>
      </c>
      <c r="D327" s="148">
        <v>45096</v>
      </c>
      <c r="E327" s="159">
        <v>45117</v>
      </c>
      <c r="F327" s="140" t="s">
        <v>780</v>
      </c>
      <c r="G327" s="78">
        <v>26099998</v>
      </c>
      <c r="H327" s="141"/>
      <c r="I327" s="142"/>
      <c r="J327" s="143"/>
      <c r="K327" s="143"/>
      <c r="L327" s="144" t="str">
        <f t="shared" si="5"/>
        <v>x</v>
      </c>
      <c r="M327" s="145" t="s">
        <v>769</v>
      </c>
      <c r="N327" s="145" t="s">
        <v>303</v>
      </c>
      <c r="O327" s="145" t="s">
        <v>90</v>
      </c>
      <c r="P327" s="145"/>
    </row>
    <row r="328" spans="1:16" ht="15" customHeight="1">
      <c r="A328" s="136" t="s">
        <v>779</v>
      </c>
      <c r="B328" s="74">
        <v>0</v>
      </c>
      <c r="C328" s="137" t="s">
        <v>590</v>
      </c>
      <c r="D328" s="148">
        <v>45096</v>
      </c>
      <c r="E328" s="159">
        <v>45096</v>
      </c>
      <c r="F328" s="140" t="s">
        <v>780</v>
      </c>
      <c r="G328" s="78">
        <v>266000</v>
      </c>
      <c r="H328" s="141"/>
      <c r="I328" s="142"/>
      <c r="J328" s="143"/>
      <c r="K328" s="143"/>
      <c r="L328" s="144" t="str">
        <f t="shared" si="5"/>
        <v>x</v>
      </c>
      <c r="M328" s="145" t="s">
        <v>772</v>
      </c>
      <c r="N328" s="145" t="s">
        <v>219</v>
      </c>
      <c r="O328" s="145" t="s">
        <v>90</v>
      </c>
      <c r="P328" s="145"/>
    </row>
    <row r="329" spans="1:16" ht="15" customHeight="1">
      <c r="A329" s="136" t="s">
        <v>779</v>
      </c>
      <c r="B329" s="74">
        <v>0</v>
      </c>
      <c r="C329" s="137" t="s">
        <v>591</v>
      </c>
      <c r="D329" s="148">
        <v>45096</v>
      </c>
      <c r="E329" s="159">
        <v>45106</v>
      </c>
      <c r="F329" s="140" t="s">
        <v>780</v>
      </c>
      <c r="G329" s="78">
        <v>6199999</v>
      </c>
      <c r="H329" s="141"/>
      <c r="I329" s="142"/>
      <c r="J329" s="143"/>
      <c r="K329" s="143"/>
      <c r="L329" s="144" t="str">
        <f t="shared" si="5"/>
        <v>x</v>
      </c>
      <c r="M329" s="145" t="s">
        <v>778</v>
      </c>
      <c r="N329" s="145" t="s">
        <v>262</v>
      </c>
      <c r="O329" s="145" t="s">
        <v>90</v>
      </c>
      <c r="P329" s="145"/>
    </row>
    <row r="330" spans="1:16" ht="15" customHeight="1">
      <c r="A330" s="136" t="s">
        <v>779</v>
      </c>
      <c r="B330" s="74">
        <v>0</v>
      </c>
      <c r="C330" s="137" t="s">
        <v>592</v>
      </c>
      <c r="D330" s="148">
        <v>45096</v>
      </c>
      <c r="E330" s="159">
        <v>45111</v>
      </c>
      <c r="F330" s="140" t="s">
        <v>780</v>
      </c>
      <c r="G330" s="78">
        <v>40471599</v>
      </c>
      <c r="H330" s="141">
        <v>45096</v>
      </c>
      <c r="I330" s="142" t="s">
        <v>35</v>
      </c>
      <c r="J330" s="143">
        <v>10000000</v>
      </c>
      <c r="K330" s="143"/>
      <c r="L330" s="144">
        <f t="shared" si="5"/>
        <v>-15</v>
      </c>
      <c r="M330" s="145" t="s">
        <v>774</v>
      </c>
      <c r="N330" s="145" t="s">
        <v>76</v>
      </c>
      <c r="O330" s="145" t="s">
        <v>90</v>
      </c>
      <c r="P330" s="145"/>
    </row>
    <row r="331" spans="1:16" ht="15" customHeight="1">
      <c r="A331" s="136" t="s">
        <v>779</v>
      </c>
      <c r="B331" s="74">
        <v>0</v>
      </c>
      <c r="C331" s="137" t="s">
        <v>593</v>
      </c>
      <c r="D331" s="148">
        <v>45096</v>
      </c>
      <c r="E331" s="159">
        <v>45106</v>
      </c>
      <c r="F331" s="140" t="s">
        <v>780</v>
      </c>
      <c r="G331" s="78">
        <v>24449997</v>
      </c>
      <c r="H331" s="141">
        <v>45105</v>
      </c>
      <c r="I331" s="142" t="s">
        <v>33</v>
      </c>
      <c r="J331" s="143">
        <v>24449997</v>
      </c>
      <c r="K331" s="143"/>
      <c r="L331" s="144">
        <f t="shared" si="5"/>
        <v>-1</v>
      </c>
      <c r="M331" s="145" t="s">
        <v>770</v>
      </c>
      <c r="N331" s="145" t="s">
        <v>314</v>
      </c>
      <c r="O331" s="145" t="s">
        <v>90</v>
      </c>
      <c r="P331" s="145"/>
    </row>
    <row r="332" spans="1:16" ht="15" customHeight="1">
      <c r="A332" s="136" t="s">
        <v>779</v>
      </c>
      <c r="B332" s="74">
        <v>0</v>
      </c>
      <c r="C332" s="137" t="s">
        <v>594</v>
      </c>
      <c r="D332" s="148">
        <v>45097</v>
      </c>
      <c r="E332" s="159">
        <v>45118</v>
      </c>
      <c r="F332" s="140" t="s">
        <v>780</v>
      </c>
      <c r="G332" s="78">
        <v>81699998</v>
      </c>
      <c r="H332" s="141">
        <v>45104</v>
      </c>
      <c r="I332" s="142" t="s">
        <v>35</v>
      </c>
      <c r="J332" s="143">
        <v>81699998</v>
      </c>
      <c r="K332" s="143"/>
      <c r="L332" s="144">
        <f t="shared" si="5"/>
        <v>-14</v>
      </c>
      <c r="M332" s="145" t="s">
        <v>769</v>
      </c>
      <c r="N332" s="145" t="s">
        <v>302</v>
      </c>
      <c r="O332" s="145" t="s">
        <v>90</v>
      </c>
      <c r="P332" s="145"/>
    </row>
    <row r="333" spans="1:16" ht="15" customHeight="1">
      <c r="A333" s="136" t="s">
        <v>779</v>
      </c>
      <c r="B333" s="74">
        <v>0</v>
      </c>
      <c r="C333" s="137" t="s">
        <v>595</v>
      </c>
      <c r="D333" s="148">
        <v>45097</v>
      </c>
      <c r="E333" s="159">
        <v>45127</v>
      </c>
      <c r="F333" s="140" t="s">
        <v>780</v>
      </c>
      <c r="G333" s="78">
        <v>2750000</v>
      </c>
      <c r="H333" s="141">
        <v>45097</v>
      </c>
      <c r="I333" s="142" t="s">
        <v>34</v>
      </c>
      <c r="J333" s="143">
        <v>2750000</v>
      </c>
      <c r="K333" s="143"/>
      <c r="L333" s="144">
        <f t="shared" si="5"/>
        <v>-30</v>
      </c>
      <c r="M333" s="145" t="s">
        <v>772</v>
      </c>
      <c r="N333" s="145" t="s">
        <v>301</v>
      </c>
      <c r="O333" s="145" t="s">
        <v>90</v>
      </c>
      <c r="P333" s="145"/>
    </row>
    <row r="334" spans="1:16" ht="15" customHeight="1">
      <c r="A334" s="136" t="s">
        <v>779</v>
      </c>
      <c r="B334" s="74">
        <v>0</v>
      </c>
      <c r="C334" s="137" t="s">
        <v>596</v>
      </c>
      <c r="D334" s="148">
        <v>45097</v>
      </c>
      <c r="E334" s="159">
        <v>45100</v>
      </c>
      <c r="F334" s="140" t="s">
        <v>780</v>
      </c>
      <c r="G334" s="78">
        <v>13342500</v>
      </c>
      <c r="H334" s="141"/>
      <c r="I334" s="142"/>
      <c r="J334" s="143"/>
      <c r="K334" s="143"/>
      <c r="L334" s="144" t="str">
        <f t="shared" si="5"/>
        <v>x</v>
      </c>
      <c r="M334" s="145" t="s">
        <v>777</v>
      </c>
      <c r="N334" s="145" t="s">
        <v>212</v>
      </c>
      <c r="O334" s="145" t="s">
        <v>90</v>
      </c>
      <c r="P334" s="145"/>
    </row>
    <row r="335" spans="1:16" ht="15" customHeight="1">
      <c r="A335" s="136" t="s">
        <v>779</v>
      </c>
      <c r="B335" s="74">
        <v>0</v>
      </c>
      <c r="C335" s="137" t="s">
        <v>597</v>
      </c>
      <c r="D335" s="138">
        <v>45097</v>
      </c>
      <c r="E335" s="159">
        <v>45112</v>
      </c>
      <c r="F335" s="140" t="s">
        <v>780</v>
      </c>
      <c r="G335" s="78">
        <v>3725999</v>
      </c>
      <c r="H335" s="141"/>
      <c r="I335" s="142"/>
      <c r="J335" s="143"/>
      <c r="K335" s="143"/>
      <c r="L335" s="144" t="str">
        <f t="shared" si="5"/>
        <v>x</v>
      </c>
      <c r="M335" s="145" t="s">
        <v>777</v>
      </c>
      <c r="N335" s="145" t="s">
        <v>213</v>
      </c>
      <c r="O335" s="145" t="s">
        <v>90</v>
      </c>
      <c r="P335" s="145"/>
    </row>
    <row r="336" spans="1:16" ht="15" customHeight="1">
      <c r="A336" s="136" t="s">
        <v>779</v>
      </c>
      <c r="B336" s="74">
        <v>0</v>
      </c>
      <c r="C336" s="137" t="s">
        <v>598</v>
      </c>
      <c r="D336" s="138">
        <v>45097</v>
      </c>
      <c r="E336" s="159">
        <v>45104</v>
      </c>
      <c r="F336" s="140" t="s">
        <v>780</v>
      </c>
      <c r="G336" s="78">
        <v>6599998</v>
      </c>
      <c r="H336" s="141"/>
      <c r="I336" s="142"/>
      <c r="J336" s="143"/>
      <c r="K336" s="143"/>
      <c r="L336" s="144" t="str">
        <f t="shared" si="5"/>
        <v>x</v>
      </c>
      <c r="M336" s="145" t="s">
        <v>770</v>
      </c>
      <c r="N336" s="145" t="s">
        <v>107</v>
      </c>
      <c r="O336" s="145" t="s">
        <v>90</v>
      </c>
      <c r="P336" s="145"/>
    </row>
    <row r="337" spans="1:16" ht="15" customHeight="1">
      <c r="A337" s="136" t="s">
        <v>779</v>
      </c>
      <c r="B337" s="74">
        <v>0</v>
      </c>
      <c r="C337" s="137" t="s">
        <v>599</v>
      </c>
      <c r="D337" s="138">
        <v>45097</v>
      </c>
      <c r="E337" s="159">
        <v>45118</v>
      </c>
      <c r="F337" s="140" t="s">
        <v>780</v>
      </c>
      <c r="G337" s="78">
        <v>35052994</v>
      </c>
      <c r="H337" s="141"/>
      <c r="I337" s="142"/>
      <c r="J337" s="143"/>
      <c r="K337" s="143"/>
      <c r="L337" s="144" t="str">
        <f t="shared" si="5"/>
        <v>x</v>
      </c>
      <c r="M337" s="145" t="s">
        <v>769</v>
      </c>
      <c r="N337" s="145" t="s">
        <v>305</v>
      </c>
      <c r="O337" s="145" t="s">
        <v>90</v>
      </c>
      <c r="P337" s="145"/>
    </row>
    <row r="338" spans="1:16" ht="15" customHeight="1">
      <c r="A338" s="136" t="s">
        <v>779</v>
      </c>
      <c r="B338" s="74">
        <v>0</v>
      </c>
      <c r="C338" s="137" t="s">
        <v>600</v>
      </c>
      <c r="D338" s="138">
        <v>45097</v>
      </c>
      <c r="E338" s="159">
        <v>45107</v>
      </c>
      <c r="F338" s="140" t="s">
        <v>780</v>
      </c>
      <c r="G338" s="78">
        <v>3440000</v>
      </c>
      <c r="H338" s="141"/>
      <c r="I338" s="142"/>
      <c r="J338" s="143"/>
      <c r="K338" s="143"/>
      <c r="L338" s="144" t="str">
        <f t="shared" si="5"/>
        <v>x</v>
      </c>
      <c r="M338" s="145" t="s">
        <v>776</v>
      </c>
      <c r="N338" s="145" t="s">
        <v>703</v>
      </c>
      <c r="O338" s="145" t="s">
        <v>90</v>
      </c>
      <c r="P338" s="145"/>
    </row>
    <row r="339" spans="1:16" ht="15" customHeight="1">
      <c r="A339" s="136" t="s">
        <v>779</v>
      </c>
      <c r="B339" s="74">
        <v>0</v>
      </c>
      <c r="C339" s="137" t="s">
        <v>601</v>
      </c>
      <c r="D339" s="138">
        <v>45097</v>
      </c>
      <c r="E339" s="159">
        <v>45107</v>
      </c>
      <c r="F339" s="140" t="s">
        <v>780</v>
      </c>
      <c r="G339" s="78">
        <v>41629997</v>
      </c>
      <c r="H339" s="141">
        <v>45106</v>
      </c>
      <c r="I339" s="142" t="s">
        <v>33</v>
      </c>
      <c r="J339" s="143">
        <v>41629997</v>
      </c>
      <c r="K339" s="143"/>
      <c r="L339" s="144">
        <f t="shared" si="5"/>
        <v>-1</v>
      </c>
      <c r="M339" s="145" t="s">
        <v>770</v>
      </c>
      <c r="N339" s="145" t="s">
        <v>311</v>
      </c>
      <c r="O339" s="145" t="s">
        <v>90</v>
      </c>
      <c r="P339" s="145"/>
    </row>
    <row r="340" spans="1:16" ht="15" customHeight="1">
      <c r="A340" s="136" t="s">
        <v>779</v>
      </c>
      <c r="B340" s="74">
        <v>0</v>
      </c>
      <c r="C340" s="137" t="s">
        <v>602</v>
      </c>
      <c r="D340" s="138">
        <v>45097</v>
      </c>
      <c r="E340" s="159">
        <v>45107</v>
      </c>
      <c r="F340" s="140" t="s">
        <v>780</v>
      </c>
      <c r="G340" s="78">
        <v>28524997</v>
      </c>
      <c r="H340" s="141">
        <v>45106</v>
      </c>
      <c r="I340" s="142" t="s">
        <v>33</v>
      </c>
      <c r="J340" s="143">
        <v>28524997</v>
      </c>
      <c r="K340" s="143"/>
      <c r="L340" s="144">
        <f t="shared" si="5"/>
        <v>-1</v>
      </c>
      <c r="M340" s="145" t="s">
        <v>770</v>
      </c>
      <c r="N340" s="145" t="s">
        <v>304</v>
      </c>
      <c r="O340" s="145" t="s">
        <v>90</v>
      </c>
      <c r="P340" s="145"/>
    </row>
    <row r="341" spans="1:16" ht="15" customHeight="1">
      <c r="A341" s="136" t="s">
        <v>779</v>
      </c>
      <c r="B341" s="74">
        <v>0</v>
      </c>
      <c r="C341" s="137" t="s">
        <v>603</v>
      </c>
      <c r="D341" s="138">
        <v>45097</v>
      </c>
      <c r="E341" s="159">
        <v>45127</v>
      </c>
      <c r="F341" s="140" t="s">
        <v>780</v>
      </c>
      <c r="G341" s="78">
        <v>3600000</v>
      </c>
      <c r="H341" s="141">
        <v>45103</v>
      </c>
      <c r="I341" s="142" t="s">
        <v>35</v>
      </c>
      <c r="J341" s="143">
        <v>3600000</v>
      </c>
      <c r="K341" s="143"/>
      <c r="L341" s="144">
        <f t="shared" si="5"/>
        <v>-24</v>
      </c>
      <c r="M341" s="145" t="s">
        <v>776</v>
      </c>
      <c r="N341" s="145" t="s">
        <v>222</v>
      </c>
      <c r="O341" s="145" t="s">
        <v>90</v>
      </c>
      <c r="P341" s="145"/>
    </row>
    <row r="342" spans="1:16" ht="15" customHeight="1">
      <c r="A342" s="136" t="s">
        <v>779</v>
      </c>
      <c r="B342" s="74">
        <v>0</v>
      </c>
      <c r="C342" s="137" t="s">
        <v>604</v>
      </c>
      <c r="D342" s="138">
        <v>45098</v>
      </c>
      <c r="E342" s="159">
        <v>45119</v>
      </c>
      <c r="F342" s="140" t="s">
        <v>780</v>
      </c>
      <c r="G342" s="78">
        <v>32599996</v>
      </c>
      <c r="H342" s="141"/>
      <c r="I342" s="142"/>
      <c r="J342" s="143"/>
      <c r="K342" s="143"/>
      <c r="L342" s="144" t="str">
        <f t="shared" si="5"/>
        <v>x</v>
      </c>
      <c r="M342" s="145" t="s">
        <v>769</v>
      </c>
      <c r="N342" s="145" t="s">
        <v>721</v>
      </c>
      <c r="O342" s="145" t="s">
        <v>90</v>
      </c>
      <c r="P342" s="145"/>
    </row>
    <row r="343" spans="1:16" ht="15" customHeight="1">
      <c r="A343" s="136" t="s">
        <v>779</v>
      </c>
      <c r="B343" s="74">
        <v>0</v>
      </c>
      <c r="C343" s="137" t="s">
        <v>605</v>
      </c>
      <c r="D343" s="138">
        <v>45098</v>
      </c>
      <c r="E343" s="159">
        <v>45103</v>
      </c>
      <c r="F343" s="140" t="s">
        <v>780</v>
      </c>
      <c r="G343" s="78">
        <v>26640000</v>
      </c>
      <c r="H343" s="141">
        <v>45097</v>
      </c>
      <c r="I343" s="142" t="s">
        <v>33</v>
      </c>
      <c r="J343" s="143">
        <v>10742120</v>
      </c>
      <c r="K343" s="143"/>
      <c r="L343" s="144">
        <f t="shared" si="5"/>
        <v>-6</v>
      </c>
      <c r="M343" s="145" t="s">
        <v>778</v>
      </c>
      <c r="N343" s="145" t="s">
        <v>192</v>
      </c>
      <c r="O343" s="145" t="s">
        <v>90</v>
      </c>
      <c r="P343" s="145"/>
    </row>
    <row r="344" spans="1:16" ht="15" customHeight="1">
      <c r="A344" s="136" t="s">
        <v>779</v>
      </c>
      <c r="B344" s="74">
        <v>0</v>
      </c>
      <c r="C344" s="137" t="s">
        <v>605</v>
      </c>
      <c r="D344" s="138">
        <v>45098</v>
      </c>
      <c r="E344" s="159">
        <v>45103</v>
      </c>
      <c r="F344" s="140" t="s">
        <v>780</v>
      </c>
      <c r="G344" s="78">
        <v>0</v>
      </c>
      <c r="H344" s="141">
        <v>45106</v>
      </c>
      <c r="I344" s="142" t="s">
        <v>33</v>
      </c>
      <c r="J344" s="143">
        <v>10000000</v>
      </c>
      <c r="K344" s="143"/>
      <c r="L344" s="144">
        <f t="shared" si="5"/>
        <v>3</v>
      </c>
      <c r="M344" s="145" t="s">
        <v>778</v>
      </c>
      <c r="N344" s="145" t="s">
        <v>192</v>
      </c>
      <c r="O344" s="145" t="s">
        <v>90</v>
      </c>
      <c r="P344" s="145"/>
    </row>
    <row r="345" spans="1:16" ht="15" customHeight="1">
      <c r="A345" s="136" t="s">
        <v>779</v>
      </c>
      <c r="B345" s="74">
        <v>0</v>
      </c>
      <c r="C345" s="152" t="s">
        <v>606</v>
      </c>
      <c r="D345" s="138">
        <v>45098</v>
      </c>
      <c r="E345" s="159">
        <v>45108</v>
      </c>
      <c r="F345" s="140" t="s">
        <v>780</v>
      </c>
      <c r="G345" s="78">
        <v>22000000</v>
      </c>
      <c r="H345" s="141">
        <v>45106</v>
      </c>
      <c r="I345" s="142" t="s">
        <v>33</v>
      </c>
      <c r="J345" s="143">
        <v>22000000</v>
      </c>
      <c r="K345" s="143"/>
      <c r="L345" s="144">
        <f t="shared" si="5"/>
        <v>-2</v>
      </c>
      <c r="M345" s="145" t="s">
        <v>770</v>
      </c>
      <c r="N345" s="145" t="s">
        <v>306</v>
      </c>
      <c r="O345" s="145" t="s">
        <v>90</v>
      </c>
      <c r="P345" s="145"/>
    </row>
    <row r="346" spans="1:16" ht="15" customHeight="1">
      <c r="A346" s="136" t="s">
        <v>779</v>
      </c>
      <c r="B346" s="74">
        <v>0</v>
      </c>
      <c r="C346" s="137" t="s">
        <v>607</v>
      </c>
      <c r="D346" s="138">
        <v>45098</v>
      </c>
      <c r="E346" s="159">
        <v>45113</v>
      </c>
      <c r="F346" s="140" t="s">
        <v>780</v>
      </c>
      <c r="G346" s="78">
        <v>14820000</v>
      </c>
      <c r="H346" s="141">
        <v>45097</v>
      </c>
      <c r="I346" s="142" t="s">
        <v>35</v>
      </c>
      <c r="J346" s="143">
        <v>14820000</v>
      </c>
      <c r="K346" s="143"/>
      <c r="L346" s="144">
        <f t="shared" si="5"/>
        <v>-16</v>
      </c>
      <c r="M346" s="145" t="s">
        <v>777</v>
      </c>
      <c r="N346" s="145" t="s">
        <v>112</v>
      </c>
      <c r="O346" s="145" t="s">
        <v>90</v>
      </c>
      <c r="P346" s="145"/>
    </row>
    <row r="347" spans="1:16" ht="15" customHeight="1">
      <c r="A347" s="136" t="s">
        <v>779</v>
      </c>
      <c r="B347" s="74">
        <v>0</v>
      </c>
      <c r="C347" s="137" t="s">
        <v>608</v>
      </c>
      <c r="D347" s="138">
        <v>45098</v>
      </c>
      <c r="E347" s="159">
        <v>45098</v>
      </c>
      <c r="F347" s="140" t="s">
        <v>780</v>
      </c>
      <c r="G347" s="78">
        <v>0</v>
      </c>
      <c r="H347" s="141"/>
      <c r="I347" s="142"/>
      <c r="J347" s="143"/>
      <c r="K347" s="143"/>
      <c r="L347" s="144" t="str">
        <f t="shared" si="5"/>
        <v>x</v>
      </c>
      <c r="M347" s="145" t="s">
        <v>777</v>
      </c>
      <c r="N347" s="145" t="s">
        <v>433</v>
      </c>
      <c r="O347" s="145" t="s">
        <v>90</v>
      </c>
      <c r="P347" s="145"/>
    </row>
    <row r="348" spans="1:16" ht="15" customHeight="1">
      <c r="A348" s="136" t="s">
        <v>779</v>
      </c>
      <c r="B348" s="74">
        <v>0</v>
      </c>
      <c r="C348" s="137" t="s">
        <v>609</v>
      </c>
      <c r="D348" s="138">
        <v>45098</v>
      </c>
      <c r="E348" s="159">
        <v>45128</v>
      </c>
      <c r="F348" s="140" t="s">
        <v>780</v>
      </c>
      <c r="G348" s="78">
        <v>0</v>
      </c>
      <c r="H348" s="141"/>
      <c r="I348" s="142"/>
      <c r="J348" s="143"/>
      <c r="K348" s="143"/>
      <c r="L348" s="144" t="str">
        <f t="shared" si="5"/>
        <v>x</v>
      </c>
      <c r="M348" s="145" t="s">
        <v>777</v>
      </c>
      <c r="N348" s="145" t="s">
        <v>117</v>
      </c>
      <c r="O348" s="145" t="s">
        <v>153</v>
      </c>
      <c r="P348" s="145"/>
    </row>
    <row r="349" spans="1:16" ht="15" customHeight="1">
      <c r="A349" s="136" t="s">
        <v>779</v>
      </c>
      <c r="B349" s="74">
        <v>0</v>
      </c>
      <c r="C349" s="152" t="s">
        <v>610</v>
      </c>
      <c r="D349" s="138">
        <v>45098</v>
      </c>
      <c r="E349" s="159">
        <v>45128</v>
      </c>
      <c r="F349" s="140" t="s">
        <v>780</v>
      </c>
      <c r="G349" s="78">
        <v>18600000</v>
      </c>
      <c r="H349" s="141"/>
      <c r="I349" s="142"/>
      <c r="J349" s="143"/>
      <c r="K349" s="143"/>
      <c r="L349" s="144" t="str">
        <f t="shared" si="5"/>
        <v>x</v>
      </c>
      <c r="M349" s="145" t="s">
        <v>777</v>
      </c>
      <c r="N349" s="145" t="s">
        <v>113</v>
      </c>
      <c r="O349" s="145" t="s">
        <v>90</v>
      </c>
      <c r="P349" s="145"/>
    </row>
    <row r="350" spans="1:16" ht="15" customHeight="1">
      <c r="A350" s="136" t="s">
        <v>779</v>
      </c>
      <c r="B350" s="74">
        <v>0</v>
      </c>
      <c r="C350" s="137" t="s">
        <v>611</v>
      </c>
      <c r="D350" s="148">
        <v>45098</v>
      </c>
      <c r="E350" s="159">
        <v>45113</v>
      </c>
      <c r="F350" s="140" t="s">
        <v>780</v>
      </c>
      <c r="G350" s="78">
        <v>0</v>
      </c>
      <c r="H350" s="141"/>
      <c r="I350" s="142"/>
      <c r="J350" s="143"/>
      <c r="K350" s="143"/>
      <c r="L350" s="144" t="str">
        <f t="shared" si="5"/>
        <v>x</v>
      </c>
      <c r="M350" s="145" t="s">
        <v>777</v>
      </c>
      <c r="N350" s="145" t="s">
        <v>119</v>
      </c>
      <c r="O350" s="145" t="s">
        <v>153</v>
      </c>
      <c r="P350" s="145"/>
    </row>
    <row r="351" spans="1:16" ht="15" customHeight="1">
      <c r="A351" s="136" t="s">
        <v>779</v>
      </c>
      <c r="B351" s="74">
        <v>0</v>
      </c>
      <c r="C351" s="137" t="s">
        <v>612</v>
      </c>
      <c r="D351" s="148">
        <v>45098</v>
      </c>
      <c r="E351" s="159">
        <v>45098</v>
      </c>
      <c r="F351" s="140" t="s">
        <v>780</v>
      </c>
      <c r="G351" s="78">
        <v>812000</v>
      </c>
      <c r="H351" s="141"/>
      <c r="I351" s="142"/>
      <c r="J351" s="143"/>
      <c r="K351" s="143"/>
      <c r="L351" s="144" t="str">
        <f t="shared" si="5"/>
        <v>x</v>
      </c>
      <c r="M351" s="145" t="s">
        <v>769</v>
      </c>
      <c r="N351" s="145" t="s">
        <v>307</v>
      </c>
      <c r="O351" s="145" t="s">
        <v>90</v>
      </c>
      <c r="P351" s="145"/>
    </row>
    <row r="352" spans="1:16" ht="15" customHeight="1">
      <c r="A352" s="136" t="s">
        <v>779</v>
      </c>
      <c r="B352" s="74">
        <v>0</v>
      </c>
      <c r="C352" s="137" t="s">
        <v>613</v>
      </c>
      <c r="D352" s="148">
        <v>45098</v>
      </c>
      <c r="E352" s="159">
        <v>45098</v>
      </c>
      <c r="F352" s="140" t="s">
        <v>780</v>
      </c>
      <c r="G352" s="78">
        <v>7020023</v>
      </c>
      <c r="H352" s="141"/>
      <c r="I352" s="142"/>
      <c r="J352" s="143"/>
      <c r="K352" s="143"/>
      <c r="L352" s="144" t="str">
        <f t="shared" si="5"/>
        <v>x</v>
      </c>
      <c r="M352" s="145" t="s">
        <v>769</v>
      </c>
      <c r="N352" s="145" t="s">
        <v>127</v>
      </c>
      <c r="O352" s="145" t="s">
        <v>90</v>
      </c>
      <c r="P352" s="145"/>
    </row>
    <row r="353" spans="1:16" ht="15" customHeight="1">
      <c r="A353" s="136" t="s">
        <v>779</v>
      </c>
      <c r="B353" s="74">
        <v>0</v>
      </c>
      <c r="C353" s="137" t="s">
        <v>614</v>
      </c>
      <c r="D353" s="148">
        <v>45098</v>
      </c>
      <c r="E353" s="159">
        <v>45098</v>
      </c>
      <c r="F353" s="140" t="s">
        <v>780</v>
      </c>
      <c r="G353" s="78">
        <v>0</v>
      </c>
      <c r="H353" s="141"/>
      <c r="I353" s="142"/>
      <c r="J353" s="143"/>
      <c r="K353" s="143"/>
      <c r="L353" s="144" t="str">
        <f t="shared" si="5"/>
        <v>x</v>
      </c>
      <c r="M353" s="145" t="s">
        <v>769</v>
      </c>
      <c r="N353" s="145" t="s">
        <v>105</v>
      </c>
      <c r="O353" s="145" t="s">
        <v>153</v>
      </c>
      <c r="P353" s="145"/>
    </row>
    <row r="354" spans="1:16" ht="15" customHeight="1">
      <c r="A354" s="136" t="s">
        <v>779</v>
      </c>
      <c r="B354" s="74">
        <v>0</v>
      </c>
      <c r="C354" s="137" t="s">
        <v>615</v>
      </c>
      <c r="D354" s="148">
        <v>45099</v>
      </c>
      <c r="E354" s="159">
        <v>45120</v>
      </c>
      <c r="F354" s="140" t="s">
        <v>780</v>
      </c>
      <c r="G354" s="78">
        <v>19600000</v>
      </c>
      <c r="H354" s="141"/>
      <c r="I354" s="142"/>
      <c r="J354" s="143"/>
      <c r="K354" s="143"/>
      <c r="L354" s="144" t="str">
        <f t="shared" si="5"/>
        <v>x</v>
      </c>
      <c r="M354" s="145" t="s">
        <v>769</v>
      </c>
      <c r="N354" s="145" t="s">
        <v>308</v>
      </c>
      <c r="O354" s="145" t="s">
        <v>90</v>
      </c>
      <c r="P354" s="145"/>
    </row>
    <row r="355" spans="1:16" ht="15" customHeight="1">
      <c r="A355" s="136" t="s">
        <v>779</v>
      </c>
      <c r="B355" s="74">
        <v>0</v>
      </c>
      <c r="C355" s="137" t="s">
        <v>616</v>
      </c>
      <c r="D355" s="148">
        <v>45099</v>
      </c>
      <c r="E355" s="159">
        <v>45109</v>
      </c>
      <c r="F355" s="140" t="s">
        <v>780</v>
      </c>
      <c r="G355" s="78">
        <v>32599996</v>
      </c>
      <c r="H355" s="141">
        <v>45106</v>
      </c>
      <c r="I355" s="142" t="s">
        <v>33</v>
      </c>
      <c r="J355" s="143">
        <v>32599996</v>
      </c>
      <c r="K355" s="143"/>
      <c r="L355" s="144">
        <f t="shared" si="5"/>
        <v>-3</v>
      </c>
      <c r="M355" s="145" t="s">
        <v>770</v>
      </c>
      <c r="N355" s="145" t="s">
        <v>313</v>
      </c>
      <c r="O355" s="145" t="s">
        <v>90</v>
      </c>
      <c r="P355" s="145"/>
    </row>
    <row r="356" spans="1:16" ht="15" customHeight="1">
      <c r="A356" s="136" t="s">
        <v>779</v>
      </c>
      <c r="B356" s="74">
        <v>0</v>
      </c>
      <c r="C356" s="137" t="s">
        <v>617</v>
      </c>
      <c r="D356" s="148">
        <v>45099</v>
      </c>
      <c r="E356" s="159">
        <v>45099</v>
      </c>
      <c r="F356" s="140" t="s">
        <v>780</v>
      </c>
      <c r="G356" s="78">
        <v>660000</v>
      </c>
      <c r="H356" s="141">
        <v>45099</v>
      </c>
      <c r="I356" s="142" t="s">
        <v>35</v>
      </c>
      <c r="J356" s="143">
        <v>660000</v>
      </c>
      <c r="K356" s="143"/>
      <c r="L356" s="144">
        <f t="shared" si="5"/>
        <v>0</v>
      </c>
      <c r="M356" s="145" t="s">
        <v>771</v>
      </c>
      <c r="N356" s="145" t="s">
        <v>309</v>
      </c>
      <c r="O356" s="145" t="s">
        <v>90</v>
      </c>
      <c r="P356" s="145"/>
    </row>
    <row r="357" spans="1:16" ht="15" customHeight="1">
      <c r="A357" s="136" t="s">
        <v>779</v>
      </c>
      <c r="B357" s="74">
        <v>0</v>
      </c>
      <c r="C357" s="152" t="s">
        <v>618</v>
      </c>
      <c r="D357" s="148">
        <v>45099</v>
      </c>
      <c r="E357" s="159">
        <v>45104</v>
      </c>
      <c r="F357" s="140" t="s">
        <v>780</v>
      </c>
      <c r="G357" s="78">
        <v>25380000</v>
      </c>
      <c r="H357" s="141"/>
      <c r="I357" s="142"/>
      <c r="J357" s="143"/>
      <c r="K357" s="143"/>
      <c r="L357" s="144" t="str">
        <f t="shared" si="5"/>
        <v>x</v>
      </c>
      <c r="M357" s="145" t="s">
        <v>778</v>
      </c>
      <c r="N357" s="145" t="s">
        <v>193</v>
      </c>
      <c r="O357" s="145" t="s">
        <v>90</v>
      </c>
      <c r="P357" s="145"/>
    </row>
    <row r="358" spans="1:16" ht="15" customHeight="1">
      <c r="A358" s="136" t="s">
        <v>779</v>
      </c>
      <c r="B358" s="74">
        <v>0</v>
      </c>
      <c r="C358" s="152" t="s">
        <v>619</v>
      </c>
      <c r="D358" s="148">
        <v>45099</v>
      </c>
      <c r="E358" s="159">
        <v>45129</v>
      </c>
      <c r="F358" s="140" t="s">
        <v>780</v>
      </c>
      <c r="G358" s="78">
        <v>25250000</v>
      </c>
      <c r="H358" s="141">
        <v>45103</v>
      </c>
      <c r="I358" s="142" t="s">
        <v>35</v>
      </c>
      <c r="J358" s="143">
        <v>25250000</v>
      </c>
      <c r="K358" s="143"/>
      <c r="L358" s="144">
        <f t="shared" si="5"/>
        <v>-26</v>
      </c>
      <c r="M358" s="145" t="s">
        <v>775</v>
      </c>
      <c r="N358" s="145" t="s">
        <v>310</v>
      </c>
      <c r="O358" s="145" t="s">
        <v>90</v>
      </c>
      <c r="P358" s="145"/>
    </row>
    <row r="359" spans="1:16" ht="15" customHeight="1">
      <c r="A359" s="136" t="s">
        <v>779</v>
      </c>
      <c r="B359" s="74">
        <v>0</v>
      </c>
      <c r="C359" s="137" t="s">
        <v>620</v>
      </c>
      <c r="D359" s="138">
        <v>45099</v>
      </c>
      <c r="E359" s="159">
        <v>45120</v>
      </c>
      <c r="F359" s="140" t="s">
        <v>780</v>
      </c>
      <c r="G359" s="78">
        <v>12000000</v>
      </c>
      <c r="H359" s="141">
        <v>45104</v>
      </c>
      <c r="I359" s="142" t="s">
        <v>35</v>
      </c>
      <c r="J359" s="143">
        <v>12000000</v>
      </c>
      <c r="K359" s="143"/>
      <c r="L359" s="144">
        <f t="shared" si="5"/>
        <v>-16</v>
      </c>
      <c r="M359" s="145" t="s">
        <v>769</v>
      </c>
      <c r="N359" s="145" t="s">
        <v>315</v>
      </c>
      <c r="O359" s="145" t="s">
        <v>90</v>
      </c>
      <c r="P359" s="145"/>
    </row>
    <row r="360" spans="1:16" ht="15" customHeight="1">
      <c r="A360" s="136" t="s">
        <v>779</v>
      </c>
      <c r="B360" s="74">
        <v>0</v>
      </c>
      <c r="C360" s="137" t="s">
        <v>621</v>
      </c>
      <c r="D360" s="138">
        <v>45099</v>
      </c>
      <c r="E360" s="159">
        <v>45113</v>
      </c>
      <c r="F360" s="140" t="s">
        <v>780</v>
      </c>
      <c r="G360" s="78">
        <v>280000</v>
      </c>
      <c r="H360" s="141"/>
      <c r="I360" s="142"/>
      <c r="J360" s="143"/>
      <c r="K360" s="143"/>
      <c r="L360" s="144" t="str">
        <f t="shared" si="5"/>
        <v>x</v>
      </c>
      <c r="M360" s="145" t="s">
        <v>770</v>
      </c>
      <c r="N360" s="145" t="s">
        <v>317</v>
      </c>
      <c r="O360" s="145" t="s">
        <v>90</v>
      </c>
      <c r="P360" s="145"/>
    </row>
    <row r="361" spans="1:16" ht="15" customHeight="1">
      <c r="A361" s="136" t="s">
        <v>779</v>
      </c>
      <c r="B361" s="74">
        <v>0</v>
      </c>
      <c r="C361" s="137" t="s">
        <v>622</v>
      </c>
      <c r="D361" s="138">
        <v>45099</v>
      </c>
      <c r="E361" s="159">
        <v>45099</v>
      </c>
      <c r="F361" s="140" t="s">
        <v>780</v>
      </c>
      <c r="G361" s="78">
        <v>973500</v>
      </c>
      <c r="H361" s="141">
        <v>45099</v>
      </c>
      <c r="I361" s="142">
        <v>111</v>
      </c>
      <c r="J361" s="143">
        <v>973500</v>
      </c>
      <c r="K361" s="143"/>
      <c r="L361" s="144">
        <f t="shared" si="5"/>
        <v>0</v>
      </c>
      <c r="M361" s="145" t="s">
        <v>770</v>
      </c>
      <c r="N361" s="145" t="s">
        <v>267</v>
      </c>
      <c r="O361" s="145" t="s">
        <v>90</v>
      </c>
      <c r="P361" s="145"/>
    </row>
    <row r="362" spans="1:16" ht="15" customHeight="1">
      <c r="A362" s="136" t="s">
        <v>779</v>
      </c>
      <c r="B362" s="74">
        <v>0</v>
      </c>
      <c r="C362" s="137" t="s">
        <v>623</v>
      </c>
      <c r="D362" s="138">
        <v>45099</v>
      </c>
      <c r="E362" s="159">
        <v>45107</v>
      </c>
      <c r="F362" s="140" t="s">
        <v>780</v>
      </c>
      <c r="G362" s="78">
        <v>4560001</v>
      </c>
      <c r="H362" s="141"/>
      <c r="I362" s="142"/>
      <c r="J362" s="143"/>
      <c r="K362" s="143"/>
      <c r="L362" s="144" t="str">
        <f t="shared" si="5"/>
        <v>x</v>
      </c>
      <c r="M362" s="145" t="s">
        <v>776</v>
      </c>
      <c r="N362" s="145" t="s">
        <v>722</v>
      </c>
      <c r="O362" s="145" t="s">
        <v>90</v>
      </c>
      <c r="P362" s="145"/>
    </row>
    <row r="363" spans="1:16" ht="15" customHeight="1">
      <c r="A363" s="136" t="s">
        <v>779</v>
      </c>
      <c r="B363" s="74">
        <v>0</v>
      </c>
      <c r="C363" s="137" t="s">
        <v>624</v>
      </c>
      <c r="D363" s="138">
        <v>45099</v>
      </c>
      <c r="E363" s="159">
        <v>45129</v>
      </c>
      <c r="F363" s="140" t="s">
        <v>780</v>
      </c>
      <c r="G363" s="78">
        <v>490000</v>
      </c>
      <c r="H363" s="141">
        <v>45103</v>
      </c>
      <c r="I363" s="142" t="s">
        <v>35</v>
      </c>
      <c r="J363" s="143">
        <v>490000</v>
      </c>
      <c r="K363" s="143"/>
      <c r="L363" s="144">
        <f t="shared" si="5"/>
        <v>-26</v>
      </c>
      <c r="M363" s="145" t="s">
        <v>775</v>
      </c>
      <c r="N363" s="145" t="s">
        <v>318</v>
      </c>
      <c r="O363" s="145" t="s">
        <v>90</v>
      </c>
      <c r="P363" s="145"/>
    </row>
    <row r="364" spans="1:16" ht="15" customHeight="1">
      <c r="A364" s="136" t="s">
        <v>779</v>
      </c>
      <c r="B364" s="74">
        <v>0</v>
      </c>
      <c r="C364" s="137" t="s">
        <v>625</v>
      </c>
      <c r="D364" s="138">
        <v>45099</v>
      </c>
      <c r="E364" s="159">
        <v>45099</v>
      </c>
      <c r="F364" s="140" t="s">
        <v>780</v>
      </c>
      <c r="G364" s="78">
        <v>7200001</v>
      </c>
      <c r="H364" s="141">
        <v>45100</v>
      </c>
      <c r="I364" s="142" t="s">
        <v>35</v>
      </c>
      <c r="J364" s="143">
        <v>7200000</v>
      </c>
      <c r="K364" s="143"/>
      <c r="L364" s="144">
        <f t="shared" si="5"/>
        <v>1</v>
      </c>
      <c r="M364" s="145" t="s">
        <v>772</v>
      </c>
      <c r="N364" s="145" t="s">
        <v>316</v>
      </c>
      <c r="O364" s="145" t="s">
        <v>90</v>
      </c>
      <c r="P364" s="145"/>
    </row>
    <row r="365" spans="1:16" ht="15" customHeight="1">
      <c r="A365" s="136" t="s">
        <v>779</v>
      </c>
      <c r="B365" s="74">
        <v>0</v>
      </c>
      <c r="C365" s="137" t="s">
        <v>625</v>
      </c>
      <c r="D365" s="138">
        <v>45099</v>
      </c>
      <c r="E365" s="159">
        <v>45099</v>
      </c>
      <c r="F365" s="140" t="s">
        <v>780</v>
      </c>
      <c r="G365" s="78">
        <v>0</v>
      </c>
      <c r="H365" s="141">
        <v>45100</v>
      </c>
      <c r="I365" s="142">
        <v>641</v>
      </c>
      <c r="J365" s="143">
        <v>1</v>
      </c>
      <c r="K365" s="143"/>
      <c r="L365" s="144">
        <f t="shared" si="5"/>
        <v>1</v>
      </c>
      <c r="M365" s="145" t="s">
        <v>772</v>
      </c>
      <c r="N365" s="145" t="s">
        <v>316</v>
      </c>
      <c r="O365" s="145" t="s">
        <v>90</v>
      </c>
      <c r="P365" s="145"/>
    </row>
    <row r="366" spans="1:16" ht="15" customHeight="1">
      <c r="A366" s="136" t="s">
        <v>779</v>
      </c>
      <c r="B366" s="74">
        <v>0</v>
      </c>
      <c r="C366" s="137" t="s">
        <v>626</v>
      </c>
      <c r="D366" s="138">
        <v>45099</v>
      </c>
      <c r="E366" s="159">
        <v>45109</v>
      </c>
      <c r="F366" s="140" t="s">
        <v>780</v>
      </c>
      <c r="G366" s="78">
        <v>24024999</v>
      </c>
      <c r="H366" s="141">
        <v>45106</v>
      </c>
      <c r="I366" s="142" t="s">
        <v>33</v>
      </c>
      <c r="J366" s="143">
        <v>24024999</v>
      </c>
      <c r="K366" s="143"/>
      <c r="L366" s="144">
        <f t="shared" si="5"/>
        <v>-3</v>
      </c>
      <c r="M366" s="145" t="s">
        <v>770</v>
      </c>
      <c r="N366" s="145" t="s">
        <v>320</v>
      </c>
      <c r="O366" s="145" t="s">
        <v>90</v>
      </c>
      <c r="P366" s="145"/>
    </row>
    <row r="367" spans="1:16" ht="15" customHeight="1">
      <c r="A367" s="136" t="s">
        <v>779</v>
      </c>
      <c r="B367" s="74">
        <v>0</v>
      </c>
      <c r="C367" s="137" t="s">
        <v>627</v>
      </c>
      <c r="D367" s="138">
        <v>45099</v>
      </c>
      <c r="E367" s="159">
        <v>45099</v>
      </c>
      <c r="F367" s="140" t="s">
        <v>780</v>
      </c>
      <c r="G367" s="78">
        <v>108000024</v>
      </c>
      <c r="H367" s="141">
        <v>45103</v>
      </c>
      <c r="I367" s="142" t="s">
        <v>35</v>
      </c>
      <c r="J367" s="143">
        <v>78000000</v>
      </c>
      <c r="K367" s="143"/>
      <c r="L367" s="144">
        <f t="shared" si="5"/>
        <v>4</v>
      </c>
      <c r="M367" s="145" t="s">
        <v>778</v>
      </c>
      <c r="N367" s="145" t="s">
        <v>196</v>
      </c>
      <c r="O367" s="145" t="s">
        <v>90</v>
      </c>
      <c r="P367" s="145"/>
    </row>
    <row r="368" spans="1:16" ht="15" customHeight="1">
      <c r="A368" s="136" t="s">
        <v>779</v>
      </c>
      <c r="B368" s="74">
        <v>0</v>
      </c>
      <c r="C368" s="137" t="s">
        <v>628</v>
      </c>
      <c r="D368" s="138">
        <v>45100</v>
      </c>
      <c r="E368" s="159">
        <v>45121</v>
      </c>
      <c r="F368" s="140" t="s">
        <v>780</v>
      </c>
      <c r="G368" s="78">
        <v>47700000</v>
      </c>
      <c r="H368" s="141">
        <v>45104</v>
      </c>
      <c r="I368" s="142" t="s">
        <v>35</v>
      </c>
      <c r="J368" s="143">
        <v>47700000</v>
      </c>
      <c r="K368" s="143"/>
      <c r="L368" s="144">
        <f t="shared" si="5"/>
        <v>-17</v>
      </c>
      <c r="M368" s="145" t="s">
        <v>769</v>
      </c>
      <c r="N368" s="145" t="s">
        <v>319</v>
      </c>
      <c r="O368" s="145" t="s">
        <v>90</v>
      </c>
      <c r="P368" s="145"/>
    </row>
    <row r="369" spans="1:16" ht="15" customHeight="1">
      <c r="A369" s="136" t="s">
        <v>779</v>
      </c>
      <c r="B369" s="74">
        <v>0</v>
      </c>
      <c r="C369" s="137" t="s">
        <v>629</v>
      </c>
      <c r="D369" s="138">
        <v>45100</v>
      </c>
      <c r="E369" s="159">
        <v>45100</v>
      </c>
      <c r="F369" s="140" t="s">
        <v>780</v>
      </c>
      <c r="G369" s="78">
        <v>9642001</v>
      </c>
      <c r="H369" s="141"/>
      <c r="I369" s="142"/>
      <c r="J369" s="143"/>
      <c r="K369" s="143"/>
      <c r="L369" s="144" t="str">
        <f t="shared" si="5"/>
        <v>x</v>
      </c>
      <c r="M369" s="145" t="s">
        <v>769</v>
      </c>
      <c r="N369" s="145" t="s">
        <v>312</v>
      </c>
      <c r="O369" s="145" t="s">
        <v>90</v>
      </c>
      <c r="P369" s="145"/>
    </row>
    <row r="370" spans="1:16" ht="15" customHeight="1">
      <c r="A370" s="136" t="s">
        <v>779</v>
      </c>
      <c r="B370" s="74">
        <v>0</v>
      </c>
      <c r="C370" s="137" t="s">
        <v>630</v>
      </c>
      <c r="D370" s="138">
        <v>45100</v>
      </c>
      <c r="E370" s="159">
        <v>45100</v>
      </c>
      <c r="F370" s="140" t="s">
        <v>780</v>
      </c>
      <c r="G370" s="78">
        <v>660000</v>
      </c>
      <c r="H370" s="141">
        <v>45101</v>
      </c>
      <c r="I370" s="142" t="s">
        <v>35</v>
      </c>
      <c r="J370" s="143">
        <v>660000</v>
      </c>
      <c r="K370" s="143"/>
      <c r="L370" s="144">
        <f t="shared" si="5"/>
        <v>1</v>
      </c>
      <c r="M370" s="145" t="s">
        <v>771</v>
      </c>
      <c r="N370" s="145" t="s">
        <v>322</v>
      </c>
      <c r="O370" s="145" t="s">
        <v>90</v>
      </c>
      <c r="P370" s="145"/>
    </row>
    <row r="371" spans="1:16" ht="15" customHeight="1">
      <c r="A371" s="136" t="s">
        <v>779</v>
      </c>
      <c r="B371" s="74">
        <v>0</v>
      </c>
      <c r="C371" s="137" t="s">
        <v>631</v>
      </c>
      <c r="D371" s="138">
        <v>45100</v>
      </c>
      <c r="E371" s="159">
        <v>45107</v>
      </c>
      <c r="F371" s="140" t="s">
        <v>780</v>
      </c>
      <c r="G371" s="78">
        <v>3976500</v>
      </c>
      <c r="H371" s="141"/>
      <c r="I371" s="142"/>
      <c r="J371" s="143"/>
      <c r="K371" s="143"/>
      <c r="L371" s="144" t="str">
        <f t="shared" si="5"/>
        <v>x</v>
      </c>
      <c r="M371" s="145" t="s">
        <v>770</v>
      </c>
      <c r="N371" s="145" t="s">
        <v>324</v>
      </c>
      <c r="O371" s="145" t="s">
        <v>90</v>
      </c>
      <c r="P371" s="145"/>
    </row>
    <row r="372" spans="1:16" ht="15" customHeight="1">
      <c r="A372" s="136" t="s">
        <v>779</v>
      </c>
      <c r="B372" s="74">
        <v>0</v>
      </c>
      <c r="C372" s="152" t="s">
        <v>632</v>
      </c>
      <c r="D372" s="138">
        <v>45100</v>
      </c>
      <c r="E372" s="159">
        <v>45107</v>
      </c>
      <c r="F372" s="140" t="s">
        <v>780</v>
      </c>
      <c r="G372" s="78">
        <v>6449999</v>
      </c>
      <c r="H372" s="141">
        <v>45096</v>
      </c>
      <c r="I372" s="142" t="s">
        <v>33</v>
      </c>
      <c r="J372" s="143">
        <v>6449999</v>
      </c>
      <c r="K372" s="143"/>
      <c r="L372" s="144">
        <f t="shared" si="5"/>
        <v>-11</v>
      </c>
      <c r="M372" s="145" t="s">
        <v>769</v>
      </c>
      <c r="N372" s="145" t="s">
        <v>321</v>
      </c>
      <c r="O372" s="145" t="s">
        <v>90</v>
      </c>
      <c r="P372" s="145"/>
    </row>
    <row r="373" spans="1:16" ht="15" customHeight="1">
      <c r="A373" s="136" t="s">
        <v>779</v>
      </c>
      <c r="B373" s="74">
        <v>0</v>
      </c>
      <c r="C373" s="137" t="s">
        <v>633</v>
      </c>
      <c r="D373" s="138">
        <v>45100</v>
      </c>
      <c r="E373" s="159">
        <v>45110</v>
      </c>
      <c r="F373" s="140" t="s">
        <v>780</v>
      </c>
      <c r="G373" s="78">
        <v>19600000</v>
      </c>
      <c r="H373" s="141"/>
      <c r="I373" s="142"/>
      <c r="J373" s="143"/>
      <c r="K373" s="143"/>
      <c r="L373" s="144" t="str">
        <f t="shared" si="5"/>
        <v>x</v>
      </c>
      <c r="M373" s="145" t="s">
        <v>770</v>
      </c>
      <c r="N373" s="145" t="s">
        <v>328</v>
      </c>
      <c r="O373" s="145" t="s">
        <v>90</v>
      </c>
      <c r="P373" s="145"/>
    </row>
    <row r="374" spans="1:16" ht="15" customHeight="1">
      <c r="A374" s="136" t="s">
        <v>779</v>
      </c>
      <c r="B374" s="74">
        <v>0</v>
      </c>
      <c r="C374" s="137" t="s">
        <v>634</v>
      </c>
      <c r="D374" s="138">
        <v>45100</v>
      </c>
      <c r="E374" s="159">
        <v>45121</v>
      </c>
      <c r="F374" s="140" t="s">
        <v>780</v>
      </c>
      <c r="G374" s="78">
        <v>39105999</v>
      </c>
      <c r="H374" s="141"/>
      <c r="I374" s="142"/>
      <c r="J374" s="143"/>
      <c r="K374" s="143"/>
      <c r="L374" s="144" t="str">
        <f t="shared" si="5"/>
        <v>x</v>
      </c>
      <c r="M374" s="145" t="s">
        <v>769</v>
      </c>
      <c r="N374" s="145" t="s">
        <v>325</v>
      </c>
      <c r="O374" s="145" t="s">
        <v>90</v>
      </c>
      <c r="P374" s="145"/>
    </row>
    <row r="375" spans="1:16" ht="15" customHeight="1">
      <c r="A375" s="136" t="s">
        <v>779</v>
      </c>
      <c r="B375" s="74">
        <v>0</v>
      </c>
      <c r="C375" s="137" t="s">
        <v>635</v>
      </c>
      <c r="D375" s="138">
        <v>45100</v>
      </c>
      <c r="E375" s="159">
        <v>45110</v>
      </c>
      <c r="F375" s="140" t="s">
        <v>780</v>
      </c>
      <c r="G375" s="78">
        <v>16700001</v>
      </c>
      <c r="H375" s="141"/>
      <c r="I375" s="142"/>
      <c r="J375" s="143"/>
      <c r="K375" s="143"/>
      <c r="L375" s="144" t="str">
        <f t="shared" si="5"/>
        <v>x</v>
      </c>
      <c r="M375" s="145" t="s">
        <v>770</v>
      </c>
      <c r="N375" s="145" t="s">
        <v>329</v>
      </c>
      <c r="O375" s="145" t="s">
        <v>90</v>
      </c>
      <c r="P375" s="145"/>
    </row>
    <row r="376" spans="1:16" ht="15" customHeight="1">
      <c r="A376" s="136" t="s">
        <v>779</v>
      </c>
      <c r="B376" s="74">
        <v>0</v>
      </c>
      <c r="C376" s="137" t="s">
        <v>636</v>
      </c>
      <c r="D376" s="138">
        <v>45100</v>
      </c>
      <c r="E376" s="159">
        <v>45130</v>
      </c>
      <c r="F376" s="140" t="s">
        <v>780</v>
      </c>
      <c r="G376" s="78">
        <v>59779999</v>
      </c>
      <c r="H376" s="141">
        <v>45103</v>
      </c>
      <c r="I376" s="142" t="s">
        <v>35</v>
      </c>
      <c r="J376" s="143">
        <v>59779999</v>
      </c>
      <c r="K376" s="143"/>
      <c r="L376" s="144">
        <f t="shared" si="5"/>
        <v>-27</v>
      </c>
      <c r="M376" s="145" t="s">
        <v>772</v>
      </c>
      <c r="N376" s="145" t="s">
        <v>327</v>
      </c>
      <c r="O376" s="145" t="s">
        <v>90</v>
      </c>
      <c r="P376" s="145"/>
    </row>
    <row r="377" spans="1:16" ht="15" customHeight="1">
      <c r="A377" s="136" t="s">
        <v>779</v>
      </c>
      <c r="B377" s="74">
        <v>0</v>
      </c>
      <c r="C377" s="137" t="s">
        <v>149</v>
      </c>
      <c r="D377" s="138">
        <v>45100</v>
      </c>
      <c r="E377" s="159">
        <v>45130</v>
      </c>
      <c r="F377" s="140" t="s">
        <v>780</v>
      </c>
      <c r="G377" s="78">
        <v>5140001</v>
      </c>
      <c r="H377" s="141"/>
      <c r="I377" s="142"/>
      <c r="J377" s="143"/>
      <c r="K377" s="143"/>
      <c r="L377" s="144" t="str">
        <f t="shared" si="5"/>
        <v>x</v>
      </c>
      <c r="M377" s="145" t="s">
        <v>777</v>
      </c>
      <c r="N377" s="145" t="s">
        <v>120</v>
      </c>
      <c r="O377" s="145" t="s">
        <v>90</v>
      </c>
      <c r="P377" s="145"/>
    </row>
    <row r="378" spans="1:16" ht="15" customHeight="1">
      <c r="A378" s="136" t="s">
        <v>779</v>
      </c>
      <c r="B378" s="74">
        <v>0</v>
      </c>
      <c r="C378" s="137" t="s">
        <v>637</v>
      </c>
      <c r="D378" s="138">
        <v>45101</v>
      </c>
      <c r="E378" s="159">
        <v>45122</v>
      </c>
      <c r="F378" s="140" t="s">
        <v>780</v>
      </c>
      <c r="G378" s="78">
        <v>82749997</v>
      </c>
      <c r="H378" s="141">
        <v>45104</v>
      </c>
      <c r="I378" s="142" t="s">
        <v>35</v>
      </c>
      <c r="J378" s="143">
        <v>58600002</v>
      </c>
      <c r="K378" s="143"/>
      <c r="L378" s="144">
        <f t="shared" si="5"/>
        <v>-18</v>
      </c>
      <c r="M378" s="145" t="s">
        <v>769</v>
      </c>
      <c r="N378" s="145" t="s">
        <v>326</v>
      </c>
      <c r="O378" s="145" t="s">
        <v>90</v>
      </c>
      <c r="P378" s="145"/>
    </row>
    <row r="379" spans="1:16" ht="15" customHeight="1">
      <c r="A379" s="136" t="s">
        <v>779</v>
      </c>
      <c r="B379" s="74">
        <v>0</v>
      </c>
      <c r="C379" s="137" t="s">
        <v>638</v>
      </c>
      <c r="D379" s="138">
        <v>45101</v>
      </c>
      <c r="E379" s="159">
        <v>45131</v>
      </c>
      <c r="F379" s="140" t="s">
        <v>780</v>
      </c>
      <c r="G379" s="78">
        <v>13440000</v>
      </c>
      <c r="H379" s="141">
        <v>45103</v>
      </c>
      <c r="I379" s="142" t="s">
        <v>35</v>
      </c>
      <c r="J379" s="143">
        <v>11620000</v>
      </c>
      <c r="K379" s="143"/>
      <c r="L379" s="144">
        <f t="shared" si="5"/>
        <v>-28</v>
      </c>
      <c r="M379" s="145" t="s">
        <v>776</v>
      </c>
      <c r="N379" s="145" t="s">
        <v>432</v>
      </c>
      <c r="O379" s="145" t="s">
        <v>90</v>
      </c>
      <c r="P379" s="145"/>
    </row>
    <row r="380" spans="1:16" ht="15" customHeight="1">
      <c r="A380" s="136" t="s">
        <v>779</v>
      </c>
      <c r="B380" s="74">
        <v>0</v>
      </c>
      <c r="C380" s="137" t="s">
        <v>639</v>
      </c>
      <c r="D380" s="138">
        <v>45101</v>
      </c>
      <c r="E380" s="159">
        <v>45101</v>
      </c>
      <c r="F380" s="140" t="s">
        <v>780</v>
      </c>
      <c r="G380" s="78">
        <v>1328000</v>
      </c>
      <c r="H380" s="141">
        <v>45103</v>
      </c>
      <c r="I380" s="142" t="s">
        <v>35</v>
      </c>
      <c r="J380" s="143">
        <v>1328000</v>
      </c>
      <c r="K380" s="143"/>
      <c r="L380" s="144">
        <f t="shared" si="5"/>
        <v>2</v>
      </c>
      <c r="M380" s="145" t="s">
        <v>772</v>
      </c>
      <c r="N380" s="145" t="s">
        <v>723</v>
      </c>
      <c r="O380" s="145" t="s">
        <v>90</v>
      </c>
      <c r="P380" s="145"/>
    </row>
    <row r="381" spans="1:16" ht="15" customHeight="1">
      <c r="A381" s="136" t="s">
        <v>779</v>
      </c>
      <c r="B381" s="74">
        <v>0</v>
      </c>
      <c r="C381" s="137" t="s">
        <v>640</v>
      </c>
      <c r="D381" s="138">
        <v>45101</v>
      </c>
      <c r="E381" s="159">
        <v>45101</v>
      </c>
      <c r="F381" s="140" t="s">
        <v>780</v>
      </c>
      <c r="G381" s="78">
        <v>468001</v>
      </c>
      <c r="H381" s="141"/>
      <c r="I381" s="142"/>
      <c r="J381" s="143"/>
      <c r="K381" s="143"/>
      <c r="L381" s="144" t="str">
        <f t="shared" si="5"/>
        <v>x</v>
      </c>
      <c r="M381" s="145" t="s">
        <v>769</v>
      </c>
      <c r="N381" s="145" t="s">
        <v>431</v>
      </c>
      <c r="O381" s="145" t="s">
        <v>90</v>
      </c>
      <c r="P381" s="145"/>
    </row>
    <row r="382" spans="1:16" ht="15" customHeight="1">
      <c r="A382" s="136" t="s">
        <v>779</v>
      </c>
      <c r="B382" s="74">
        <v>0</v>
      </c>
      <c r="C382" s="137" t="s">
        <v>641</v>
      </c>
      <c r="D382" s="138">
        <v>45101</v>
      </c>
      <c r="E382" s="159">
        <v>45107</v>
      </c>
      <c r="F382" s="140" t="s">
        <v>780</v>
      </c>
      <c r="G382" s="78">
        <v>360000</v>
      </c>
      <c r="H382" s="141"/>
      <c r="I382" s="142"/>
      <c r="J382" s="143"/>
      <c r="K382" s="143"/>
      <c r="L382" s="144" t="str">
        <f t="shared" si="5"/>
        <v>x</v>
      </c>
      <c r="M382" s="145" t="s">
        <v>776</v>
      </c>
      <c r="N382" s="145" t="s">
        <v>705</v>
      </c>
      <c r="O382" s="145" t="s">
        <v>90</v>
      </c>
      <c r="P382" s="145"/>
    </row>
    <row r="383" spans="1:16" ht="15" customHeight="1">
      <c r="A383" s="136" t="s">
        <v>779</v>
      </c>
      <c r="B383" s="74">
        <v>0</v>
      </c>
      <c r="C383" s="137" t="s">
        <v>642</v>
      </c>
      <c r="D383" s="138">
        <v>45101</v>
      </c>
      <c r="E383" s="159">
        <v>45116</v>
      </c>
      <c r="F383" s="140" t="s">
        <v>780</v>
      </c>
      <c r="G383" s="78">
        <v>5374998</v>
      </c>
      <c r="H383" s="141"/>
      <c r="I383" s="142"/>
      <c r="J383" s="143"/>
      <c r="K383" s="143"/>
      <c r="L383" s="144" t="str">
        <f t="shared" si="5"/>
        <v>x</v>
      </c>
      <c r="M383" s="145" t="s">
        <v>770</v>
      </c>
      <c r="N383" s="145" t="s">
        <v>724</v>
      </c>
      <c r="O383" s="145" t="s">
        <v>90</v>
      </c>
      <c r="P383" s="145"/>
    </row>
    <row r="384" spans="1:16" ht="15" customHeight="1">
      <c r="A384" s="136" t="s">
        <v>779</v>
      </c>
      <c r="B384" s="74">
        <v>0</v>
      </c>
      <c r="C384" s="137" t="s">
        <v>643</v>
      </c>
      <c r="D384" s="138">
        <v>45101</v>
      </c>
      <c r="E384" s="159">
        <v>45101</v>
      </c>
      <c r="F384" s="140" t="s">
        <v>780</v>
      </c>
      <c r="G384" s="78">
        <v>480000</v>
      </c>
      <c r="H384" s="141">
        <v>45103</v>
      </c>
      <c r="I384" s="142" t="s">
        <v>35</v>
      </c>
      <c r="J384" s="143">
        <v>480000</v>
      </c>
      <c r="K384" s="143"/>
      <c r="L384" s="144">
        <f t="shared" si="5"/>
        <v>2</v>
      </c>
      <c r="M384" s="145" t="s">
        <v>772</v>
      </c>
      <c r="N384" s="145" t="s">
        <v>725</v>
      </c>
      <c r="O384" s="145" t="s">
        <v>90</v>
      </c>
      <c r="P384" s="145"/>
    </row>
    <row r="385" spans="1:16" ht="15" customHeight="1">
      <c r="A385" s="136" t="s">
        <v>779</v>
      </c>
      <c r="B385" s="74">
        <v>0</v>
      </c>
      <c r="C385" s="137" t="s">
        <v>644</v>
      </c>
      <c r="D385" s="138">
        <v>45101</v>
      </c>
      <c r="E385" s="159">
        <v>45111</v>
      </c>
      <c r="F385" s="140" t="s">
        <v>780</v>
      </c>
      <c r="G385" s="78">
        <v>22024999</v>
      </c>
      <c r="H385" s="141"/>
      <c r="I385" s="142"/>
      <c r="J385" s="143"/>
      <c r="K385" s="143"/>
      <c r="L385" s="144" t="str">
        <f t="shared" si="5"/>
        <v>x</v>
      </c>
      <c r="M385" s="145" t="s">
        <v>770</v>
      </c>
      <c r="N385" s="145" t="s">
        <v>726</v>
      </c>
      <c r="O385" s="145" t="s">
        <v>90</v>
      </c>
      <c r="P385" s="145"/>
    </row>
    <row r="386" spans="1:16" ht="15" customHeight="1">
      <c r="A386" s="136" t="s">
        <v>779</v>
      </c>
      <c r="B386" s="74">
        <v>0</v>
      </c>
      <c r="C386" s="152" t="s">
        <v>645</v>
      </c>
      <c r="D386" s="138">
        <v>45101</v>
      </c>
      <c r="E386" s="159">
        <v>45131</v>
      </c>
      <c r="F386" s="140" t="s">
        <v>780</v>
      </c>
      <c r="G386" s="78">
        <v>38519996</v>
      </c>
      <c r="H386" s="141">
        <v>45106</v>
      </c>
      <c r="I386" s="142" t="s">
        <v>33</v>
      </c>
      <c r="J386" s="143">
        <v>38519996</v>
      </c>
      <c r="K386" s="143"/>
      <c r="L386" s="144">
        <f t="shared" si="5"/>
        <v>-25</v>
      </c>
      <c r="M386" s="145" t="s">
        <v>778</v>
      </c>
      <c r="N386" s="145" t="s">
        <v>727</v>
      </c>
      <c r="O386" s="145" t="s">
        <v>90</v>
      </c>
      <c r="P386" s="145"/>
    </row>
    <row r="387" spans="1:16" ht="15" customHeight="1">
      <c r="A387" s="136" t="s">
        <v>779</v>
      </c>
      <c r="B387" s="74">
        <v>0</v>
      </c>
      <c r="C387" s="137" t="s">
        <v>646</v>
      </c>
      <c r="D387" s="138">
        <v>45103</v>
      </c>
      <c r="E387" s="159">
        <v>45110</v>
      </c>
      <c r="F387" s="140" t="s">
        <v>780</v>
      </c>
      <c r="G387" s="78">
        <v>580000</v>
      </c>
      <c r="H387" s="141"/>
      <c r="I387" s="142"/>
      <c r="J387" s="143"/>
      <c r="K387" s="143"/>
      <c r="L387" s="144" t="str">
        <f t="shared" ref="L387:L450" si="6">IF(J387="","x",H387-E387)</f>
        <v>x</v>
      </c>
      <c r="M387" s="145" t="s">
        <v>770</v>
      </c>
      <c r="N387" s="145" t="s">
        <v>728</v>
      </c>
      <c r="O387" s="145" t="s">
        <v>90</v>
      </c>
      <c r="P387" s="145"/>
    </row>
    <row r="388" spans="1:16" ht="15" customHeight="1">
      <c r="A388" s="136" t="s">
        <v>779</v>
      </c>
      <c r="B388" s="74">
        <v>0</v>
      </c>
      <c r="C388" s="152" t="s">
        <v>647</v>
      </c>
      <c r="D388" s="138">
        <v>45103</v>
      </c>
      <c r="E388" s="159">
        <v>45133</v>
      </c>
      <c r="F388" s="140" t="s">
        <v>780</v>
      </c>
      <c r="G388" s="78">
        <v>4380500</v>
      </c>
      <c r="H388" s="141"/>
      <c r="I388" s="142"/>
      <c r="J388" s="143"/>
      <c r="K388" s="143"/>
      <c r="L388" s="144" t="str">
        <f t="shared" si="6"/>
        <v>x</v>
      </c>
      <c r="M388" s="145" t="s">
        <v>777</v>
      </c>
      <c r="N388" s="145" t="s">
        <v>92</v>
      </c>
      <c r="O388" s="145" t="s">
        <v>90</v>
      </c>
      <c r="P388" s="145"/>
    </row>
    <row r="389" spans="1:16" ht="15" customHeight="1">
      <c r="A389" s="136" t="s">
        <v>779</v>
      </c>
      <c r="B389" s="74">
        <v>0</v>
      </c>
      <c r="C389" s="137" t="s">
        <v>648</v>
      </c>
      <c r="D389" s="138">
        <v>45103</v>
      </c>
      <c r="E389" s="159">
        <v>45124</v>
      </c>
      <c r="F389" s="140" t="s">
        <v>780</v>
      </c>
      <c r="G389" s="78">
        <v>23699998</v>
      </c>
      <c r="H389" s="141"/>
      <c r="I389" s="142"/>
      <c r="J389" s="143"/>
      <c r="K389" s="143"/>
      <c r="L389" s="144" t="str">
        <f t="shared" si="6"/>
        <v>x</v>
      </c>
      <c r="M389" s="145" t="s">
        <v>769</v>
      </c>
      <c r="N389" s="145" t="s">
        <v>729</v>
      </c>
      <c r="O389" s="145" t="s">
        <v>90</v>
      </c>
      <c r="P389" s="145"/>
    </row>
    <row r="390" spans="1:16" ht="15" customHeight="1">
      <c r="A390" s="136" t="s">
        <v>779</v>
      </c>
      <c r="B390" s="74">
        <v>0</v>
      </c>
      <c r="C390" s="137" t="s">
        <v>649</v>
      </c>
      <c r="D390" s="138">
        <v>45103</v>
      </c>
      <c r="E390" s="159">
        <v>45133</v>
      </c>
      <c r="F390" s="140" t="s">
        <v>780</v>
      </c>
      <c r="G390" s="78">
        <v>89549999</v>
      </c>
      <c r="H390" s="141"/>
      <c r="I390" s="142"/>
      <c r="J390" s="143"/>
      <c r="K390" s="143"/>
      <c r="L390" s="144" t="str">
        <f t="shared" si="6"/>
        <v>x</v>
      </c>
      <c r="M390" s="145" t="s">
        <v>775</v>
      </c>
      <c r="N390" s="145" t="s">
        <v>730</v>
      </c>
      <c r="O390" s="145" t="s">
        <v>90</v>
      </c>
      <c r="P390" s="145"/>
    </row>
    <row r="391" spans="1:16" ht="15" customHeight="1">
      <c r="A391" s="136" t="s">
        <v>779</v>
      </c>
      <c r="B391" s="74">
        <v>0</v>
      </c>
      <c r="C391" s="137" t="s">
        <v>650</v>
      </c>
      <c r="D391" s="138">
        <v>45103</v>
      </c>
      <c r="E391" s="159">
        <v>45106</v>
      </c>
      <c r="F391" s="140" t="s">
        <v>780</v>
      </c>
      <c r="G391" s="78">
        <v>3420001</v>
      </c>
      <c r="H391" s="141"/>
      <c r="I391" s="142"/>
      <c r="J391" s="143"/>
      <c r="K391" s="143"/>
      <c r="L391" s="144" t="str">
        <f t="shared" si="6"/>
        <v>x</v>
      </c>
      <c r="M391" s="145" t="s">
        <v>776</v>
      </c>
      <c r="N391" s="145" t="s">
        <v>706</v>
      </c>
      <c r="O391" s="145" t="s">
        <v>90</v>
      </c>
      <c r="P391" s="145"/>
    </row>
    <row r="392" spans="1:16" ht="15" customHeight="1">
      <c r="A392" s="136" t="s">
        <v>779</v>
      </c>
      <c r="B392" s="74">
        <v>0</v>
      </c>
      <c r="C392" s="137" t="s">
        <v>651</v>
      </c>
      <c r="D392" s="138">
        <v>45103</v>
      </c>
      <c r="E392" s="159">
        <v>45113</v>
      </c>
      <c r="F392" s="140" t="s">
        <v>780</v>
      </c>
      <c r="G392" s="78">
        <v>28524997</v>
      </c>
      <c r="H392" s="141"/>
      <c r="I392" s="142"/>
      <c r="J392" s="143"/>
      <c r="K392" s="143"/>
      <c r="L392" s="144" t="str">
        <f t="shared" si="6"/>
        <v>x</v>
      </c>
      <c r="M392" s="145" t="s">
        <v>770</v>
      </c>
      <c r="N392" s="145" t="s">
        <v>731</v>
      </c>
      <c r="O392" s="145" t="s">
        <v>90</v>
      </c>
      <c r="P392" s="145"/>
    </row>
    <row r="393" spans="1:16" ht="15" customHeight="1">
      <c r="A393" s="136" t="s">
        <v>779</v>
      </c>
      <c r="B393" s="74">
        <v>0</v>
      </c>
      <c r="C393" s="137" t="s">
        <v>652</v>
      </c>
      <c r="D393" s="138">
        <v>45103</v>
      </c>
      <c r="E393" s="159">
        <v>45133</v>
      </c>
      <c r="F393" s="140" t="s">
        <v>780</v>
      </c>
      <c r="G393" s="78">
        <v>19344001</v>
      </c>
      <c r="H393" s="141"/>
      <c r="I393" s="142"/>
      <c r="J393" s="143"/>
      <c r="K393" s="143"/>
      <c r="L393" s="144" t="str">
        <f t="shared" si="6"/>
        <v>x</v>
      </c>
      <c r="M393" s="145" t="s">
        <v>777</v>
      </c>
      <c r="N393" s="145" t="s">
        <v>230</v>
      </c>
      <c r="O393" s="145" t="s">
        <v>90</v>
      </c>
      <c r="P393" s="145"/>
    </row>
    <row r="394" spans="1:16" ht="15" customHeight="1">
      <c r="A394" s="136" t="s">
        <v>779</v>
      </c>
      <c r="B394" s="74">
        <v>0</v>
      </c>
      <c r="C394" s="137" t="s">
        <v>653</v>
      </c>
      <c r="D394" s="138">
        <v>45104</v>
      </c>
      <c r="E394" s="159">
        <v>45125</v>
      </c>
      <c r="F394" s="140" t="s">
        <v>780</v>
      </c>
      <c r="G394" s="78">
        <v>57600000</v>
      </c>
      <c r="H394" s="141"/>
      <c r="I394" s="142"/>
      <c r="J394" s="143"/>
      <c r="K394" s="143"/>
      <c r="L394" s="144" t="str">
        <f t="shared" si="6"/>
        <v>x</v>
      </c>
      <c r="M394" s="145" t="s">
        <v>769</v>
      </c>
      <c r="N394" s="145" t="s">
        <v>732</v>
      </c>
      <c r="O394" s="145" t="s">
        <v>90</v>
      </c>
      <c r="P394" s="145"/>
    </row>
    <row r="395" spans="1:16" ht="15" customHeight="1">
      <c r="A395" s="136" t="s">
        <v>779</v>
      </c>
      <c r="B395" s="74">
        <v>0</v>
      </c>
      <c r="C395" s="137" t="s">
        <v>654</v>
      </c>
      <c r="D395" s="138">
        <v>45104</v>
      </c>
      <c r="E395" s="159">
        <v>45111</v>
      </c>
      <c r="F395" s="140" t="s">
        <v>780</v>
      </c>
      <c r="G395" s="78">
        <v>1248000</v>
      </c>
      <c r="H395" s="141"/>
      <c r="I395" s="142"/>
      <c r="J395" s="143"/>
      <c r="K395" s="143"/>
      <c r="L395" s="144" t="str">
        <f t="shared" si="6"/>
        <v>x</v>
      </c>
      <c r="M395" s="145" t="s">
        <v>770</v>
      </c>
      <c r="N395" s="145" t="s">
        <v>733</v>
      </c>
      <c r="O395" s="145" t="s">
        <v>90</v>
      </c>
      <c r="P395" s="145"/>
    </row>
    <row r="396" spans="1:16" ht="15" customHeight="1">
      <c r="A396" s="136" t="s">
        <v>779</v>
      </c>
      <c r="B396" s="74">
        <v>0</v>
      </c>
      <c r="C396" s="137" t="s">
        <v>655</v>
      </c>
      <c r="D396" s="138">
        <v>45104</v>
      </c>
      <c r="E396" s="159">
        <v>45134</v>
      </c>
      <c r="F396" s="140" t="s">
        <v>780</v>
      </c>
      <c r="G396" s="78">
        <v>12400000</v>
      </c>
      <c r="H396" s="141"/>
      <c r="I396" s="142"/>
      <c r="J396" s="143"/>
      <c r="K396" s="143"/>
      <c r="L396" s="144" t="str">
        <f t="shared" si="6"/>
        <v>x</v>
      </c>
      <c r="M396" s="145" t="s">
        <v>777</v>
      </c>
      <c r="N396" s="145" t="s">
        <v>433</v>
      </c>
      <c r="O396" s="145" t="s">
        <v>90</v>
      </c>
      <c r="P396" s="145"/>
    </row>
    <row r="397" spans="1:16" ht="15" customHeight="1">
      <c r="A397" s="136" t="s">
        <v>779</v>
      </c>
      <c r="B397" s="74">
        <v>0</v>
      </c>
      <c r="C397" s="137" t="s">
        <v>656</v>
      </c>
      <c r="D397" s="138">
        <v>45104</v>
      </c>
      <c r="E397" s="159">
        <v>45107</v>
      </c>
      <c r="F397" s="140" t="s">
        <v>780</v>
      </c>
      <c r="G397" s="78">
        <v>2450000</v>
      </c>
      <c r="H397" s="141"/>
      <c r="I397" s="142"/>
      <c r="J397" s="143"/>
      <c r="K397" s="143"/>
      <c r="L397" s="144" t="str">
        <f t="shared" si="6"/>
        <v>x</v>
      </c>
      <c r="M397" s="145" t="s">
        <v>777</v>
      </c>
      <c r="N397" s="145" t="s">
        <v>734</v>
      </c>
      <c r="O397" s="145" t="s">
        <v>90</v>
      </c>
      <c r="P397" s="145"/>
    </row>
    <row r="398" spans="1:16" ht="15" customHeight="1">
      <c r="A398" s="136" t="s">
        <v>779</v>
      </c>
      <c r="B398" s="74">
        <v>0</v>
      </c>
      <c r="C398" s="137" t="s">
        <v>657</v>
      </c>
      <c r="D398" s="138">
        <v>45104</v>
      </c>
      <c r="E398" s="159">
        <v>45134</v>
      </c>
      <c r="F398" s="140" t="s">
        <v>780</v>
      </c>
      <c r="G398" s="78">
        <v>0</v>
      </c>
      <c r="H398" s="141"/>
      <c r="I398" s="142"/>
      <c r="J398" s="143"/>
      <c r="K398" s="143"/>
      <c r="L398" s="144" t="str">
        <f t="shared" si="6"/>
        <v>x</v>
      </c>
      <c r="M398" s="145" t="s">
        <v>777</v>
      </c>
      <c r="N398" s="145" t="s">
        <v>735</v>
      </c>
      <c r="O398" s="145" t="s">
        <v>153</v>
      </c>
      <c r="P398" s="145"/>
    </row>
    <row r="399" spans="1:16" ht="15" customHeight="1">
      <c r="A399" s="136" t="s">
        <v>779</v>
      </c>
      <c r="B399" s="74">
        <v>0</v>
      </c>
      <c r="C399" s="137" t="s">
        <v>658</v>
      </c>
      <c r="D399" s="138">
        <v>45104</v>
      </c>
      <c r="E399" s="159">
        <v>45139</v>
      </c>
      <c r="F399" s="140" t="s">
        <v>780</v>
      </c>
      <c r="G399" s="78">
        <v>70339999</v>
      </c>
      <c r="H399" s="141"/>
      <c r="I399" s="142"/>
      <c r="J399" s="143"/>
      <c r="K399" s="143"/>
      <c r="L399" s="144" t="str">
        <f t="shared" si="6"/>
        <v>x</v>
      </c>
      <c r="M399" s="145" t="s">
        <v>773</v>
      </c>
      <c r="N399" s="145" t="s">
        <v>441</v>
      </c>
      <c r="O399" s="145" t="s">
        <v>90</v>
      </c>
      <c r="P399" s="145"/>
    </row>
    <row r="400" spans="1:16" ht="15" customHeight="1">
      <c r="A400" s="136" t="s">
        <v>779</v>
      </c>
      <c r="B400" s="74">
        <v>0</v>
      </c>
      <c r="C400" s="152" t="s">
        <v>659</v>
      </c>
      <c r="D400" s="138">
        <v>45104</v>
      </c>
      <c r="E400" s="159">
        <v>45134</v>
      </c>
      <c r="F400" s="140" t="s">
        <v>780</v>
      </c>
      <c r="G400" s="78">
        <v>7440000</v>
      </c>
      <c r="H400" s="141"/>
      <c r="I400" s="142"/>
      <c r="J400" s="143"/>
      <c r="K400" s="143"/>
      <c r="L400" s="144" t="str">
        <f t="shared" si="6"/>
        <v>x</v>
      </c>
      <c r="M400" s="145" t="s">
        <v>777</v>
      </c>
      <c r="N400" s="145" t="s">
        <v>231</v>
      </c>
      <c r="O400" s="145" t="s">
        <v>90</v>
      </c>
      <c r="P400" s="145"/>
    </row>
    <row r="401" spans="1:16" ht="15" customHeight="1">
      <c r="A401" s="136" t="s">
        <v>779</v>
      </c>
      <c r="B401" s="92">
        <v>0</v>
      </c>
      <c r="C401" s="137" t="s">
        <v>660</v>
      </c>
      <c r="D401" s="139">
        <v>45104</v>
      </c>
      <c r="E401" s="149">
        <v>45114</v>
      </c>
      <c r="F401" s="140" t="s">
        <v>780</v>
      </c>
      <c r="G401" s="93">
        <v>23112503</v>
      </c>
      <c r="H401" s="160"/>
      <c r="I401" s="161"/>
      <c r="J401" s="162"/>
      <c r="K401" s="143"/>
      <c r="L401" s="144" t="str">
        <f t="shared" si="6"/>
        <v>x</v>
      </c>
      <c r="M401" s="154" t="s">
        <v>770</v>
      </c>
      <c r="N401" s="154" t="s">
        <v>736</v>
      </c>
      <c r="O401" s="154" t="s">
        <v>90</v>
      </c>
      <c r="P401" s="145"/>
    </row>
    <row r="402" spans="1:16" ht="15" customHeight="1">
      <c r="A402" s="136" t="s">
        <v>779</v>
      </c>
      <c r="B402" s="92">
        <v>0</v>
      </c>
      <c r="C402" s="137" t="s">
        <v>661</v>
      </c>
      <c r="D402" s="139">
        <v>45104</v>
      </c>
      <c r="E402" s="149">
        <v>45111</v>
      </c>
      <c r="F402" s="140" t="s">
        <v>780</v>
      </c>
      <c r="G402" s="93">
        <v>760000</v>
      </c>
      <c r="H402" s="160"/>
      <c r="I402" s="161"/>
      <c r="J402" s="162"/>
      <c r="K402" s="143"/>
      <c r="L402" s="144" t="str">
        <f t="shared" si="6"/>
        <v>x</v>
      </c>
      <c r="M402" s="154" t="s">
        <v>770</v>
      </c>
      <c r="N402" s="154" t="s">
        <v>737</v>
      </c>
      <c r="O402" s="154" t="s">
        <v>90</v>
      </c>
      <c r="P402" s="145"/>
    </row>
    <row r="403" spans="1:16" ht="15" customHeight="1">
      <c r="A403" s="136" t="s">
        <v>779</v>
      </c>
      <c r="B403" s="74">
        <v>0</v>
      </c>
      <c r="C403" s="137" t="s">
        <v>662</v>
      </c>
      <c r="D403" s="138">
        <v>45104</v>
      </c>
      <c r="E403" s="159">
        <v>45114</v>
      </c>
      <c r="F403" s="140" t="s">
        <v>780</v>
      </c>
      <c r="G403" s="78">
        <v>11240000</v>
      </c>
      <c r="H403" s="141"/>
      <c r="I403" s="142"/>
      <c r="J403" s="143"/>
      <c r="K403" s="143"/>
      <c r="L403" s="144" t="str">
        <f t="shared" si="6"/>
        <v>x</v>
      </c>
      <c r="M403" s="145" t="s">
        <v>770</v>
      </c>
      <c r="N403" s="145" t="s">
        <v>738</v>
      </c>
      <c r="O403" s="145" t="s">
        <v>90</v>
      </c>
      <c r="P403" s="145"/>
    </row>
    <row r="404" spans="1:16" ht="15" customHeight="1">
      <c r="A404" s="136" t="s">
        <v>779</v>
      </c>
      <c r="B404" s="74">
        <v>0</v>
      </c>
      <c r="C404" s="137" t="s">
        <v>663</v>
      </c>
      <c r="D404" s="138">
        <v>45104</v>
      </c>
      <c r="E404" s="159">
        <v>45134</v>
      </c>
      <c r="F404" s="140" t="s">
        <v>780</v>
      </c>
      <c r="G404" s="78">
        <v>46500000</v>
      </c>
      <c r="H404" s="141"/>
      <c r="I404" s="142"/>
      <c r="J404" s="143"/>
      <c r="K404" s="143"/>
      <c r="L404" s="144" t="str">
        <f t="shared" si="6"/>
        <v>x</v>
      </c>
      <c r="M404" s="145" t="s">
        <v>775</v>
      </c>
      <c r="N404" s="145" t="s">
        <v>739</v>
      </c>
      <c r="O404" s="145" t="s">
        <v>90</v>
      </c>
      <c r="P404" s="145"/>
    </row>
    <row r="405" spans="1:16" ht="15" customHeight="1">
      <c r="A405" s="136" t="s">
        <v>779</v>
      </c>
      <c r="B405" s="74">
        <v>0</v>
      </c>
      <c r="C405" s="137" t="s">
        <v>664</v>
      </c>
      <c r="D405" s="138">
        <v>45104</v>
      </c>
      <c r="E405" s="159">
        <v>45114</v>
      </c>
      <c r="F405" s="140" t="s">
        <v>780</v>
      </c>
      <c r="G405" s="78">
        <v>28524997</v>
      </c>
      <c r="H405" s="141"/>
      <c r="I405" s="142"/>
      <c r="J405" s="143"/>
      <c r="K405" s="143"/>
      <c r="L405" s="144" t="str">
        <f t="shared" si="6"/>
        <v>x</v>
      </c>
      <c r="M405" s="145" t="s">
        <v>770</v>
      </c>
      <c r="N405" s="145" t="s">
        <v>740</v>
      </c>
      <c r="O405" s="145" t="s">
        <v>90</v>
      </c>
      <c r="P405" s="145"/>
    </row>
    <row r="406" spans="1:16" ht="15" customHeight="1">
      <c r="A406" s="136" t="s">
        <v>779</v>
      </c>
      <c r="B406" s="74">
        <v>0</v>
      </c>
      <c r="C406" s="152" t="s">
        <v>665</v>
      </c>
      <c r="D406" s="138">
        <v>45104</v>
      </c>
      <c r="E406" s="159">
        <v>45104</v>
      </c>
      <c r="F406" s="140" t="s">
        <v>780</v>
      </c>
      <c r="G406" s="78">
        <v>0</v>
      </c>
      <c r="H406" s="141"/>
      <c r="I406" s="142"/>
      <c r="J406" s="143"/>
      <c r="K406" s="143"/>
      <c r="L406" s="144" t="str">
        <f t="shared" si="6"/>
        <v>x</v>
      </c>
      <c r="M406" s="145" t="s">
        <v>772</v>
      </c>
      <c r="N406" s="145" t="s">
        <v>434</v>
      </c>
      <c r="O406" s="145" t="s">
        <v>153</v>
      </c>
      <c r="P406" s="145"/>
    </row>
    <row r="407" spans="1:16" ht="15" customHeight="1">
      <c r="A407" s="136" t="s">
        <v>779</v>
      </c>
      <c r="B407" s="74">
        <v>0</v>
      </c>
      <c r="C407" s="137" t="s">
        <v>666</v>
      </c>
      <c r="D407" s="138">
        <v>45104</v>
      </c>
      <c r="E407" s="159">
        <v>45119</v>
      </c>
      <c r="F407" s="140" t="s">
        <v>780</v>
      </c>
      <c r="G407" s="78">
        <v>40660802</v>
      </c>
      <c r="H407" s="141">
        <v>45104</v>
      </c>
      <c r="I407" s="142" t="s">
        <v>35</v>
      </c>
      <c r="J407" s="143">
        <v>10000000</v>
      </c>
      <c r="K407" s="143"/>
      <c r="L407" s="144">
        <f t="shared" si="6"/>
        <v>-15</v>
      </c>
      <c r="M407" s="145" t="s">
        <v>773</v>
      </c>
      <c r="N407" s="145" t="s">
        <v>741</v>
      </c>
      <c r="O407" s="145" t="s">
        <v>90</v>
      </c>
      <c r="P407" s="145"/>
    </row>
    <row r="408" spans="1:16" ht="15" customHeight="1">
      <c r="A408" s="136" t="s">
        <v>779</v>
      </c>
      <c r="B408" s="74">
        <v>0</v>
      </c>
      <c r="C408" s="137" t="s">
        <v>667</v>
      </c>
      <c r="D408" s="138">
        <v>45104</v>
      </c>
      <c r="E408" s="159">
        <v>45114</v>
      </c>
      <c r="F408" s="140" t="s">
        <v>780</v>
      </c>
      <c r="G408" s="78">
        <v>41031996</v>
      </c>
      <c r="H408" s="141"/>
      <c r="I408" s="142"/>
      <c r="J408" s="143"/>
      <c r="K408" s="143"/>
      <c r="L408" s="144" t="str">
        <f t="shared" si="6"/>
        <v>x</v>
      </c>
      <c r="M408" s="145" t="s">
        <v>770</v>
      </c>
      <c r="N408" s="145" t="s">
        <v>742</v>
      </c>
      <c r="O408" s="145" t="s">
        <v>90</v>
      </c>
      <c r="P408" s="145"/>
    </row>
    <row r="409" spans="1:16" ht="15" customHeight="1">
      <c r="A409" s="136" t="s">
        <v>779</v>
      </c>
      <c r="B409" s="74">
        <v>0</v>
      </c>
      <c r="C409" s="137" t="s">
        <v>668</v>
      </c>
      <c r="D409" s="138">
        <v>45105</v>
      </c>
      <c r="E409" s="159">
        <v>45105</v>
      </c>
      <c r="F409" s="140" t="s">
        <v>780</v>
      </c>
      <c r="G409" s="78">
        <v>3200000</v>
      </c>
      <c r="H409" s="141"/>
      <c r="I409" s="142"/>
      <c r="J409" s="143"/>
      <c r="K409" s="143"/>
      <c r="L409" s="144" t="str">
        <f t="shared" si="6"/>
        <v>x</v>
      </c>
      <c r="M409" s="145" t="s">
        <v>769</v>
      </c>
      <c r="N409" s="145" t="s">
        <v>743</v>
      </c>
      <c r="O409" s="145" t="s">
        <v>90</v>
      </c>
      <c r="P409" s="145"/>
    </row>
    <row r="410" spans="1:16" ht="15" customHeight="1">
      <c r="A410" s="136" t="s">
        <v>779</v>
      </c>
      <c r="B410" s="74">
        <v>0</v>
      </c>
      <c r="C410" s="137" t="s">
        <v>669</v>
      </c>
      <c r="D410" s="138">
        <v>45105</v>
      </c>
      <c r="E410" s="159">
        <v>45135</v>
      </c>
      <c r="F410" s="140" t="s">
        <v>780</v>
      </c>
      <c r="G410" s="78">
        <v>49875998</v>
      </c>
      <c r="H410" s="141"/>
      <c r="I410" s="142"/>
      <c r="J410" s="143"/>
      <c r="K410" s="143"/>
      <c r="L410" s="144" t="str">
        <f t="shared" si="6"/>
        <v>x</v>
      </c>
      <c r="M410" s="145" t="s">
        <v>775</v>
      </c>
      <c r="N410" s="145" t="s">
        <v>744</v>
      </c>
      <c r="O410" s="145" t="s">
        <v>90</v>
      </c>
      <c r="P410" s="145"/>
    </row>
    <row r="411" spans="1:16" ht="15" customHeight="1">
      <c r="A411" s="136" t="s">
        <v>779</v>
      </c>
      <c r="B411" s="74">
        <v>0</v>
      </c>
      <c r="C411" s="137" t="s">
        <v>670</v>
      </c>
      <c r="D411" s="138">
        <v>45105</v>
      </c>
      <c r="E411" s="159">
        <v>45135</v>
      </c>
      <c r="F411" s="140" t="s">
        <v>780</v>
      </c>
      <c r="G411" s="78">
        <v>8820000</v>
      </c>
      <c r="H411" s="141"/>
      <c r="I411" s="142"/>
      <c r="J411" s="143"/>
      <c r="K411" s="143"/>
      <c r="L411" s="144" t="str">
        <f t="shared" si="6"/>
        <v>x</v>
      </c>
      <c r="M411" s="145" t="s">
        <v>776</v>
      </c>
      <c r="N411" s="145" t="s">
        <v>745</v>
      </c>
      <c r="O411" s="145" t="s">
        <v>90</v>
      </c>
      <c r="P411" s="145"/>
    </row>
    <row r="412" spans="1:16" ht="15" customHeight="1">
      <c r="A412" s="136" t="s">
        <v>779</v>
      </c>
      <c r="B412" s="74">
        <v>0</v>
      </c>
      <c r="C412" s="137" t="s">
        <v>671</v>
      </c>
      <c r="D412" s="138">
        <v>45105</v>
      </c>
      <c r="E412" s="159">
        <v>45115</v>
      </c>
      <c r="F412" s="140" t="s">
        <v>780</v>
      </c>
      <c r="G412" s="78">
        <v>22024999</v>
      </c>
      <c r="H412" s="141"/>
      <c r="I412" s="142"/>
      <c r="J412" s="143"/>
      <c r="K412" s="143"/>
      <c r="L412" s="144" t="str">
        <f t="shared" si="6"/>
        <v>x</v>
      </c>
      <c r="M412" s="145" t="s">
        <v>770</v>
      </c>
      <c r="N412" s="145" t="s">
        <v>746</v>
      </c>
      <c r="O412" s="145" t="s">
        <v>90</v>
      </c>
      <c r="P412" s="145"/>
    </row>
    <row r="413" spans="1:16" ht="15" customHeight="1">
      <c r="A413" s="136" t="s">
        <v>779</v>
      </c>
      <c r="B413" s="74">
        <v>0</v>
      </c>
      <c r="C413" s="137" t="s">
        <v>672</v>
      </c>
      <c r="D413" s="138">
        <v>45105</v>
      </c>
      <c r="E413" s="159">
        <v>45115</v>
      </c>
      <c r="F413" s="140" t="s">
        <v>780</v>
      </c>
      <c r="G413" s="78">
        <v>28524997</v>
      </c>
      <c r="H413" s="141"/>
      <c r="I413" s="142"/>
      <c r="J413" s="143"/>
      <c r="K413" s="143"/>
      <c r="L413" s="144" t="str">
        <f t="shared" si="6"/>
        <v>x</v>
      </c>
      <c r="M413" s="145" t="s">
        <v>770</v>
      </c>
      <c r="N413" s="145" t="s">
        <v>747</v>
      </c>
      <c r="O413" s="145" t="s">
        <v>90</v>
      </c>
      <c r="P413" s="145"/>
    </row>
    <row r="414" spans="1:16" ht="15" customHeight="1">
      <c r="A414" s="136" t="s">
        <v>779</v>
      </c>
      <c r="B414" s="74">
        <v>0</v>
      </c>
      <c r="C414" s="137" t="s">
        <v>673</v>
      </c>
      <c r="D414" s="138">
        <v>45105</v>
      </c>
      <c r="E414" s="159">
        <v>45112</v>
      </c>
      <c r="F414" s="140" t="s">
        <v>780</v>
      </c>
      <c r="G414" s="78">
        <v>16786000</v>
      </c>
      <c r="H414" s="141"/>
      <c r="I414" s="142"/>
      <c r="J414" s="143"/>
      <c r="K414" s="143"/>
      <c r="L414" s="144" t="str">
        <f t="shared" si="6"/>
        <v>x</v>
      </c>
      <c r="M414" s="145" t="s">
        <v>778</v>
      </c>
      <c r="N414" s="145" t="s">
        <v>197</v>
      </c>
      <c r="O414" s="145" t="s">
        <v>90</v>
      </c>
      <c r="P414" s="145"/>
    </row>
    <row r="415" spans="1:16" ht="15" customHeight="1">
      <c r="A415" s="136" t="s">
        <v>779</v>
      </c>
      <c r="B415" s="74">
        <v>0</v>
      </c>
      <c r="C415" s="137" t="s">
        <v>674</v>
      </c>
      <c r="D415" s="138">
        <v>45105</v>
      </c>
      <c r="E415" s="159">
        <v>45112</v>
      </c>
      <c r="F415" s="140" t="s">
        <v>780</v>
      </c>
      <c r="G415" s="78">
        <v>505000</v>
      </c>
      <c r="H415" s="141"/>
      <c r="I415" s="142"/>
      <c r="J415" s="143"/>
      <c r="K415" s="143"/>
      <c r="L415" s="144" t="str">
        <f t="shared" si="6"/>
        <v>x</v>
      </c>
      <c r="M415" s="145" t="s">
        <v>770</v>
      </c>
      <c r="N415" s="145" t="s">
        <v>748</v>
      </c>
      <c r="O415" s="145" t="s">
        <v>90</v>
      </c>
      <c r="P415" s="145"/>
    </row>
    <row r="416" spans="1:16" ht="15" customHeight="1">
      <c r="A416" s="136" t="s">
        <v>779</v>
      </c>
      <c r="B416" s="74">
        <v>0</v>
      </c>
      <c r="C416" s="137" t="s">
        <v>675</v>
      </c>
      <c r="D416" s="138">
        <v>45105</v>
      </c>
      <c r="E416" s="159">
        <v>45112</v>
      </c>
      <c r="F416" s="140" t="s">
        <v>780</v>
      </c>
      <c r="G416" s="78">
        <v>14999998</v>
      </c>
      <c r="H416" s="141"/>
      <c r="I416" s="142"/>
      <c r="J416" s="143"/>
      <c r="K416" s="143"/>
      <c r="L416" s="144" t="str">
        <f t="shared" si="6"/>
        <v>x</v>
      </c>
      <c r="M416" s="145" t="s">
        <v>770</v>
      </c>
      <c r="N416" s="145" t="s">
        <v>749</v>
      </c>
      <c r="O416" s="145" t="s">
        <v>90</v>
      </c>
      <c r="P416" s="145"/>
    </row>
    <row r="417" spans="1:16" ht="15" customHeight="1">
      <c r="A417" s="136" t="s">
        <v>779</v>
      </c>
      <c r="B417" s="74">
        <v>0</v>
      </c>
      <c r="C417" s="137" t="s">
        <v>676</v>
      </c>
      <c r="D417" s="138">
        <v>45105</v>
      </c>
      <c r="E417" s="159">
        <v>45112</v>
      </c>
      <c r="F417" s="140" t="s">
        <v>780</v>
      </c>
      <c r="G417" s="78">
        <v>491554981</v>
      </c>
      <c r="H417" s="141">
        <v>45096</v>
      </c>
      <c r="I417" s="142" t="s">
        <v>33</v>
      </c>
      <c r="J417" s="143">
        <v>18913015</v>
      </c>
      <c r="K417" s="143"/>
      <c r="L417" s="144">
        <f t="shared" si="6"/>
        <v>-16</v>
      </c>
      <c r="M417" s="145" t="s">
        <v>769</v>
      </c>
      <c r="N417" s="145" t="s">
        <v>750</v>
      </c>
      <c r="O417" s="145" t="s">
        <v>90</v>
      </c>
      <c r="P417" s="145"/>
    </row>
    <row r="418" spans="1:16" ht="15" customHeight="1">
      <c r="A418" s="136" t="s">
        <v>779</v>
      </c>
      <c r="B418" s="74">
        <v>0</v>
      </c>
      <c r="C418" s="137" t="s">
        <v>676</v>
      </c>
      <c r="D418" s="138">
        <v>45105</v>
      </c>
      <c r="E418" s="159">
        <v>45112</v>
      </c>
      <c r="F418" s="140" t="s">
        <v>780</v>
      </c>
      <c r="G418" s="78">
        <v>0</v>
      </c>
      <c r="H418" s="141">
        <v>45106</v>
      </c>
      <c r="I418" s="142" t="s">
        <v>33</v>
      </c>
      <c r="J418" s="143">
        <v>469000000</v>
      </c>
      <c r="K418" s="143"/>
      <c r="L418" s="144">
        <f t="shared" si="6"/>
        <v>-6</v>
      </c>
      <c r="M418" s="145" t="s">
        <v>769</v>
      </c>
      <c r="N418" s="145" t="s">
        <v>750</v>
      </c>
      <c r="O418" s="145" t="s">
        <v>90</v>
      </c>
      <c r="P418" s="145"/>
    </row>
    <row r="419" spans="1:16" ht="15" customHeight="1">
      <c r="A419" s="136" t="s">
        <v>779</v>
      </c>
      <c r="B419" s="74">
        <v>0</v>
      </c>
      <c r="C419" s="137" t="s">
        <v>677</v>
      </c>
      <c r="D419" s="138">
        <v>45105</v>
      </c>
      <c r="E419" s="159">
        <v>45105</v>
      </c>
      <c r="F419" s="140" t="s">
        <v>780</v>
      </c>
      <c r="G419" s="78">
        <v>9660000</v>
      </c>
      <c r="H419" s="141"/>
      <c r="I419" s="142"/>
      <c r="J419" s="143"/>
      <c r="K419" s="143"/>
      <c r="L419" s="144" t="str">
        <f t="shared" si="6"/>
        <v>x</v>
      </c>
      <c r="M419" s="145" t="s">
        <v>769</v>
      </c>
      <c r="N419" s="145" t="s">
        <v>436</v>
      </c>
      <c r="O419" s="145" t="s">
        <v>90</v>
      </c>
      <c r="P419" s="145"/>
    </row>
    <row r="420" spans="1:16" ht="15" customHeight="1">
      <c r="A420" s="136" t="s">
        <v>779</v>
      </c>
      <c r="B420" s="74">
        <v>0</v>
      </c>
      <c r="C420" s="137" t="s">
        <v>678</v>
      </c>
      <c r="D420" s="138">
        <v>45106</v>
      </c>
      <c r="E420" s="159">
        <v>45127</v>
      </c>
      <c r="F420" s="140" t="s">
        <v>780</v>
      </c>
      <c r="G420" s="78">
        <v>43919999</v>
      </c>
      <c r="H420" s="141">
        <v>45106</v>
      </c>
      <c r="I420" s="142" t="s">
        <v>35</v>
      </c>
      <c r="J420" s="143">
        <v>43919999</v>
      </c>
      <c r="K420" s="143"/>
      <c r="L420" s="144">
        <f t="shared" si="6"/>
        <v>-21</v>
      </c>
      <c r="M420" s="145" t="s">
        <v>769</v>
      </c>
      <c r="N420" s="145" t="s">
        <v>751</v>
      </c>
      <c r="O420" s="145" t="s">
        <v>90</v>
      </c>
      <c r="P420" s="145"/>
    </row>
    <row r="421" spans="1:16" ht="15" customHeight="1">
      <c r="A421" s="136" t="s">
        <v>779</v>
      </c>
      <c r="B421" s="74">
        <v>0</v>
      </c>
      <c r="C421" s="137" t="s">
        <v>679</v>
      </c>
      <c r="D421" s="138">
        <v>45106</v>
      </c>
      <c r="E421" s="159">
        <v>45106</v>
      </c>
      <c r="F421" s="140" t="s">
        <v>780</v>
      </c>
      <c r="G421" s="78">
        <v>2880000</v>
      </c>
      <c r="H421" s="141">
        <v>45106</v>
      </c>
      <c r="I421" s="142" t="s">
        <v>35</v>
      </c>
      <c r="J421" s="143">
        <v>2880000</v>
      </c>
      <c r="K421" s="143"/>
      <c r="L421" s="144">
        <f t="shared" si="6"/>
        <v>0</v>
      </c>
      <c r="M421" s="145" t="s">
        <v>772</v>
      </c>
      <c r="N421" s="145" t="s">
        <v>752</v>
      </c>
      <c r="O421" s="145" t="s">
        <v>90</v>
      </c>
      <c r="P421" s="145"/>
    </row>
    <row r="422" spans="1:16" ht="15" customHeight="1">
      <c r="A422" s="136" t="s">
        <v>779</v>
      </c>
      <c r="B422" s="74">
        <v>0</v>
      </c>
      <c r="C422" s="137" t="s">
        <v>680</v>
      </c>
      <c r="D422" s="138">
        <v>45106</v>
      </c>
      <c r="E422" s="159">
        <v>45116</v>
      </c>
      <c r="F422" s="140" t="s">
        <v>780</v>
      </c>
      <c r="G422" s="78">
        <v>17700000</v>
      </c>
      <c r="H422" s="141"/>
      <c r="I422" s="142"/>
      <c r="J422" s="143"/>
      <c r="K422" s="143"/>
      <c r="L422" s="144" t="str">
        <f t="shared" si="6"/>
        <v>x</v>
      </c>
      <c r="M422" s="145" t="s">
        <v>770</v>
      </c>
      <c r="N422" s="145" t="s">
        <v>753</v>
      </c>
      <c r="O422" s="145" t="s">
        <v>90</v>
      </c>
      <c r="P422" s="145"/>
    </row>
    <row r="423" spans="1:16" ht="15" customHeight="1">
      <c r="A423" s="136" t="s">
        <v>779</v>
      </c>
      <c r="B423" s="74">
        <v>0</v>
      </c>
      <c r="C423" s="137" t="s">
        <v>681</v>
      </c>
      <c r="D423" s="138">
        <v>45106</v>
      </c>
      <c r="E423" s="159">
        <v>45136</v>
      </c>
      <c r="F423" s="140" t="s">
        <v>780</v>
      </c>
      <c r="G423" s="78">
        <v>86000</v>
      </c>
      <c r="H423" s="141"/>
      <c r="I423" s="142"/>
      <c r="J423" s="143"/>
      <c r="K423" s="143"/>
      <c r="L423" s="144" t="str">
        <f t="shared" si="6"/>
        <v>x</v>
      </c>
      <c r="M423" s="145" t="s">
        <v>775</v>
      </c>
      <c r="N423" s="145" t="s">
        <v>754</v>
      </c>
      <c r="O423" s="145" t="s">
        <v>90</v>
      </c>
      <c r="P423" s="145"/>
    </row>
    <row r="424" spans="1:16" ht="15" customHeight="1">
      <c r="A424" s="136" t="s">
        <v>779</v>
      </c>
      <c r="B424" s="74">
        <v>0</v>
      </c>
      <c r="C424" s="137" t="s">
        <v>682</v>
      </c>
      <c r="D424" s="138">
        <v>45106</v>
      </c>
      <c r="E424" s="159">
        <v>45127</v>
      </c>
      <c r="F424" s="140" t="s">
        <v>780</v>
      </c>
      <c r="G424" s="78">
        <v>161999998</v>
      </c>
      <c r="H424" s="141"/>
      <c r="I424" s="142"/>
      <c r="J424" s="143"/>
      <c r="K424" s="143"/>
      <c r="L424" s="144" t="str">
        <f t="shared" si="6"/>
        <v>x</v>
      </c>
      <c r="M424" s="145" t="s">
        <v>769</v>
      </c>
      <c r="N424" s="145" t="s">
        <v>755</v>
      </c>
      <c r="O424" s="145" t="s">
        <v>90</v>
      </c>
      <c r="P424" s="145"/>
    </row>
    <row r="425" spans="1:16" ht="15" customHeight="1">
      <c r="A425" s="136" t="s">
        <v>779</v>
      </c>
      <c r="B425" s="74">
        <v>0</v>
      </c>
      <c r="C425" s="137" t="s">
        <v>683</v>
      </c>
      <c r="D425" s="138">
        <v>45106</v>
      </c>
      <c r="E425" s="159">
        <v>45116</v>
      </c>
      <c r="F425" s="140" t="s">
        <v>780</v>
      </c>
      <c r="G425" s="78">
        <v>22000000</v>
      </c>
      <c r="H425" s="141"/>
      <c r="I425" s="142"/>
      <c r="J425" s="143"/>
      <c r="K425" s="143"/>
      <c r="L425" s="144" t="str">
        <f t="shared" si="6"/>
        <v>x</v>
      </c>
      <c r="M425" s="145" t="s">
        <v>770</v>
      </c>
      <c r="N425" s="145" t="s">
        <v>756</v>
      </c>
      <c r="O425" s="145" t="s">
        <v>90</v>
      </c>
      <c r="P425" s="145"/>
    </row>
    <row r="426" spans="1:16" ht="15" customHeight="1">
      <c r="A426" s="136" t="s">
        <v>779</v>
      </c>
      <c r="B426" s="74">
        <v>0</v>
      </c>
      <c r="C426" s="137" t="s">
        <v>684</v>
      </c>
      <c r="D426" s="138">
        <v>45106</v>
      </c>
      <c r="E426" s="159">
        <v>45113</v>
      </c>
      <c r="F426" s="140" t="s">
        <v>780</v>
      </c>
      <c r="G426" s="78">
        <v>250850751</v>
      </c>
      <c r="H426" s="141">
        <v>45106</v>
      </c>
      <c r="I426" s="142" t="s">
        <v>33</v>
      </c>
      <c r="J426" s="143">
        <v>200000000</v>
      </c>
      <c r="K426" s="143"/>
      <c r="L426" s="144">
        <f t="shared" si="6"/>
        <v>-7</v>
      </c>
      <c r="M426" s="145" t="s">
        <v>778</v>
      </c>
      <c r="N426" s="145" t="s">
        <v>294</v>
      </c>
      <c r="O426" s="145" t="s">
        <v>90</v>
      </c>
      <c r="P426" s="145"/>
    </row>
    <row r="427" spans="1:16" ht="15" customHeight="1">
      <c r="A427" s="136" t="s">
        <v>779</v>
      </c>
      <c r="B427" s="74">
        <v>0</v>
      </c>
      <c r="C427" s="137" t="s">
        <v>685</v>
      </c>
      <c r="D427" s="138">
        <v>45106</v>
      </c>
      <c r="E427" s="159">
        <v>45111</v>
      </c>
      <c r="F427" s="140" t="s">
        <v>780</v>
      </c>
      <c r="G427" s="78">
        <v>7949999</v>
      </c>
      <c r="H427" s="141"/>
      <c r="I427" s="142"/>
      <c r="J427" s="143"/>
      <c r="K427" s="143"/>
      <c r="L427" s="144" t="str">
        <f t="shared" si="6"/>
        <v>x</v>
      </c>
      <c r="M427" s="145" t="s">
        <v>778</v>
      </c>
      <c r="N427" s="145" t="s">
        <v>209</v>
      </c>
      <c r="O427" s="145" t="s">
        <v>90</v>
      </c>
      <c r="P427" s="145"/>
    </row>
    <row r="428" spans="1:16" ht="15" customHeight="1">
      <c r="A428" s="136" t="s">
        <v>779</v>
      </c>
      <c r="B428" s="74">
        <v>0</v>
      </c>
      <c r="C428" s="137" t="s">
        <v>686</v>
      </c>
      <c r="D428" s="138">
        <v>45107</v>
      </c>
      <c r="E428" s="159">
        <v>45137</v>
      </c>
      <c r="F428" s="140" t="s">
        <v>780</v>
      </c>
      <c r="G428" s="78">
        <v>8497999</v>
      </c>
      <c r="H428" s="141"/>
      <c r="I428" s="142"/>
      <c r="J428" s="143"/>
      <c r="K428" s="143"/>
      <c r="L428" s="144" t="str">
        <f t="shared" si="6"/>
        <v>x</v>
      </c>
      <c r="M428" s="145" t="s">
        <v>775</v>
      </c>
      <c r="N428" s="145" t="s">
        <v>757</v>
      </c>
      <c r="O428" s="145" t="s">
        <v>90</v>
      </c>
      <c r="P428" s="145"/>
    </row>
    <row r="429" spans="1:16" ht="15" customHeight="1">
      <c r="A429" s="136" t="s">
        <v>779</v>
      </c>
      <c r="B429" s="74">
        <v>0</v>
      </c>
      <c r="C429" s="137" t="s">
        <v>687</v>
      </c>
      <c r="D429" s="138">
        <v>45107</v>
      </c>
      <c r="E429" s="159">
        <v>45137</v>
      </c>
      <c r="F429" s="140" t="s">
        <v>780</v>
      </c>
      <c r="G429" s="78">
        <v>54750000</v>
      </c>
      <c r="H429" s="141"/>
      <c r="I429" s="142"/>
      <c r="J429" s="143"/>
      <c r="K429" s="143"/>
      <c r="L429" s="144" t="str">
        <f t="shared" si="6"/>
        <v>x</v>
      </c>
      <c r="M429" s="145" t="s">
        <v>775</v>
      </c>
      <c r="N429" s="145" t="s">
        <v>758</v>
      </c>
      <c r="O429" s="145" t="s">
        <v>90</v>
      </c>
      <c r="P429" s="145"/>
    </row>
    <row r="430" spans="1:16" ht="15" customHeight="1">
      <c r="A430" s="136" t="s">
        <v>779</v>
      </c>
      <c r="B430" s="74">
        <v>0</v>
      </c>
      <c r="C430" s="137" t="s">
        <v>688</v>
      </c>
      <c r="D430" s="138">
        <v>45107</v>
      </c>
      <c r="E430" s="159">
        <v>45137</v>
      </c>
      <c r="F430" s="140" t="s">
        <v>780</v>
      </c>
      <c r="G430" s="78">
        <v>40000000</v>
      </c>
      <c r="H430" s="141"/>
      <c r="I430" s="142"/>
      <c r="J430" s="143"/>
      <c r="K430" s="143"/>
      <c r="L430" s="144" t="str">
        <f t="shared" si="6"/>
        <v>x</v>
      </c>
      <c r="M430" s="145" t="s">
        <v>775</v>
      </c>
      <c r="N430" s="145" t="s">
        <v>759</v>
      </c>
      <c r="O430" s="145" t="s">
        <v>90</v>
      </c>
      <c r="P430" s="145"/>
    </row>
    <row r="431" spans="1:16" ht="15" customHeight="1">
      <c r="A431" s="136" t="s">
        <v>779</v>
      </c>
      <c r="B431" s="74">
        <v>0</v>
      </c>
      <c r="C431" s="137" t="s">
        <v>689</v>
      </c>
      <c r="D431" s="138">
        <v>45107</v>
      </c>
      <c r="E431" s="159">
        <v>45128</v>
      </c>
      <c r="F431" s="140" t="s">
        <v>780</v>
      </c>
      <c r="G431" s="78">
        <v>166079999</v>
      </c>
      <c r="H431" s="141">
        <v>45106</v>
      </c>
      <c r="I431" s="142" t="s">
        <v>35</v>
      </c>
      <c r="J431" s="143">
        <v>26080001</v>
      </c>
      <c r="K431" s="143"/>
      <c r="L431" s="144">
        <f t="shared" si="6"/>
        <v>-22</v>
      </c>
      <c r="M431" s="145" t="s">
        <v>769</v>
      </c>
      <c r="N431" s="145" t="s">
        <v>760</v>
      </c>
      <c r="O431" s="145" t="s">
        <v>90</v>
      </c>
      <c r="P431" s="145"/>
    </row>
    <row r="432" spans="1:16" ht="15" customHeight="1">
      <c r="A432" s="136" t="s">
        <v>779</v>
      </c>
      <c r="B432" s="74">
        <v>0</v>
      </c>
      <c r="C432" s="137" t="s">
        <v>690</v>
      </c>
      <c r="D432" s="138">
        <v>45107</v>
      </c>
      <c r="E432" s="159">
        <v>45107</v>
      </c>
      <c r="F432" s="140" t="s">
        <v>780</v>
      </c>
      <c r="G432" s="78">
        <v>26785000</v>
      </c>
      <c r="H432" s="141"/>
      <c r="I432" s="142"/>
      <c r="J432" s="143"/>
      <c r="K432" s="143"/>
      <c r="L432" s="144" t="str">
        <f t="shared" si="6"/>
        <v>x</v>
      </c>
      <c r="M432" s="145" t="s">
        <v>776</v>
      </c>
      <c r="N432" s="145" t="s">
        <v>761</v>
      </c>
      <c r="O432" s="145" t="s">
        <v>90</v>
      </c>
      <c r="P432" s="145"/>
    </row>
    <row r="433" spans="1:16" ht="15" customHeight="1">
      <c r="A433" s="136" t="s">
        <v>779</v>
      </c>
      <c r="B433" s="74">
        <v>0</v>
      </c>
      <c r="C433" s="137" t="s">
        <v>691</v>
      </c>
      <c r="D433" s="138">
        <v>45107</v>
      </c>
      <c r="E433" s="159">
        <v>45128</v>
      </c>
      <c r="F433" s="140" t="s">
        <v>780</v>
      </c>
      <c r="G433" s="78">
        <v>146699982</v>
      </c>
      <c r="H433" s="141"/>
      <c r="I433" s="142"/>
      <c r="J433" s="143"/>
      <c r="K433" s="143"/>
      <c r="L433" s="144" t="str">
        <f t="shared" si="6"/>
        <v>x</v>
      </c>
      <c r="M433" s="145" t="s">
        <v>769</v>
      </c>
      <c r="N433" s="145" t="s">
        <v>762</v>
      </c>
      <c r="O433" s="145" t="s">
        <v>90</v>
      </c>
      <c r="P433" s="145"/>
    </row>
    <row r="434" spans="1:16" ht="15" customHeight="1">
      <c r="A434" s="136" t="s">
        <v>779</v>
      </c>
      <c r="B434" s="74">
        <v>0</v>
      </c>
      <c r="C434" s="137" t="s">
        <v>692</v>
      </c>
      <c r="D434" s="138">
        <v>45107</v>
      </c>
      <c r="E434" s="159">
        <v>45137</v>
      </c>
      <c r="F434" s="140" t="s">
        <v>780</v>
      </c>
      <c r="G434" s="78">
        <v>49910001</v>
      </c>
      <c r="H434" s="141"/>
      <c r="I434" s="142"/>
      <c r="J434" s="143"/>
      <c r="K434" s="143"/>
      <c r="L434" s="144" t="str">
        <f t="shared" si="6"/>
        <v>x</v>
      </c>
      <c r="M434" s="145" t="s">
        <v>775</v>
      </c>
      <c r="N434" s="145" t="s">
        <v>763</v>
      </c>
      <c r="O434" s="145" t="s">
        <v>90</v>
      </c>
      <c r="P434" s="145"/>
    </row>
    <row r="435" spans="1:16" ht="15" customHeight="1">
      <c r="A435" s="136" t="s">
        <v>779</v>
      </c>
      <c r="B435" s="74">
        <v>0</v>
      </c>
      <c r="C435" s="137" t="s">
        <v>693</v>
      </c>
      <c r="D435" s="138">
        <v>45107</v>
      </c>
      <c r="E435" s="159">
        <v>45137</v>
      </c>
      <c r="F435" s="140" t="s">
        <v>780</v>
      </c>
      <c r="G435" s="78">
        <v>8081000</v>
      </c>
      <c r="H435" s="141"/>
      <c r="I435" s="142"/>
      <c r="J435" s="143"/>
      <c r="K435" s="143"/>
      <c r="L435" s="144" t="str">
        <f t="shared" si="6"/>
        <v>x</v>
      </c>
      <c r="M435" s="145" t="s">
        <v>777</v>
      </c>
      <c r="N435" s="145" t="s">
        <v>764</v>
      </c>
      <c r="O435" s="145" t="s">
        <v>90</v>
      </c>
      <c r="P435" s="145"/>
    </row>
    <row r="436" spans="1:16" ht="15" customHeight="1">
      <c r="A436" s="136" t="s">
        <v>779</v>
      </c>
      <c r="B436" s="74">
        <v>0</v>
      </c>
      <c r="C436" s="137" t="s">
        <v>694</v>
      </c>
      <c r="D436" s="138">
        <v>45107</v>
      </c>
      <c r="E436" s="159">
        <v>45107</v>
      </c>
      <c r="F436" s="140" t="s">
        <v>780</v>
      </c>
      <c r="G436" s="78">
        <v>0</v>
      </c>
      <c r="H436" s="141"/>
      <c r="I436" s="142"/>
      <c r="J436" s="143"/>
      <c r="K436" s="143"/>
      <c r="L436" s="144" t="str">
        <f t="shared" si="6"/>
        <v>x</v>
      </c>
      <c r="M436" s="145" t="s">
        <v>769</v>
      </c>
      <c r="N436" s="145" t="s">
        <v>439</v>
      </c>
      <c r="O436" s="145" t="s">
        <v>153</v>
      </c>
      <c r="P436" s="145"/>
    </row>
    <row r="437" spans="1:16" ht="15" customHeight="1">
      <c r="A437" s="136" t="s">
        <v>779</v>
      </c>
      <c r="B437" s="74">
        <v>0</v>
      </c>
      <c r="C437" s="137" t="s">
        <v>695</v>
      </c>
      <c r="D437" s="138">
        <v>45107</v>
      </c>
      <c r="E437" s="159">
        <v>45117</v>
      </c>
      <c r="F437" s="140" t="s">
        <v>780</v>
      </c>
      <c r="G437" s="78">
        <v>24024999</v>
      </c>
      <c r="H437" s="141"/>
      <c r="I437" s="142"/>
      <c r="J437" s="143"/>
      <c r="K437" s="143"/>
      <c r="L437" s="144" t="str">
        <f t="shared" si="6"/>
        <v>x</v>
      </c>
      <c r="M437" s="145" t="s">
        <v>770</v>
      </c>
      <c r="N437" s="145" t="s">
        <v>765</v>
      </c>
      <c r="O437" s="145" t="s">
        <v>90</v>
      </c>
      <c r="P437" s="145"/>
    </row>
    <row r="438" spans="1:16" ht="15" customHeight="1">
      <c r="A438" s="136" t="s">
        <v>779</v>
      </c>
      <c r="B438" s="74">
        <v>0</v>
      </c>
      <c r="C438" s="137" t="s">
        <v>696</v>
      </c>
      <c r="D438" s="138">
        <v>45107</v>
      </c>
      <c r="E438" s="159">
        <v>45117</v>
      </c>
      <c r="F438" s="140" t="s">
        <v>780</v>
      </c>
      <c r="G438" s="78">
        <v>20449998</v>
      </c>
      <c r="H438" s="141"/>
      <c r="I438" s="142"/>
      <c r="J438" s="143"/>
      <c r="K438" s="143"/>
      <c r="L438" s="144" t="str">
        <f t="shared" si="6"/>
        <v>x</v>
      </c>
      <c r="M438" s="145" t="s">
        <v>770</v>
      </c>
      <c r="N438" s="145" t="s">
        <v>766</v>
      </c>
      <c r="O438" s="145" t="s">
        <v>90</v>
      </c>
      <c r="P438" s="145"/>
    </row>
    <row r="439" spans="1:16" ht="15" customHeight="1">
      <c r="A439" s="136" t="s">
        <v>779</v>
      </c>
      <c r="B439" s="74">
        <v>0</v>
      </c>
      <c r="C439" s="152" t="s">
        <v>697</v>
      </c>
      <c r="D439" s="138">
        <v>45107</v>
      </c>
      <c r="E439" s="159">
        <v>45114</v>
      </c>
      <c r="F439" s="140" t="s">
        <v>780</v>
      </c>
      <c r="G439" s="78">
        <v>11000000</v>
      </c>
      <c r="H439" s="141"/>
      <c r="I439" s="142"/>
      <c r="J439" s="143"/>
      <c r="K439" s="143"/>
      <c r="L439" s="144" t="str">
        <f t="shared" si="6"/>
        <v>x</v>
      </c>
      <c r="M439" s="145" t="s">
        <v>770</v>
      </c>
      <c r="N439" s="145" t="s">
        <v>767</v>
      </c>
      <c r="O439" s="145" t="s">
        <v>90</v>
      </c>
      <c r="P439" s="145"/>
    </row>
    <row r="440" spans="1:16" ht="15" customHeight="1">
      <c r="A440" s="136" t="s">
        <v>779</v>
      </c>
      <c r="B440" s="74">
        <v>0</v>
      </c>
      <c r="C440" s="137" t="s">
        <v>698</v>
      </c>
      <c r="D440" s="138">
        <v>45107</v>
      </c>
      <c r="E440" s="159">
        <v>45107</v>
      </c>
      <c r="F440" s="140" t="s">
        <v>780</v>
      </c>
      <c r="G440" s="78">
        <v>23367002</v>
      </c>
      <c r="H440" s="141"/>
      <c r="I440" s="142"/>
      <c r="J440" s="143"/>
      <c r="K440" s="143"/>
      <c r="L440" s="144" t="str">
        <f t="shared" si="6"/>
        <v>x</v>
      </c>
      <c r="M440" s="145" t="s">
        <v>776</v>
      </c>
      <c r="N440" s="145" t="s">
        <v>768</v>
      </c>
      <c r="O440" s="145" t="s">
        <v>90</v>
      </c>
      <c r="P440" s="145"/>
    </row>
    <row r="441" spans="1:16" ht="15" customHeight="1">
      <c r="A441" s="136"/>
      <c r="B441" s="74"/>
      <c r="C441" s="137"/>
      <c r="D441" s="138"/>
      <c r="E441" s="159"/>
      <c r="F441" s="136"/>
      <c r="G441" s="78"/>
      <c r="H441" s="141"/>
      <c r="I441" s="142"/>
      <c r="J441" s="143"/>
      <c r="K441" s="143"/>
      <c r="L441" s="144" t="str">
        <f t="shared" si="6"/>
        <v>x</v>
      </c>
      <c r="M441" s="145"/>
      <c r="N441" s="145"/>
      <c r="O441" s="145"/>
      <c r="P441" s="145"/>
    </row>
    <row r="442" spans="1:16" ht="15" customHeight="1">
      <c r="A442" s="136"/>
      <c r="B442" s="74"/>
      <c r="C442" s="137"/>
      <c r="D442" s="138"/>
      <c r="E442" s="159"/>
      <c r="F442" s="136"/>
      <c r="G442" s="78"/>
      <c r="H442" s="141"/>
      <c r="I442" s="142"/>
      <c r="J442" s="143"/>
      <c r="K442" s="143"/>
      <c r="L442" s="144" t="str">
        <f t="shared" si="6"/>
        <v>x</v>
      </c>
      <c r="M442" s="145"/>
      <c r="N442" s="145"/>
      <c r="O442" s="145"/>
      <c r="P442" s="145"/>
    </row>
    <row r="443" spans="1:16" ht="15" customHeight="1">
      <c r="A443" s="136"/>
      <c r="B443" s="74"/>
      <c r="C443" s="137"/>
      <c r="D443" s="138"/>
      <c r="E443" s="159"/>
      <c r="F443" s="136"/>
      <c r="G443" s="78"/>
      <c r="H443" s="141"/>
      <c r="I443" s="142"/>
      <c r="J443" s="143"/>
      <c r="K443" s="143"/>
      <c r="L443" s="144" t="str">
        <f t="shared" si="6"/>
        <v>x</v>
      </c>
      <c r="M443" s="145"/>
      <c r="N443" s="145"/>
      <c r="O443" s="145"/>
      <c r="P443" s="145"/>
    </row>
    <row r="444" spans="1:16" ht="15" customHeight="1">
      <c r="A444" s="136"/>
      <c r="B444" s="74"/>
      <c r="C444" s="137"/>
      <c r="D444" s="138"/>
      <c r="E444" s="159"/>
      <c r="F444" s="136"/>
      <c r="G444" s="78"/>
      <c r="H444" s="141"/>
      <c r="I444" s="142"/>
      <c r="J444" s="143"/>
      <c r="K444" s="143"/>
      <c r="L444" s="144" t="str">
        <f t="shared" si="6"/>
        <v>x</v>
      </c>
      <c r="M444" s="145"/>
      <c r="N444" s="145"/>
      <c r="O444" s="145"/>
      <c r="P444" s="145"/>
    </row>
    <row r="445" spans="1:16" ht="15" customHeight="1">
      <c r="A445" s="136"/>
      <c r="B445" s="74"/>
      <c r="C445" s="152"/>
      <c r="D445" s="138"/>
      <c r="E445" s="159"/>
      <c r="F445" s="136"/>
      <c r="G445" s="78"/>
      <c r="H445" s="141"/>
      <c r="I445" s="142"/>
      <c r="J445" s="143"/>
      <c r="K445" s="143"/>
      <c r="L445" s="144" t="str">
        <f t="shared" si="6"/>
        <v>x</v>
      </c>
      <c r="M445" s="145"/>
      <c r="N445" s="145"/>
      <c r="O445" s="145"/>
      <c r="P445" s="145"/>
    </row>
    <row r="446" spans="1:16" ht="15" customHeight="1">
      <c r="A446" s="136"/>
      <c r="B446" s="74"/>
      <c r="C446" s="137"/>
      <c r="D446" s="138"/>
      <c r="E446" s="159"/>
      <c r="F446" s="136"/>
      <c r="G446" s="78"/>
      <c r="H446" s="141"/>
      <c r="I446" s="142"/>
      <c r="J446" s="143"/>
      <c r="K446" s="143"/>
      <c r="L446" s="144" t="str">
        <f t="shared" si="6"/>
        <v>x</v>
      </c>
      <c r="M446" s="145"/>
      <c r="N446" s="145"/>
      <c r="O446" s="145"/>
      <c r="P446" s="145"/>
    </row>
    <row r="447" spans="1:16" ht="15" customHeight="1">
      <c r="A447" s="136"/>
      <c r="B447" s="74"/>
      <c r="C447" s="137"/>
      <c r="D447" s="138"/>
      <c r="E447" s="159"/>
      <c r="F447" s="136"/>
      <c r="G447" s="78"/>
      <c r="H447" s="141"/>
      <c r="I447" s="142"/>
      <c r="J447" s="143"/>
      <c r="K447" s="143"/>
      <c r="L447" s="144" t="str">
        <f t="shared" si="6"/>
        <v>x</v>
      </c>
      <c r="M447" s="145"/>
      <c r="N447" s="145"/>
      <c r="O447" s="145"/>
      <c r="P447" s="145"/>
    </row>
    <row r="448" spans="1:16" ht="15" customHeight="1">
      <c r="A448" s="136"/>
      <c r="B448" s="74"/>
      <c r="C448" s="137"/>
      <c r="D448" s="138"/>
      <c r="E448" s="159"/>
      <c r="F448" s="136"/>
      <c r="G448" s="78"/>
      <c r="H448" s="141"/>
      <c r="I448" s="142"/>
      <c r="J448" s="143"/>
      <c r="K448" s="143"/>
      <c r="L448" s="144" t="str">
        <f t="shared" si="6"/>
        <v>x</v>
      </c>
      <c r="M448" s="145"/>
      <c r="N448" s="145"/>
      <c r="O448" s="145"/>
      <c r="P448" s="145"/>
    </row>
    <row r="449" spans="1:16" ht="15" customHeight="1">
      <c r="A449" s="136"/>
      <c r="B449" s="74"/>
      <c r="C449" s="152"/>
      <c r="D449" s="138"/>
      <c r="E449" s="159"/>
      <c r="F449" s="136"/>
      <c r="G449" s="78"/>
      <c r="H449" s="141"/>
      <c r="I449" s="142"/>
      <c r="J449" s="143"/>
      <c r="K449" s="143"/>
      <c r="L449" s="144" t="str">
        <f t="shared" si="6"/>
        <v>x</v>
      </c>
      <c r="M449" s="145"/>
      <c r="N449" s="145"/>
      <c r="O449" s="145"/>
      <c r="P449" s="145"/>
    </row>
    <row r="450" spans="1:16" ht="15" customHeight="1">
      <c r="A450" s="136"/>
      <c r="B450" s="74"/>
      <c r="C450" s="137"/>
      <c r="D450" s="138"/>
      <c r="E450" s="159"/>
      <c r="F450" s="136"/>
      <c r="G450" s="78"/>
      <c r="H450" s="141"/>
      <c r="I450" s="142"/>
      <c r="J450" s="143"/>
      <c r="K450" s="143"/>
      <c r="L450" s="144" t="str">
        <f t="shared" si="6"/>
        <v>x</v>
      </c>
      <c r="M450" s="145"/>
      <c r="N450" s="145"/>
      <c r="O450" s="145"/>
      <c r="P450" s="145"/>
    </row>
    <row r="451" spans="1:16" ht="15" customHeight="1">
      <c r="A451" s="136"/>
      <c r="B451" s="74"/>
      <c r="C451" s="137"/>
      <c r="D451" s="138"/>
      <c r="E451" s="159"/>
      <c r="F451" s="136"/>
      <c r="G451" s="78"/>
      <c r="H451" s="141"/>
      <c r="I451" s="142"/>
      <c r="J451" s="143"/>
      <c r="K451" s="143"/>
      <c r="L451" s="144" t="str">
        <f t="shared" ref="L451:L466" si="7">IF(J451="","x",H451-E451)</f>
        <v>x</v>
      </c>
      <c r="M451" s="145"/>
      <c r="N451" s="145"/>
      <c r="O451" s="145"/>
      <c r="P451" s="145"/>
    </row>
    <row r="452" spans="1:16" ht="15" customHeight="1">
      <c r="A452" s="136"/>
      <c r="B452" s="74"/>
      <c r="C452" s="137"/>
      <c r="D452" s="138"/>
      <c r="E452" s="159"/>
      <c r="F452" s="136"/>
      <c r="G452" s="78"/>
      <c r="H452" s="141"/>
      <c r="I452" s="142"/>
      <c r="J452" s="143"/>
      <c r="K452" s="143"/>
      <c r="L452" s="144" t="str">
        <f t="shared" si="7"/>
        <v>x</v>
      </c>
      <c r="M452" s="145"/>
      <c r="N452" s="145"/>
      <c r="O452" s="145"/>
      <c r="P452" s="145"/>
    </row>
    <row r="453" spans="1:16" ht="15" customHeight="1">
      <c r="A453" s="136"/>
      <c r="B453" s="74"/>
      <c r="C453" s="152"/>
      <c r="D453" s="138"/>
      <c r="E453" s="159"/>
      <c r="F453" s="136"/>
      <c r="G453" s="78"/>
      <c r="H453" s="141"/>
      <c r="I453" s="142"/>
      <c r="J453" s="143"/>
      <c r="K453" s="143"/>
      <c r="L453" s="144" t="str">
        <f t="shared" si="7"/>
        <v>x</v>
      </c>
      <c r="M453" s="145"/>
      <c r="N453" s="145"/>
      <c r="O453" s="145"/>
      <c r="P453" s="145"/>
    </row>
    <row r="454" spans="1:16" ht="15" customHeight="1">
      <c r="A454" s="136"/>
      <c r="B454" s="74"/>
      <c r="C454" s="137"/>
      <c r="D454" s="138"/>
      <c r="E454" s="159"/>
      <c r="F454" s="136"/>
      <c r="G454" s="78"/>
      <c r="H454" s="141"/>
      <c r="I454" s="142"/>
      <c r="J454" s="143"/>
      <c r="K454" s="143"/>
      <c r="L454" s="144" t="str">
        <f t="shared" si="7"/>
        <v>x</v>
      </c>
      <c r="M454" s="145"/>
      <c r="N454" s="145"/>
      <c r="O454" s="145"/>
      <c r="P454" s="145"/>
    </row>
    <row r="455" spans="1:16" ht="15" customHeight="1">
      <c r="A455" s="136"/>
      <c r="B455" s="74"/>
      <c r="C455" s="137"/>
      <c r="D455" s="138"/>
      <c r="E455" s="159"/>
      <c r="F455" s="136"/>
      <c r="G455" s="78"/>
      <c r="H455" s="141"/>
      <c r="I455" s="142"/>
      <c r="J455" s="143"/>
      <c r="K455" s="143"/>
      <c r="L455" s="144" t="str">
        <f t="shared" si="7"/>
        <v>x</v>
      </c>
      <c r="M455" s="145"/>
      <c r="N455" s="145"/>
      <c r="O455" s="145"/>
      <c r="P455" s="145"/>
    </row>
    <row r="456" spans="1:16" ht="15" customHeight="1">
      <c r="A456" s="136"/>
      <c r="B456" s="74"/>
      <c r="C456" s="137"/>
      <c r="D456" s="138"/>
      <c r="E456" s="159"/>
      <c r="F456" s="136"/>
      <c r="G456" s="78"/>
      <c r="H456" s="141"/>
      <c r="I456" s="142"/>
      <c r="J456" s="143"/>
      <c r="K456" s="143"/>
      <c r="L456" s="144" t="str">
        <f t="shared" si="7"/>
        <v>x</v>
      </c>
      <c r="M456" s="145"/>
      <c r="N456" s="145"/>
      <c r="O456" s="145"/>
      <c r="P456" s="145"/>
    </row>
    <row r="457" spans="1:16" ht="15" customHeight="1">
      <c r="A457" s="136"/>
      <c r="B457" s="74"/>
      <c r="C457" s="137"/>
      <c r="D457" s="138"/>
      <c r="E457" s="159"/>
      <c r="F457" s="136"/>
      <c r="G457" s="78"/>
      <c r="H457" s="141"/>
      <c r="I457" s="142"/>
      <c r="J457" s="143"/>
      <c r="K457" s="143"/>
      <c r="L457" s="144" t="str">
        <f t="shared" si="7"/>
        <v>x</v>
      </c>
      <c r="M457" s="145"/>
      <c r="N457" s="145"/>
      <c r="O457" s="145"/>
      <c r="P457" s="145"/>
    </row>
    <row r="458" spans="1:16" ht="15" customHeight="1">
      <c r="A458" s="136"/>
      <c r="B458" s="74"/>
      <c r="C458" s="137"/>
      <c r="D458" s="138"/>
      <c r="E458" s="159"/>
      <c r="F458" s="136"/>
      <c r="G458" s="78"/>
      <c r="H458" s="141"/>
      <c r="I458" s="142"/>
      <c r="J458" s="143"/>
      <c r="K458" s="143"/>
      <c r="L458" s="144" t="str">
        <f t="shared" si="7"/>
        <v>x</v>
      </c>
      <c r="M458" s="145"/>
      <c r="N458" s="145"/>
      <c r="O458" s="145"/>
      <c r="P458" s="145"/>
    </row>
    <row r="459" spans="1:16" ht="15" customHeight="1">
      <c r="A459" s="136"/>
      <c r="B459" s="74"/>
      <c r="C459" s="137"/>
      <c r="D459" s="138"/>
      <c r="E459" s="159"/>
      <c r="F459" s="136"/>
      <c r="G459" s="78"/>
      <c r="H459" s="141"/>
      <c r="I459" s="142"/>
      <c r="J459" s="143"/>
      <c r="K459" s="143"/>
      <c r="L459" s="144" t="str">
        <f t="shared" si="7"/>
        <v>x</v>
      </c>
      <c r="M459" s="145"/>
      <c r="N459" s="145"/>
      <c r="O459" s="145"/>
      <c r="P459" s="145"/>
    </row>
    <row r="460" spans="1:16" ht="15" customHeight="1">
      <c r="A460" s="136"/>
      <c r="B460" s="74"/>
      <c r="C460" s="137"/>
      <c r="D460" s="138"/>
      <c r="E460" s="159"/>
      <c r="F460" s="136"/>
      <c r="G460" s="78"/>
      <c r="H460" s="141"/>
      <c r="I460" s="142"/>
      <c r="J460" s="143"/>
      <c r="K460" s="143"/>
      <c r="L460" s="144" t="str">
        <f t="shared" si="7"/>
        <v>x</v>
      </c>
      <c r="M460" s="145"/>
      <c r="N460" s="145"/>
      <c r="O460" s="145"/>
      <c r="P460" s="145"/>
    </row>
    <row r="461" spans="1:16" ht="15" customHeight="1">
      <c r="A461" s="136"/>
      <c r="B461" s="74"/>
      <c r="C461" s="137"/>
      <c r="D461" s="138"/>
      <c r="E461" s="159"/>
      <c r="F461" s="136"/>
      <c r="G461" s="78"/>
      <c r="H461" s="141"/>
      <c r="I461" s="142"/>
      <c r="J461" s="143"/>
      <c r="K461" s="143"/>
      <c r="L461" s="144" t="str">
        <f t="shared" si="7"/>
        <v>x</v>
      </c>
      <c r="M461" s="145"/>
      <c r="N461" s="145"/>
      <c r="O461" s="145"/>
      <c r="P461" s="145"/>
    </row>
    <row r="462" spans="1:16" ht="15" customHeight="1">
      <c r="A462" s="136"/>
      <c r="B462" s="74"/>
      <c r="C462" s="137"/>
      <c r="D462" s="138"/>
      <c r="E462" s="159"/>
      <c r="F462" s="136"/>
      <c r="G462" s="78"/>
      <c r="H462" s="141"/>
      <c r="I462" s="142"/>
      <c r="J462" s="143"/>
      <c r="K462" s="143"/>
      <c r="L462" s="144" t="str">
        <f t="shared" si="7"/>
        <v>x</v>
      </c>
      <c r="M462" s="145"/>
      <c r="N462" s="145"/>
      <c r="O462" s="145"/>
      <c r="P462" s="145"/>
    </row>
    <row r="463" spans="1:16" ht="15" customHeight="1">
      <c r="A463" s="136"/>
      <c r="B463" s="74"/>
      <c r="C463" s="152"/>
      <c r="D463" s="138"/>
      <c r="E463" s="159"/>
      <c r="F463" s="136"/>
      <c r="G463" s="78"/>
      <c r="H463" s="141"/>
      <c r="I463" s="142"/>
      <c r="J463" s="143"/>
      <c r="K463" s="143"/>
      <c r="L463" s="144" t="str">
        <f t="shared" si="7"/>
        <v>x</v>
      </c>
      <c r="M463" s="145"/>
      <c r="N463" s="145"/>
      <c r="O463" s="145"/>
      <c r="P463" s="145"/>
    </row>
    <row r="464" spans="1:16" ht="15" customHeight="1">
      <c r="A464" s="136"/>
      <c r="B464" s="74"/>
      <c r="C464" s="137"/>
      <c r="D464" s="138"/>
      <c r="E464" s="159"/>
      <c r="F464" s="136"/>
      <c r="G464" s="78"/>
      <c r="H464" s="141"/>
      <c r="I464" s="142"/>
      <c r="J464" s="143"/>
      <c r="K464" s="143"/>
      <c r="L464" s="144" t="str">
        <f t="shared" si="7"/>
        <v>x</v>
      </c>
      <c r="M464" s="145"/>
      <c r="N464" s="145"/>
      <c r="O464" s="145"/>
      <c r="P464" s="145"/>
    </row>
    <row r="465" spans="1:16" ht="15" customHeight="1">
      <c r="A465" s="136"/>
      <c r="B465" s="74"/>
      <c r="C465" s="137"/>
      <c r="D465" s="138"/>
      <c r="E465" s="159"/>
      <c r="F465" s="136"/>
      <c r="G465" s="78"/>
      <c r="H465" s="141"/>
      <c r="I465" s="142"/>
      <c r="J465" s="143"/>
      <c r="K465" s="143"/>
      <c r="L465" s="144" t="str">
        <f t="shared" si="7"/>
        <v>x</v>
      </c>
      <c r="M465" s="145"/>
      <c r="N465" s="145"/>
      <c r="O465" s="145"/>
      <c r="P465" s="145"/>
    </row>
    <row r="466" spans="1:16" ht="15" customHeight="1">
      <c r="A466" s="136"/>
      <c r="B466" s="74"/>
      <c r="C466" s="137"/>
      <c r="D466" s="138"/>
      <c r="E466" s="159"/>
      <c r="F466" s="136"/>
      <c r="G466" s="78"/>
      <c r="H466" s="141"/>
      <c r="I466" s="142"/>
      <c r="J466" s="143"/>
      <c r="K466" s="143"/>
      <c r="L466" s="144" t="str">
        <f t="shared" si="7"/>
        <v>x</v>
      </c>
      <c r="M466" s="145"/>
      <c r="N466" s="145"/>
      <c r="O466" s="145"/>
      <c r="P466" s="145"/>
    </row>
  </sheetData>
  <autoFilter ref="A2:P466" xr:uid="{00000000-0009-0000-0000-000005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X123"/>
  <sheetViews>
    <sheetView tabSelected="1" zoomScaleNormal="100" zoomScaleSheetLayoutView="70" workbookViewId="0">
      <pane xSplit="1" topLeftCell="B1" activePane="topRight" state="frozenSplit"/>
      <selection activeCell="A160" sqref="A160"/>
      <selection pane="topRight" activeCell="I22" sqref="I22"/>
    </sheetView>
  </sheetViews>
  <sheetFormatPr defaultRowHeight="14.4"/>
  <cols>
    <col min="1" max="1" width="24.44140625" customWidth="1"/>
    <col min="2" max="2" width="14.77734375" customWidth="1"/>
    <col min="3" max="8" width="15.21875" customWidth="1"/>
    <col min="9" max="9" width="13" customWidth="1"/>
    <col min="10" max="10" width="13.21875" customWidth="1"/>
    <col min="11" max="11" width="12.21875" customWidth="1"/>
    <col min="12" max="12" width="10.77734375" customWidth="1"/>
    <col min="13" max="13" width="11.21875" customWidth="1"/>
    <col min="14" max="14" width="11.21875" bestFit="1" customWidth="1"/>
    <col min="15" max="15" width="10.77734375" customWidth="1"/>
    <col min="16" max="16" width="14.21875" bestFit="1" customWidth="1"/>
    <col min="17" max="17" width="12.5546875" bestFit="1" customWidth="1"/>
    <col min="18" max="18" width="16.5546875" bestFit="1" customWidth="1"/>
    <col min="19" max="19" width="11.5546875" bestFit="1" customWidth="1"/>
    <col min="20" max="20" width="12.5546875" bestFit="1" customWidth="1"/>
    <col min="21" max="21" width="12.21875" bestFit="1" customWidth="1"/>
  </cols>
  <sheetData>
    <row r="1" spans="1:20" s="2" customFormat="1" ht="19.8">
      <c r="A1" s="101" t="str">
        <f>"CHI TIẾT HOA HỒNG T"&amp;B3&amp;"/"&amp;D3</f>
        <v>CHI TIẾT HOA HỒNG T6/2023</v>
      </c>
      <c r="B1" s="101"/>
      <c r="C1" s="101"/>
      <c r="D1" s="101"/>
      <c r="E1" s="101"/>
      <c r="F1" s="101"/>
      <c r="G1" s="101"/>
      <c r="H1" s="101"/>
      <c r="I1" s="101"/>
      <c r="J1" s="101"/>
      <c r="K1" s="18"/>
      <c r="L1" s="18"/>
      <c r="M1" s="18"/>
      <c r="N1" s="18"/>
      <c r="O1" s="18"/>
      <c r="P1" s="18"/>
      <c r="Q1" s="18"/>
    </row>
    <row r="3" spans="1:20" ht="17.399999999999999">
      <c r="A3" s="38" t="s">
        <v>22</v>
      </c>
      <c r="B3" s="58">
        <v>6</v>
      </c>
      <c r="C3" s="38" t="s">
        <v>171</v>
      </c>
      <c r="D3" s="58">
        <v>2023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14"/>
      <c r="S3" s="14"/>
      <c r="T3" s="14"/>
    </row>
    <row r="4" spans="1:20" s="4" customFormat="1" hidden="1">
      <c r="A4" s="33" t="s">
        <v>44</v>
      </c>
      <c r="C4" s="23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</row>
    <row r="5" spans="1:20" s="25" customFormat="1" hidden="1">
      <c r="A5" s="103" t="s">
        <v>47</v>
      </c>
      <c r="C5" s="26">
        <f>IF(LEN(C$54)&lt;4,DATE($D$3,RIGHT(C$54,LEN(C$54)-1)+1,1),DATE($D$3-1,MID(C$54,2,LEN(C$54)-4)+1,1))-1</f>
        <v>45107</v>
      </c>
      <c r="D5" s="26">
        <f>IF(LEN(D$54)&lt;4,DATE($D$3,RIGHT(D$54,LEN(D$54)-1)+1,1),DATE($D$3-1,MID(D$54,2,LEN(D$54)-4)+1,1))-1</f>
        <v>45077</v>
      </c>
      <c r="E5" s="26">
        <f>IF(LEN(E$54)&lt;4,DATE($D$3,RIGHT(E$54,LEN(E$54)-1)+1,1),DATE($D$3-1,MID(E$54,2,LEN(E$54)-4)+1,1))-1</f>
        <v>45046</v>
      </c>
      <c r="F5" s="26">
        <f>IF(LEN(F$54)&lt;4,DATE($D$3,RIGHT(F$54,LEN(F$54)-1)+1,1),DATE($D$3-1,MID(F$54,2,LEN(F$54)-4)+1,1))-1</f>
        <v>45077</v>
      </c>
      <c r="G5" s="26">
        <f>IF(LEN(G$54)&lt;4,DATE($D$3,RIGHT(G$54,LEN(G$54)-1)+1,1),DATE($D$3-1,MID(G$54,2,LEN(G$54)-4)+1,1))-1</f>
        <v>45046</v>
      </c>
      <c r="H5" s="26">
        <f>IF(LEN(H$54)&lt;4,DATE($D$3,RIGHT(H$54,LEN(H$54)-1)+1,1),DATE($D$3-1,MID(H$54,2,LEN(H$54)-4)+1,1))-1</f>
        <v>45016</v>
      </c>
      <c r="I5" s="26">
        <f>IF(LEN(I$54)&lt;4,DATE($D$3,RIGHT(I$54,LEN(I$54)-1)+1,1),DATE($D$3-1,MID(I$54,2,LEN(I$54)-4)+1,1))-1</f>
        <v>45046</v>
      </c>
      <c r="J5" s="26">
        <f>IF(LEN(J$54)&lt;4,DATE($D$3,RIGHT(J$54,LEN(J$54)-1)+1,1),DATE($D$3-1,MID(J$54,2,LEN(J$54)-4)+1,1))-1</f>
        <v>45016</v>
      </c>
      <c r="K5" s="26">
        <f>IF(LEN(K$54)&lt;4,DATE($D$3,RIGHT(K$54,LEN(K$54)-1)+1,1),DATE($D$3-1,MID(K$54,2,LEN(K$54)-4)+1,1))-1</f>
        <v>44985</v>
      </c>
      <c r="L5" s="26">
        <f>IF(LEN(L$54)&lt;4,DATE($D$3,RIGHT(L$54,LEN(L$54)-1)+1,1),DATE($D$3-1,MID(L$54,2,LEN(L$54)-4)+1,1))-1</f>
        <v>45016</v>
      </c>
      <c r="M5" s="26">
        <f>IF(LEN(M$54)&lt;4,DATE($D$3,RIGHT(M$54,LEN(M$54)-1)+1,1),DATE($D$3-1,MID(M$54,2,LEN(M$54)-4)+1,1))-1</f>
        <v>44985</v>
      </c>
      <c r="N5" s="26">
        <f>IF(LEN(N$54)&lt;4,DATE($D$3,RIGHT(N$54,LEN(N$54)-1)+1,1),DATE($D$3-1,MID(N$54,2,LEN(N$54)-4)+1,1))-1</f>
        <v>44957</v>
      </c>
      <c r="O5" s="26">
        <f>IF(LEN(O$54)&lt;4,DATE($D$3,RIGHT(O$54,LEN(O$54)-1)+1,1),DATE($D$3-1,MID(O$54,2,LEN(O$54)-4)+1,1))-1</f>
        <v>44926</v>
      </c>
      <c r="P5" s="26"/>
      <c r="Q5" s="26"/>
    </row>
    <row r="6" spans="1:20" s="25" customFormat="1" hidden="1">
      <c r="A6" s="103"/>
      <c r="C6" s="26">
        <f>IF(LEN(C$54)&lt;4,DATE($D$3,RIGHT(C$54,LEN(C$54)-1),1),DATE($D$3-1,MID(C$54,2,LEN(C$54)-4),1))</f>
        <v>45078</v>
      </c>
      <c r="D6" s="26">
        <f>IF(LEN(D$54)&lt;4,DATE($D$3,RIGHT(D$54,LEN(D$54)-1),1),DATE($D$3-1,MID(D$54,2,LEN(D$54)-4),1))</f>
        <v>45047</v>
      </c>
      <c r="E6" s="26">
        <f>IF(LEN(E$54)&lt;4,DATE($D$3,RIGHT(E$54,LEN(E$54)-1),1),DATE($D$3-1,MID(E$54,2,LEN(E$54)-4),1))</f>
        <v>45017</v>
      </c>
      <c r="F6" s="26">
        <f>IF(LEN(F$54)&lt;4,DATE($D$3,RIGHT(F$54,LEN(F$54)-1),1),DATE($D$3-1,MID(F$54,2,LEN(F$54)-4),1))</f>
        <v>45047</v>
      </c>
      <c r="G6" s="26">
        <f>IF(LEN(G$54)&lt;4,DATE($D$3,RIGHT(G$54,LEN(G$54)-1),1),DATE($D$3-1,MID(G$54,2,LEN(G$54)-4),1))</f>
        <v>45017</v>
      </c>
      <c r="H6" s="26">
        <f>IF(LEN(H$54)&lt;4,DATE($D$3,RIGHT(H$54,LEN(H$54)-1),1),DATE($D$3-1,MID(H$54,2,LEN(H$54)-4),1))</f>
        <v>44986</v>
      </c>
      <c r="I6" s="26">
        <f>IF(LEN(I$54)&lt;4,DATE($D$3,RIGHT(I$54,LEN(I$54)-1),1),DATE($D$3-1,MID(I$54,2,LEN(I$54)-4),1))</f>
        <v>45017</v>
      </c>
      <c r="J6" s="26">
        <f>IF(LEN(J$54)&lt;4,DATE($D$3,RIGHT(J$54,LEN(J$54)-1),1),DATE($D$3-1,MID(J$54,2,LEN(J$54)-4),1))</f>
        <v>44986</v>
      </c>
      <c r="K6" s="26">
        <f>IF(LEN(K$54)&lt;4,DATE($D$3,RIGHT(K$54,LEN(K$54)-1),1),DATE($D$3-1,MID(K$54,2,LEN(K$54)-4),1))</f>
        <v>44958</v>
      </c>
      <c r="L6" s="26">
        <f>IF(LEN(L$54)&lt;4,DATE($D$3,RIGHT(L$54,LEN(L$54)-1),1),DATE($D$3-1,MID(L$54,2,LEN(L$54)-4),1))</f>
        <v>44986</v>
      </c>
      <c r="M6" s="26">
        <f>IF(LEN(M$54)&lt;4,DATE($D$3,RIGHT(M$54,LEN(M$54)-1),1),DATE($D$3-1,MID(M$54,2,LEN(M$54)-4),1))</f>
        <v>44958</v>
      </c>
      <c r="N6" s="26">
        <f>IF(LEN(N$54)&lt;4,DATE($D$3,RIGHT(N$54,LEN(N$54)-1),1),DATE($D$3-1,MID(N$54,2,LEN(N$54)-4),1))</f>
        <v>44927</v>
      </c>
      <c r="O6" s="26">
        <f>IF(LEN(O$54)&lt;4,DATE($D$3,RIGHT(O$54,LEN(O$54)-1),1),DATE($D$3-1,MID(O$54,2,LEN(O$54)-4),1))</f>
        <v>44896</v>
      </c>
      <c r="P6" s="26"/>
      <c r="Q6" s="26"/>
    </row>
    <row r="7" spans="1:20" s="25" customFormat="1" hidden="1">
      <c r="A7" s="32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</row>
    <row r="8" spans="1:20" s="25" customFormat="1" hidden="1">
      <c r="A8" s="102" t="s">
        <v>45</v>
      </c>
      <c r="C8" s="26">
        <f>IF(LEN(C$26)&lt;4,DATE($D$3,RIGHT(C$26,LEN(C$26)-1)+1,1),DATE($D$3-1,MID(C$26,2,LEN(C$26)-4)+1,1))-1</f>
        <v>45107</v>
      </c>
      <c r="D8" s="26">
        <f>IF(LEN(D$26)&lt;4,DATE($D$3,RIGHT(D$26,LEN(D$26)-1)+1,1),DATE($D$3-1,MID(D$26,2,LEN(D$26)-4)+1,1))-1</f>
        <v>45077</v>
      </c>
      <c r="E8" s="26">
        <f>IF(LEN(E$26)&lt;4,DATE($D$3,RIGHT(E$26,LEN(E$26)-1)+1,1),DATE($D$3-1,MID(E$26,2,LEN(E$26)-4)+1,1))-1</f>
        <v>45046</v>
      </c>
      <c r="F8" s="26">
        <f>IF(LEN(F$26)&lt;4,DATE($D$3,RIGHT(F$26,LEN(F$26)-1)+1,1),DATE($D$3-1,MID(F$26,2,LEN(F$26)-4)+1,1))-1</f>
        <v>45016</v>
      </c>
      <c r="G8" s="26">
        <f>IF(LEN(G$26)&lt;4,DATE($D$3,RIGHT(G$26,LEN(G$26)-1)+1,1),DATE($D$3-1,MID(G$26,2,LEN(G$26)-4)+1,1))-1</f>
        <v>44985</v>
      </c>
      <c r="H8" s="26">
        <f>IF(LEN(H$26)&lt;4,DATE($D$3,RIGHT(H$26,LEN(H$26)-1)+1,1),DATE($D$3-1,MID(H$26,2,LEN(H$26)-4)+1,1))-1</f>
        <v>44957</v>
      </c>
      <c r="I8" s="26">
        <f>IF(LEN(I$26)&lt;4,DATE($D$3,RIGHT(I$26,LEN(I$26)-1)+1,1),DATE($D$3-1,MID(I$26,2,LEN(I$26)-4)+1,1))-1</f>
        <v>44926</v>
      </c>
      <c r="J8" s="26"/>
      <c r="K8" s="26"/>
      <c r="L8" s="26"/>
      <c r="M8" s="26"/>
      <c r="N8" s="26"/>
      <c r="O8" s="26"/>
      <c r="P8" s="26"/>
    </row>
    <row r="9" spans="1:20" s="25" customFormat="1" hidden="1">
      <c r="A9" s="102"/>
      <c r="C9" s="26">
        <f>IF(LEN(C$26)&lt;4,DATE($D$3,RIGHT(C$26,LEN(C$26)-1),1),DATE($D$3-1,MID(C$26,2,LEN(C$26)-4),1))</f>
        <v>45078</v>
      </c>
      <c r="D9" s="26">
        <f>IF(LEN(D$26)&lt;4,DATE($D$3,RIGHT(D$26,LEN(D$26)-1),1),DATE($D$3-1,MID(D$26,2,LEN(D$26)-4),1))</f>
        <v>45047</v>
      </c>
      <c r="E9" s="26">
        <f>IF(LEN(E$26)&lt;4,DATE($D$3,RIGHT(E$26,LEN(E$26)-1),1),DATE($D$3-1,MID(E$26,2,LEN(E$26)-4),1))</f>
        <v>45017</v>
      </c>
      <c r="F9" s="26">
        <f>IF(LEN(F$26)&lt;4,DATE($D$3,RIGHT(F$26,LEN(F$26)-1),1),DATE($D$3-1,MID(F$26,2,LEN(F$26)-4),1))</f>
        <v>44986</v>
      </c>
      <c r="G9" s="26">
        <f>IF(LEN(G$26)&lt;4,DATE($D$3,RIGHT(G$26,LEN(G$26)-1),1),DATE($D$3-1,MID(G$26,2,LEN(G$26)-4),1))</f>
        <v>44958</v>
      </c>
      <c r="H9" s="26">
        <f>IF(LEN(H$26)&lt;4,DATE($D$3,RIGHT(H$26,LEN(H$26)-1),1),DATE($D$3-1,MID(H$26,2,LEN(H$26)-4),1))</f>
        <v>44927</v>
      </c>
      <c r="I9" s="26">
        <f>IF(LEN(I$26)&lt;4,DATE($D$3,RIGHT(I$26,LEN(I$26)-1),1),DATE($D$3-1,MID(I$26,2,LEN(I$26)-4),1))</f>
        <v>44896</v>
      </c>
      <c r="J9" s="26"/>
      <c r="K9" s="26"/>
      <c r="L9" s="26"/>
      <c r="M9" s="26"/>
      <c r="N9" s="26"/>
      <c r="O9" s="26"/>
      <c r="P9" s="26"/>
    </row>
    <row r="10" spans="1:20">
      <c r="A10" s="82" t="s">
        <v>48</v>
      </c>
      <c r="B10" s="16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</row>
    <row r="11" spans="1:20" s="2" customFormat="1" ht="15.75" customHeight="1">
      <c r="A11" s="105" t="s">
        <v>12</v>
      </c>
      <c r="B11" s="106" t="str">
        <f>"DOANH THU (VAT) T"&amp;B3</f>
        <v>DOANH THU (VAT) T6</v>
      </c>
      <c r="C11" s="107" t="s">
        <v>39</v>
      </c>
      <c r="D11" s="107" t="s">
        <v>40</v>
      </c>
      <c r="E11" s="107" t="s">
        <v>41</v>
      </c>
      <c r="F11" s="108" t="s">
        <v>43</v>
      </c>
      <c r="G11" s="109" t="s">
        <v>233</v>
      </c>
      <c r="H11" s="108" t="s">
        <v>42</v>
      </c>
    </row>
    <row r="12" spans="1:20" s="2" customFormat="1" ht="15.6">
      <c r="A12" s="105"/>
      <c r="B12" s="110"/>
      <c r="C12" s="107" t="str">
        <f>"T"&amp;$B$3</f>
        <v>T6</v>
      </c>
      <c r="D12" s="107" t="str">
        <f>"T"&amp;$B$3</f>
        <v>T6</v>
      </c>
      <c r="E12" s="107" t="str">
        <f>"T"&amp;$B$3</f>
        <v>T6</v>
      </c>
      <c r="F12" s="107" t="str">
        <f>"T"&amp;$B$3</f>
        <v>T6</v>
      </c>
      <c r="G12" s="109"/>
      <c r="H12" s="107" t="str">
        <f>"T"&amp;$B$3</f>
        <v>T6</v>
      </c>
    </row>
    <row r="13" spans="1:20" s="2" customFormat="1" ht="15.6">
      <c r="A13" s="19" t="s">
        <v>769</v>
      </c>
      <c r="B13" s="6">
        <f>SUMIFS(Payment!$G:$G,Payment!$M:$M,$A13,Payment!$D:$D,"&gt;="&amp;$C$9,Payment!$D:$D,"&lt;="&amp;$C$8)</f>
        <v>1932656461</v>
      </c>
      <c r="C13" s="7">
        <f>VLOOKUP(A13,Target!$A$3:$M$12,$B$3+1,0)</f>
        <v>1200000000</v>
      </c>
      <c r="D13" s="8">
        <f>IF(C13&lt;&gt;0,ROUNDDOWN(B13/C13,2),0)</f>
        <v>1.61</v>
      </c>
      <c r="E13" s="9">
        <f>IF($D13&gt;=Target!$Q$2,INDEX(Target!$P$2:$W$12,MATCH($A13,Target!$P$2:$P$12,0),COUNTIFS(Target!$P$2:$W$2,"&lt;="&amp;$D13)+1),0)</f>
        <v>1.9E-2</v>
      </c>
      <c r="F13" s="7">
        <f>SUMIFS($B$111:$B$120,$A$111:$A$120,$A13)</f>
        <v>22238967</v>
      </c>
      <c r="G13" s="7">
        <f t="shared" ref="G13:G22" si="0">ROUND(F13*10%,0)</f>
        <v>2223897</v>
      </c>
      <c r="H13" s="7">
        <f t="shared" ref="H13:H21" si="1">F13-G13</f>
        <v>20015070</v>
      </c>
      <c r="I13" s="81"/>
      <c r="J13" s="73"/>
      <c r="K13" s="100"/>
      <c r="L13" s="73"/>
      <c r="M13" s="73"/>
      <c r="N13" s="77"/>
    </row>
    <row r="14" spans="1:20" s="2" customFormat="1" ht="15.6">
      <c r="A14" s="19" t="s">
        <v>770</v>
      </c>
      <c r="B14" s="6">
        <f>SUMIFS(Payment!$G:$G,Payment!$M:$M,$A14,Payment!$D:$D,"&gt;="&amp;$C$9,Payment!$D:$D,"&lt;="&amp;$C$8)</f>
        <v>1612898332</v>
      </c>
      <c r="C14" s="7">
        <f>VLOOKUP(A14,Target!$A$3:$M$12,$B$3+1,0)</f>
        <v>1360000000</v>
      </c>
      <c r="D14" s="8">
        <f t="shared" ref="D14:D22" si="2">IF(C14&lt;&gt;0,ROUNDDOWN(B14/C14,2),0)</f>
        <v>1.18</v>
      </c>
      <c r="E14" s="9">
        <f>IF($D14&gt;=Target!$Q$2,INDEX(Target!$P$2:$W$12,MATCH($A14,Target!$P$2:$P$12,0),COUNTIFS(Target!$P$2:$W$2,"&lt;="&amp;$D14)+1),0)</f>
        <v>1.4999999999999999E-2</v>
      </c>
      <c r="F14" s="7">
        <f>SUMIFS($B$111:$B$120,$A$111:$A$120,$A14)</f>
        <v>20697626</v>
      </c>
      <c r="G14" s="7">
        <f t="shared" si="0"/>
        <v>2069763</v>
      </c>
      <c r="H14" s="7">
        <f>F14-G14</f>
        <v>18627863</v>
      </c>
      <c r="I14" s="99"/>
      <c r="J14" s="94"/>
      <c r="K14" s="100"/>
      <c r="L14" s="100"/>
      <c r="M14" s="100"/>
    </row>
    <row r="15" spans="1:20" s="2" customFormat="1" ht="15.6">
      <c r="A15" s="19" t="s">
        <v>771</v>
      </c>
      <c r="B15" s="6">
        <f>SUMIFS(Payment!$G:$G,Payment!$M:$M,$A15,Payment!$D:$D,"&gt;="&amp;$C$9,Payment!$D:$D,"&lt;="&amp;$C$8)</f>
        <v>69768501</v>
      </c>
      <c r="C15" s="7">
        <f>VLOOKUP(A15,Target!$A$3:$M$12,$B$3+1,0)</f>
        <v>142000000</v>
      </c>
      <c r="D15" s="8">
        <f t="shared" si="2"/>
        <v>0.49</v>
      </c>
      <c r="E15" s="9">
        <f>IF($D15&gt;=Target!$Q$2,INDEX(Target!$P$2:$W$12,MATCH($A15,Target!$P$2:$P$12,0),COUNTIFS(Target!$P$2:$W$2,"&lt;="&amp;$D15)+1),0)</f>
        <v>0</v>
      </c>
      <c r="F15" s="7">
        <f>SUMIFS($B$111:$B$120,$A$111:$A$120,$A15)</f>
        <v>656986</v>
      </c>
      <c r="G15" s="7">
        <f t="shared" si="0"/>
        <v>65699</v>
      </c>
      <c r="H15" s="7">
        <f>F15-G15</f>
        <v>591287</v>
      </c>
      <c r="I15" s="99"/>
      <c r="J15" s="94"/>
      <c r="K15" s="100"/>
      <c r="L15" s="73"/>
      <c r="M15" s="83"/>
      <c r="N15" s="77"/>
      <c r="O15" s="77"/>
    </row>
    <row r="16" spans="1:20" s="2" customFormat="1" ht="15.6">
      <c r="A16" s="19" t="s">
        <v>772</v>
      </c>
      <c r="B16" s="6">
        <f>SUMIFS(Payment!$G:$G,Payment!$M:$M,$A16,Payment!$D:$D,"&gt;="&amp;$C$9,Payment!$D:$D,"&lt;="&amp;$C$8)</f>
        <v>227422714</v>
      </c>
      <c r="C16" s="7">
        <f>VLOOKUP(A16,Target!$A$3:$M$12,$B$3+1,0)</f>
        <v>410000000</v>
      </c>
      <c r="D16" s="8">
        <f t="shared" si="2"/>
        <v>0.55000000000000004</v>
      </c>
      <c r="E16" s="9">
        <f>IF($D16&gt;=Target!$Q$2,INDEX(Target!$P$2:$W$12,MATCH($A16,Target!$P$2:$P$12,0),COUNTIFS(Target!$P$2:$W$2,"&lt;="&amp;$D16)+1),0)</f>
        <v>0</v>
      </c>
      <c r="F16" s="7">
        <f>SUMIFS($B$111:$B$120,$A$111:$A$120,$A16)</f>
        <v>2306672</v>
      </c>
      <c r="G16" s="7">
        <f t="shared" si="0"/>
        <v>230667</v>
      </c>
      <c r="H16" s="7">
        <f t="shared" si="1"/>
        <v>2076005</v>
      </c>
      <c r="I16" s="99"/>
      <c r="J16" s="73"/>
      <c r="K16" s="83"/>
      <c r="L16" s="80"/>
      <c r="M16" s="80"/>
      <c r="N16" s="80"/>
    </row>
    <row r="17" spans="1:15" s="2" customFormat="1" ht="15.6">
      <c r="A17" s="19" t="s">
        <v>773</v>
      </c>
      <c r="B17" s="6">
        <f>SUMIFS(Payment!$G:$G,Payment!$M:$M,$A17,Payment!$D:$D,"&gt;="&amp;$C$9,Payment!$D:$D,"&lt;="&amp;$C$8)</f>
        <v>111000801</v>
      </c>
      <c r="C17" s="7">
        <f>VLOOKUP(A17,Target!$A$3:$M$12,$B$3+1,0)</f>
        <v>269000000</v>
      </c>
      <c r="D17" s="8">
        <f t="shared" si="2"/>
        <v>0.41</v>
      </c>
      <c r="E17" s="9">
        <f>IF($D17&gt;=Target!$Q$2,INDEX(Target!$P$2:$W$12,MATCH($A17,Target!$P$2:$P$12,0),COUNTIFS(Target!$P$2:$W$2,"&lt;="&amp;$D17)+1),0)</f>
        <v>0</v>
      </c>
      <c r="F17" s="7">
        <f>SUMIFS($B$111:$B$120,$A$111:$A$120,$A17)</f>
        <v>821182</v>
      </c>
      <c r="G17" s="7">
        <f t="shared" si="0"/>
        <v>82118</v>
      </c>
      <c r="H17" s="7">
        <f t="shared" si="1"/>
        <v>739064</v>
      </c>
      <c r="I17" s="99"/>
      <c r="J17" s="73"/>
      <c r="K17" s="77"/>
      <c r="L17" s="77"/>
    </row>
    <row r="18" spans="1:15" s="2" customFormat="1" ht="15.6">
      <c r="A18" s="19" t="s">
        <v>774</v>
      </c>
      <c r="B18" s="6">
        <f>SUMIFS(Payment!$G:$G,Payment!$M:$M,$A18,Payment!$D:$D,"&gt;="&amp;$C$9,Payment!$D:$D,"&lt;="&amp;$C$8)</f>
        <v>136471599</v>
      </c>
      <c r="C18" s="7">
        <f>VLOOKUP(A18,Target!$A$3:$M$12,$B$3+1,0)</f>
        <v>250000000</v>
      </c>
      <c r="D18" s="8">
        <f t="shared" si="2"/>
        <v>0.54</v>
      </c>
      <c r="E18" s="9">
        <f>IF($D18&gt;=Target!$Q$2,INDEX(Target!$P$2:$W$12,MATCH($A18,Target!$P$2:$P$12,0),COUNTIFS(Target!$P$2:$W$2,"&lt;="&amp;$D18)+1),0)</f>
        <v>0</v>
      </c>
      <c r="F18" s="7">
        <f>SUMIFS($B$111:$B$120,$A$111:$A$120,$A18)</f>
        <v>1662344</v>
      </c>
      <c r="G18" s="7">
        <f t="shared" si="0"/>
        <v>166234</v>
      </c>
      <c r="H18" s="7">
        <f t="shared" si="1"/>
        <v>1496110</v>
      </c>
      <c r="I18" s="99"/>
      <c r="J18" s="73"/>
      <c r="K18" s="77"/>
    </row>
    <row r="19" spans="1:15" s="2" customFormat="1" ht="15.6">
      <c r="A19" s="19" t="s">
        <v>775</v>
      </c>
      <c r="B19" s="6">
        <f>SUMIFS(Payment!$G:$G,Payment!$M:$M,$A19,Payment!$D:$D,"&gt;="&amp;$C$9,Payment!$D:$D,"&lt;="&amp;$C$8)</f>
        <v>921197471</v>
      </c>
      <c r="C19" s="7">
        <f>VLOOKUP(A19,Target!$A$3:$M$12,$B$3+1,0)</f>
        <v>335000000</v>
      </c>
      <c r="D19" s="8">
        <f t="shared" si="2"/>
        <v>2.74</v>
      </c>
      <c r="E19" s="9">
        <f>IF($D19&gt;=Target!$Q$2,INDEX(Target!$P$2:$W$12,MATCH($A19,Target!$P$2:$P$12,0),COUNTIFS(Target!$P$2:$W$2,"&lt;="&amp;$D19)+1),0)</f>
        <v>0.02</v>
      </c>
      <c r="F19" s="7">
        <f>SUMIFS($B$111:$B$120,$A$111:$A$120,$A19)</f>
        <v>6278974</v>
      </c>
      <c r="G19" s="7">
        <f t="shared" ref="G19" si="3">ROUND(F19*10%,0)</f>
        <v>627897</v>
      </c>
      <c r="H19" s="7">
        <f t="shared" ref="H19" si="4">F19-G19</f>
        <v>5651077</v>
      </c>
      <c r="I19" s="99"/>
      <c r="J19" s="73"/>
      <c r="K19" s="77"/>
    </row>
    <row r="20" spans="1:15" s="2" customFormat="1" ht="15.6">
      <c r="A20" s="19" t="s">
        <v>776</v>
      </c>
      <c r="B20" s="6">
        <f>SUMIFS(Payment!$G:$G,Payment!$M:$M,$A20,Payment!$D:$D,"&gt;="&amp;$C$9,Payment!$D:$D,"&lt;="&amp;$C$8)</f>
        <v>116636004</v>
      </c>
      <c r="C20" s="7">
        <f>VLOOKUP(A20,Target!$A$3:$M$12,$B$3+1,0)</f>
        <v>360000000</v>
      </c>
      <c r="D20" s="8">
        <f>IF(C20&lt;&gt;0,ROUNDDOWN(B20/C20,2),0)</f>
        <v>0.32</v>
      </c>
      <c r="E20" s="9">
        <f>IF($D20&gt;=Target!$Q$2,INDEX(Target!$P$2:$W$12,MATCH($A20,Target!$P$2:$P$12,0),COUNTIFS(Target!$P$2:$W$2,"&lt;="&amp;$D20)+1),0)</f>
        <v>0</v>
      </c>
      <c r="F20" s="7">
        <f>SUMIFS($B$111:$B$120,$A$111:$A$120,$A20)</f>
        <v>1681294</v>
      </c>
      <c r="G20" s="7">
        <f t="shared" si="0"/>
        <v>168129</v>
      </c>
      <c r="H20" s="7">
        <f t="shared" si="1"/>
        <v>1513165</v>
      </c>
      <c r="I20" s="99"/>
      <c r="K20" s="83"/>
      <c r="L20" s="80"/>
    </row>
    <row r="21" spans="1:15" s="2" customFormat="1" ht="15.6">
      <c r="A21" s="19" t="s">
        <v>777</v>
      </c>
      <c r="B21" s="6">
        <f>SUMIFS(Payment!$G:$G,Payment!$M:$M,$A21,Payment!$D:$D,"&gt;="&amp;$C$9,Payment!$D:$D,"&lt;="&amp;$C$8)</f>
        <v>163179004</v>
      </c>
      <c r="C21" s="7">
        <f>VLOOKUP(A21,Target!$A$3:$M$12,$B$3+1,0)</f>
        <v>660000000</v>
      </c>
      <c r="D21" s="8">
        <f t="shared" si="2"/>
        <v>0.24</v>
      </c>
      <c r="E21" s="9">
        <f>IF($D21&gt;=Target!$Q$2,INDEX(Target!$P$2:$W$12,MATCH($A21,Target!$P$2:$P$12,0),COUNTIFS(Target!$P$2:$W$2,"&lt;="&amp;$D21)+1),0)</f>
        <v>0</v>
      </c>
      <c r="F21" s="7">
        <f>SUMIFS($B$111:$B$120,$A$111:$A$120,$A21)</f>
        <v>2056225</v>
      </c>
      <c r="G21" s="7">
        <f t="shared" si="0"/>
        <v>205623</v>
      </c>
      <c r="H21" s="7">
        <f t="shared" si="1"/>
        <v>1850602</v>
      </c>
      <c r="I21" s="99"/>
      <c r="J21" s="77"/>
      <c r="K21" s="77"/>
      <c r="L21" s="80"/>
      <c r="M21" s="77"/>
    </row>
    <row r="22" spans="1:15" s="2" customFormat="1" ht="15.6">
      <c r="A22" s="19" t="s">
        <v>778</v>
      </c>
      <c r="B22" s="6">
        <f>SUMIFS(Payment!$G:$G,Payment!$M:$M,$A22,Payment!$D:$D,"&gt;="&amp;$C$9,Payment!$D:$D,"&lt;="&amp;$C$8)</f>
        <v>732329748</v>
      </c>
      <c r="C22" s="7">
        <f>VLOOKUP(A22,Target!$A$3:$M$12,$B$3+1,0)</f>
        <v>1120000000</v>
      </c>
      <c r="D22" s="8">
        <f t="shared" si="2"/>
        <v>0.65</v>
      </c>
      <c r="E22" s="9">
        <f>IF($D22&gt;=Target!$Q$2,INDEX(Target!$P$2:$W$12,MATCH($A22,Target!$P$2:$P$12,0),COUNTIFS(Target!$P$2:$W$2,"&lt;="&amp;$D22)+1),0)</f>
        <v>6.0000000000000001E-3</v>
      </c>
      <c r="F22" s="7">
        <f>SUMIFS($B$111:$B$120,$A$111:$A$120,$A22)</f>
        <v>4782667</v>
      </c>
      <c r="G22" s="7">
        <f t="shared" si="0"/>
        <v>478267</v>
      </c>
      <c r="H22" s="7">
        <f>F22-G22</f>
        <v>4304400</v>
      </c>
      <c r="I22" s="73"/>
      <c r="K22" s="100"/>
      <c r="L22" s="100"/>
      <c r="M22" s="80"/>
    </row>
    <row r="23" spans="1:15" s="2" customFormat="1" ht="15.6">
      <c r="A23" s="52" t="s">
        <v>21</v>
      </c>
      <c r="B23" s="64">
        <f>SUM(B13:B22)</f>
        <v>6023560635</v>
      </c>
      <c r="C23" s="64">
        <f>SUM(C13:C22)</f>
        <v>6106000000</v>
      </c>
      <c r="D23" s="64"/>
      <c r="E23" s="64"/>
      <c r="F23" s="64">
        <f t="shared" ref="F23:H23" si="5">SUM(F13:F22)</f>
        <v>63182937</v>
      </c>
      <c r="G23" s="64">
        <f t="shared" si="5"/>
        <v>6318294</v>
      </c>
      <c r="H23" s="64">
        <f t="shared" si="5"/>
        <v>56864643</v>
      </c>
      <c r="I23" s="73"/>
      <c r="J23" s="73"/>
    </row>
    <row r="24" spans="1:15" s="2" customFormat="1" ht="15.6">
      <c r="B24" s="1"/>
      <c r="C24" s="14"/>
      <c r="D24" s="1"/>
      <c r="E24" s="1"/>
      <c r="F24" s="1"/>
      <c r="G24" s="1"/>
      <c r="H24" s="1"/>
      <c r="I24" s="1"/>
      <c r="J24" s="3"/>
    </row>
    <row r="25" spans="1:15" s="2" customFormat="1" ht="15.75" customHeight="1">
      <c r="A25" s="105" t="s">
        <v>12</v>
      </c>
      <c r="B25" s="111" t="s">
        <v>46</v>
      </c>
      <c r="C25" s="112"/>
      <c r="D25" s="112"/>
      <c r="E25" s="112"/>
      <c r="F25" s="112"/>
      <c r="G25" s="112"/>
      <c r="H25" s="112"/>
      <c r="I25" s="113"/>
    </row>
    <row r="26" spans="1:15" s="2" customFormat="1" ht="15.6">
      <c r="A26" s="105"/>
      <c r="B26" s="107" t="s">
        <v>31</v>
      </c>
      <c r="C26" s="107" t="str">
        <f>"T"&amp;$B$3</f>
        <v>T6</v>
      </c>
      <c r="D26" s="107" t="str">
        <f>IF(RIGHT(C$26,LEN(C$26)-1)-1=0,"T12/"&amp;(RIGHT($D$3,2)-1),IF(LEN(C$26)&gt;3,"T"&amp;(MID(C$26,2,LEN(C$26)-4)-1)&amp;"/"&amp;(RIGHT($D$3,2)-1),"T"&amp;RIGHT(C$26,(LEN(C$26)-1))-1))</f>
        <v>T5</v>
      </c>
      <c r="E26" s="107" t="str">
        <f>IF(RIGHT(D$26,LEN(D$26)-1)-1=0,"T12/"&amp;(RIGHT($D$3,2)-1),IF(LEN(D$26)&gt;3,"T"&amp;(MID(D$26,2,LEN(D$26)-4)-1)&amp;"/"&amp;(RIGHT($D$3,2)-1),"T"&amp;RIGHT(D$26,(LEN(D$26)-1))-1))</f>
        <v>T4</v>
      </c>
      <c r="F26" s="107" t="str">
        <f>IF(RIGHT(E$26,LEN(E$26)-1)-1=0,"T12/"&amp;(RIGHT($D$3,2)-1),IF(LEN(E$26)&gt;3,"T"&amp;(MID(E$26,2,LEN(E$26)-4)-1)&amp;"/"&amp;(RIGHT($D$3,2)-1),"T"&amp;RIGHT(E$26,(LEN(E$26)-1))-1))</f>
        <v>T3</v>
      </c>
      <c r="G26" s="107" t="str">
        <f>IF(RIGHT(F$26,LEN(F$26)-1)-1=0,"T12/"&amp;(RIGHT($D$3,2)-1),IF(LEN(F$26)&gt;3,"T"&amp;(MID(F$26,2,LEN(F$26)-4)-1)&amp;"/"&amp;(RIGHT($D$3,2)-1),"T"&amp;RIGHT(F$26,(LEN(F$26)-1))-1))</f>
        <v>T2</v>
      </c>
      <c r="H26" s="107" t="str">
        <f>IF(RIGHT(G$26,LEN(G$26)-1)-1=0,"T12/"&amp;(RIGHT($D$3,2)-1),IF(LEN(G$26)&gt;3,"T"&amp;(MID(G$26,2,LEN(G$26)-4)-1)&amp;"/"&amp;(RIGHT($D$3,2)-1),"T"&amp;RIGHT(G$26,(LEN(G$26)-1))-1))</f>
        <v>T1</v>
      </c>
      <c r="I26" s="107" t="str">
        <f>IF(RIGHT(H$26,LEN(H$26)-1)-1=0,"T12/"&amp;(RIGHT($D$3,2)-1),IF(LEN(H$26)&gt;3,"T"&amp;(MID(H$26,2,LEN(H$26)-4)-1)&amp;"/"&amp;(RIGHT($D$3,2)-1),"T"&amp;RIGHT(H$26,(LEN(H$26)-1))-1))</f>
        <v>T12/22</v>
      </c>
    </row>
    <row r="27" spans="1:15" s="2" customFormat="1" ht="15.6">
      <c r="A27" s="5" t="str">
        <f>A13</f>
        <v>NGUYEN VAN A</v>
      </c>
      <c r="B27" s="15">
        <f>SUM(C27:I27)</f>
        <v>1308233174.5454543</v>
      </c>
      <c r="C27" s="104">
        <f>SUMIFS(Payment!$J$3:$J$466,Payment!$M$3:$M$466,$A27,Payment!$D$3:$D$466,"&gt;="&amp;C$9,Payment!$D$3:$D$466,"&lt;="&amp;C$8)/1.1</f>
        <v>1046125916.3636363</v>
      </c>
      <c r="D27" s="104">
        <f>SUMIFS(Payment!$J$3:$J$466,Payment!$M$3:$M$466,$A27,Payment!$D$3:$D$466,"&gt;="&amp;D$9,Payment!$D$3:$D$466,"&lt;="&amp;D$8)/1.1</f>
        <v>260934530.90909088</v>
      </c>
      <c r="E27" s="104">
        <f>SUMIFS(Payment!$J$3:$J$466,Payment!$M$3:$M$466,$A27,Payment!$D$3:$D$466,"&gt;="&amp;E$9,Payment!$D$3:$D$466,"&lt;="&amp;E$8)/1.1</f>
        <v>1172727.2727272727</v>
      </c>
      <c r="F27" s="104">
        <f>SUMIFS(Payment!$J$3:$J$466,Payment!$M$3:$M$466,$A27,Payment!$D$3:$D$466,"&gt;="&amp;F$9,Payment!$D$3:$D$466,"&lt;="&amp;F$8)/1.1</f>
        <v>0</v>
      </c>
      <c r="G27" s="104">
        <f>SUMIFS(Payment!$J$3:$J$466,Payment!$M$3:$M$466,$A27,Payment!$D$3:$D$466,"&gt;="&amp;G$9,Payment!$D$3:$D$466,"&lt;="&amp;G$8)/1.1</f>
        <v>0</v>
      </c>
      <c r="H27" s="104">
        <f>SUMIFS(Payment!$J$3:$J$466,Payment!$M$3:$M$466,$A27,Payment!$D$3:$D$466,"&gt;="&amp;H$9,Payment!$D$3:$D$466,"&lt;="&amp;H$8)/1.1</f>
        <v>0</v>
      </c>
      <c r="I27" s="104">
        <f>SUMIFS(Payment!$J$3:$J$466,Payment!$M$3:$M$466,$A27,Payment!$D$3:$D$466,"&gt;="&amp;I$9,Payment!$D$3:$D$466,"&lt;="&amp;I$8)/1.1</f>
        <v>0</v>
      </c>
      <c r="J27" s="73"/>
      <c r="L27" s="98"/>
      <c r="M27" s="31"/>
      <c r="N27" s="77"/>
      <c r="O27" s="77"/>
    </row>
    <row r="28" spans="1:15" s="2" customFormat="1" ht="15.6">
      <c r="A28" s="5" t="str">
        <f t="shared" ref="A28:A36" si="6">A14</f>
        <v>NGUYEN VAN B</v>
      </c>
      <c r="B28" s="15">
        <f>SUM(C28:I28)</f>
        <v>1391176770.9090908</v>
      </c>
      <c r="C28" s="104">
        <f>SUMIFS(Payment!$J$3:$J$466,Payment!$M$3:$M$466,$A28,Payment!$D$3:$D$466,"&gt;="&amp;C$9,Payment!$D$3:$D$466,"&lt;="&amp;C$8)/1.1</f>
        <v>858444456.36363626</v>
      </c>
      <c r="D28" s="104">
        <f>SUMIFS(Payment!$J$3:$J$466,Payment!$M$3:$M$466,$A28,Payment!$D$3:$D$466,"&gt;="&amp;D$9,Payment!$D$3:$D$466,"&lt;="&amp;D$8)/1.1</f>
        <v>518001830.90909088</v>
      </c>
      <c r="E28" s="104">
        <f>SUMIFS(Payment!$J$3:$J$466,Payment!$M$3:$M$466,$A28,Payment!$D$3:$D$466,"&gt;="&amp;E$9,Payment!$D$3:$D$466,"&lt;="&amp;E$8)/1.1</f>
        <v>14730483.636363635</v>
      </c>
      <c r="F28" s="104">
        <f>SUMIFS(Payment!$J$3:$J$466,Payment!$M$3:$M$466,$A28,Payment!$D$3:$D$466,"&gt;="&amp;F$9,Payment!$D$3:$D$466,"&lt;="&amp;F$8)/1.1</f>
        <v>0</v>
      </c>
      <c r="G28" s="104">
        <f>SUMIFS(Payment!$J$3:$J$466,Payment!$M$3:$M$466,$A28,Payment!$D$3:$D$466,"&gt;="&amp;G$9,Payment!$D$3:$D$466,"&lt;="&amp;G$8)/1.1</f>
        <v>0</v>
      </c>
      <c r="H28" s="104">
        <f>SUMIFS(Payment!$J$3:$J$466,Payment!$M$3:$M$466,$A28,Payment!$D$3:$D$466,"&gt;="&amp;H$9,Payment!$D$3:$D$466,"&lt;="&amp;H$8)/1.1</f>
        <v>0</v>
      </c>
      <c r="I28" s="104">
        <f>SUMIFS(Payment!$J$3:$J$466,Payment!$M$3:$M$466,$A28,Payment!$D$3:$D$466,"&gt;="&amp;I$9,Payment!$D$3:$D$466,"&lt;="&amp;I$8)/1.1</f>
        <v>0</v>
      </c>
      <c r="J28" s="77"/>
      <c r="K28" s="100"/>
      <c r="N28" s="85"/>
      <c r="O28" s="3"/>
    </row>
    <row r="29" spans="1:15" s="2" customFormat="1" ht="15.6">
      <c r="A29" s="5" t="str">
        <f t="shared" si="6"/>
        <v>NGUYEN VAN C</v>
      </c>
      <c r="B29" s="15">
        <f>SUM(C29:I29)</f>
        <v>67971364.545454532</v>
      </c>
      <c r="C29" s="104">
        <f>SUMIFS(Payment!$J$3:$J$466,Payment!$M$3:$M$466,$A29,Payment!$D$3:$D$466,"&gt;="&amp;C$9,Payment!$D$3:$D$466,"&lt;="&amp;C$8)/1.1</f>
        <v>63425909.999999993</v>
      </c>
      <c r="D29" s="104">
        <f>SUMIFS(Payment!$J$3:$J$466,Payment!$M$3:$M$466,$A29,Payment!$D$3:$D$466,"&gt;="&amp;D$9,Payment!$D$3:$D$466,"&lt;="&amp;D$8)/1.1</f>
        <v>0</v>
      </c>
      <c r="E29" s="104">
        <f>SUMIFS(Payment!$J$3:$J$466,Payment!$M$3:$M$466,$A29,Payment!$D$3:$D$466,"&gt;="&amp;E$9,Payment!$D$3:$D$466,"&lt;="&amp;E$8)/1.1</f>
        <v>0</v>
      </c>
      <c r="F29" s="104">
        <f>SUMIFS(Payment!$J$3:$J$466,Payment!$M$3:$M$466,$A29,Payment!$D$3:$D$466,"&gt;="&amp;F$9,Payment!$D$3:$D$466,"&lt;="&amp;F$8)/1.1</f>
        <v>0</v>
      </c>
      <c r="G29" s="104">
        <f>SUMIFS(Payment!$J$3:$J$466,Payment!$M$3:$M$466,$A29,Payment!$D$3:$D$466,"&gt;="&amp;G$9,Payment!$D$3:$D$466,"&lt;="&amp;G$8)/1.1</f>
        <v>4545454.5454545449</v>
      </c>
      <c r="H29" s="104">
        <f>SUMIFS(Payment!$J$3:$J$466,Payment!$M$3:$M$466,$A29,Payment!$D$3:$D$466,"&gt;="&amp;H$9,Payment!$D$3:$D$466,"&lt;="&amp;H$8)/1.1</f>
        <v>0</v>
      </c>
      <c r="I29" s="104">
        <f>SUMIFS(Payment!$J$3:$J$466,Payment!$M$3:$M$466,$A29,Payment!$D$3:$D$466,"&gt;="&amp;I$9,Payment!$D$3:$D$466,"&lt;="&amp;I$8)/1.1</f>
        <v>0</v>
      </c>
      <c r="J29" s="81"/>
      <c r="K29" s="100"/>
      <c r="N29" s="85"/>
      <c r="O29" s="3"/>
    </row>
    <row r="30" spans="1:15" s="2" customFormat="1" ht="15.6">
      <c r="A30" s="5" t="str">
        <f t="shared" si="6"/>
        <v>NGUYEN VAN D</v>
      </c>
      <c r="B30" s="15">
        <f>SUM(C30:I30)</f>
        <v>289131786.36363631</v>
      </c>
      <c r="C30" s="15">
        <f>SUMIFS(Payment!$J$3:$J$466,Payment!$M$3:$M$466,$A30,Payment!$D$3:$D$466,"&gt;="&amp;C$9,Payment!$D$3:$D$466,"&lt;="&amp;C$8)/1.1</f>
        <v>203051558.18181816</v>
      </c>
      <c r="D30" s="15">
        <f>SUMIFS(Payment!$J$3:$J$466,Payment!$M$3:$M$466,$A30,Payment!$D$3:$D$466,"&gt;="&amp;D$9,Payment!$D$3:$D$466,"&lt;="&amp;D$8)/1.1</f>
        <v>33767728.18181818</v>
      </c>
      <c r="E30" s="15">
        <f>SUMIFS(Payment!$J$3:$J$466,Payment!$M$3:$M$466,$A30,Payment!$D$3:$D$466,"&gt;="&amp;E$9,Payment!$D$3:$D$466,"&lt;="&amp;E$8)/1.1</f>
        <v>0</v>
      </c>
      <c r="F30" s="15">
        <f>SUMIFS(Payment!$J$3:$J$466,Payment!$M$3:$M$466,$A30,Payment!$D$3:$D$466,"&gt;="&amp;F$9,Payment!$D$3:$D$466,"&lt;="&amp;F$8)/1.1</f>
        <v>52312499.999999993</v>
      </c>
      <c r="G30" s="15">
        <f>SUMIFS(Payment!$J$3:$J$466,Payment!$M$3:$M$466,$A30,Payment!$D$3:$D$466,"&gt;="&amp;G$9,Payment!$D$3:$D$466,"&lt;="&amp;G$8)/1.1</f>
        <v>0</v>
      </c>
      <c r="H30" s="15">
        <f>SUMIFS(Payment!$J$3:$J$466,Payment!$M$3:$M$466,$A30,Payment!$D$3:$D$466,"&gt;="&amp;H$9,Payment!$D$3:$D$466,"&lt;="&amp;H$8)/1.1</f>
        <v>0</v>
      </c>
      <c r="I30" s="15">
        <f>SUMIFS(Payment!$J$3:$J$466,Payment!$M$3:$M$466,$A30,Payment!$D$3:$D$466,"&gt;="&amp;I$9,Payment!$D$3:$D$466,"&lt;="&amp;I$8)/1.1</f>
        <v>0</v>
      </c>
      <c r="K30" s="73"/>
      <c r="L30" s="3" t="s">
        <v>133</v>
      </c>
      <c r="M30" s="85"/>
      <c r="N30" s="3"/>
      <c r="O30" s="3"/>
    </row>
    <row r="31" spans="1:15" s="2" customFormat="1" ht="15.6">
      <c r="A31" s="5" t="str">
        <f t="shared" si="6"/>
        <v>NGUYEN VAN E</v>
      </c>
      <c r="B31" s="15">
        <f t="shared" ref="B31:B36" si="7">SUM(C31:I31)</f>
        <v>123868972.72727272</v>
      </c>
      <c r="C31" s="15">
        <f>SUMIFS(Payment!$J$3:$J$466,Payment!$M$3:$M$466,$A31,Payment!$D$3:$D$466,"&gt;="&amp;C$9,Payment!$D$3:$D$466,"&lt;="&amp;C$8)/1.1</f>
        <v>9090909.0909090899</v>
      </c>
      <c r="D31" s="15">
        <f>SUMIFS(Payment!$J$3:$J$466,Payment!$M$3:$M$466,$A31,Payment!$D$3:$D$466,"&gt;="&amp;D$9,Payment!$D$3:$D$466,"&lt;="&amp;D$8)/1.1</f>
        <v>10000000</v>
      </c>
      <c r="E31" s="15">
        <f>SUMIFS(Payment!$J$3:$J$466,Payment!$M$3:$M$466,$A31,Payment!$D$3:$D$466,"&gt;="&amp;E$9,Payment!$D$3:$D$466,"&lt;="&amp;E$8)/1.1</f>
        <v>18181818.18181818</v>
      </c>
      <c r="F31" s="15">
        <f>SUMIFS(Payment!$J$3:$J$466,Payment!$M$3:$M$466,$A31,Payment!$D$3:$D$466,"&gt;="&amp;F$9,Payment!$D$3:$D$466,"&lt;="&amp;F$8)/1.1</f>
        <v>18654545.454545453</v>
      </c>
      <c r="G31" s="15">
        <f>SUMIFS(Payment!$J$3:$J$466,Payment!$M$3:$M$466,$A31,Payment!$D$3:$D$466,"&gt;="&amp;G$9,Payment!$D$3:$D$466,"&lt;="&amp;G$8)/1.1</f>
        <v>67941700</v>
      </c>
      <c r="H31" s="15">
        <f>SUMIFS(Payment!$J$3:$J$466,Payment!$M$3:$M$466,$A31,Payment!$D$3:$D$466,"&gt;="&amp;H$9,Payment!$D$3:$D$466,"&lt;="&amp;H$8)/1.1</f>
        <v>0</v>
      </c>
      <c r="I31" s="15">
        <f>SUMIFS(Payment!$J$3:$J$466,Payment!$M$3:$M$466,$A31,Payment!$D$3:$D$466,"&gt;="&amp;I$9,Payment!$D$3:$D$466,"&lt;="&amp;I$8)/1.1</f>
        <v>0</v>
      </c>
      <c r="J31" s="73"/>
      <c r="L31" s="3"/>
      <c r="M31" s="20"/>
    </row>
    <row r="32" spans="1:15" s="2" customFormat="1">
      <c r="A32" s="5" t="str">
        <f t="shared" si="6"/>
        <v>NGUYEN VAN F</v>
      </c>
      <c r="B32" s="15">
        <f t="shared" si="7"/>
        <v>121562553.63636363</v>
      </c>
      <c r="C32" s="15">
        <f>SUMIFS(Payment!$J$3:$J$466,Payment!$M$3:$M$466,$A32,Payment!$D$3:$D$466,"&gt;="&amp;C$9,Payment!$D$3:$D$466,"&lt;="&amp;C$8)/1.1</f>
        <v>9090909.0909090899</v>
      </c>
      <c r="D32" s="15">
        <f>SUMIFS(Payment!$J$3:$J$466,Payment!$M$3:$M$466,$A32,Payment!$D$3:$D$466,"&gt;="&amp;D$9,Payment!$D$3:$D$466,"&lt;="&amp;D$8)/1.1</f>
        <v>34516145.454545453</v>
      </c>
      <c r="E32" s="15">
        <f>SUMIFS(Payment!$J$3:$J$466,Payment!$M$3:$M$466,$A32,Payment!$D$3:$D$466,"&gt;="&amp;E$9,Payment!$D$3:$D$466,"&lt;="&amp;E$8)/1.1</f>
        <v>4545454.5454545449</v>
      </c>
      <c r="F32" s="15">
        <f>SUMIFS(Payment!$J$3:$J$466,Payment!$M$3:$M$466,$A32,Payment!$D$3:$D$466,"&gt;="&amp;F$9,Payment!$D$3:$D$466,"&lt;="&amp;F$8)/1.1</f>
        <v>9090909.0909090899</v>
      </c>
      <c r="G32" s="15">
        <f>SUMIFS(Payment!$J$3:$J$466,Payment!$M$3:$M$466,$A32,Payment!$D$3:$D$466,"&gt;="&amp;G$9,Payment!$D$3:$D$466,"&lt;="&amp;G$8)/1.1</f>
        <v>64319135.454545446</v>
      </c>
      <c r="H32" s="15">
        <f>SUMIFS(Payment!$J$3:$J$466,Payment!$M$3:$M$466,$A32,Payment!$D$3:$D$466,"&gt;="&amp;H$9,Payment!$D$3:$D$466,"&lt;="&amp;H$8)/1.1</f>
        <v>0</v>
      </c>
      <c r="I32" s="15">
        <f>SUMIFS(Payment!$J$3:$J$466,Payment!$M$3:$M$466,$A32,Payment!$D$3:$D$466,"&gt;="&amp;I$9,Payment!$D$3:$D$466,"&lt;="&amp;I$8)/1.1</f>
        <v>0</v>
      </c>
      <c r="J32" s="14"/>
      <c r="M32" s="20"/>
    </row>
    <row r="33" spans="1:17" s="2" customFormat="1" ht="15.6">
      <c r="A33" s="5" t="str">
        <f t="shared" si="6"/>
        <v>NGUYEN VAN G</v>
      </c>
      <c r="B33" s="15">
        <f t="shared" si="7"/>
        <v>836872688.18181813</v>
      </c>
      <c r="C33" s="15">
        <f>SUMIFS(Payment!$J$3:$J$466,Payment!$M$3:$M$466,$A33,Payment!$D$3:$D$466,"&gt;="&amp;C$9,Payment!$D$3:$D$466,"&lt;="&amp;C$8)/1.1</f>
        <v>529115885.45454544</v>
      </c>
      <c r="D33" s="15">
        <f>SUMIFS(Payment!$J$3:$J$466,Payment!$M$3:$M$466,$A33,Payment!$D$3:$D$466,"&gt;="&amp;D$9,Payment!$D$3:$D$466,"&lt;="&amp;D$8)/1.1</f>
        <v>307756802.72727269</v>
      </c>
      <c r="E33" s="15">
        <f>SUMIFS(Payment!$J$3:$J$466,Payment!$M$3:$M$466,$A33,Payment!$D$3:$D$466,"&gt;="&amp;E$9,Payment!$D$3:$D$466,"&lt;="&amp;E$8)/1.1</f>
        <v>0</v>
      </c>
      <c r="F33" s="15">
        <f>SUMIFS(Payment!$J$3:$J$466,Payment!$M$3:$M$466,$A33,Payment!$D$3:$D$466,"&gt;="&amp;F$9,Payment!$D$3:$D$466,"&lt;="&amp;F$8)/1.1</f>
        <v>0</v>
      </c>
      <c r="G33" s="15">
        <f>SUMIFS(Payment!$J$3:$J$466,Payment!$M$3:$M$466,$A33,Payment!$D$3:$D$466,"&gt;="&amp;G$9,Payment!$D$3:$D$466,"&lt;="&amp;G$8)/1.1</f>
        <v>0</v>
      </c>
      <c r="H33" s="15">
        <f>SUMIFS(Payment!$J$3:$J$466,Payment!$M$3:$M$466,$A33,Payment!$D$3:$D$466,"&gt;="&amp;H$9,Payment!$D$3:$D$466,"&lt;="&amp;H$8)/1.1</f>
        <v>0</v>
      </c>
      <c r="I33" s="15">
        <f>SUMIFS(Payment!$J$3:$J$466,Payment!$M$3:$M$466,$A33,Payment!$D$3:$D$466,"&gt;="&amp;I$9,Payment!$D$3:$D$466,"&lt;="&amp;I$8)/1.1</f>
        <v>0</v>
      </c>
      <c r="J33" s="14"/>
      <c r="M33" s="20"/>
    </row>
    <row r="34" spans="1:17" s="2" customFormat="1" ht="15.6">
      <c r="A34" s="5" t="str">
        <f t="shared" si="6"/>
        <v>NGUYEN VAN H</v>
      </c>
      <c r="B34" s="87">
        <f t="shared" si="7"/>
        <v>102660006.36363634</v>
      </c>
      <c r="C34" s="15">
        <f>SUMIFS(Payment!$J$3:$J$466,Payment!$M$3:$M$466,$A34,Payment!$D$3:$D$466,"&gt;="&amp;C$9,Payment!$D$3:$D$466,"&lt;="&amp;C$8)/1.1</f>
        <v>17672727.27272727</v>
      </c>
      <c r="D34" s="15">
        <f>SUMIFS(Payment!$J$3:$J$466,Payment!$M$3:$M$466,$A34,Payment!$D$3:$D$466,"&gt;="&amp;D$9,Payment!$D$3:$D$466,"&lt;="&amp;D$8)/1.1</f>
        <v>9780455.4545454532</v>
      </c>
      <c r="E34" s="15">
        <f>SUMIFS(Payment!$J$3:$J$466,Payment!$M$3:$M$466,$A34,Payment!$D$3:$D$466,"&gt;="&amp;E$9,Payment!$D$3:$D$466,"&lt;="&amp;E$8)/1.1</f>
        <v>75206823.636363626</v>
      </c>
      <c r="F34" s="15">
        <f>SUMIFS(Payment!$J$3:$J$466,Payment!$M$3:$M$466,$A34,Payment!$D$3:$D$466,"&gt;="&amp;F$9,Payment!$D$3:$D$466,"&lt;="&amp;F$8)/1.1</f>
        <v>0</v>
      </c>
      <c r="G34" s="15">
        <f>SUMIFS(Payment!$J$3:$J$466,Payment!$M$3:$M$466,$A34,Payment!$D$3:$D$466,"&gt;="&amp;G$9,Payment!$D$3:$D$466,"&lt;="&amp;G$8)/1.1</f>
        <v>0</v>
      </c>
      <c r="H34" s="15">
        <f>SUMIFS(Payment!$J$3:$J$466,Payment!$M$3:$M$466,$A34,Payment!$D$3:$D$466,"&gt;="&amp;H$9,Payment!$D$3:$D$466,"&lt;="&amp;H$8)/1.1</f>
        <v>0</v>
      </c>
      <c r="I34" s="15">
        <f>SUMIFS(Payment!$J$3:$J$466,Payment!$M$3:$M$466,$A34,Payment!$D$3:$D$466,"&gt;="&amp;I$9,Payment!$D$3:$D$466,"&lt;="&amp;I$8)/1.1</f>
        <v>0</v>
      </c>
      <c r="J34" s="73"/>
      <c r="K34" s="77"/>
      <c r="L34" s="77"/>
      <c r="M34" s="20"/>
    </row>
    <row r="35" spans="1:17" s="2" customFormat="1" ht="15.6">
      <c r="A35" s="5" t="str">
        <f t="shared" si="6"/>
        <v>NGUYEN VAN I</v>
      </c>
      <c r="B35" s="15">
        <f t="shared" si="7"/>
        <v>146959395.45454544</v>
      </c>
      <c r="C35" s="15">
        <f>SUMIFS(Payment!$J$3:$J$466,Payment!$M$3:$M$466,$A35,Payment!$D$3:$D$466,"&gt;="&amp;C$9,Payment!$D$3:$D$466,"&lt;="&amp;C$8)/1.1</f>
        <v>22564545.454545453</v>
      </c>
      <c r="D35" s="15">
        <f>SUMIFS(Payment!$J$3:$J$466,Payment!$M$3:$M$466,$A35,Payment!$D$3:$D$466,"&gt;="&amp;D$9,Payment!$D$3:$D$466,"&lt;="&amp;D$8)/1.1</f>
        <v>82311669.090909079</v>
      </c>
      <c r="E35" s="15">
        <f>SUMIFS(Payment!$J$3:$J$466,Payment!$M$3:$M$466,$A35,Payment!$D$3:$D$466,"&gt;="&amp;E$9,Payment!$D$3:$D$466,"&lt;="&amp;E$8)/1.1</f>
        <v>25829545.454545453</v>
      </c>
      <c r="F35" s="15">
        <f>SUMIFS(Payment!$J$3:$J$466,Payment!$M$3:$M$466,$A35,Payment!$D$3:$D$466,"&gt;="&amp;F$9,Payment!$D$3:$D$466,"&lt;="&amp;F$8)/1.1</f>
        <v>16253635.454545453</v>
      </c>
      <c r="G35" s="15">
        <f>SUMIFS(Payment!$J$3:$J$466,Payment!$M$3:$M$466,$A35,Payment!$D$3:$D$466,"&gt;="&amp;G$9,Payment!$D$3:$D$466,"&lt;="&amp;G$8)/1.1</f>
        <v>0</v>
      </c>
      <c r="H35" s="15">
        <f>SUMIFS(Payment!$J$3:$J$466,Payment!$M$3:$M$466,$A35,Payment!$D$3:$D$466,"&gt;="&amp;H$9,Payment!$D$3:$D$466,"&lt;="&amp;H$8)/1.1</f>
        <v>0</v>
      </c>
      <c r="I35" s="15">
        <f>SUMIFS(Payment!$J$3:$J$466,Payment!$M$3:$M$466,$A35,Payment!$D$3:$D$466,"&gt;="&amp;I$9,Payment!$D$3:$D$466,"&lt;="&amp;I$8)/1.1</f>
        <v>0</v>
      </c>
      <c r="J35" s="73"/>
      <c r="K35" s="77"/>
      <c r="L35" s="77"/>
      <c r="M35" s="20"/>
    </row>
    <row r="36" spans="1:17" s="2" customFormat="1" ht="15.6">
      <c r="A36" s="5" t="str">
        <f t="shared" si="6"/>
        <v>NGUYEN VAN K</v>
      </c>
      <c r="B36" s="15">
        <f t="shared" si="7"/>
        <v>421050818.18181813</v>
      </c>
      <c r="C36" s="15">
        <f>SUMIFS(Payment!$J$3:$J$466,Payment!$M$3:$M$466,$A36,Payment!$D$3:$D$466,"&gt;="&amp;C$9,Payment!$D$3:$D$466,"&lt;="&amp;C$8)/1.1</f>
        <v>353472378.18181813</v>
      </c>
      <c r="D36" s="15">
        <f>SUMIFS(Payment!$J$3:$J$466,Payment!$M$3:$M$466,$A36,Payment!$D$3:$D$466,"&gt;="&amp;D$9,Payment!$D$3:$D$466,"&lt;="&amp;D$8)/1.1</f>
        <v>54290714.545454539</v>
      </c>
      <c r="E36" s="15">
        <f>SUMIFS(Payment!$J$3:$J$466,Payment!$M$3:$M$466,$A36,Payment!$D$3:$D$466,"&gt;="&amp;E$9,Payment!$D$3:$D$466,"&lt;="&amp;E$8)/1.1</f>
        <v>6963636.3636363633</v>
      </c>
      <c r="F36" s="15">
        <f>SUMIFS(Payment!$J$3:$J$466,Payment!$M$3:$M$466,$A36,Payment!$D$3:$D$466,"&gt;="&amp;F$9,Payment!$D$3:$D$466,"&lt;="&amp;F$8)/1.1</f>
        <v>6324089.0909090908</v>
      </c>
      <c r="G36" s="15">
        <f>SUMIFS(Payment!$J$3:$J$466,Payment!$M$3:$M$466,$A36,Payment!$D$3:$D$466,"&gt;="&amp;G$9,Payment!$D$3:$D$466,"&lt;="&amp;G$8)/1.1</f>
        <v>0</v>
      </c>
      <c r="H36" s="15">
        <f>SUMIFS(Payment!$J$3:$J$466,Payment!$M$3:$M$466,$A36,Payment!$D$3:$D$466,"&gt;="&amp;H$9,Payment!$D$3:$D$466,"&lt;="&amp;H$8)/1.1</f>
        <v>0</v>
      </c>
      <c r="I36" s="15">
        <f>SUMIFS(Payment!$J$3:$J$466,Payment!$M$3:$M$466,$A36,Payment!$D$3:$D$466,"&gt;="&amp;I$9,Payment!$D$3:$D$466,"&lt;="&amp;I$8)/1.1</f>
        <v>0</v>
      </c>
      <c r="J36" s="73"/>
      <c r="M36" s="20"/>
    </row>
    <row r="37" spans="1:17" s="2" customFormat="1" ht="15.6">
      <c r="A37" s="52" t="s">
        <v>21</v>
      </c>
      <c r="B37" s="53">
        <f>SUM(B27:B36)</f>
        <v>4809487530.90909</v>
      </c>
      <c r="C37" s="53">
        <f>SUM(C27:C36)</f>
        <v>3112055195.454545</v>
      </c>
      <c r="D37" s="53">
        <f>SUM(D27:D36)</f>
        <v>1311359877.272727</v>
      </c>
      <c r="E37" s="53">
        <f>SUM(E27:E36)</f>
        <v>146630489.09090906</v>
      </c>
      <c r="F37" s="53">
        <f>SUM(F27:F36)</f>
        <v>102635679.09090908</v>
      </c>
      <c r="G37" s="53">
        <f>SUM(G27:G36)</f>
        <v>136806290</v>
      </c>
      <c r="H37" s="53">
        <f>SUM(H27:H36)</f>
        <v>0</v>
      </c>
      <c r="I37" s="53">
        <f>SUM(I27:I36)</f>
        <v>0</v>
      </c>
    </row>
    <row r="38" spans="1:17">
      <c r="A38" s="82" t="s">
        <v>48</v>
      </c>
      <c r="B38" s="21"/>
      <c r="C38" s="86"/>
      <c r="D38" s="21"/>
      <c r="E38" s="21"/>
      <c r="F38" s="21"/>
      <c r="G38" s="21"/>
      <c r="H38" s="21"/>
      <c r="I38" s="21"/>
      <c r="J38" s="21"/>
    </row>
    <row r="39" spans="1:17" s="4" customFormat="1">
      <c r="A39" s="114" t="s">
        <v>235</v>
      </c>
      <c r="B39" s="11" t="s">
        <v>70</v>
      </c>
      <c r="C39" s="115" t="str">
        <f>C$26</f>
        <v>T6</v>
      </c>
      <c r="D39" s="115" t="str">
        <f t="shared" ref="D39:I39" si="8">D$26</f>
        <v>T5</v>
      </c>
      <c r="E39" s="115" t="str">
        <f t="shared" si="8"/>
        <v>T4</v>
      </c>
      <c r="F39" s="115" t="str">
        <f t="shared" si="8"/>
        <v>T3</v>
      </c>
      <c r="G39" s="115" t="str">
        <f t="shared" si="8"/>
        <v>T2</v>
      </c>
      <c r="H39" s="115" t="str">
        <f t="shared" si="8"/>
        <v>T1</v>
      </c>
      <c r="I39" s="115" t="str">
        <f t="shared" si="8"/>
        <v>T12/22</v>
      </c>
    </row>
    <row r="40" spans="1:17" s="4" customFormat="1">
      <c r="A40" s="5" t="str">
        <f>A13</f>
        <v>NGUYEN VAN A</v>
      </c>
      <c r="B40" s="7">
        <f>SUM(C40:I40)</f>
        <v>0</v>
      </c>
      <c r="C40" s="34">
        <f>SUM(SUMIFS(Payment!$J$3:$J$466,Payment!$M$3:$M$466,$A40,Payment!$I$3:$I$466,{"531","641","3311","CKTM","HMSD","PVC"},Payment!$D$3:$D$466,"&lt;="&amp;C$8,Payment!$D$3:$D$466,"&gt;="&amp;C$9))/1.1+SUM(SUMIFS(Payment!$J$3:$J$466,Payment!$M$3:$M$466,"THE DAN - MK1",Payment!$I$3:$I$466,{"531","641","3311","CKTM","HMSD","PVC"},Payment!$D$3:$D$466,"&lt;="&amp;C$8,Payment!$D$3:$D$466,"&gt;="&amp;C$9))/1.1+SUM(SUMIFS(Payment!$J$3:$J$466,Payment!$M$3:$M$466,"THE DAN - MK2",Payment!$I$3:$I$466,{"531","641","3311","CKTM","HMSD","PVC"},Payment!$D$3:$D$466,"&lt;="&amp;C$8,Payment!$D$3:$D$466,"&gt;="&amp;C$9))/1.1</f>
        <v>0</v>
      </c>
      <c r="D40" s="34">
        <f>SUM(SUMIFS(Payment!$J$3:$J$466,Payment!$M$3:$M$466,$A40,Payment!$I$3:$I$466,{"531","641","3311","CKTM","HMSD","PVC"},Payment!$D$3:$D$466,"&lt;="&amp;D$8,Payment!$D$3:$D$466,"&gt;="&amp;D$9))/1.1+SUM(SUMIFS(Payment!$J$3:$J$466,Payment!$M$3:$M$466,"THE DAN - MK1",Payment!$I$3:$I$466,{"531","641","3311","CKTM","HMSD","PVC"},Payment!$D$3:$D$466,"&lt;="&amp;D$8,Payment!$D$3:$D$466,"&gt;="&amp;D$9))/1.1+SUM(SUMIFS(Payment!$J$3:$J$466,Payment!$M$3:$M$466,"THE DAN - MK2",Payment!$I$3:$I$466,{"531","641","3311","CKTM","HMSD","PVC"},Payment!$D$3:$D$466,"&lt;="&amp;D$8,Payment!$D$3:$D$466,"&gt;="&amp;D$9))/1.1</f>
        <v>0</v>
      </c>
      <c r="E40" s="34">
        <f>SUM(SUMIFS(Payment!$J$3:$J$466,Payment!$M$3:$M$466,$A40,Payment!$I$3:$I$466,{"531","641","3311","CKTM","HMSD","PVC"},Payment!$D$3:$D$466,"&lt;="&amp;E$8,Payment!$D$3:$D$466,"&gt;="&amp;E$9))/1.1+SUM(SUMIFS(Payment!$J$3:$J$466,Payment!$M$3:$M$466,"THE DAN - MK1",Payment!$I$3:$I$466,{"531","641","3311","CKTM","HMSD","PVC"},Payment!$D$3:$D$466,"&lt;="&amp;E$8,Payment!$D$3:$D$466,"&gt;="&amp;E$9))/1.1+SUM(SUMIFS(Payment!$J$3:$J$466,Payment!$M$3:$M$466,"THE DAN - MK2",Payment!$I$3:$I$466,{"531","641","3311","CKTM","HMSD","PVC"},Payment!$D$3:$D$466,"&lt;="&amp;E$8,Payment!$D$3:$D$466,"&gt;="&amp;E$9))/1.1</f>
        <v>0</v>
      </c>
      <c r="F40" s="34">
        <f>SUM(SUMIFS(Payment!$J$3:$J$466,Payment!$M$3:$M$466,$A40,Payment!$I$3:$I$466,{"531","641","3311","CKTM","HMSD","PVC"},Payment!$D$3:$D$466,"&lt;="&amp;F$8,Payment!$D$3:$D$466,"&gt;="&amp;F$9))/1.1+SUM(SUMIFS(Payment!$J$3:$J$466,Payment!$M$3:$M$466,"THE DAN - MK1",Payment!$I$3:$I$466,{"531","641","3311","CKTM","HMSD","PVC"},Payment!$D$3:$D$466,"&lt;="&amp;F$8,Payment!$D$3:$D$466,"&gt;="&amp;F$9))/1.1+SUM(SUMIFS(Payment!$J$3:$J$466,Payment!$M$3:$M$466,"THE DAN - MK2",Payment!$I$3:$I$466,{"531","641","3311","CKTM","HMSD","PVC"},Payment!$D$3:$D$466,"&lt;="&amp;F$8,Payment!$D$3:$D$466,"&gt;="&amp;F$9))/1.1</f>
        <v>0</v>
      </c>
      <c r="G40" s="34">
        <f>SUM(SUMIFS(Payment!$J$3:$J$466,Payment!$M$3:$M$466,$A40,Payment!$I$3:$I$466,{"531","641","3311","CKTM","HMSD","PVC"},Payment!$D$3:$D$466,"&lt;="&amp;G$8,Payment!$D$3:$D$466,"&gt;="&amp;G$9))/1.1+SUM(SUMIFS(Payment!$J$3:$J$466,Payment!$M$3:$M$466,"THE DAN - MK1",Payment!$I$3:$I$466,{"531","641","3311","CKTM","HMSD","PVC"},Payment!$D$3:$D$466,"&lt;="&amp;G$8,Payment!$D$3:$D$466,"&gt;="&amp;G$9))/1.1+SUM(SUMIFS(Payment!$J$3:$J$466,Payment!$M$3:$M$466,"THE DAN - MK2",Payment!$I$3:$I$466,{"531","641","3311","CKTM","HMSD","PVC"},Payment!$D$3:$D$466,"&lt;="&amp;G$8,Payment!$D$3:$D$466,"&gt;="&amp;G$9))/1.1</f>
        <v>0</v>
      </c>
      <c r="H40" s="34">
        <f>SUM(SUMIFS(Payment!$J$3:$J$466,Payment!$M$3:$M$466,$A40,Payment!$I$3:$I$466,{"531","641","3311","CKTM","HMSD","PVC"},Payment!$D$3:$D$466,"&lt;="&amp;H$8,Payment!$D$3:$D$466,"&gt;="&amp;H$9))/1.1+SUM(SUMIFS(Payment!$J$3:$J$466,Payment!$M$3:$M$466,"THE DAN - MK1",Payment!$I$3:$I$466,{"531","641","3311","CKTM","HMSD","PVC"},Payment!$D$3:$D$466,"&lt;="&amp;H$8,Payment!$D$3:$D$466,"&gt;="&amp;H$9))/1.1+SUM(SUMIFS(Payment!$J$3:$J$466,Payment!$M$3:$M$466,"THE DAN - MK2",Payment!$I$3:$I$466,{"531","641","3311","CKTM","HMSD","PVC"},Payment!$D$3:$D$466,"&lt;="&amp;H$8,Payment!$D$3:$D$466,"&gt;="&amp;H$9))/1.1</f>
        <v>0</v>
      </c>
      <c r="I40" s="34">
        <f>SUM(SUMIFS(Payment!$J$3:$J$466,Payment!$M$3:$M$466,$A40,Payment!$I$3:$I$466,{"531","641","3311","CKTM","HMSD","PVC"},Payment!$D$3:$D$466,"&lt;="&amp;I$8,Payment!$D$3:$D$466,"&gt;="&amp;I$9))/1.1+SUM(SUMIFS(Payment!$J$3:$J$466,Payment!$M$3:$M$466,"THE DAN - MK1",Payment!$I$3:$I$466,{"531","641","3311","CKTM","HMSD","PVC"},Payment!$D$3:$D$466,"&lt;="&amp;I$8,Payment!$D$3:$D$466,"&gt;="&amp;I$9))/1.1+SUM(SUMIFS(Payment!$J$3:$J$466,Payment!$M$3:$M$466,"THE DAN - MK2",Payment!$I$3:$I$466,{"531","641","3311","CKTM","HMSD","PVC"},Payment!$D$3:$D$466,"&lt;="&amp;I$8,Payment!$D$3:$D$466,"&gt;="&amp;I$9))/1.1</f>
        <v>0</v>
      </c>
      <c r="J40" s="77"/>
      <c r="K40" s="22"/>
      <c r="P40"/>
    </row>
    <row r="41" spans="1:17" s="4" customFormat="1">
      <c r="A41" s="5" t="str">
        <f>A14</f>
        <v>NGUYEN VAN B</v>
      </c>
      <c r="B41" s="7">
        <f>SUM(C41:I41)</f>
        <v>7352730</v>
      </c>
      <c r="C41" s="7">
        <f>SUM(SUMIFS(Payment!$J$3:$J$466,Payment!$M$3:$M$466,$A41,Payment!$I$3:$I$466,{"531","641","3311","CKTM","HMSD","PVC"},Payment!$D$3:$D$466,"&lt;="&amp;C$8,Payment!$D$3:$D$466,"&gt;="&amp;C$9))/1.1</f>
        <v>6201819.0909090908</v>
      </c>
      <c r="D41" s="7">
        <f>SUM(SUMIFS(Payment!$J$3:$J$466,Payment!$M$3:$M$466,$A41,Payment!$I$3:$I$466,{"531","641","3311","CKTM","HMSD","PVC"},Payment!$D$3:$D$466,"&lt;="&amp;D$8,Payment!$D$3:$D$466,"&gt;="&amp;D$9))/1.1</f>
        <v>1150910.9090909089</v>
      </c>
      <c r="E41" s="7">
        <f>SUM(SUMIFS(Payment!$J$3:$J$466,Payment!$M$3:$M$466,$A41,Payment!$I$3:$I$466,{"531","641","3311","CKTM","HMSD","PVC"},Payment!$D$3:$D$466,"&lt;="&amp;E$8,Payment!$D$3:$D$466,"&gt;="&amp;E$9))/1.1</f>
        <v>0</v>
      </c>
      <c r="F41" s="7">
        <f>SUM(SUMIFS(Payment!$J$3:$J$466,Payment!$M$3:$M$466,$A41,Payment!$I$3:$I$466,{"531","641","3311","CKTM","HMSD","PVC"},Payment!$D$3:$D$466,"&lt;="&amp;F$8,Payment!$D$3:$D$466,"&gt;="&amp;F$9))/1.1</f>
        <v>0</v>
      </c>
      <c r="G41" s="7">
        <f>SUM(SUMIFS(Payment!$J$3:$J$466,Payment!$M$3:$M$466,$A41,Payment!$I$3:$I$466,{"531","641","3311","CKTM","HMSD","PVC"},Payment!$D$3:$D$466,"&lt;="&amp;G$8,Payment!$D$3:$D$466,"&gt;="&amp;G$9))/1.1</f>
        <v>0</v>
      </c>
      <c r="H41" s="7">
        <f>SUM(SUMIFS(Payment!$J$3:$J$466,Payment!$M$3:$M$466,$A41,Payment!$I$3:$I$466,{"531","641","3311","CKTM","HMSD","PVC"},Payment!$D$3:$D$466,"&lt;="&amp;H$8,Payment!$D$3:$D$466,"&gt;="&amp;H$9))/1.1</f>
        <v>0</v>
      </c>
      <c r="I41" s="7">
        <f>SUM(SUMIFS(Payment!$J$3:$J$466,Payment!$M$3:$M$466,$A41,Payment!$I$3:$I$466,{"531","641","3311","CKTM","HMSD","PVC"},Payment!$D$3:$D$466,"&lt;="&amp;I$8,Payment!$D$3:$D$466,"&gt;="&amp;I$9))/1.1</f>
        <v>0</v>
      </c>
      <c r="J41" s="73"/>
      <c r="K41" s="22"/>
      <c r="P41"/>
      <c r="Q41"/>
    </row>
    <row r="42" spans="1:17" s="4" customFormat="1">
      <c r="A42" s="5" t="str">
        <f>A15</f>
        <v>NGUYEN VAN C</v>
      </c>
      <c r="B42" s="7">
        <f>SUM(C42:I42)</f>
        <v>0.90909090909090906</v>
      </c>
      <c r="C42" s="7">
        <f>SUM(SUMIFS(Payment!$J$3:$J$466,Payment!$M$3:$M$466,$A42,Payment!$I$3:$I$466,{"531","641","3311","CKTM","HMSD","PVC"},Payment!$D$3:$D$466,"&lt;="&amp;C$8,Payment!$D$3:$D$466,"&gt;="&amp;C$9))/1.1</f>
        <v>0.90909090909090906</v>
      </c>
      <c r="D42" s="7">
        <f>SUM(SUMIFS(Payment!$J$3:$J$466,Payment!$M$3:$M$466,$A42,Payment!$I$3:$I$466,{"531","641","3311","CKTM","HMSD","PVC"},Payment!$D$3:$D$466,"&lt;="&amp;D$8,Payment!$D$3:$D$466,"&gt;="&amp;D$9))/1.1</f>
        <v>0</v>
      </c>
      <c r="E42" s="7">
        <f>SUM(SUMIFS(Payment!$J$3:$J$466,Payment!$M$3:$M$466,$A42,Payment!$I$3:$I$466,{"531","641","3311","CKTM","HMSD","PVC"},Payment!$D$3:$D$466,"&lt;="&amp;E$8,Payment!$D$3:$D$466,"&gt;="&amp;E$9))/1.1</f>
        <v>0</v>
      </c>
      <c r="F42" s="7">
        <f>SUM(SUMIFS(Payment!$J$3:$J$466,Payment!$M$3:$M$466,$A42,Payment!$I$3:$I$466,{"531","641","3311","CKTM","HMSD","PVC"},Payment!$D$3:$D$466,"&lt;="&amp;F$8,Payment!$D$3:$D$466,"&gt;="&amp;F$9))/1.1</f>
        <v>0</v>
      </c>
      <c r="G42" s="7">
        <f>SUM(SUMIFS(Payment!$J$3:$J$466,Payment!$M$3:$M$466,$A42,Payment!$I$3:$I$466,{"531","641","3311","CKTM","HMSD","PVC"},Payment!$D$3:$D$466,"&lt;="&amp;G$8,Payment!$D$3:$D$466,"&gt;="&amp;G$9))/1.1</f>
        <v>0</v>
      </c>
      <c r="H42" s="7">
        <f>SUM(SUMIFS(Payment!$J$3:$J$466,Payment!$M$3:$M$466,$A42,Payment!$I$3:$I$466,{"531","641","3311","CKTM","HMSD","PVC"},Payment!$D$3:$D$466,"&lt;="&amp;H$8,Payment!$D$3:$D$466,"&gt;="&amp;H$9))/1.1</f>
        <v>0</v>
      </c>
      <c r="I42" s="7">
        <f>SUM(SUMIFS(Payment!$J$3:$J$466,Payment!$M$3:$M$466,$A42,Payment!$I$3:$I$466,{"531","641","3311","CKTM","HMSD","PVC"},Payment!$D$3:$D$466,"&lt;="&amp;I$8,Payment!$D$3:$D$466,"&gt;="&amp;I$9))/1.1</f>
        <v>0</v>
      </c>
      <c r="J42" s="79"/>
      <c r="K42" s="22"/>
      <c r="P42"/>
      <c r="Q42"/>
    </row>
    <row r="43" spans="1:17" s="4" customFormat="1">
      <c r="A43" s="5" t="str">
        <f>A16</f>
        <v>NGUYEN VAN D</v>
      </c>
      <c r="B43" s="7">
        <f>SUM(C43:I43)</f>
        <v>2.7272727272727271</v>
      </c>
      <c r="C43" s="7">
        <f>SUM(SUMIFS(Payment!$J$3:$J$466,Payment!$M$3:$M$466,$A43,Payment!$I$3:$I$466,{"531","641","3311","CKTM","HMSD","PVC"},Payment!$D$3:$D$466,"&lt;="&amp;C$8,Payment!$D$3:$D$466,"&gt;="&amp;C$9))/1.1</f>
        <v>1.8181818181818181</v>
      </c>
      <c r="D43" s="7">
        <f>SUM(SUMIFS(Payment!$J$3:$J$466,Payment!$M$3:$M$466,$A43,Payment!$I$3:$I$466,{"531","641","3311","CKTM","HMSD","PVC"},Payment!$D$3:$D$466,"&lt;="&amp;D$8,Payment!$D$3:$D$466,"&gt;="&amp;D$9))/1.1</f>
        <v>0.90909090909090906</v>
      </c>
      <c r="E43" s="7">
        <f>SUM(SUMIFS(Payment!$J$3:$J$466,Payment!$M$3:$M$466,$A43,Payment!$I$3:$I$466,{"531","641","3311","CKTM","HMSD","PVC"},Payment!$D$3:$D$466,"&lt;="&amp;E$8,Payment!$D$3:$D$466,"&gt;="&amp;E$9))/1.1</f>
        <v>0</v>
      </c>
      <c r="F43" s="7">
        <f>SUM(SUMIFS(Payment!$J$3:$J$466,Payment!$M$3:$M$466,$A43,Payment!$I$3:$I$466,{"531","641","3311","CKTM","HMSD","PVC"},Payment!$D$3:$D$466,"&lt;="&amp;F$8,Payment!$D$3:$D$466,"&gt;="&amp;F$9))/1.1</f>
        <v>0</v>
      </c>
      <c r="G43" s="7">
        <f>SUM(SUMIFS(Payment!$J$3:$J$466,Payment!$M$3:$M$466,$A43,Payment!$I$3:$I$466,{"531","641","3311","CKTM","HMSD","PVC"},Payment!$D$3:$D$466,"&lt;="&amp;G$8,Payment!$D$3:$D$466,"&gt;="&amp;G$9))/1.1</f>
        <v>0</v>
      </c>
      <c r="H43" s="7">
        <f>SUM(SUMIFS(Payment!$J$3:$J$466,Payment!$M$3:$M$466,$A43,Payment!$I$3:$I$466,{"531","641","3311","CKTM","HMSD","PVC"},Payment!$D$3:$D$466,"&lt;="&amp;H$8,Payment!$D$3:$D$466,"&gt;="&amp;H$9))/1.1</f>
        <v>0</v>
      </c>
      <c r="I43" s="7">
        <f>SUM(SUMIFS(Payment!$J$3:$J$466,Payment!$M$3:$M$466,$A43,Payment!$I$3:$I$466,{"531","641","3311","CKTM","HMSD","PVC"},Payment!$D$3:$D$466,"&lt;="&amp;I$8,Payment!$D$3:$D$466,"&gt;="&amp;I$9))/1.1</f>
        <v>0</v>
      </c>
      <c r="J43" s="81"/>
      <c r="K43" s="22"/>
      <c r="Q43"/>
    </row>
    <row r="44" spans="1:17" s="4" customFormat="1">
      <c r="A44" s="5" t="str">
        <f>A17</f>
        <v>NGUYEN VAN E</v>
      </c>
      <c r="B44" s="7">
        <f t="shared" ref="B44:B49" si="9">SUM(C44:I44)</f>
        <v>0</v>
      </c>
      <c r="C44" s="7">
        <f>SUM(SUMIFS(Payment!$J$3:$J$466,Payment!$M$3:$M$466,$A44,Payment!$I$3:$I$466,{"531","641","3311","CKTM","HMSD","PVC"},Payment!$D$3:$D$466,"&lt;="&amp;C$8,Payment!$D$3:$D$466,"&gt;="&amp;C$9))/1.1</f>
        <v>0</v>
      </c>
      <c r="D44" s="7">
        <f>SUM(SUMIFS(Payment!$J$3:$J$466,Payment!$M$3:$M$466,$A44,Payment!$I$3:$I$466,{"531","641","3311","CKTM","HMSD","PVC"},Payment!$D$3:$D$466,"&lt;="&amp;D$8,Payment!$D$3:$D$466,"&gt;="&amp;D$9))/1.1</f>
        <v>0</v>
      </c>
      <c r="E44" s="7">
        <f>SUM(SUMIFS(Payment!$J$3:$J$466,Payment!$M$3:$M$466,$A44,Payment!$I$3:$I$466,{"531","641","3311","CKTM","HMSD","PVC"},Payment!$D$3:$D$466,"&lt;="&amp;E$8,Payment!$D$3:$D$466,"&gt;="&amp;E$9))/1.1</f>
        <v>0</v>
      </c>
      <c r="F44" s="7">
        <f>SUM(SUMIFS(Payment!$J$3:$J$466,Payment!$M$3:$M$466,$A44,Payment!$I$3:$I$466,{"531","641","3311","CKTM","HMSD","PVC"},Payment!$D$3:$D$466,"&lt;="&amp;F$8,Payment!$D$3:$D$466,"&gt;="&amp;F$9))/1.1</f>
        <v>0</v>
      </c>
      <c r="G44" s="7">
        <f>SUM(SUMIFS(Payment!$J$3:$J$466,Payment!$M$3:$M$466,$A44,Payment!$I$3:$I$466,{"531","641","3311","CKTM","HMSD","PVC"},Payment!$D$3:$D$466,"&lt;="&amp;G$8,Payment!$D$3:$D$466,"&gt;="&amp;G$9))/1.1</f>
        <v>0</v>
      </c>
      <c r="H44" s="7">
        <f>SUM(SUMIFS(Payment!$J$3:$J$466,Payment!$M$3:$M$466,$A44,Payment!$I$3:$I$466,{"531","641","3311","CKTM","HMSD","PVC"},Payment!$D$3:$D$466,"&lt;="&amp;H$8,Payment!$D$3:$D$466,"&gt;="&amp;H$9))/1.1</f>
        <v>0</v>
      </c>
      <c r="I44" s="7">
        <f>SUM(SUMIFS(Payment!$J$3:$J$466,Payment!$M$3:$M$466,$A44,Payment!$I$3:$I$466,{"531","641","3311","CKTM","HMSD","PVC"},Payment!$D$3:$D$466,"&lt;="&amp;I$8,Payment!$D$3:$D$466,"&gt;="&amp;I$9))/1.1</f>
        <v>0</v>
      </c>
      <c r="K44" s="22"/>
      <c r="Q44"/>
    </row>
    <row r="45" spans="1:17" s="4" customFormat="1">
      <c r="A45" s="5" t="str">
        <f>A18</f>
        <v>NGUYEN VAN F</v>
      </c>
      <c r="B45" s="7">
        <f t="shared" si="9"/>
        <v>735.45454545454538</v>
      </c>
      <c r="C45" s="7">
        <f>SUM(SUMIFS(Payment!$J$3:$J$466,Payment!$M$3:$M$466,$A45,Payment!$I$3:$I$466,{"531","641","3311","CKTM","HMSD","PVC"},Payment!$D$3:$D$466,"&lt;="&amp;C$8,Payment!$D$3:$D$466,"&gt;="&amp;C$9))/1.1</f>
        <v>0</v>
      </c>
      <c r="D45" s="7">
        <f>SUM(SUMIFS(Payment!$J$3:$J$466,Payment!$M$3:$M$466,$A45,Payment!$I$3:$I$466,{"531","641","3311","CKTM","HMSD","PVC"},Payment!$D$3:$D$466,"&lt;="&amp;D$8,Payment!$D$3:$D$466,"&gt;="&amp;D$9))/1.1</f>
        <v>690.90909090909088</v>
      </c>
      <c r="E45" s="7">
        <f>SUM(SUMIFS(Payment!$J$3:$J$466,Payment!$M$3:$M$466,$A45,Payment!$I$3:$I$466,{"531","641","3311","CKTM","HMSD","PVC"},Payment!$D$3:$D$466,"&lt;="&amp;E$8,Payment!$D$3:$D$466,"&gt;="&amp;E$9))/1.1</f>
        <v>0</v>
      </c>
      <c r="F45" s="7">
        <f>SUM(SUMIFS(Payment!$J$3:$J$466,Payment!$M$3:$M$466,$A45,Payment!$I$3:$I$466,{"531","641","3311","CKTM","HMSD","PVC"},Payment!$D$3:$D$466,"&lt;="&amp;F$8,Payment!$D$3:$D$466,"&gt;="&amp;F$9))/1.1</f>
        <v>0</v>
      </c>
      <c r="G45" s="7">
        <f>SUM(SUMIFS(Payment!$J$3:$J$466,Payment!$M$3:$M$466,$A45,Payment!$I$3:$I$466,{"531","641","3311","CKTM","HMSD","PVC"},Payment!$D$3:$D$466,"&lt;="&amp;G$8,Payment!$D$3:$D$466,"&gt;="&amp;G$9))/1.1</f>
        <v>44.54545454545454</v>
      </c>
      <c r="H45" s="7">
        <f>SUM(SUMIFS(Payment!$J$3:$J$466,Payment!$M$3:$M$466,$A45,Payment!$I$3:$I$466,{"531","641","3311","CKTM","HMSD","PVC"},Payment!$D$3:$D$466,"&lt;="&amp;H$8,Payment!$D$3:$D$466,"&gt;="&amp;H$9))/1.1</f>
        <v>0</v>
      </c>
      <c r="I45" s="7">
        <f>SUM(SUMIFS(Payment!$J$3:$J$466,Payment!$M$3:$M$466,$A45,Payment!$I$3:$I$466,{"531","641","3311","CKTM","HMSD","PVC"},Payment!$D$3:$D$466,"&lt;="&amp;I$8,Payment!$D$3:$D$466,"&gt;="&amp;I$9))/1.1</f>
        <v>0</v>
      </c>
      <c r="J45"/>
      <c r="K45" s="22"/>
      <c r="Q45"/>
    </row>
    <row r="46" spans="1:17" s="4" customFormat="1">
      <c r="A46" s="5" t="str">
        <f>A19</f>
        <v>NGUYEN VAN G</v>
      </c>
      <c r="B46" s="7">
        <f t="shared" si="9"/>
        <v>52000902.727272727</v>
      </c>
      <c r="C46" s="7">
        <f>SUM(SUMIFS(Payment!$J$3:$J$466,Payment!$M$3:$M$466,$A46,Payment!$I$3:$I$466,{"531","641","3311","CKTM","HMSD","PVC"},Payment!$D$3:$D$466,"&lt;="&amp;C$8,Payment!$D$3:$D$466,"&gt;="&amp;C$9))/1.1</f>
        <v>0</v>
      </c>
      <c r="D46" s="7">
        <f>SUM(SUMIFS(Payment!$J$3:$J$466,Payment!$M$3:$M$466,$A46,Payment!$I$3:$I$466,{"531","641","3311","CKTM","HMSD","PVC"},Payment!$D$3:$D$466,"&lt;="&amp;D$8,Payment!$D$3:$D$466,"&gt;="&amp;D$9))/1.1</f>
        <v>52000902.727272727</v>
      </c>
      <c r="E46" s="7">
        <f>SUM(SUMIFS(Payment!$J$3:$J$466,Payment!$M$3:$M$466,$A46,Payment!$I$3:$I$466,{"531","641","3311","CKTM","HMSD","PVC"},Payment!$D$3:$D$466,"&lt;="&amp;E$8,Payment!$D$3:$D$466,"&gt;="&amp;E$9))/1.1</f>
        <v>0</v>
      </c>
      <c r="F46" s="7">
        <f>SUM(SUMIFS(Payment!$J$3:$J$466,Payment!$M$3:$M$466,$A46,Payment!$I$3:$I$466,{"531","641","3311","CKTM","HMSD","PVC"},Payment!$D$3:$D$466,"&lt;="&amp;F$8,Payment!$D$3:$D$466,"&gt;="&amp;F$9))/1.1</f>
        <v>0</v>
      </c>
      <c r="G46" s="7">
        <f>SUM(SUMIFS(Payment!$J$3:$J$466,Payment!$M$3:$M$466,$A46,Payment!$I$3:$I$466,{"531","641","3311","CKTM","HMSD","PVC"},Payment!$D$3:$D$466,"&lt;="&amp;G$8,Payment!$D$3:$D$466,"&gt;="&amp;G$9))/1.1</f>
        <v>0</v>
      </c>
      <c r="H46" s="7">
        <f>SUM(SUMIFS(Payment!$J$3:$J$466,Payment!$M$3:$M$466,$A46,Payment!$I$3:$I$466,{"531","641","3311","CKTM","HMSD","PVC"},Payment!$D$3:$D$466,"&lt;="&amp;H$8,Payment!$D$3:$D$466,"&gt;="&amp;H$9))/1.1</f>
        <v>0</v>
      </c>
      <c r="I46" s="7">
        <f>SUM(SUMIFS(Payment!$J$3:$J$466,Payment!$M$3:$M$466,$A46,Payment!$I$3:$I$466,{"531","641","3311","CKTM","HMSD","PVC"},Payment!$D$3:$D$466,"&lt;="&amp;I$8,Payment!$D$3:$D$466,"&gt;="&amp;I$9))/1.1</f>
        <v>0</v>
      </c>
      <c r="J46"/>
      <c r="K46" s="22"/>
      <c r="Q46"/>
    </row>
    <row r="47" spans="1:17" s="4" customFormat="1">
      <c r="A47" s="5" t="str">
        <f>A20</f>
        <v>NGUYEN VAN H</v>
      </c>
      <c r="B47" s="7">
        <f t="shared" si="9"/>
        <v>5.4545454545454541</v>
      </c>
      <c r="C47" s="6">
        <f>SUM(SUMIFS(Payment!$J$3:$J$466,Payment!$M$3:$M$466,$A47,Payment!$I$3:$I$466,{"531","641","3311","CKTM","HMSD","PVC"},Payment!$D$3:$D$466,"&lt;="&amp;C$8,Payment!$D$3:$D$466,"&gt;="&amp;C$9))/1.1</f>
        <v>0</v>
      </c>
      <c r="D47" s="6">
        <f>SUM(SUMIFS(Payment!$J$3:$J$466,Payment!$M$3:$M$466,$A47,Payment!$I$3:$I$466,{"531","641","3311","CKTM","HMSD","PVC"},Payment!$D$3:$D$466,"&lt;="&amp;D$8,Payment!$D$3:$D$466,"&gt;="&amp;D$9))/1.1</f>
        <v>0</v>
      </c>
      <c r="E47" s="6">
        <f>SUM(SUMIFS(Payment!$J$3:$J$466,Payment!$M$3:$M$466,$A47,Payment!$I$3:$I$466,{"531","641","3311","CKTM","HMSD","PVC"},Payment!$D$3:$D$466,"&lt;="&amp;E$8,Payment!$D$3:$D$466,"&gt;="&amp;E$9))/1.1</f>
        <v>5.4545454545454541</v>
      </c>
      <c r="F47" s="6">
        <f>SUM(SUMIFS(Payment!$J$3:$J$466,Payment!$M$3:$M$466,$A47,Payment!$I$3:$I$466,{"531","641","3311","CKTM","HMSD","PVC"},Payment!$D$3:$D$466,"&lt;="&amp;F$8,Payment!$D$3:$D$466,"&gt;="&amp;F$9))/1.1</f>
        <v>0</v>
      </c>
      <c r="G47" s="7">
        <f>SUM(SUMIFS(Payment!$J$3:$J$466,Payment!$M$3:$M$466,$A47,Payment!$I$3:$I$466,{"531","641","3311","CKTM","HMSD","PVC"},Payment!$D$3:$D$466,"&lt;="&amp;G$8,Payment!$D$3:$D$466,"&gt;="&amp;G$9))/1.1</f>
        <v>0</v>
      </c>
      <c r="H47" s="7">
        <f>SUM(SUMIFS(Payment!$J$3:$J$466,Payment!$M$3:$M$466,$A47,Payment!$I$3:$I$466,{"531","641","3311","CKTM","HMSD","PVC"},Payment!$D$3:$D$466,"&lt;="&amp;H$8,Payment!$D$3:$D$466,"&gt;="&amp;H$9))/1.1</f>
        <v>0</v>
      </c>
      <c r="I47" s="7">
        <f>SUM(SUMIFS(Payment!$J$3:$J$466,Payment!$M$3:$M$466,$A47,Payment!$I$3:$I$466,{"531","641","3311","CKTM","HMSD","PVC"},Payment!$D$3:$D$466,"&lt;="&amp;I$8,Payment!$D$3:$D$466,"&gt;="&amp;I$9))/1.1</f>
        <v>0</v>
      </c>
      <c r="J47" s="73"/>
      <c r="K47" s="22"/>
    </row>
    <row r="48" spans="1:17" s="4" customFormat="1">
      <c r="A48" s="5" t="str">
        <f>A21</f>
        <v>NGUYEN VAN I</v>
      </c>
      <c r="B48" s="7">
        <f t="shared" si="9"/>
        <v>3185909.0909090908</v>
      </c>
      <c r="C48" s="6">
        <f>SUM(SUMIFS(Payment!$J$3:$J$466,Payment!$M$3:$M$466,$A48,Payment!$I$3:$I$466,{"531","641","3311","CKTM","HMSD","PVC"},Payment!$D$3:$D$466,"&lt;="&amp;C$8,Payment!$D$3:$D$466,"&gt;="&amp;C$9))/1.1</f>
        <v>0</v>
      </c>
      <c r="D48" s="6">
        <f>SUM(SUMIFS(Payment!$J$3:$J$466,Payment!$M$3:$M$466,$A48,Payment!$I$3:$I$466,{"531","641","3311","CKTM","HMSD","PVC"},Payment!$D$3:$D$466,"&lt;="&amp;D$8,Payment!$D$3:$D$466,"&gt;="&amp;D$9))/1.1</f>
        <v>0.90909090909090906</v>
      </c>
      <c r="E48" s="6">
        <f>SUM(SUMIFS(Payment!$J$3:$J$466,Payment!$M$3:$M$466,$A48,Payment!$I$3:$I$466,{"531","641","3311","CKTM","HMSD","PVC"},Payment!$D$3:$D$466,"&lt;="&amp;E$8,Payment!$D$3:$D$466,"&gt;="&amp;E$9))/1.1</f>
        <v>454.5454545454545</v>
      </c>
      <c r="F48" s="6">
        <f>SUM(SUMIFS(Payment!$J$3:$J$466,Payment!$M$3:$M$466,$A48,Payment!$I$3:$I$466,{"531","641","3311","CKTM","HMSD","PVC"},Payment!$D$3:$D$466,"&lt;="&amp;F$8,Payment!$D$3:$D$466,"&gt;="&amp;F$9))/1.1</f>
        <v>3185453.6363636362</v>
      </c>
      <c r="G48" s="7">
        <f>SUM(SUMIFS(Payment!$J$3:$J$466,Payment!$M$3:$M$466,$A48,Payment!$I$3:$I$466,{"531","641","3311","CKTM","HMSD","PVC"},Payment!$D$3:$D$466,"&lt;="&amp;G$8,Payment!$D$3:$D$466,"&gt;="&amp;G$9))/1.1</f>
        <v>0</v>
      </c>
      <c r="H48" s="7">
        <f>SUM(SUMIFS(Payment!$J$3:$J$466,Payment!$M$3:$M$466,$A48,Payment!$I$3:$I$466,{"531","641","3311","CKTM","HMSD","PVC"},Payment!$D$3:$D$466,"&lt;="&amp;H$8,Payment!$D$3:$D$466,"&gt;="&amp;H$9))/1.1</f>
        <v>0</v>
      </c>
      <c r="I48" s="7">
        <f>SUM(SUMIFS(Payment!$J$3:$J$466,Payment!$M$3:$M$466,$A48,Payment!$I$3:$I$466,{"531","641","3311","CKTM","HMSD","PVC"},Payment!$D$3:$D$466,"&lt;="&amp;I$8,Payment!$D$3:$D$466,"&gt;="&amp;I$9))/1.1</f>
        <v>0</v>
      </c>
      <c r="J48" s="73"/>
      <c r="K48" s="22"/>
    </row>
    <row r="49" spans="1:20" s="4" customFormat="1">
      <c r="A49" s="5" t="str">
        <f>A22</f>
        <v>NGUYEN VAN K</v>
      </c>
      <c r="B49" s="7">
        <f t="shared" si="9"/>
        <v>0</v>
      </c>
      <c r="C49" s="6">
        <f>SUM(SUMIFS(Payment!$J$3:$J$466,Payment!$M$3:$M$466,$A49,Payment!$I$3:$I$466,{"531","641","3311","CKTM","HMSD","PVC"},Payment!$D$3:$D$466,"&lt;="&amp;C$8,Payment!$D$3:$D$466,"&gt;="&amp;C$9))/1.1</f>
        <v>0</v>
      </c>
      <c r="D49" s="6">
        <f>SUM(SUMIFS(Payment!$J$3:$J$466,Payment!$M$3:$M$466,$A49,Payment!$I$3:$I$466,{"531","641","3311","CKTM","HMSD","PVC"},Payment!$D$3:$D$466,"&lt;="&amp;D$8,Payment!$D$3:$D$466,"&gt;="&amp;D$9))/1.1</f>
        <v>0</v>
      </c>
      <c r="E49" s="6">
        <f>SUM(SUMIFS(Payment!$J$3:$J$466,Payment!$M$3:$M$466,$A49,Payment!$I$3:$I$466,{"531","641","3311","CKTM","HMSD","PVC"},Payment!$D$3:$D$466,"&lt;="&amp;E$8,Payment!$D$3:$D$466,"&gt;="&amp;E$9))/1.1</f>
        <v>0</v>
      </c>
      <c r="F49" s="6">
        <v>0</v>
      </c>
      <c r="G49" s="7">
        <f>SUM(SUMIFS(Payment!$J$3:$J$466,Payment!$M$3:$M$466,$A49,Payment!$I$3:$I$466,{"531","641","3311","CKTM","HMSD","PVC"},Payment!$D$3:$D$466,"&lt;="&amp;G$8,Payment!$D$3:$D$466,"&gt;="&amp;G$9))/1.1</f>
        <v>0</v>
      </c>
      <c r="H49" s="7">
        <f>SUM(SUMIFS(Payment!$J$3:$J$466,Payment!$M$3:$M$466,$A49,Payment!$I$3:$I$466,{"531","641","3311","CKTM","HMSD","PVC"},Payment!$D$3:$D$466,"&lt;="&amp;H$8,Payment!$D$3:$D$466,"&gt;="&amp;H$9))/1.1</f>
        <v>0</v>
      </c>
      <c r="I49" s="7">
        <f>SUM(SUMIFS(Payment!$J$3:$J$466,Payment!$M$3:$M$466,$A49,Payment!$I$3:$I$466,{"531","641","3311","CKTM","HMSD","PVC"},Payment!$D$3:$D$466,"&lt;="&amp;I$8,Payment!$D$3:$D$466,"&gt;="&amp;I$9))/1.1</f>
        <v>0</v>
      </c>
      <c r="J49" s="73"/>
      <c r="K49" s="22"/>
    </row>
    <row r="50" spans="1:20" s="4" customFormat="1">
      <c r="A50" s="54" t="s">
        <v>21</v>
      </c>
      <c r="B50" s="55">
        <f>SUM(B40:B49)</f>
        <v>62540286.363636367</v>
      </c>
      <c r="C50" s="55">
        <f>SUM(C40:C49)</f>
        <v>6201821.8181818184</v>
      </c>
      <c r="D50" s="55">
        <f>SUM(D40:D49)</f>
        <v>53152506.36363636</v>
      </c>
      <c r="E50" s="55">
        <f>SUM(E40:E49)</f>
        <v>459.99999999999994</v>
      </c>
      <c r="F50" s="55">
        <f>SUM(F40:F49)</f>
        <v>3185453.6363636362</v>
      </c>
      <c r="G50" s="55">
        <f>SUM(G40:G49)</f>
        <v>44.54545454545454</v>
      </c>
      <c r="H50" s="55">
        <f>SUM(H40:H49)</f>
        <v>0</v>
      </c>
      <c r="I50" s="55">
        <f>SUM(I40:I49)</f>
        <v>0</v>
      </c>
    </row>
    <row r="51" spans="1:20" s="4" customFormat="1">
      <c r="A51" s="82" t="s">
        <v>48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</row>
    <row r="52" spans="1:20" s="4" customFormat="1" ht="15" customHeight="1">
      <c r="A52" s="116"/>
      <c r="B52" s="117" t="s">
        <v>63</v>
      </c>
      <c r="C52" s="116" t="s">
        <v>38</v>
      </c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</row>
    <row r="53" spans="1:20" s="4" customFormat="1" ht="15" customHeight="1">
      <c r="A53" s="116"/>
      <c r="B53" s="118"/>
      <c r="C53" s="119" t="s">
        <v>27</v>
      </c>
      <c r="D53" s="120"/>
      <c r="E53" s="121"/>
      <c r="F53" s="111" t="s">
        <v>28</v>
      </c>
      <c r="G53" s="112"/>
      <c r="H53" s="113"/>
      <c r="I53" s="122" t="s">
        <v>29</v>
      </c>
      <c r="J53" s="123"/>
      <c r="K53" s="123"/>
      <c r="L53" s="124" t="s">
        <v>69</v>
      </c>
      <c r="M53" s="125"/>
      <c r="N53" s="125"/>
      <c r="O53" s="126"/>
    </row>
    <row r="54" spans="1:20" s="4" customFormat="1">
      <c r="A54" s="88"/>
      <c r="B54" s="88" t="s">
        <v>64</v>
      </c>
      <c r="C54" s="97" t="str">
        <f>C$26</f>
        <v>T6</v>
      </c>
      <c r="D54" s="97" t="str">
        <f>D$26</f>
        <v>T5</v>
      </c>
      <c r="E54" s="97" t="str">
        <f t="shared" ref="E54" si="10">E$26</f>
        <v>T4</v>
      </c>
      <c r="F54" s="89" t="str">
        <f>D$26</f>
        <v>T5</v>
      </c>
      <c r="G54" s="89" t="str">
        <f>E$26</f>
        <v>T4</v>
      </c>
      <c r="H54" s="89" t="str">
        <f t="shared" ref="H54" si="11">F$26</f>
        <v>T3</v>
      </c>
      <c r="I54" s="89" t="str">
        <f>E$26</f>
        <v>T4</v>
      </c>
      <c r="J54" s="89" t="str">
        <f>F$26</f>
        <v>T3</v>
      </c>
      <c r="K54" s="89" t="str">
        <f t="shared" ref="K54" si="12">G$26</f>
        <v>T2</v>
      </c>
      <c r="L54" s="89" t="str">
        <f>F$26</f>
        <v>T3</v>
      </c>
      <c r="M54" s="89" t="str">
        <f t="shared" ref="M54:O54" si="13">G$26</f>
        <v>T2</v>
      </c>
      <c r="N54" s="89" t="str">
        <f t="shared" si="13"/>
        <v>T1</v>
      </c>
      <c r="O54" s="89" t="str">
        <f t="shared" si="13"/>
        <v>T12/22</v>
      </c>
    </row>
    <row r="55" spans="1:20" s="4" customFormat="1">
      <c r="A55" s="11" t="s">
        <v>30</v>
      </c>
      <c r="B55" s="11"/>
      <c r="C55" s="12">
        <v>1</v>
      </c>
      <c r="D55" s="12">
        <v>1</v>
      </c>
      <c r="E55" s="12">
        <v>1</v>
      </c>
      <c r="F55" s="13">
        <v>0.85</v>
      </c>
      <c r="G55" s="13">
        <v>0.85</v>
      </c>
      <c r="H55" s="13">
        <v>0.85</v>
      </c>
      <c r="I55" s="13">
        <v>0.7</v>
      </c>
      <c r="J55" s="13">
        <v>0.7</v>
      </c>
      <c r="K55" s="13">
        <v>0.7</v>
      </c>
      <c r="L55" s="13">
        <v>0.5</v>
      </c>
      <c r="M55" s="13">
        <v>0.5</v>
      </c>
      <c r="N55" s="13">
        <v>0.5</v>
      </c>
      <c r="O55" s="13">
        <v>0.5</v>
      </c>
      <c r="Q55" s="14"/>
      <c r="R55" s="14"/>
      <c r="S55" s="14"/>
      <c r="T55" s="14"/>
    </row>
    <row r="56" spans="1:20" s="4" customFormat="1">
      <c r="A56" s="5" t="str">
        <f>A13</f>
        <v>NGUYEN VAN A</v>
      </c>
      <c r="B56" s="46">
        <f t="shared" ref="B56:B65" si="14">SUM(C56:O56)</f>
        <v>1308233174.5454543</v>
      </c>
      <c r="C56" s="7">
        <f>SUMIFS(Payment!$J$3:$J$466,Payment!$M$3:$M$466,$A56,Payment!$L$3:$L$466,"&lt;=30",Payment!$D$3:$D$466,"&gt;="&amp;C$6,Payment!$D$3:$D$466,"&lt;="&amp;C$5)/1.1-SUM(SUMIFS(Payment!$J$3:$J$466,Payment!$M$3:$M$466,$A56,Payment!$L$3:$L$466,"&lt;=30",Payment!$D$3:$D$466,"&gt;="&amp;C$6,Payment!$D$3:$D$466,"&lt;="&amp;C$5,Payment!$I$3:$I$466,{"531","641","3311"}))/1.1</f>
        <v>1046125916.3636363</v>
      </c>
      <c r="D56" s="7">
        <f>SUMIFS(Payment!$J$3:$J$466,Payment!$M$3:$M$466,$A56,Payment!$L$3:$L$466,"&lt;=30",Payment!$D$3:$D$466,"&gt;="&amp;D$6,Payment!$D$3:$D$466,"&lt;="&amp;D$5)/1.1-SUM(SUMIFS(Payment!$J$3:$J$466,Payment!$M$3:$M$466,$A56,Payment!$L$3:$L$466,"&lt;=30",Payment!$D$3:$D$466,"&gt;="&amp;D$6,Payment!$D$3:$D$466,"&lt;="&amp;D$5,Payment!$I$3:$I$466,{"531","641","3311"}))/1.1</f>
        <v>260934530.90909088</v>
      </c>
      <c r="E56" s="7">
        <f>SUMIFS(Payment!$J$3:$J$466,Payment!$M$3:$M$466,$A56,Payment!$L$3:$L$466,"&lt;=30",Payment!$D$3:$D$466,"&gt;="&amp;E$6,Payment!$D$3:$D$466,"&lt;="&amp;E$5)/1.1-SUM(SUMIFS(Payment!$J$3:$J$466,Payment!$M$3:$M$466,$A56,Payment!$L$3:$L$466,"&lt;=30",Payment!$D$3:$D$466,"&gt;="&amp;E$6,Payment!$D$3:$D$466,"&lt;="&amp;E$5,Payment!$I$3:$I$466,{"531","641","3311"}))/1.1</f>
        <v>0</v>
      </c>
      <c r="F56" s="7">
        <f>SUMIFS(Payment!$J$3:$J$466,Payment!$M$3:$M$466,$A56,Payment!$L$3:$L$466,"&gt;30",Payment!$L$3:$L$466,"&lt;=60",Payment!$D$3:$D$466,"&gt;="&amp;F$6,Payment!$D$3:$D$466,"&lt;="&amp;F$5)/1.1-SUM(SUMIFS(Payment!$J$3:$J$466,Payment!$M$3:$M$466,$A56,Payment!$L$3:$L$466,"&gt;30",Payment!$L$3:$L$466,"&lt;=60",Payment!$D$3:$D$466,"&gt;="&amp;F$6,Payment!$D$3:$D$466,"&lt;="&amp;F$5,Payment!$I$3:$I$466,{"531","641","3311"}))/1.1</f>
        <v>0</v>
      </c>
      <c r="G56" s="7">
        <f>SUMIFS(Payment!$J$3:$J$466,Payment!$M$3:$M$466,$A56,Payment!$L$3:$L$466,"&gt;30",Payment!$L$3:$L$466,"&lt;=60",Payment!$D$3:$D$466,"&gt;="&amp;G$6,Payment!$D$3:$D$466,"&lt;="&amp;G$5)/1.1-SUM(SUMIFS(Payment!$J$3:$J$466,Payment!$M$3:$M$466,$A56,Payment!$L$3:$L$466,"&gt;30",Payment!$L$3:$L$466,"&lt;=60",Payment!$D$3:$D$466,"&gt;="&amp;G$6,Payment!$D$3:$D$466,"&lt;="&amp;G$5,Payment!$I$3:$I$466,{"531","641","3311"}))/1.1</f>
        <v>1172727.2727272727</v>
      </c>
      <c r="H56" s="7">
        <f>SUMIFS(Payment!$J$3:$J$466,Payment!$M$3:$M$466,$A56,Payment!$L$3:$L$466,"&gt;30",Payment!$L$3:$L$466,"&lt;=60",Payment!$D$3:$D$466,"&gt;="&amp;H$6,Payment!$D$3:$D$466,"&lt;="&amp;H$5)/1.1-SUM(SUMIFS(Payment!$J$3:$J$466,Payment!$M$3:$M$466,$A56,Payment!$L$3:$L$466,"&gt;30",Payment!$L$3:$L$466,"&lt;=60",Payment!$D$3:$D$466,"&gt;="&amp;H$6,Payment!$D$3:$D$466,"&lt;="&amp;H$5,Payment!$I$3:$I$466,{"531","641","3311"}))/1.1</f>
        <v>0</v>
      </c>
      <c r="I56" s="7">
        <f>SUMIFS(Payment!$J$3:$J$466,Payment!$M$3:$M$466,$A56,Payment!$L$3:$L$466,"&gt;60",Payment!$L$3:$L$466,"&lt;=90",Payment!$D$3:$D$466,"&gt;="&amp;I$6,Payment!$D$3:$D$466,"&lt;="&amp;I$5)/1.1-SUM(SUMIFS(Payment!$J$3:$J$466,Payment!$M$3:$M$466,$A56,Payment!$L$3:$L$466,"&gt;60",Payment!$L$3:$L$466,"&lt;=90",Payment!$D$3:$D$466,"&gt;="&amp;I$6,Payment!$D$3:$D$466,"&lt;="&amp;I$5,Payment!$I$3:$I$466,{"531","641","3311"}))/1.1</f>
        <v>0</v>
      </c>
      <c r="J56" s="7">
        <f>SUMIFS(Payment!$J$3:$J$466,Payment!$M$3:$M$466,$A56,Payment!$L$3:$L$466,"&gt;60",Payment!$L$3:$L$466,"&lt;=90",Payment!$D$3:$D$466,"&gt;="&amp;J$6,Payment!$D$3:$D$466,"&lt;="&amp;J$5)/1.1-SUM(SUMIFS(Payment!$J$3:$J$466,Payment!$M$3:$M$466,$A56,Payment!$L$3:$L$466,"&gt;60",Payment!$L$3:$L$466,"&lt;=90",Payment!$D$3:$D$466,"&gt;="&amp;J$6,Payment!$D$3:$D$466,"&lt;="&amp;J$5,Payment!$I$3:$I$466,{"531","641","3311"}))/1.1</f>
        <v>0</v>
      </c>
      <c r="K56" s="7">
        <f>SUMIFS(Payment!$J$3:$J$466,Payment!$M$3:$M$466,$A56,Payment!$L$3:$L$466,"&gt;60",Payment!$L$3:$L$466,"&lt;=90",Payment!$D$3:$D$466,"&gt;="&amp;K$6,Payment!$D$3:$D$466,"&lt;="&amp;K$5)/1.1-SUM(SUMIFS(Payment!$J$3:$J$466,Payment!$M$3:$M$466,$A56,Payment!$L$3:$L$466,"&gt;60",Payment!$L$3:$L$466,"&lt;=90",Payment!$D$3:$D$466,"&gt;="&amp;K$6,Payment!$D$3:$D$466,"&lt;="&amp;K$5,Payment!$I$3:$I$466,{"531","641","3311"}))/1.1</f>
        <v>0</v>
      </c>
      <c r="L56" s="7">
        <f>SUMIFS(Payment!$J$3:$J$466,Payment!$M$3:$M$466,$A56,Payment!$L$3:$L$466,"&gt;90",Payment!$L$3:$L$466,"&lt;=180",Payment!$D$3:$D$466,"&gt;="&amp;L$6,Payment!$D$3:$D$466,"&lt;="&amp;L$5)/1.1-SUM(SUMIFS(Payment!$J$3:$J$466,Payment!$M$3:$M$466,$A56,Payment!$L$3:$L$466,"&gt;90",Payment!$L$3:$L$466,"&lt;=180",Payment!$D$3:$D$466,"&gt;="&amp;L$6,Payment!$D$3:$D$466,"&lt;="&amp;L$5,Payment!$I$3:$I$466,{"531","641","3311"}))/1.1</f>
        <v>0</v>
      </c>
      <c r="M56" s="7">
        <f>SUMIFS(Payment!$J$3:$J$466,Payment!$M$3:$M$466,$A56,Payment!$L$3:$L$466,"&gt;90",Payment!$L$3:$L$466,"&lt;=180",Payment!$D$3:$D$466,"&gt;="&amp;M$6,Payment!$D$3:$D$466,"&lt;="&amp;M$5)/1.1-SUM(SUMIFS(Payment!$J$3:$J$466,Payment!$M$3:$M$466,$A56,Payment!$L$3:$L$466,"&gt;90",Payment!$L$3:$L$466,"&lt;=180",Payment!$D$3:$D$466,"&gt;="&amp;M$6,Payment!$D$3:$D$466,"&lt;="&amp;M$5,Payment!$I$3:$I$466,{"531","641","3311"}))/1.1</f>
        <v>0</v>
      </c>
      <c r="N56" s="7">
        <f>SUMIFS(Payment!$J$3:$J$466,Payment!$M$3:$M$466,$A56,Payment!$L$3:$L$466,"&gt;90",Payment!$L$3:$L$466,"&lt;=180",Payment!$D$3:$D$466,"&gt;="&amp;N$6,Payment!$D$3:$D$466,"&lt;="&amp;N$5)/1.1-SUM(SUMIFS(Payment!$J$3:$J$466,Payment!$M$3:$M$466,$A56,Payment!$L$3:$L$466,"&gt;90",Payment!$L$3:$L$466,"&lt;=180",Payment!$D$3:$D$466,"&gt;="&amp;N$6,Payment!$D$3:$D$466,"&lt;="&amp;N$5,Payment!$I$3:$I$466,{"531","641","3311"}))/1.1</f>
        <v>0</v>
      </c>
      <c r="O56" s="7">
        <f>SUMIFS(Payment!$J$3:$J$466,Payment!$M$3:$M$466,$A56,Payment!$L$3:$L$466,"&gt;90",Payment!$L$3:$L$466,"&lt;=180",Payment!$D$3:$D$466,"&gt;="&amp;O$6,Payment!$D$3:$D$466,"&lt;="&amp;O$5)/1.1-SUM(SUMIFS(Payment!$J$3:$J$466,Payment!$M$3:$M$466,$A56,Payment!$L$3:$L$466,"&gt;90",Payment!$L$3:$L$466,"&lt;=180",Payment!$D$3:$D$466,"&gt;="&amp;O$6,Payment!$D$3:$D$466,"&lt;="&amp;O$5,Payment!$I$3:$I$466,{"531","641","3311"}))/1.1</f>
        <v>0</v>
      </c>
      <c r="P56" s="48">
        <f>B27-B40</f>
        <v>1308233174.5454543</v>
      </c>
      <c r="Q56" s="49">
        <f t="shared" ref="Q56:Q65" si="15">B56-P56</f>
        <v>0</v>
      </c>
      <c r="R56" s="14"/>
      <c r="S56" s="50"/>
      <c r="T56" s="14"/>
    </row>
    <row r="57" spans="1:20" s="4" customFormat="1">
      <c r="A57" s="5" t="str">
        <f>A14</f>
        <v>NGUYEN VAN B</v>
      </c>
      <c r="B57" s="46">
        <f>SUM(C57:O57)</f>
        <v>1383824040.9090908</v>
      </c>
      <c r="C57" s="7">
        <f>SUMIFS(Payment!$J$3:$J$466,Payment!$M$3:$M$466,$A57,Payment!$L$3:$L$466,"&lt;=30",Payment!$D$3:$D$466,"&gt;="&amp;C$6,Payment!$D$3:$D$466,"&lt;="&amp;C$5)/1.1-SUM(SUMIFS(Payment!$J$3:$J$466,Payment!$M$3:$M$466,$A57,Payment!$L$3:$L$466,"&lt;=30",Payment!$D$3:$D$466,"&gt;="&amp;C$6,Payment!$D$3:$D$466,"&lt;="&amp;C$5,Payment!$I$3:$I$466,{"531","641","3311"}))/1.1</f>
        <v>852242637.27272713</v>
      </c>
      <c r="D57" s="7">
        <f>SUMIFS(Payment!$J$3:$J$466,Payment!$M$3:$M$466,$A57,Payment!$L$3:$L$466,"&lt;=30",Payment!$D$3:$D$466,"&gt;="&amp;D$6,Payment!$D$3:$D$466,"&lt;="&amp;D$5)/1.1-SUM(SUMIFS(Payment!$J$3:$J$466,Payment!$M$3:$M$466,$A57,Payment!$L$3:$L$466,"&lt;=30",Payment!$D$3:$D$466,"&gt;="&amp;D$6,Payment!$D$3:$D$466,"&lt;="&amp;D$5,Payment!$I$3:$I$466,{"531","641","3311"}))/1.1</f>
        <v>505032738.18181813</v>
      </c>
      <c r="E57" s="7">
        <f>SUMIFS(Payment!$J$3:$J$466,Payment!$M$3:$M$466,$A57,Payment!$L$3:$L$466,"&lt;=30",Payment!$D$3:$D$466,"&gt;="&amp;E$6,Payment!$D$3:$D$466,"&lt;="&amp;E$5)/1.1-SUM(SUMIFS(Payment!$J$3:$J$466,Payment!$M$3:$M$466,$A57,Payment!$L$3:$L$466,"&lt;=30",Payment!$D$3:$D$466,"&gt;="&amp;E$6,Payment!$D$3:$D$466,"&lt;="&amp;E$5,Payment!$I$3:$I$466,{"531","641","3311"}))/1.1</f>
        <v>0</v>
      </c>
      <c r="F57" s="7">
        <f>SUMIFS(Payment!$J$3:$J$466,Payment!$M$3:$M$466,$A57,Payment!$L$3:$L$466,"&gt;30",Payment!$L$3:$L$466,"&lt;=60",Payment!$D$3:$D$466,"&gt;="&amp;F$6,Payment!$D$3:$D$466,"&lt;="&amp;F$5)/1.1-SUM(SUMIFS(Payment!$J$3:$J$466,Payment!$M$3:$M$466,$A57,Payment!$L$3:$L$466,"&gt;30",Payment!$L$3:$L$466,"&lt;=60",Payment!$D$3:$D$466,"&gt;="&amp;F$6,Payment!$D$3:$D$466,"&lt;="&amp;F$5,Payment!$I$3:$I$466,{"531","641","3311"}))/1.1</f>
        <v>11818181.818181816</v>
      </c>
      <c r="G57" s="7">
        <f>SUMIFS(Payment!$J$3:$J$466,Payment!$M$3:$M$466,$A57,Payment!$L$3:$L$466,"&gt;30",Payment!$L$3:$L$466,"&lt;=60",Payment!$D$3:$D$466,"&gt;="&amp;G$6,Payment!$D$3:$D$466,"&lt;="&amp;G$5)/1.1-SUM(SUMIFS(Payment!$J$3:$J$466,Payment!$M$3:$M$466,$A57,Payment!$L$3:$L$466,"&gt;30",Payment!$L$3:$L$466,"&lt;=60",Payment!$D$3:$D$466,"&gt;="&amp;G$6,Payment!$D$3:$D$466,"&lt;="&amp;G$5,Payment!$I$3:$I$466,{"531","641","3311"}))/1.1</f>
        <v>14730483.636363635</v>
      </c>
      <c r="H57" s="7">
        <f>SUMIFS(Payment!$J$3:$J$466,Payment!$M$3:$M$466,$A57,Payment!$L$3:$L$466,"&gt;30",Payment!$L$3:$L$466,"&lt;=60",Payment!$D$3:$D$466,"&gt;="&amp;H$6,Payment!$D$3:$D$466,"&lt;="&amp;H$5)/1.1-SUM(SUMIFS(Payment!$J$3:$J$466,Payment!$M$3:$M$466,$A57,Payment!$L$3:$L$466,"&gt;30",Payment!$L$3:$L$466,"&lt;=60",Payment!$D$3:$D$466,"&gt;="&amp;H$6,Payment!$D$3:$D$466,"&lt;="&amp;H$5,Payment!$I$3:$I$466,{"531","641","3311"}))/1.1</f>
        <v>0</v>
      </c>
      <c r="I57" s="7">
        <f>SUMIFS(Payment!$J$3:$J$466,Payment!$M$3:$M$466,$A57,Payment!$L$3:$L$466,"&gt;60",Payment!$L$3:$L$466,"&lt;=90",Payment!$D$3:$D$466,"&gt;="&amp;I$6,Payment!$D$3:$D$466,"&lt;="&amp;I$5)/1.1-SUM(SUMIFS(Payment!$J$3:$J$466,Payment!$M$3:$M$466,$A57,Payment!$L$3:$L$466,"&gt;60",Payment!$L$3:$L$466,"&lt;=90",Payment!$D$3:$D$466,"&gt;="&amp;I$6,Payment!$D$3:$D$466,"&lt;="&amp;I$5,Payment!$I$3:$I$466,{"531","641","3311"}))/1.1</f>
        <v>0</v>
      </c>
      <c r="J57" s="7">
        <f>SUMIFS(Payment!$J$3:$J$466,Payment!$M$3:$M$466,$A57,Payment!$L$3:$L$466,"&gt;60",Payment!$L$3:$L$466,"&lt;=90",Payment!$D$3:$D$466,"&gt;="&amp;J$6,Payment!$D$3:$D$466,"&lt;="&amp;J$5)/1.1-SUM(SUMIFS(Payment!$J$3:$J$466,Payment!$M$3:$M$466,$A57,Payment!$L$3:$L$466,"&gt;60",Payment!$L$3:$L$466,"&lt;=90",Payment!$D$3:$D$466,"&gt;="&amp;J$6,Payment!$D$3:$D$466,"&lt;="&amp;J$5,Payment!$I$3:$I$466,{"531","641","3311"}))/1.1</f>
        <v>0</v>
      </c>
      <c r="K57" s="7">
        <f>SUMIFS(Payment!$J$3:$J$466,Payment!$M$3:$M$466,$A57,Payment!$L$3:$L$466,"&gt;60",Payment!$L$3:$L$466,"&lt;=90",Payment!$D$3:$D$466,"&gt;="&amp;K$6,Payment!$D$3:$D$466,"&lt;="&amp;K$5)/1.1-SUM(SUMIFS(Payment!$J$3:$J$466,Payment!$M$3:$M$466,$A57,Payment!$L$3:$L$466,"&gt;60",Payment!$L$3:$L$466,"&lt;=90",Payment!$D$3:$D$466,"&gt;="&amp;K$6,Payment!$D$3:$D$466,"&lt;="&amp;K$5,Payment!$I$3:$I$466,{"531","641","3311"}))/1.1</f>
        <v>0</v>
      </c>
      <c r="L57" s="7">
        <f>SUMIFS(Payment!$J$3:$J$466,Payment!$M$3:$M$466,$A57,Payment!$L$3:$L$466,"&gt;90",Payment!$L$3:$L$466,"&lt;=180",Payment!$D$3:$D$466,"&gt;="&amp;L$6,Payment!$D$3:$D$466,"&lt;="&amp;L$5)/1.1-SUM(SUMIFS(Payment!$J$3:$J$466,Payment!$M$3:$M$466,$A57,Payment!$L$3:$L$466,"&gt;90",Payment!$L$3:$L$466,"&lt;=180",Payment!$D$3:$D$466,"&gt;="&amp;L$6,Payment!$D$3:$D$466,"&lt;="&amp;L$5,Payment!$I$3:$I$466,{"531","641","3311"}))/1.1</f>
        <v>0</v>
      </c>
      <c r="M57" s="7">
        <f>SUMIFS(Payment!$J$3:$J$466,Payment!$M$3:$M$466,$A57,Payment!$L$3:$L$466,"&gt;90",Payment!$L$3:$L$466,"&lt;=180",Payment!$D$3:$D$466,"&gt;="&amp;M$6,Payment!$D$3:$D$466,"&lt;="&amp;M$5)/1.1-SUM(SUMIFS(Payment!$J$3:$J$466,Payment!$M$3:$M$466,$A57,Payment!$L$3:$L$466,"&gt;90",Payment!$L$3:$L$466,"&lt;=180",Payment!$D$3:$D$466,"&gt;="&amp;M$6,Payment!$D$3:$D$466,"&lt;="&amp;M$5,Payment!$I$3:$I$466,{"531","641","3311"}))/1.1</f>
        <v>0</v>
      </c>
      <c r="N57" s="7">
        <f>SUMIFS(Payment!$J$3:$J$466,Payment!$M$3:$M$466,$A57,Payment!$L$3:$L$466,"&gt;90",Payment!$L$3:$L$466,"&lt;=180",Payment!$D$3:$D$466,"&gt;="&amp;N$6,Payment!$D$3:$D$466,"&lt;="&amp;N$5)/1.1-SUM(SUMIFS(Payment!$J$3:$J$466,Payment!$M$3:$M$466,$A57,Payment!$L$3:$L$466,"&gt;90",Payment!$L$3:$L$466,"&lt;=180",Payment!$D$3:$D$466,"&gt;="&amp;N$6,Payment!$D$3:$D$466,"&lt;="&amp;N$5,Payment!$I$3:$I$466,{"531","641","3311"}))/1.1</f>
        <v>0</v>
      </c>
      <c r="O57" s="7">
        <f>SUMIFS(Payment!$J$3:$J$466,Payment!$M$3:$M$466,$A57,Payment!$L$3:$L$466,"&gt;90",Payment!$L$3:$L$466,"&lt;=180",Payment!$D$3:$D$466,"&gt;="&amp;O$6,Payment!$D$3:$D$466,"&lt;="&amp;O$5)/1.1-SUM(SUMIFS(Payment!$J$3:$J$466,Payment!$M$3:$M$466,$A57,Payment!$L$3:$L$466,"&gt;90",Payment!$L$3:$L$466,"&lt;=180",Payment!$D$3:$D$466,"&gt;="&amp;O$6,Payment!$D$3:$D$466,"&lt;="&amp;O$5,Payment!$I$3:$I$466,{"531","641","3311"}))/1.1</f>
        <v>0</v>
      </c>
      <c r="P57" s="48">
        <f>B28-B41</f>
        <v>1383824040.9090908</v>
      </c>
      <c r="Q57" s="49">
        <f t="shared" si="15"/>
        <v>0</v>
      </c>
      <c r="R57" s="14"/>
      <c r="S57" s="51"/>
      <c r="T57" s="14"/>
    </row>
    <row r="58" spans="1:20" s="4" customFormat="1">
      <c r="A58" s="5" t="str">
        <f>A15</f>
        <v>NGUYEN VAN C</v>
      </c>
      <c r="B58" s="46">
        <f t="shared" si="14"/>
        <v>67971363.636363626</v>
      </c>
      <c r="C58" s="7">
        <f>SUMIFS(Payment!$J$3:$J$466,Payment!$M$3:$M$466,$A58,Payment!$L$3:$L$466,"&lt;=30",Payment!$D$3:$D$466,"&gt;="&amp;C$6,Payment!$D$3:$D$466,"&lt;="&amp;C$5)/1.1-SUM(SUMIFS(Payment!$J$3:$J$466,Payment!$M$3:$M$466,$A58,Payment!$L$3:$L$466,"&lt;=30",Payment!$D$3:$D$466,"&gt;="&amp;C$6,Payment!$D$3:$D$466,"&lt;="&amp;C$5,Payment!$I$3:$I$466,{"531","641","3311"}))/1.1</f>
        <v>63425909.090909086</v>
      </c>
      <c r="D58" s="7">
        <f>SUMIFS(Payment!$J$3:$J$466,Payment!$M$3:$M$466,$A58,Payment!$L$3:$L$466,"&lt;=30",Payment!$D$3:$D$466,"&gt;="&amp;D$6,Payment!$D$3:$D$466,"&lt;="&amp;D$5)/1.1-SUM(SUMIFS(Payment!$J$3:$J$466,Payment!$M$3:$M$466,$A58,Payment!$L$3:$L$466,"&lt;=30",Payment!$D$3:$D$466,"&gt;="&amp;D$6,Payment!$D$3:$D$466,"&lt;="&amp;D$5,Payment!$I$3:$I$466,{"531","641","3311"}))/1.1</f>
        <v>0</v>
      </c>
      <c r="E58" s="7">
        <f>SUMIFS(Payment!$J$3:$J$466,Payment!$M$3:$M$466,$A58,Payment!$L$3:$L$466,"&lt;=30",Payment!$D$3:$D$466,"&gt;="&amp;E$6,Payment!$D$3:$D$466,"&lt;="&amp;E$5)/1.1-SUM(SUMIFS(Payment!$J$3:$J$466,Payment!$M$3:$M$466,$A58,Payment!$L$3:$L$466,"&lt;=30",Payment!$D$3:$D$466,"&gt;="&amp;E$6,Payment!$D$3:$D$466,"&lt;="&amp;E$5,Payment!$I$3:$I$466,{"531","641","3311"}))/1.1</f>
        <v>0</v>
      </c>
      <c r="F58" s="7">
        <f>SUMIFS(Payment!$J$3:$J$466,Payment!$M$3:$M$466,$A58,Payment!$L$3:$L$466,"&gt;30",Payment!$L$3:$L$466,"&lt;=60",Payment!$D$3:$D$466,"&gt;="&amp;F$6,Payment!$D$3:$D$466,"&lt;="&amp;F$5)/1.1-SUM(SUMIFS(Payment!$J$3:$J$466,Payment!$M$3:$M$466,$A58,Payment!$L$3:$L$466,"&gt;30",Payment!$L$3:$L$466,"&lt;=60",Payment!$D$3:$D$466,"&gt;="&amp;F$6,Payment!$D$3:$D$466,"&lt;="&amp;F$5,Payment!$I$3:$I$466,{"531","641","3311"}))/1.1</f>
        <v>0</v>
      </c>
      <c r="G58" s="7">
        <f>SUMIFS(Payment!$J$3:$J$466,Payment!$M$3:$M$466,$A58,Payment!$L$3:$L$466,"&gt;30",Payment!$L$3:$L$466,"&lt;=60",Payment!$D$3:$D$466,"&gt;="&amp;G$6,Payment!$D$3:$D$466,"&lt;="&amp;G$5)/1.1-SUM(SUMIFS(Payment!$J$3:$J$466,Payment!$M$3:$M$466,$A58,Payment!$L$3:$L$466,"&gt;30",Payment!$L$3:$L$466,"&lt;=60",Payment!$D$3:$D$466,"&gt;="&amp;G$6,Payment!$D$3:$D$466,"&lt;="&amp;G$5,Payment!$I$3:$I$466,{"531","641","3311"}))/1.1</f>
        <v>0</v>
      </c>
      <c r="H58" s="7">
        <f>SUMIFS(Payment!$J$3:$J$466,Payment!$M$3:$M$466,$A58,Payment!$L$3:$L$466,"&gt;30",Payment!$L$3:$L$466,"&lt;=60",Payment!$D$3:$D$466,"&gt;="&amp;H$6,Payment!$D$3:$D$466,"&lt;="&amp;H$5)/1.1-SUM(SUMIFS(Payment!$J$3:$J$466,Payment!$M$3:$M$466,$A58,Payment!$L$3:$L$466,"&gt;30",Payment!$L$3:$L$466,"&lt;=60",Payment!$D$3:$D$466,"&gt;="&amp;H$6,Payment!$D$3:$D$466,"&lt;="&amp;H$5,Payment!$I$3:$I$466,{"531","641","3311"}))/1.1</f>
        <v>0</v>
      </c>
      <c r="I58" s="7">
        <f>SUMIFS(Payment!$J$3:$J$466,Payment!$M$3:$M$466,$A58,Payment!$L$3:$L$466,"&gt;60",Payment!$L$3:$L$466,"&lt;=90",Payment!$D$3:$D$466,"&gt;="&amp;I$6,Payment!$D$3:$D$466,"&lt;="&amp;I$5)/1.1-SUM(SUMIFS(Payment!$J$3:$J$466,Payment!$M$3:$M$466,$A58,Payment!$L$3:$L$466,"&gt;60",Payment!$L$3:$L$466,"&lt;=90",Payment!$D$3:$D$466,"&gt;="&amp;I$6,Payment!$D$3:$D$466,"&lt;="&amp;I$5,Payment!$I$3:$I$466,{"531","641","3311"}))/1.1</f>
        <v>0</v>
      </c>
      <c r="J58" s="7">
        <f>SUMIFS(Payment!$J$3:$J$466,Payment!$M$3:$M$466,$A58,Payment!$L$3:$L$466,"&gt;60",Payment!$L$3:$L$466,"&lt;=90",Payment!$D$3:$D$466,"&gt;="&amp;J$6,Payment!$D$3:$D$466,"&lt;="&amp;J$5)/1.1-SUM(SUMIFS(Payment!$J$3:$J$466,Payment!$M$3:$M$466,$A58,Payment!$L$3:$L$466,"&gt;60",Payment!$L$3:$L$466,"&lt;=90",Payment!$D$3:$D$466,"&gt;="&amp;J$6,Payment!$D$3:$D$466,"&lt;="&amp;J$5,Payment!$I$3:$I$466,{"531","641","3311"}))/1.1</f>
        <v>0</v>
      </c>
      <c r="K58" s="7">
        <f>SUMIFS(Payment!$J$3:$J$466,Payment!$M$3:$M$466,$A58,Payment!$L$3:$L$466,"&gt;60",Payment!$L$3:$L$466,"&lt;=90",Payment!$D$3:$D$466,"&gt;="&amp;K$6,Payment!$D$3:$D$466,"&lt;="&amp;K$5)/1.1-SUM(SUMIFS(Payment!$J$3:$J$466,Payment!$M$3:$M$466,$A58,Payment!$L$3:$L$466,"&gt;60",Payment!$L$3:$L$466,"&lt;=90",Payment!$D$3:$D$466,"&gt;="&amp;K$6,Payment!$D$3:$D$466,"&lt;="&amp;K$5,Payment!$I$3:$I$466,{"531","641","3311"}))/1.1</f>
        <v>0</v>
      </c>
      <c r="L58" s="7">
        <f>SUMIFS(Payment!$J$3:$J$466,Payment!$M$3:$M$466,$A58,Payment!$L$3:$L$466,"&gt;90",Payment!$L$3:$L$466,"&lt;=180",Payment!$D$3:$D$466,"&gt;="&amp;L$6,Payment!$D$3:$D$466,"&lt;="&amp;L$5)/1.1-SUM(SUMIFS(Payment!$J$3:$J$466,Payment!$M$3:$M$466,$A58,Payment!$L$3:$L$466,"&gt;90",Payment!$L$3:$L$466,"&lt;=180",Payment!$D$3:$D$466,"&gt;="&amp;L$6,Payment!$D$3:$D$466,"&lt;="&amp;L$5,Payment!$I$3:$I$466,{"531","641","3311"}))/1.1</f>
        <v>0</v>
      </c>
      <c r="M58" s="7">
        <f>SUMIFS(Payment!$J$3:$J$466,Payment!$M$3:$M$466,$A58,Payment!$L$3:$L$466,"&gt;90",Payment!$L$3:$L$466,"&lt;=180",Payment!$D$3:$D$466,"&gt;="&amp;M$6,Payment!$D$3:$D$466,"&lt;="&amp;M$5)/1.1-SUM(SUMIFS(Payment!$J$3:$J$466,Payment!$M$3:$M$466,$A58,Payment!$L$3:$L$466,"&gt;90",Payment!$L$3:$L$466,"&lt;=180",Payment!$D$3:$D$466,"&gt;="&amp;M$6,Payment!$D$3:$D$466,"&lt;="&amp;M$5,Payment!$I$3:$I$466,{"531","641","3311"}))/1.1</f>
        <v>4545454.5454545449</v>
      </c>
      <c r="N58" s="7">
        <f>SUMIFS(Payment!$J$3:$J$466,Payment!$M$3:$M$466,$A58,Payment!$L$3:$L$466,"&gt;90",Payment!$L$3:$L$466,"&lt;=180",Payment!$D$3:$D$466,"&gt;="&amp;N$6,Payment!$D$3:$D$466,"&lt;="&amp;N$5)/1.1-SUM(SUMIFS(Payment!$J$3:$J$466,Payment!$M$3:$M$466,$A58,Payment!$L$3:$L$466,"&gt;90",Payment!$L$3:$L$466,"&lt;=180",Payment!$D$3:$D$466,"&gt;="&amp;N$6,Payment!$D$3:$D$466,"&lt;="&amp;N$5,Payment!$I$3:$I$466,{"531","641","3311"}))/1.1</f>
        <v>0</v>
      </c>
      <c r="O58" s="7">
        <f>SUMIFS(Payment!$J$3:$J$466,Payment!$M$3:$M$466,$A58,Payment!$L$3:$L$466,"&gt;90",Payment!$L$3:$L$466,"&lt;=180",Payment!$D$3:$D$466,"&gt;="&amp;O$6,Payment!$D$3:$D$466,"&lt;="&amp;O$5)/1.1-SUM(SUMIFS(Payment!$J$3:$J$466,Payment!$M$3:$M$466,$A58,Payment!$L$3:$L$466,"&gt;90",Payment!$L$3:$L$466,"&lt;=180",Payment!$D$3:$D$466,"&gt;="&amp;O$6,Payment!$D$3:$D$466,"&lt;="&amp;O$5,Payment!$I$3:$I$466,{"531","641","3311"}))/1.1</f>
        <v>0</v>
      </c>
      <c r="P58" s="48">
        <f>B29-B42</f>
        <v>67971363.636363626</v>
      </c>
      <c r="Q58" s="49">
        <f>B58-P58</f>
        <v>0</v>
      </c>
      <c r="R58" s="84"/>
      <c r="S58" s="14"/>
      <c r="T58" s="14"/>
    </row>
    <row r="59" spans="1:20" s="4" customFormat="1">
      <c r="A59" s="5" t="str">
        <f>A16</f>
        <v>NGUYEN VAN D</v>
      </c>
      <c r="B59" s="46">
        <f t="shared" si="14"/>
        <v>289131783.63636363</v>
      </c>
      <c r="C59" s="7">
        <f>SUMIFS(Payment!$J$3:$J$466,Payment!$M$3:$M$466,$A59,Payment!$L$3:$L$466,"&lt;=30",Payment!$D$3:$D$466,"&gt;="&amp;C$6,Payment!$D$3:$D$466,"&lt;="&amp;C$5)/1.1-SUM(SUMIFS(Payment!$J$3:$J$466,Payment!$M$3:$M$466,$A59,Payment!$L$3:$L$466,"&lt;=30",Payment!$D$3:$D$466,"&gt;="&amp;C$6,Payment!$D$3:$D$466,"&lt;="&amp;C$5,Payment!$I$3:$I$466,{"531","641","3311"}))/1.1</f>
        <v>203051556.36363634</v>
      </c>
      <c r="D59" s="7">
        <f>SUMIFS(Payment!$J$3:$J$466,Payment!$M$3:$M$466,$A59,Payment!$L$3:$L$466,"&lt;=30",Payment!$D$3:$D$466,"&gt;="&amp;D$6,Payment!$D$3:$D$466,"&lt;="&amp;D$5)/1.1-SUM(SUMIFS(Payment!$J$3:$J$466,Payment!$M$3:$M$466,$A59,Payment!$L$3:$L$466,"&lt;=30",Payment!$D$3:$D$466,"&gt;="&amp;D$6,Payment!$D$3:$D$466,"&lt;="&amp;D$5,Payment!$I$3:$I$466,{"531","641","3311"}))/1.1</f>
        <v>33767727.272727273</v>
      </c>
      <c r="E59" s="7">
        <f>SUMIFS(Payment!$J$3:$J$466,Payment!$M$3:$M$466,$A59,Payment!$L$3:$L$466,"&lt;=30",Payment!$D$3:$D$466,"&gt;="&amp;E$6,Payment!$D$3:$D$466,"&lt;="&amp;E$5)/1.1-SUM(SUMIFS(Payment!$J$3:$J$466,Payment!$M$3:$M$466,$A59,Payment!$L$3:$L$466,"&lt;=30",Payment!$D$3:$D$466,"&gt;="&amp;E$6,Payment!$D$3:$D$466,"&lt;="&amp;E$5,Payment!$I$3:$I$466,{"531","641","3311"}))/1.1</f>
        <v>0</v>
      </c>
      <c r="F59" s="7">
        <f>SUMIFS(Payment!$J$3:$J$466,Payment!$M$3:$M$466,$A59,Payment!$L$3:$L$466,"&gt;30",Payment!$L$3:$L$466,"&lt;=60",Payment!$D$3:$D$466,"&gt;="&amp;F$6,Payment!$D$3:$D$466,"&lt;="&amp;F$5)/1.1-SUM(SUMIFS(Payment!$J$3:$J$466,Payment!$M$3:$M$466,$A59,Payment!$L$3:$L$466,"&gt;30",Payment!$L$3:$L$466,"&lt;=60",Payment!$D$3:$D$466,"&gt;="&amp;F$6,Payment!$D$3:$D$466,"&lt;="&amp;F$5,Payment!$I$3:$I$466,{"531","641","3311"}))/1.1</f>
        <v>0</v>
      </c>
      <c r="G59" s="7">
        <f>SUMIFS(Payment!$J$3:$J$466,Payment!$M$3:$M$466,$A59,Payment!$L$3:$L$466,"&gt;30",Payment!$L$3:$L$466,"&lt;=60",Payment!$D$3:$D$466,"&gt;="&amp;G$6,Payment!$D$3:$D$466,"&lt;="&amp;G$5)/1.1-SUM(SUMIFS(Payment!$J$3:$J$466,Payment!$M$3:$M$466,$A59,Payment!$L$3:$L$466,"&gt;30",Payment!$L$3:$L$466,"&lt;=60",Payment!$D$3:$D$466,"&gt;="&amp;G$6,Payment!$D$3:$D$466,"&lt;="&amp;G$5,Payment!$I$3:$I$466,{"531","641","3311"}))/1.1</f>
        <v>0</v>
      </c>
      <c r="H59" s="7">
        <f>SUMIFS(Payment!$J$3:$J$466,Payment!$M$3:$M$466,$A59,Payment!$L$3:$L$466,"&gt;30",Payment!$L$3:$L$466,"&lt;=60",Payment!$D$3:$D$466,"&gt;="&amp;H$6,Payment!$D$3:$D$466,"&lt;="&amp;H$5)/1.1-SUM(SUMIFS(Payment!$J$3:$J$466,Payment!$M$3:$M$466,$A59,Payment!$L$3:$L$466,"&gt;30",Payment!$L$3:$L$466,"&lt;=60",Payment!$D$3:$D$466,"&gt;="&amp;H$6,Payment!$D$3:$D$466,"&lt;="&amp;H$5,Payment!$I$3:$I$466,{"531","641","3311"}))/1.1</f>
        <v>52312499.999999993</v>
      </c>
      <c r="I59" s="7">
        <f>SUMIFS(Payment!$J$3:$J$466,Payment!$M$3:$M$466,$A59,Payment!$L$3:$L$466,"&gt;60",Payment!$L$3:$L$466,"&lt;=90",Payment!$D$3:$D$466,"&gt;="&amp;I$6,Payment!$D$3:$D$466,"&lt;="&amp;I$5)/1.1-SUM(SUMIFS(Payment!$J$3:$J$466,Payment!$M$3:$M$466,$A59,Payment!$L$3:$L$466,"&gt;60",Payment!$L$3:$L$466,"&lt;=90",Payment!$D$3:$D$466,"&gt;="&amp;I$6,Payment!$D$3:$D$466,"&lt;="&amp;I$5,Payment!$I$3:$I$466,{"531","641","3311"}))/1.1</f>
        <v>0</v>
      </c>
      <c r="J59" s="7">
        <f>SUMIFS(Payment!$J$3:$J$466,Payment!$M$3:$M$466,$A59,Payment!$L$3:$L$466,"&gt;60",Payment!$L$3:$L$466,"&lt;=90",Payment!$D$3:$D$466,"&gt;="&amp;J$6,Payment!$D$3:$D$466,"&lt;="&amp;J$5)/1.1-SUM(SUMIFS(Payment!$J$3:$J$466,Payment!$M$3:$M$466,$A59,Payment!$L$3:$L$466,"&gt;60",Payment!$L$3:$L$466,"&lt;=90",Payment!$D$3:$D$466,"&gt;="&amp;J$6,Payment!$D$3:$D$466,"&lt;="&amp;J$5,Payment!$I$3:$I$466,{"531","641","3311"}))/1.1</f>
        <v>0</v>
      </c>
      <c r="K59" s="7">
        <f>SUMIFS(Payment!$J$3:$J$466,Payment!$M$3:$M$466,$A59,Payment!$L$3:$L$466,"&gt;60",Payment!$L$3:$L$466,"&lt;=90",Payment!$D$3:$D$466,"&gt;="&amp;K$6,Payment!$D$3:$D$466,"&lt;="&amp;K$5)/1.1-SUM(SUMIFS(Payment!$J$3:$J$466,Payment!$M$3:$M$466,$A59,Payment!$L$3:$L$466,"&gt;60",Payment!$L$3:$L$466,"&lt;=90",Payment!$D$3:$D$466,"&gt;="&amp;K$6,Payment!$D$3:$D$466,"&lt;="&amp;K$5,Payment!$I$3:$I$466,{"531","641","3311"}))/1.1</f>
        <v>0</v>
      </c>
      <c r="L59" s="7">
        <f>SUMIFS(Payment!$J$3:$J$466,Payment!$M$3:$M$466,$A59,Payment!$L$3:$L$466,"&gt;90",Payment!$L$3:$L$466,"&lt;=180",Payment!$D$3:$D$466,"&gt;="&amp;L$6,Payment!$D$3:$D$466,"&lt;="&amp;L$5)/1.1-SUM(SUMIFS(Payment!$J$3:$J$466,Payment!$M$3:$M$466,$A59,Payment!$L$3:$L$466,"&gt;90",Payment!$L$3:$L$466,"&lt;=180",Payment!$D$3:$D$466,"&gt;="&amp;L$6,Payment!$D$3:$D$466,"&lt;="&amp;L$5,Payment!$I$3:$I$466,{"531","641","3311"}))/1.1</f>
        <v>0</v>
      </c>
      <c r="M59" s="7">
        <f>SUMIFS(Payment!$J$3:$J$466,Payment!$M$3:$M$466,$A59,Payment!$L$3:$L$466,"&gt;90",Payment!$L$3:$L$466,"&lt;=180",Payment!$D$3:$D$466,"&gt;="&amp;M$6,Payment!$D$3:$D$466,"&lt;="&amp;M$5)/1.1-SUM(SUMIFS(Payment!$J$3:$J$466,Payment!$M$3:$M$466,$A59,Payment!$L$3:$L$466,"&gt;90",Payment!$L$3:$L$466,"&lt;=180",Payment!$D$3:$D$466,"&gt;="&amp;M$6,Payment!$D$3:$D$466,"&lt;="&amp;M$5,Payment!$I$3:$I$466,{"531","641","3311"}))/1.1</f>
        <v>0</v>
      </c>
      <c r="N59" s="7">
        <f>SUMIFS(Payment!$J$3:$J$466,Payment!$M$3:$M$466,$A59,Payment!$L$3:$L$466,"&gt;90",Payment!$L$3:$L$466,"&lt;=180",Payment!$D$3:$D$466,"&gt;="&amp;N$6,Payment!$D$3:$D$466,"&lt;="&amp;N$5)/1.1-SUM(SUMIFS(Payment!$J$3:$J$466,Payment!$M$3:$M$466,$A59,Payment!$L$3:$L$466,"&gt;90",Payment!$L$3:$L$466,"&lt;=180",Payment!$D$3:$D$466,"&gt;="&amp;N$6,Payment!$D$3:$D$466,"&lt;="&amp;N$5,Payment!$I$3:$I$466,{"531","641","3311"}))/1.1</f>
        <v>0</v>
      </c>
      <c r="O59" s="7">
        <f>SUMIFS(Payment!$J$3:$J$466,Payment!$M$3:$M$466,$A59,Payment!$L$3:$L$466,"&gt;90",Payment!$L$3:$L$466,"&lt;=180",Payment!$D$3:$D$466,"&gt;="&amp;O$6,Payment!$D$3:$D$466,"&lt;="&amp;O$5)/1.1-SUM(SUMIFS(Payment!$J$3:$J$466,Payment!$M$3:$M$466,$A59,Payment!$L$3:$L$466,"&gt;90",Payment!$L$3:$L$466,"&lt;=180",Payment!$D$3:$D$466,"&gt;="&amp;O$6,Payment!$D$3:$D$466,"&lt;="&amp;O$5,Payment!$I$3:$I$466,{"531","641","3311"}))/1.1</f>
        <v>0</v>
      </c>
      <c r="P59" s="48">
        <f>B30-B43</f>
        <v>289131783.63636357</v>
      </c>
      <c r="Q59" s="49">
        <f t="shared" si="15"/>
        <v>0</v>
      </c>
      <c r="R59" s="14"/>
      <c r="S59" s="14"/>
      <c r="T59" s="14"/>
    </row>
    <row r="60" spans="1:20" s="4" customFormat="1">
      <c r="A60" s="5" t="str">
        <f>A17</f>
        <v>NGUYEN VAN E</v>
      </c>
      <c r="B60" s="46">
        <f t="shared" si="14"/>
        <v>123868972.72727272</v>
      </c>
      <c r="C60" s="7">
        <f>SUMIFS(Payment!$J$3:$J$466,Payment!$M$3:$M$466,$A60,Payment!$L$3:$L$466,"&lt;=30",Payment!$D$3:$D$466,"&gt;="&amp;C$6,Payment!$D$3:$D$466,"&lt;="&amp;C$5)/1.1-SUM(SUMIFS(Payment!$J$3:$J$466,Payment!$M$3:$M$466,$A60,Payment!$L$3:$L$466,"&lt;=30",Payment!$D$3:$D$466,"&gt;="&amp;C$6,Payment!$D$3:$D$466,"&lt;="&amp;C$5,Payment!$I$3:$I$466,{"531","641","3311"}))/1.1</f>
        <v>9090909.0909090899</v>
      </c>
      <c r="D60" s="7">
        <f>SUMIFS(Payment!$J$3:$J$466,Payment!$M$3:$M$466,$A60,Payment!$L$3:$L$466,"&lt;=30",Payment!$D$3:$D$466,"&gt;="&amp;D$6,Payment!$D$3:$D$466,"&lt;="&amp;D$5)/1.1-SUM(SUMIFS(Payment!$J$3:$J$466,Payment!$M$3:$M$466,$A60,Payment!$L$3:$L$466,"&lt;=30",Payment!$D$3:$D$466,"&gt;="&amp;D$6,Payment!$D$3:$D$466,"&lt;="&amp;D$5,Payment!$I$3:$I$466,{"531","641","3311"}))/1.1</f>
        <v>10000000</v>
      </c>
      <c r="E60" s="7">
        <f>SUMIFS(Payment!$J$3:$J$466,Payment!$M$3:$M$466,$A60,Payment!$L$3:$L$466,"&lt;=30",Payment!$D$3:$D$466,"&gt;="&amp;E$6,Payment!$D$3:$D$466,"&lt;="&amp;E$5)/1.1-SUM(SUMIFS(Payment!$J$3:$J$466,Payment!$M$3:$M$466,$A60,Payment!$L$3:$L$466,"&lt;=30",Payment!$D$3:$D$466,"&gt;="&amp;E$6,Payment!$D$3:$D$466,"&lt;="&amp;E$5,Payment!$I$3:$I$466,{"531","641","3311"}))/1.1</f>
        <v>0</v>
      </c>
      <c r="F60" s="7">
        <f>SUMIFS(Payment!$J$3:$J$466,Payment!$M$3:$M$466,$A60,Payment!$L$3:$L$466,"&gt;30",Payment!$L$3:$L$466,"&lt;=60",Payment!$D$3:$D$466,"&gt;="&amp;F$6,Payment!$D$3:$D$466,"&lt;="&amp;F$5)/1.1-SUM(SUMIFS(Payment!$J$3:$J$466,Payment!$M$3:$M$466,$A60,Payment!$L$3:$L$466,"&gt;30",Payment!$L$3:$L$466,"&lt;=60",Payment!$D$3:$D$466,"&gt;="&amp;F$6,Payment!$D$3:$D$466,"&lt;="&amp;F$5,Payment!$I$3:$I$466,{"531","641","3311"}))/1.1</f>
        <v>0</v>
      </c>
      <c r="G60" s="7">
        <f>SUMIFS(Payment!$J$3:$J$466,Payment!$M$3:$M$466,$A60,Payment!$L$3:$L$466,"&gt;30",Payment!$L$3:$L$466,"&lt;=60",Payment!$D$3:$D$466,"&gt;="&amp;G$6,Payment!$D$3:$D$466,"&lt;="&amp;G$5)/1.1-SUM(SUMIFS(Payment!$J$3:$J$466,Payment!$M$3:$M$466,$A60,Payment!$L$3:$L$466,"&gt;30",Payment!$L$3:$L$466,"&lt;=60",Payment!$D$3:$D$466,"&gt;="&amp;G$6,Payment!$D$3:$D$466,"&lt;="&amp;G$5,Payment!$I$3:$I$466,{"531","641","3311"}))/1.1</f>
        <v>18181818.18181818</v>
      </c>
      <c r="H60" s="7">
        <f>SUMIFS(Payment!$J$3:$J$466,Payment!$M$3:$M$466,$A60,Payment!$L$3:$L$466,"&gt;30",Payment!$L$3:$L$466,"&lt;=60",Payment!$D$3:$D$466,"&gt;="&amp;H$6,Payment!$D$3:$D$466,"&lt;="&amp;H$5)/1.1-SUM(SUMIFS(Payment!$J$3:$J$466,Payment!$M$3:$M$466,$A60,Payment!$L$3:$L$466,"&gt;30",Payment!$L$3:$L$466,"&lt;=60",Payment!$D$3:$D$466,"&gt;="&amp;H$6,Payment!$D$3:$D$466,"&lt;="&amp;H$5,Payment!$I$3:$I$466,{"531","641","3311"}))/1.1</f>
        <v>18654545.454545453</v>
      </c>
      <c r="I60" s="7">
        <f>SUMIFS(Payment!$J$3:$J$466,Payment!$M$3:$M$466,$A60,Payment!$L$3:$L$466,"&gt;60",Payment!$L$3:$L$466,"&lt;=90",Payment!$D$3:$D$466,"&gt;="&amp;I$6,Payment!$D$3:$D$466,"&lt;="&amp;I$5)/1.1-SUM(SUMIFS(Payment!$J$3:$J$466,Payment!$M$3:$M$466,$A60,Payment!$L$3:$L$466,"&gt;60",Payment!$L$3:$L$466,"&lt;=90",Payment!$D$3:$D$466,"&gt;="&amp;I$6,Payment!$D$3:$D$466,"&lt;="&amp;I$5,Payment!$I$3:$I$466,{"531","641","3311"}))/1.1</f>
        <v>0</v>
      </c>
      <c r="J60" s="7">
        <f>SUMIFS(Payment!$J$3:$J$466,Payment!$M$3:$M$466,$A60,Payment!$L$3:$L$466,"&gt;60",Payment!$L$3:$L$466,"&lt;=90",Payment!$D$3:$D$466,"&gt;="&amp;J$6,Payment!$D$3:$D$466,"&lt;="&amp;J$5)/1.1-SUM(SUMIFS(Payment!$J$3:$J$466,Payment!$M$3:$M$466,$A60,Payment!$L$3:$L$466,"&gt;60",Payment!$L$3:$L$466,"&lt;=90",Payment!$D$3:$D$466,"&gt;="&amp;J$6,Payment!$D$3:$D$466,"&lt;="&amp;J$5,Payment!$I$3:$I$466,{"531","641","3311"}))/1.1</f>
        <v>0</v>
      </c>
      <c r="K60" s="7">
        <f>SUMIFS(Payment!$J$3:$J$466,Payment!$M$3:$M$466,$A60,Payment!$L$3:$L$466,"&gt;60",Payment!$L$3:$L$466,"&lt;=90",Payment!$D$3:$D$466,"&gt;="&amp;K$6,Payment!$D$3:$D$466,"&lt;="&amp;K$5)/1.1-SUM(SUMIFS(Payment!$J$3:$J$466,Payment!$M$3:$M$466,$A60,Payment!$L$3:$L$466,"&gt;60",Payment!$L$3:$L$466,"&lt;=90",Payment!$D$3:$D$466,"&gt;="&amp;K$6,Payment!$D$3:$D$466,"&lt;="&amp;K$5,Payment!$I$3:$I$466,{"531","641","3311"}))/1.1</f>
        <v>67941700</v>
      </c>
      <c r="L60" s="7">
        <f>SUMIFS(Payment!$J$3:$J$466,Payment!$M$3:$M$466,$A60,Payment!$L$3:$L$466,"&gt;90",Payment!$L$3:$L$466,"&lt;=180",Payment!$D$3:$D$466,"&gt;="&amp;L$6,Payment!$D$3:$D$466,"&lt;="&amp;L$5)/1.1-SUM(SUMIFS(Payment!$J$3:$J$466,Payment!$M$3:$M$466,$A60,Payment!$L$3:$L$466,"&gt;90",Payment!$L$3:$L$466,"&lt;=180",Payment!$D$3:$D$466,"&gt;="&amp;L$6,Payment!$D$3:$D$466,"&lt;="&amp;L$5,Payment!$I$3:$I$466,{"531","641","3311"}))/1.1</f>
        <v>0</v>
      </c>
      <c r="M60" s="7">
        <f>SUMIFS(Payment!$J$3:$J$466,Payment!$M$3:$M$466,$A60,Payment!$L$3:$L$466,"&gt;90",Payment!$L$3:$L$466,"&lt;=180",Payment!$D$3:$D$466,"&gt;="&amp;M$6,Payment!$D$3:$D$466,"&lt;="&amp;M$5)/1.1-SUM(SUMIFS(Payment!$J$3:$J$466,Payment!$M$3:$M$466,$A60,Payment!$L$3:$L$466,"&gt;90",Payment!$L$3:$L$466,"&lt;=180",Payment!$D$3:$D$466,"&gt;="&amp;M$6,Payment!$D$3:$D$466,"&lt;="&amp;M$5,Payment!$I$3:$I$466,{"531","641","3311"}))/1.1</f>
        <v>0</v>
      </c>
      <c r="N60" s="7">
        <f>SUMIFS(Payment!$J$3:$J$466,Payment!$M$3:$M$466,$A60,Payment!$L$3:$L$466,"&gt;90",Payment!$L$3:$L$466,"&lt;=180",Payment!$D$3:$D$466,"&gt;="&amp;N$6,Payment!$D$3:$D$466,"&lt;="&amp;N$5)/1.1-SUM(SUMIFS(Payment!$J$3:$J$466,Payment!$M$3:$M$466,$A60,Payment!$L$3:$L$466,"&gt;90",Payment!$L$3:$L$466,"&lt;=180",Payment!$D$3:$D$466,"&gt;="&amp;N$6,Payment!$D$3:$D$466,"&lt;="&amp;N$5,Payment!$I$3:$I$466,{"531","641","3311"}))/1.1</f>
        <v>0</v>
      </c>
      <c r="O60" s="7">
        <f>SUMIFS(Payment!$J$3:$J$466,Payment!$M$3:$M$466,$A60,Payment!$L$3:$L$466,"&gt;90",Payment!$L$3:$L$466,"&lt;=180",Payment!$D$3:$D$466,"&gt;="&amp;O$6,Payment!$D$3:$D$466,"&lt;="&amp;O$5)/1.1-SUM(SUMIFS(Payment!$J$3:$J$466,Payment!$M$3:$M$466,$A60,Payment!$L$3:$L$466,"&gt;90",Payment!$L$3:$L$466,"&lt;=180",Payment!$D$3:$D$466,"&gt;="&amp;O$6,Payment!$D$3:$D$466,"&lt;="&amp;O$5,Payment!$I$3:$I$466,{"531","641","3311"}))/1.1</f>
        <v>0</v>
      </c>
      <c r="P60" s="48">
        <f>B31-B44</f>
        <v>123868972.72727272</v>
      </c>
      <c r="Q60" s="84">
        <f>B60-P60</f>
        <v>0</v>
      </c>
      <c r="R60" s="14"/>
      <c r="S60" s="14"/>
      <c r="T60" s="14"/>
    </row>
    <row r="61" spans="1:20" s="4" customFormat="1">
      <c r="A61" s="5" t="str">
        <f>A18</f>
        <v>NGUYEN VAN F</v>
      </c>
      <c r="B61" s="46">
        <f t="shared" ref="B61" si="16">SUM(C61:O61)</f>
        <v>121561818.18181816</v>
      </c>
      <c r="C61" s="7">
        <f>SUMIFS(Payment!$J$3:$J$466,Payment!$M$3:$M$466,$A61,Payment!$L$3:$L$466,"&lt;=30",Payment!$D$3:$D$466,"&gt;="&amp;C$6,Payment!$D$3:$D$466,"&lt;="&amp;C$5)/1.1-SUM(SUMIFS(Payment!$J$3:$J$466,Payment!$M$3:$M$466,$A61,Payment!$L$3:$L$466,"&lt;=30",Payment!$D$3:$D$466,"&gt;="&amp;C$6,Payment!$D$3:$D$466,"&lt;="&amp;C$5,Payment!$I$3:$I$466,{"531","641","3311"}))/1.1</f>
        <v>9090909.0909090899</v>
      </c>
      <c r="D61" s="7">
        <f>SUMIFS(Payment!$J$3:$J$466,Payment!$M$3:$M$466,$A61,Payment!$L$3:$L$466,"&lt;=30",Payment!$D$3:$D$466,"&gt;="&amp;D$6,Payment!$D$3:$D$466,"&lt;="&amp;D$5)/1.1-SUM(SUMIFS(Payment!$J$3:$J$466,Payment!$M$3:$M$466,$A61,Payment!$L$3:$L$466,"&lt;=30",Payment!$D$3:$D$466,"&gt;="&amp;D$6,Payment!$D$3:$D$466,"&lt;="&amp;D$5,Payment!$I$3:$I$466,{"531","641","3311"}))/1.1</f>
        <v>27479090.909090906</v>
      </c>
      <c r="E61" s="7">
        <f>SUMIFS(Payment!$J$3:$J$466,Payment!$M$3:$M$466,$A61,Payment!$L$3:$L$466,"&lt;=30",Payment!$D$3:$D$466,"&gt;="&amp;E$6,Payment!$D$3:$D$466,"&lt;="&amp;E$5)/1.1-SUM(SUMIFS(Payment!$J$3:$J$466,Payment!$M$3:$M$466,$A61,Payment!$L$3:$L$466,"&lt;=30",Payment!$D$3:$D$466,"&gt;="&amp;E$6,Payment!$D$3:$D$466,"&lt;="&amp;E$5,Payment!$I$3:$I$466,{"531","641","3311"}))/1.1</f>
        <v>0</v>
      </c>
      <c r="F61" s="7">
        <f>SUMIFS(Payment!$J$3:$J$466,Payment!$M$3:$M$466,$A61,Payment!$L$3:$L$466,"&gt;30",Payment!$L$3:$L$466,"&lt;=60",Payment!$D$3:$D$466,"&gt;="&amp;F$6,Payment!$D$3:$D$466,"&lt;="&amp;F$5)/1.1-SUM(SUMIFS(Payment!$J$3:$J$466,Payment!$M$3:$M$466,$A61,Payment!$L$3:$L$466,"&gt;30",Payment!$L$3:$L$466,"&lt;=60",Payment!$D$3:$D$466,"&gt;="&amp;F$6,Payment!$D$3:$D$466,"&lt;="&amp;F$5,Payment!$I$3:$I$466,{"531","641","3311"}))/1.1</f>
        <v>7036363.6363636358</v>
      </c>
      <c r="G61" s="7">
        <f>SUMIFS(Payment!$J$3:$J$466,Payment!$M$3:$M$466,$A61,Payment!$L$3:$L$466,"&gt;30",Payment!$L$3:$L$466,"&lt;=60",Payment!$D$3:$D$466,"&gt;="&amp;G$6,Payment!$D$3:$D$466,"&lt;="&amp;G$5)/1.1-SUM(SUMIFS(Payment!$J$3:$J$466,Payment!$M$3:$M$466,$A61,Payment!$L$3:$L$466,"&gt;30",Payment!$L$3:$L$466,"&lt;=60",Payment!$D$3:$D$466,"&gt;="&amp;G$6,Payment!$D$3:$D$466,"&lt;="&amp;G$5,Payment!$I$3:$I$466,{"531","641","3311"}))/1.1</f>
        <v>0</v>
      </c>
      <c r="H61" s="7">
        <f>SUMIFS(Payment!$J$3:$J$466,Payment!$M$3:$M$466,$A61,Payment!$L$3:$L$466,"&gt;30",Payment!$L$3:$L$466,"&lt;=60",Payment!$D$3:$D$466,"&gt;="&amp;H$6,Payment!$D$3:$D$466,"&lt;="&amp;H$5)/1.1-SUM(SUMIFS(Payment!$J$3:$J$466,Payment!$M$3:$M$466,$A61,Payment!$L$3:$L$466,"&gt;30",Payment!$L$3:$L$466,"&lt;=60",Payment!$D$3:$D$466,"&gt;="&amp;H$6,Payment!$D$3:$D$466,"&lt;="&amp;H$5,Payment!$I$3:$I$466,{"531","641","3311"}))/1.1</f>
        <v>0</v>
      </c>
      <c r="I61" s="7">
        <f>SUMIFS(Payment!$J$3:$J$466,Payment!$M$3:$M$466,$A61,Payment!$L$3:$L$466,"&gt;60",Payment!$L$3:$L$466,"&lt;=90",Payment!$D$3:$D$466,"&gt;="&amp;I$6,Payment!$D$3:$D$466,"&lt;="&amp;I$5)/1.1-SUM(SUMIFS(Payment!$J$3:$J$466,Payment!$M$3:$M$466,$A61,Payment!$L$3:$L$466,"&gt;60",Payment!$L$3:$L$466,"&lt;=90",Payment!$D$3:$D$466,"&gt;="&amp;I$6,Payment!$D$3:$D$466,"&lt;="&amp;I$5,Payment!$I$3:$I$466,{"531","641","3311"}))/1.1</f>
        <v>4545454.5454545449</v>
      </c>
      <c r="J61" s="7">
        <f>SUMIFS(Payment!$J$3:$J$466,Payment!$M$3:$M$466,$A61,Payment!$L$3:$L$466,"&gt;60",Payment!$L$3:$L$466,"&lt;=90",Payment!$D$3:$D$466,"&gt;="&amp;J$6,Payment!$D$3:$D$466,"&lt;="&amp;J$5)/1.1-SUM(SUMIFS(Payment!$J$3:$J$466,Payment!$M$3:$M$466,$A61,Payment!$L$3:$L$466,"&gt;60",Payment!$L$3:$L$466,"&lt;=90",Payment!$D$3:$D$466,"&gt;="&amp;J$6,Payment!$D$3:$D$466,"&lt;="&amp;J$5,Payment!$I$3:$I$466,{"531","641","3311"}))/1.1</f>
        <v>9090909.0909090899</v>
      </c>
      <c r="K61" s="7">
        <f>SUMIFS(Payment!$J$3:$J$466,Payment!$M$3:$M$466,$A61,Payment!$L$3:$L$466,"&gt;60",Payment!$L$3:$L$466,"&lt;=90",Payment!$D$3:$D$466,"&gt;="&amp;K$6,Payment!$D$3:$D$466,"&lt;="&amp;K$5)/1.1-SUM(SUMIFS(Payment!$J$3:$J$466,Payment!$M$3:$M$466,$A61,Payment!$L$3:$L$466,"&gt;60",Payment!$L$3:$L$466,"&lt;=90",Payment!$D$3:$D$466,"&gt;="&amp;K$6,Payment!$D$3:$D$466,"&lt;="&amp;K$5,Payment!$I$3:$I$466,{"531","641","3311"}))/1.1</f>
        <v>64319090.909090899</v>
      </c>
      <c r="L61" s="7">
        <f>SUMIFS(Payment!$J$3:$J$466,Payment!$M$3:$M$466,$A61,Payment!$L$3:$L$466,"&gt;90",Payment!$L$3:$L$466,"&lt;=180",Payment!$D$3:$D$466,"&gt;="&amp;L$6,Payment!$D$3:$D$466,"&lt;="&amp;L$5)/1.1-SUM(SUMIFS(Payment!$J$3:$J$466,Payment!$M$3:$M$466,$A61,Payment!$L$3:$L$466,"&gt;90",Payment!$L$3:$L$466,"&lt;=180",Payment!$D$3:$D$466,"&gt;="&amp;L$6,Payment!$D$3:$D$466,"&lt;="&amp;L$5,Payment!$I$3:$I$466,{"531","641","3311"}))/1.1</f>
        <v>0</v>
      </c>
      <c r="M61" s="7">
        <f>SUMIFS(Payment!$J$3:$J$466,Payment!$M$3:$M$466,$A61,Payment!$L$3:$L$466,"&gt;90",Payment!$L$3:$L$466,"&lt;=180",Payment!$D$3:$D$466,"&gt;="&amp;M$6,Payment!$D$3:$D$466,"&lt;="&amp;M$5)/1.1-SUM(SUMIFS(Payment!$J$3:$J$466,Payment!$M$3:$M$466,$A61,Payment!$L$3:$L$466,"&gt;90",Payment!$L$3:$L$466,"&lt;=180",Payment!$D$3:$D$466,"&gt;="&amp;M$6,Payment!$D$3:$D$466,"&lt;="&amp;M$5,Payment!$I$3:$I$466,{"531","641","3311"}))/1.1</f>
        <v>0</v>
      </c>
      <c r="N61" s="7">
        <f>SUMIFS(Payment!$J$3:$J$466,Payment!$M$3:$M$466,$A61,Payment!$L$3:$L$466,"&gt;90",Payment!$L$3:$L$466,"&lt;=180",Payment!$D$3:$D$466,"&gt;="&amp;N$6,Payment!$D$3:$D$466,"&lt;="&amp;N$5)/1.1-SUM(SUMIFS(Payment!$J$3:$J$466,Payment!$M$3:$M$466,$A61,Payment!$L$3:$L$466,"&gt;90",Payment!$L$3:$L$466,"&lt;=180",Payment!$D$3:$D$466,"&gt;="&amp;N$6,Payment!$D$3:$D$466,"&lt;="&amp;N$5,Payment!$I$3:$I$466,{"531","641","3311"}))/1.1</f>
        <v>0</v>
      </c>
      <c r="O61" s="7">
        <f>SUMIFS(Payment!$J$3:$J$466,Payment!$M$3:$M$466,$A61,Payment!$L$3:$L$466,"&gt;90",Payment!$L$3:$L$466,"&lt;=180",Payment!$D$3:$D$466,"&gt;="&amp;O$6,Payment!$D$3:$D$466,"&lt;="&amp;O$5)/1.1-SUM(SUMIFS(Payment!$J$3:$J$466,Payment!$M$3:$M$466,$A61,Payment!$L$3:$L$466,"&gt;90",Payment!$L$3:$L$466,"&lt;=180",Payment!$D$3:$D$466,"&gt;="&amp;O$6,Payment!$D$3:$D$466,"&lt;="&amp;O$5,Payment!$I$3:$I$466,{"531","641","3311"}))/1.1</f>
        <v>0</v>
      </c>
      <c r="P61" s="48">
        <f>B32-B45</f>
        <v>121561818.18181817</v>
      </c>
      <c r="Q61" s="49">
        <f t="shared" si="15"/>
        <v>0</v>
      </c>
      <c r="R61" s="14"/>
      <c r="S61" s="14"/>
      <c r="T61" s="14"/>
    </row>
    <row r="62" spans="1:20" s="4" customFormat="1">
      <c r="A62" s="5" t="str">
        <f>A19</f>
        <v>NGUYEN VAN G</v>
      </c>
      <c r="B62" s="46">
        <f t="shared" ref="B62" si="17">SUM(C62:O62)</f>
        <v>784871785.45454538</v>
      </c>
      <c r="C62" s="7">
        <f>SUMIFS(Payment!$J$3:$J$466,Payment!$M$3:$M$466,$A62,Payment!$L$3:$L$466,"&lt;=30",Payment!$D$3:$D$466,"&gt;="&amp;C$6,Payment!$D$3:$D$466,"&lt;="&amp;C$5)/1.1-SUM(SUMIFS(Payment!$J$3:$J$466,Payment!$M$3:$M$466,$A62,Payment!$L$3:$L$466,"&lt;=30",Payment!$D$3:$D$466,"&gt;="&amp;C$6,Payment!$D$3:$D$466,"&lt;="&amp;C$5,Payment!$I$3:$I$466,{"531","641","3311"}))/1.1</f>
        <v>529115885.45454544</v>
      </c>
      <c r="D62" s="7">
        <f>SUMIFS(Payment!$J$3:$J$466,Payment!$M$3:$M$466,$A62,Payment!$L$3:$L$466,"&lt;=30",Payment!$D$3:$D$466,"&gt;="&amp;D$6,Payment!$D$3:$D$466,"&lt;="&amp;D$5)/1.1-SUM(SUMIFS(Payment!$J$3:$J$466,Payment!$M$3:$M$466,$A62,Payment!$L$3:$L$466,"&lt;=30",Payment!$D$3:$D$466,"&gt;="&amp;D$6,Payment!$D$3:$D$466,"&lt;="&amp;D$5,Payment!$I$3:$I$466,{"531","641","3311"}))/1.1</f>
        <v>255755899.99999997</v>
      </c>
      <c r="E62" s="7">
        <f>SUMIFS(Payment!$J$3:$J$466,Payment!$M$3:$M$466,$A62,Payment!$L$3:$L$466,"&lt;=30",Payment!$D$3:$D$466,"&gt;="&amp;E$6,Payment!$D$3:$D$466,"&lt;="&amp;E$5)/1.1-SUM(SUMIFS(Payment!$J$3:$J$466,Payment!$M$3:$M$466,$A62,Payment!$L$3:$L$466,"&lt;=30",Payment!$D$3:$D$466,"&gt;="&amp;E$6,Payment!$D$3:$D$466,"&lt;="&amp;E$5,Payment!$I$3:$I$466,{"531","641","3311"}))/1.1</f>
        <v>0</v>
      </c>
      <c r="F62" s="7">
        <f>SUMIFS(Payment!$J$3:$J$466,Payment!$M$3:$M$466,$A62,Payment!$L$3:$L$466,"&gt;30",Payment!$L$3:$L$466,"&lt;=60",Payment!$D$3:$D$466,"&gt;="&amp;F$6,Payment!$D$3:$D$466,"&lt;="&amp;F$5)/1.1-SUM(SUMIFS(Payment!$J$3:$J$466,Payment!$M$3:$M$466,$A62,Payment!$L$3:$L$466,"&gt;30",Payment!$L$3:$L$466,"&lt;=60",Payment!$D$3:$D$466,"&gt;="&amp;F$6,Payment!$D$3:$D$466,"&lt;="&amp;F$5,Payment!$I$3:$I$466,{"531","641","3311"}))/1.1</f>
        <v>0</v>
      </c>
      <c r="G62" s="7">
        <f>SUMIFS(Payment!$J$3:$J$466,Payment!$M$3:$M$466,$A62,Payment!$L$3:$L$466,"&gt;30",Payment!$L$3:$L$466,"&lt;=60",Payment!$D$3:$D$466,"&gt;="&amp;G$6,Payment!$D$3:$D$466,"&lt;="&amp;G$5)/1.1-SUM(SUMIFS(Payment!$J$3:$J$466,Payment!$M$3:$M$466,$A62,Payment!$L$3:$L$466,"&gt;30",Payment!$L$3:$L$466,"&lt;=60",Payment!$D$3:$D$466,"&gt;="&amp;G$6,Payment!$D$3:$D$466,"&lt;="&amp;G$5,Payment!$I$3:$I$466,{"531","641","3311"}))/1.1</f>
        <v>0</v>
      </c>
      <c r="H62" s="7">
        <f>SUMIFS(Payment!$J$3:$J$466,Payment!$M$3:$M$466,$A62,Payment!$L$3:$L$466,"&gt;30",Payment!$L$3:$L$466,"&lt;=60",Payment!$D$3:$D$466,"&gt;="&amp;H$6,Payment!$D$3:$D$466,"&lt;="&amp;H$5)/1.1-SUM(SUMIFS(Payment!$J$3:$J$466,Payment!$M$3:$M$466,$A62,Payment!$L$3:$L$466,"&gt;30",Payment!$L$3:$L$466,"&lt;=60",Payment!$D$3:$D$466,"&gt;="&amp;H$6,Payment!$D$3:$D$466,"&lt;="&amp;H$5,Payment!$I$3:$I$466,{"531","641","3311"}))/1.1</f>
        <v>0</v>
      </c>
      <c r="I62" s="7">
        <f>SUMIFS(Payment!$J$3:$J$466,Payment!$M$3:$M$466,$A62,Payment!$L$3:$L$466,"&gt;60",Payment!$L$3:$L$466,"&lt;=90",Payment!$D$3:$D$466,"&gt;="&amp;I$6,Payment!$D$3:$D$466,"&lt;="&amp;I$5)/1.1-SUM(SUMIFS(Payment!$J$3:$J$466,Payment!$M$3:$M$466,$A62,Payment!$L$3:$L$466,"&gt;60",Payment!$L$3:$L$466,"&lt;=90",Payment!$D$3:$D$466,"&gt;="&amp;I$6,Payment!$D$3:$D$466,"&lt;="&amp;I$5,Payment!$I$3:$I$466,{"531","641","3311"}))/1.1</f>
        <v>0</v>
      </c>
      <c r="J62" s="7">
        <f>SUMIFS(Payment!$J$3:$J$466,Payment!$M$3:$M$466,$A62,Payment!$L$3:$L$466,"&gt;60",Payment!$L$3:$L$466,"&lt;=90",Payment!$D$3:$D$466,"&gt;="&amp;J$6,Payment!$D$3:$D$466,"&lt;="&amp;J$5)/1.1-SUM(SUMIFS(Payment!$J$3:$J$466,Payment!$M$3:$M$466,$A62,Payment!$L$3:$L$466,"&gt;60",Payment!$L$3:$L$466,"&lt;=90",Payment!$D$3:$D$466,"&gt;="&amp;J$6,Payment!$D$3:$D$466,"&lt;="&amp;J$5,Payment!$I$3:$I$466,{"531","641","3311"}))/1.1</f>
        <v>0</v>
      </c>
      <c r="K62" s="7">
        <f>SUMIFS(Payment!$J$3:$J$466,Payment!$M$3:$M$466,$A62,Payment!$L$3:$L$466,"&gt;60",Payment!$L$3:$L$466,"&lt;=90",Payment!$D$3:$D$466,"&gt;="&amp;K$6,Payment!$D$3:$D$466,"&lt;="&amp;K$5)/1.1-SUM(SUMIFS(Payment!$J$3:$J$466,Payment!$M$3:$M$466,$A62,Payment!$L$3:$L$466,"&gt;60",Payment!$L$3:$L$466,"&lt;=90",Payment!$D$3:$D$466,"&gt;="&amp;K$6,Payment!$D$3:$D$466,"&lt;="&amp;K$5,Payment!$I$3:$I$466,{"531","641","3311"}))/1.1</f>
        <v>0</v>
      </c>
      <c r="L62" s="7">
        <f>SUMIFS(Payment!$J$3:$J$466,Payment!$M$3:$M$466,$A62,Payment!$L$3:$L$466,"&gt;90",Payment!$L$3:$L$466,"&lt;=180",Payment!$D$3:$D$466,"&gt;="&amp;L$6,Payment!$D$3:$D$466,"&lt;="&amp;L$5)/1.1-SUM(SUMIFS(Payment!$J$3:$J$466,Payment!$M$3:$M$466,$A62,Payment!$L$3:$L$466,"&gt;90",Payment!$L$3:$L$466,"&lt;=180",Payment!$D$3:$D$466,"&gt;="&amp;L$6,Payment!$D$3:$D$466,"&lt;="&amp;L$5,Payment!$I$3:$I$466,{"531","641","3311"}))/1.1</f>
        <v>0</v>
      </c>
      <c r="M62" s="7">
        <f>SUMIFS(Payment!$J$3:$J$466,Payment!$M$3:$M$466,$A62,Payment!$L$3:$L$466,"&gt;90",Payment!$L$3:$L$466,"&lt;=180",Payment!$D$3:$D$466,"&gt;="&amp;M$6,Payment!$D$3:$D$466,"&lt;="&amp;M$5)/1.1-SUM(SUMIFS(Payment!$J$3:$J$466,Payment!$M$3:$M$466,$A62,Payment!$L$3:$L$466,"&gt;90",Payment!$L$3:$L$466,"&lt;=180",Payment!$D$3:$D$466,"&gt;="&amp;M$6,Payment!$D$3:$D$466,"&lt;="&amp;M$5,Payment!$I$3:$I$466,{"531","641","3311"}))/1.1</f>
        <v>0</v>
      </c>
      <c r="N62" s="7">
        <f>SUMIFS(Payment!$J$3:$J$466,Payment!$M$3:$M$466,$A62,Payment!$L$3:$L$466,"&gt;90",Payment!$L$3:$L$466,"&lt;=180",Payment!$D$3:$D$466,"&gt;="&amp;N$6,Payment!$D$3:$D$466,"&lt;="&amp;N$5)/1.1-SUM(SUMIFS(Payment!$J$3:$J$466,Payment!$M$3:$M$466,$A62,Payment!$L$3:$L$466,"&gt;90",Payment!$L$3:$L$466,"&lt;=180",Payment!$D$3:$D$466,"&gt;="&amp;N$6,Payment!$D$3:$D$466,"&lt;="&amp;N$5,Payment!$I$3:$I$466,{"531","641","3311"}))/1.1</f>
        <v>0</v>
      </c>
      <c r="O62" s="7">
        <f>SUMIFS(Payment!$J$3:$J$466,Payment!$M$3:$M$466,$A62,Payment!$L$3:$L$466,"&gt;90",Payment!$L$3:$L$466,"&lt;=180",Payment!$D$3:$D$466,"&gt;="&amp;O$6,Payment!$D$3:$D$466,"&lt;="&amp;O$5)/1.1-SUM(SUMIFS(Payment!$J$3:$J$466,Payment!$M$3:$M$466,$A62,Payment!$L$3:$L$466,"&gt;90",Payment!$L$3:$L$466,"&lt;=180",Payment!$D$3:$D$466,"&gt;="&amp;O$6,Payment!$D$3:$D$466,"&lt;="&amp;O$5,Payment!$I$3:$I$466,{"531","641","3311"}))/1.1</f>
        <v>0</v>
      </c>
      <c r="P62" s="48">
        <f>B33-B46</f>
        <v>784871785.45454538</v>
      </c>
      <c r="Q62" s="49">
        <f t="shared" ref="Q62" si="18">B62-P62</f>
        <v>0</v>
      </c>
      <c r="R62" s="14"/>
      <c r="S62" s="14"/>
      <c r="T62" s="14"/>
    </row>
    <row r="63" spans="1:20" s="4" customFormat="1">
      <c r="A63" s="5" t="str">
        <f>A20</f>
        <v>NGUYEN VAN H</v>
      </c>
      <c r="B63" s="46">
        <f t="shared" si="14"/>
        <v>102660000.90909089</v>
      </c>
      <c r="C63" s="7">
        <f>SUMIFS(Payment!$J$3:$J$466,Payment!$M$3:$M$466,$A63,Payment!$L$3:$L$466,"&lt;=30",Payment!$D$3:$D$466,"&gt;="&amp;C$6,Payment!$D$3:$D$466,"&lt;="&amp;C$5)/1.1-SUM(SUMIFS(Payment!$J$3:$J$466,Payment!$M$3:$M$466,$A63,Payment!$L$3:$L$466,"&lt;=30",Payment!$D$3:$D$466,"&gt;="&amp;C$6,Payment!$D$3:$D$466,"&lt;="&amp;C$5,Payment!$I$3:$I$466,{"531","641","3311"}))/1.1</f>
        <v>17672727.27272727</v>
      </c>
      <c r="D63" s="7">
        <f>SUMIFS(Payment!$J$3:$J$466,Payment!$M$3:$M$466,$A63,Payment!$L$3:$L$466,"&lt;=30",Payment!$D$3:$D$466,"&gt;="&amp;D$6,Payment!$D$3:$D$466,"&lt;="&amp;D$5)/1.1-SUM(SUMIFS(Payment!$J$3:$J$466,Payment!$M$3:$M$466,$A63,Payment!$L$3:$L$466,"&lt;=30",Payment!$D$3:$D$466,"&gt;="&amp;D$6,Payment!$D$3:$D$466,"&lt;="&amp;D$5,Payment!$I$3:$I$466,{"531","641","3311"}))/1.1</f>
        <v>9780455.4545454532</v>
      </c>
      <c r="E63" s="7">
        <f>SUMIFS(Payment!$J$3:$J$466,Payment!$M$3:$M$466,$A63,Payment!$L$3:$L$466,"&lt;=30",Payment!$D$3:$D$466,"&gt;="&amp;E$6,Payment!$D$3:$D$466,"&lt;="&amp;E$5)/1.1-SUM(SUMIFS(Payment!$J$3:$J$466,Payment!$M$3:$M$466,$A63,Payment!$L$3:$L$466,"&lt;=30",Payment!$D$3:$D$466,"&gt;="&amp;E$6,Payment!$D$3:$D$466,"&lt;="&amp;E$5,Payment!$I$3:$I$466,{"531","641","3311"}))/1.1</f>
        <v>0</v>
      </c>
      <c r="F63" s="7">
        <f>SUMIFS(Payment!$J$3:$J$466,Payment!$M$3:$M$466,$A63,Payment!$L$3:$L$466,"&gt;30",Payment!$L$3:$L$466,"&lt;=60",Payment!$D$3:$D$466,"&gt;="&amp;F$6,Payment!$D$3:$D$466,"&lt;="&amp;F$5)/1.1-SUM(SUMIFS(Payment!$J$3:$J$466,Payment!$M$3:$M$466,$A63,Payment!$L$3:$L$466,"&gt;30",Payment!$L$3:$L$466,"&lt;=60",Payment!$D$3:$D$466,"&gt;="&amp;F$6,Payment!$D$3:$D$466,"&lt;="&amp;F$5,Payment!$I$3:$I$466,{"531","641","3311"}))/1.1</f>
        <v>0</v>
      </c>
      <c r="G63" s="7">
        <f>SUMIFS(Payment!$J$3:$J$466,Payment!$M$3:$M$466,$A63,Payment!$L$3:$L$466,"&gt;30",Payment!$L$3:$L$466,"&lt;=60",Payment!$D$3:$D$466,"&gt;="&amp;G$6,Payment!$D$3:$D$466,"&lt;="&amp;G$5)/1.1-SUM(SUMIFS(Payment!$J$3:$J$466,Payment!$M$3:$M$466,$A63,Payment!$L$3:$L$466,"&gt;30",Payment!$L$3:$L$466,"&lt;=60",Payment!$D$3:$D$466,"&gt;="&amp;G$6,Payment!$D$3:$D$466,"&lt;="&amp;G$5,Payment!$I$3:$I$466,{"531","641","3311"}))/1.1</f>
        <v>75206818.181818172</v>
      </c>
      <c r="H63" s="7">
        <f>SUMIFS(Payment!$J$3:$J$466,Payment!$M$3:$M$466,$A63,Payment!$L$3:$L$466,"&gt;30",Payment!$L$3:$L$466,"&lt;=60",Payment!$D$3:$D$466,"&gt;="&amp;H$6,Payment!$D$3:$D$466,"&lt;="&amp;H$5)/1.1-SUM(SUMIFS(Payment!$J$3:$J$466,Payment!$M$3:$M$466,$A63,Payment!$L$3:$L$466,"&gt;30",Payment!$L$3:$L$466,"&lt;=60",Payment!$D$3:$D$466,"&gt;="&amp;H$6,Payment!$D$3:$D$466,"&lt;="&amp;H$5,Payment!$I$3:$I$466,{"531","641","3311"}))/1.1</f>
        <v>0</v>
      </c>
      <c r="I63" s="7">
        <f>SUMIFS(Payment!$J$3:$J$466,Payment!$M$3:$M$466,$A63,Payment!$L$3:$L$466,"&gt;60",Payment!$L$3:$L$466,"&lt;=90",Payment!$D$3:$D$466,"&gt;="&amp;I$6,Payment!$D$3:$D$466,"&lt;="&amp;I$5)/1.1-SUM(SUMIFS(Payment!$J$3:$J$466,Payment!$M$3:$M$466,$A63,Payment!$L$3:$L$466,"&gt;60",Payment!$L$3:$L$466,"&lt;=90",Payment!$D$3:$D$466,"&gt;="&amp;I$6,Payment!$D$3:$D$466,"&lt;="&amp;I$5,Payment!$I$3:$I$466,{"531","641","3311"}))/1.1</f>
        <v>0</v>
      </c>
      <c r="J63" s="7">
        <f>SUMIFS(Payment!$J$3:$J$466,Payment!$M$3:$M$466,$A63,Payment!$L$3:$L$466,"&gt;60",Payment!$L$3:$L$466,"&lt;=90",Payment!$D$3:$D$466,"&gt;="&amp;J$6,Payment!$D$3:$D$466,"&lt;="&amp;J$5)/1.1-SUM(SUMIFS(Payment!$J$3:$J$466,Payment!$M$3:$M$466,$A63,Payment!$L$3:$L$466,"&gt;60",Payment!$L$3:$L$466,"&lt;=90",Payment!$D$3:$D$466,"&gt;="&amp;J$6,Payment!$D$3:$D$466,"&lt;="&amp;J$5,Payment!$I$3:$I$466,{"531","641","3311"}))/1.1</f>
        <v>0</v>
      </c>
      <c r="K63" s="7">
        <f>SUMIFS(Payment!$J$3:$J$466,Payment!$M$3:$M$466,$A63,Payment!$L$3:$L$466,"&gt;60",Payment!$L$3:$L$466,"&lt;=90",Payment!$D$3:$D$466,"&gt;="&amp;K$6,Payment!$D$3:$D$466,"&lt;="&amp;K$5)/1.1-SUM(SUMIFS(Payment!$J$3:$J$466,Payment!$M$3:$M$466,$A63,Payment!$L$3:$L$466,"&gt;60",Payment!$L$3:$L$466,"&lt;=90",Payment!$D$3:$D$466,"&gt;="&amp;K$6,Payment!$D$3:$D$466,"&lt;="&amp;K$5,Payment!$I$3:$I$466,{"531","641","3311"}))/1.1</f>
        <v>0</v>
      </c>
      <c r="L63" s="7">
        <f>SUMIFS(Payment!$J$3:$J$466,Payment!$M$3:$M$466,$A63,Payment!$L$3:$L$466,"&gt;90",Payment!$L$3:$L$466,"&lt;=180",Payment!$D$3:$D$466,"&gt;="&amp;L$6,Payment!$D$3:$D$466,"&lt;="&amp;L$5)/1.1-SUM(SUMIFS(Payment!$J$3:$J$466,Payment!$M$3:$M$466,$A63,Payment!$L$3:$L$466,"&gt;90",Payment!$L$3:$L$466,"&lt;=180",Payment!$D$3:$D$466,"&gt;="&amp;L$6,Payment!$D$3:$D$466,"&lt;="&amp;L$5,Payment!$I$3:$I$466,{"531","641","3311"}))/1.1</f>
        <v>0</v>
      </c>
      <c r="M63" s="7">
        <f>SUMIFS(Payment!$J$3:$J$466,Payment!$M$3:$M$466,$A63,Payment!$L$3:$L$466,"&gt;90",Payment!$L$3:$L$466,"&lt;=180",Payment!$D$3:$D$466,"&gt;="&amp;M$6,Payment!$D$3:$D$466,"&lt;="&amp;M$5)/1.1-SUM(SUMIFS(Payment!$J$3:$J$466,Payment!$M$3:$M$466,$A63,Payment!$L$3:$L$466,"&gt;90",Payment!$L$3:$L$466,"&lt;=180",Payment!$D$3:$D$466,"&gt;="&amp;M$6,Payment!$D$3:$D$466,"&lt;="&amp;M$5,Payment!$I$3:$I$466,{"531","641","3311"}))/1.1</f>
        <v>0</v>
      </c>
      <c r="N63" s="7">
        <f>SUMIFS(Payment!$J$3:$J$466,Payment!$M$3:$M$466,$A63,Payment!$L$3:$L$466,"&gt;90",Payment!$L$3:$L$466,"&lt;=180",Payment!$D$3:$D$466,"&gt;="&amp;N$6,Payment!$D$3:$D$466,"&lt;="&amp;N$5)/1.1-SUM(SUMIFS(Payment!$J$3:$J$466,Payment!$M$3:$M$466,$A63,Payment!$L$3:$L$466,"&gt;90",Payment!$L$3:$L$466,"&lt;=180",Payment!$D$3:$D$466,"&gt;="&amp;N$6,Payment!$D$3:$D$466,"&lt;="&amp;N$5,Payment!$I$3:$I$466,{"531","641","3311"}))/1.1</f>
        <v>0</v>
      </c>
      <c r="O63" s="7">
        <f>SUMIFS(Payment!$J$3:$J$466,Payment!$M$3:$M$466,$A63,Payment!$L$3:$L$466,"&gt;90",Payment!$L$3:$L$466,"&lt;=180",Payment!$D$3:$D$466,"&gt;="&amp;O$6,Payment!$D$3:$D$466,"&lt;="&amp;O$5)/1.1-SUM(SUMIFS(Payment!$J$3:$J$466,Payment!$M$3:$M$466,$A63,Payment!$L$3:$L$466,"&gt;90",Payment!$L$3:$L$466,"&lt;=180",Payment!$D$3:$D$466,"&gt;="&amp;O$6,Payment!$D$3:$D$466,"&lt;="&amp;O$5,Payment!$I$3:$I$466,{"531","641","3311"}))/1.1</f>
        <v>0</v>
      </c>
      <c r="P63" s="48">
        <f>B34-B47</f>
        <v>102660000.90909089</v>
      </c>
      <c r="Q63" s="49">
        <f t="shared" si="15"/>
        <v>0</v>
      </c>
    </row>
    <row r="64" spans="1:20" s="4" customFormat="1">
      <c r="A64" s="5" t="str">
        <f>A21</f>
        <v>NGUYEN VAN I</v>
      </c>
      <c r="B64" s="46">
        <f t="shared" si="14"/>
        <v>143773486.36363634</v>
      </c>
      <c r="C64" s="7">
        <f>SUMIFS(Payment!$J$3:$J$466,Payment!$M$3:$M$466,$A64,Payment!$L$3:$L$466,"&lt;=30",Payment!$D$3:$D$466,"&gt;="&amp;C$6,Payment!$D$3:$D$466,"&lt;="&amp;C$5)/1.1-SUM(SUMIFS(Payment!$J$3:$J$466,Payment!$M$3:$M$466,$A64,Payment!$L$3:$L$466,"&lt;=30",Payment!$D$3:$D$466,"&gt;="&amp;C$6,Payment!$D$3:$D$466,"&lt;="&amp;C$5,Payment!$I$3:$I$466,{"531","641","3311"}))/1.1</f>
        <v>22564545.454545453</v>
      </c>
      <c r="D64" s="7">
        <f>SUMIFS(Payment!$J$3:$J$466,Payment!$M$3:$M$466,$A64,Payment!$L$3:$L$466,"&lt;=30",Payment!$D$3:$D$466,"&gt;="&amp;D$6,Payment!$D$3:$D$466,"&lt;="&amp;D$5)/1.1-SUM(SUMIFS(Payment!$J$3:$J$466,Payment!$M$3:$M$466,$A64,Payment!$L$3:$L$466,"&lt;=30",Payment!$D$3:$D$466,"&gt;="&amp;D$6,Payment!$D$3:$D$466,"&lt;="&amp;D$5,Payment!$I$3:$I$466,{"531","641","3311"}))/1.1</f>
        <v>73402577.272727266</v>
      </c>
      <c r="E64" s="7">
        <f>SUMIFS(Payment!$J$3:$J$466,Payment!$M$3:$M$466,$A64,Payment!$L$3:$L$466,"&lt;=30",Payment!$D$3:$D$466,"&gt;="&amp;E$6,Payment!$D$3:$D$466,"&lt;="&amp;E$5)/1.1-SUM(SUMIFS(Payment!$J$3:$J$466,Payment!$M$3:$M$466,$A64,Payment!$L$3:$L$466,"&lt;=30",Payment!$D$3:$D$466,"&gt;="&amp;E$6,Payment!$D$3:$D$466,"&lt;="&amp;E$5,Payment!$I$3:$I$466,{"531","641","3311"}))/1.1</f>
        <v>0</v>
      </c>
      <c r="F64" s="7">
        <f>SUMIFS(Payment!$J$3:$J$466,Payment!$M$3:$M$466,$A64,Payment!$L$3:$L$466,"&gt;30",Payment!$L$3:$L$466,"&lt;=60",Payment!$D$3:$D$466,"&gt;="&amp;F$6,Payment!$D$3:$D$466,"&lt;="&amp;F$5)/1.1-SUM(SUMIFS(Payment!$J$3:$J$466,Payment!$M$3:$M$466,$A64,Payment!$L$3:$L$466,"&gt;30",Payment!$L$3:$L$466,"&lt;=60",Payment!$D$3:$D$466,"&gt;="&amp;F$6,Payment!$D$3:$D$466,"&lt;="&amp;F$5,Payment!$I$3:$I$466,{"531","641","3311"}))/1.1</f>
        <v>8909090.9090909101</v>
      </c>
      <c r="G64" s="7">
        <f>SUMIFS(Payment!$J$3:$J$466,Payment!$M$3:$M$466,$A64,Payment!$L$3:$L$466,"&gt;30",Payment!$L$3:$L$466,"&lt;=60",Payment!$D$3:$D$466,"&gt;="&amp;G$6,Payment!$D$3:$D$466,"&lt;="&amp;G$5)/1.1-SUM(SUMIFS(Payment!$J$3:$J$466,Payment!$M$3:$M$466,$A64,Payment!$L$3:$L$466,"&gt;30",Payment!$L$3:$L$466,"&lt;=60",Payment!$D$3:$D$466,"&gt;="&amp;G$6,Payment!$D$3:$D$466,"&lt;="&amp;G$5,Payment!$I$3:$I$466,{"531","641","3311"}))/1.1</f>
        <v>25829090.909090906</v>
      </c>
      <c r="H64" s="7">
        <f>SUMIFS(Payment!$J$3:$J$466,Payment!$M$3:$M$466,$A64,Payment!$L$3:$L$466,"&gt;30",Payment!$L$3:$L$466,"&lt;=60",Payment!$D$3:$D$466,"&gt;="&amp;H$6,Payment!$D$3:$D$466,"&lt;="&amp;H$5)/1.1-SUM(SUMIFS(Payment!$J$3:$J$466,Payment!$M$3:$M$466,$A64,Payment!$L$3:$L$466,"&gt;30",Payment!$L$3:$L$466,"&lt;=60",Payment!$D$3:$D$466,"&gt;="&amp;H$6,Payment!$D$3:$D$466,"&lt;="&amp;H$5,Payment!$I$3:$I$466,{"531","641","3311"}))/1.1</f>
        <v>0</v>
      </c>
      <c r="I64" s="7">
        <f>SUMIFS(Payment!$J$3:$J$466,Payment!$M$3:$M$466,$A64,Payment!$L$3:$L$466,"&gt;60",Payment!$L$3:$L$466,"&lt;=90",Payment!$D$3:$D$466,"&gt;="&amp;I$6,Payment!$D$3:$D$466,"&lt;="&amp;I$5)/1.1-SUM(SUMIFS(Payment!$J$3:$J$466,Payment!$M$3:$M$466,$A64,Payment!$L$3:$L$466,"&gt;60",Payment!$L$3:$L$466,"&lt;=90",Payment!$D$3:$D$466,"&gt;="&amp;I$6,Payment!$D$3:$D$466,"&lt;="&amp;I$5,Payment!$I$3:$I$466,{"531","641","3311"}))/1.1</f>
        <v>0</v>
      </c>
      <c r="J64" s="7">
        <f>SUMIFS(Payment!$J$3:$J$466,Payment!$M$3:$M$466,$A64,Payment!$L$3:$L$466,"&gt;60",Payment!$L$3:$L$466,"&lt;=90",Payment!$D$3:$D$466,"&gt;="&amp;J$6,Payment!$D$3:$D$466,"&lt;="&amp;J$5)/1.1-SUM(SUMIFS(Payment!$J$3:$J$466,Payment!$M$3:$M$466,$A64,Payment!$L$3:$L$466,"&gt;60",Payment!$L$3:$L$466,"&lt;=90",Payment!$D$3:$D$466,"&gt;="&amp;J$6,Payment!$D$3:$D$466,"&lt;="&amp;J$5,Payment!$I$3:$I$466,{"531","641","3311"}))/1.1</f>
        <v>13068181.818181816</v>
      </c>
      <c r="K64" s="7">
        <f>SUMIFS(Payment!$J$3:$J$466,Payment!$M$3:$M$466,$A64,Payment!$L$3:$L$466,"&gt;60",Payment!$L$3:$L$466,"&lt;=90",Payment!$D$3:$D$466,"&gt;="&amp;K$6,Payment!$D$3:$D$466,"&lt;="&amp;K$5)/1.1-SUM(SUMIFS(Payment!$J$3:$J$466,Payment!$M$3:$M$466,$A64,Payment!$L$3:$L$466,"&gt;60",Payment!$L$3:$L$466,"&lt;=90",Payment!$D$3:$D$466,"&gt;="&amp;K$6,Payment!$D$3:$D$466,"&lt;="&amp;K$5,Payment!$I$3:$I$466,{"531","641","3311"}))/1.1</f>
        <v>0</v>
      </c>
      <c r="L64" s="7">
        <f>SUMIFS(Payment!$J$3:$J$466,Payment!$M$3:$M$466,$A64,Payment!$L$3:$L$466,"&gt;90",Payment!$L$3:$L$466,"&lt;=180",Payment!$D$3:$D$466,"&gt;="&amp;L$6,Payment!$D$3:$D$466,"&lt;="&amp;L$5)/1.1-SUM(SUMIFS(Payment!$J$3:$J$466,Payment!$M$3:$M$466,$A64,Payment!$L$3:$L$466,"&gt;90",Payment!$L$3:$L$466,"&lt;=180",Payment!$D$3:$D$466,"&gt;="&amp;L$6,Payment!$D$3:$D$466,"&lt;="&amp;L$5,Payment!$I$3:$I$466,{"531","641","3311"}))/1.1</f>
        <v>0</v>
      </c>
      <c r="M64" s="7">
        <f>SUMIFS(Payment!$J$3:$J$466,Payment!$M$3:$M$466,$A64,Payment!$L$3:$L$466,"&gt;90",Payment!$L$3:$L$466,"&lt;=180",Payment!$D$3:$D$466,"&gt;="&amp;M$6,Payment!$D$3:$D$466,"&lt;="&amp;M$5)/1.1-SUM(SUMIFS(Payment!$J$3:$J$466,Payment!$M$3:$M$466,$A64,Payment!$L$3:$L$466,"&gt;90",Payment!$L$3:$L$466,"&lt;=180",Payment!$D$3:$D$466,"&gt;="&amp;M$6,Payment!$D$3:$D$466,"&lt;="&amp;M$5,Payment!$I$3:$I$466,{"531","641","3311"}))/1.1</f>
        <v>0</v>
      </c>
      <c r="N64" s="7">
        <f>SUMIFS(Payment!$J$3:$J$466,Payment!$M$3:$M$466,$A64,Payment!$L$3:$L$466,"&gt;90",Payment!$L$3:$L$466,"&lt;=180",Payment!$D$3:$D$466,"&gt;="&amp;N$6,Payment!$D$3:$D$466,"&lt;="&amp;N$5)/1.1-SUM(SUMIFS(Payment!$J$3:$J$466,Payment!$M$3:$M$466,$A64,Payment!$L$3:$L$466,"&gt;90",Payment!$L$3:$L$466,"&lt;=180",Payment!$D$3:$D$466,"&gt;="&amp;N$6,Payment!$D$3:$D$466,"&lt;="&amp;N$5,Payment!$I$3:$I$466,{"531","641","3311"}))/1.1</f>
        <v>0</v>
      </c>
      <c r="O64" s="7">
        <f>SUMIFS(Payment!$J$3:$J$466,Payment!$M$3:$M$466,$A64,Payment!$L$3:$L$466,"&gt;90",Payment!$L$3:$L$466,"&lt;=180",Payment!$D$3:$D$466,"&gt;="&amp;O$6,Payment!$D$3:$D$466,"&lt;="&amp;O$5)/1.1-SUM(SUMIFS(Payment!$J$3:$J$466,Payment!$M$3:$M$466,$A64,Payment!$L$3:$L$466,"&gt;90",Payment!$L$3:$L$466,"&lt;=180",Payment!$D$3:$D$466,"&gt;="&amp;O$6,Payment!$D$3:$D$466,"&lt;="&amp;O$5,Payment!$I$3:$I$466,{"531","641","3311"}))/1.1</f>
        <v>0</v>
      </c>
      <c r="P64" s="48">
        <f>B35-B48</f>
        <v>143773486.36363634</v>
      </c>
      <c r="Q64" s="49">
        <f t="shared" si="15"/>
        <v>0</v>
      </c>
    </row>
    <row r="65" spans="1:18" s="4" customFormat="1">
      <c r="A65" s="5" t="str">
        <f>A22</f>
        <v>NGUYEN VAN K</v>
      </c>
      <c r="B65" s="46">
        <f t="shared" si="14"/>
        <v>421050818.18181813</v>
      </c>
      <c r="C65" s="7">
        <f>SUMIFS(Payment!$J$3:$J$466,Payment!$M$3:$M$466,$A65,Payment!$L$3:$L$466,"&lt;=30",Payment!$D$3:$D$466,"&gt;="&amp;C$6,Payment!$D$3:$D$466,"&lt;="&amp;C$5)/1.1-SUM(SUMIFS(Payment!$J$3:$J$466,Payment!$M$3:$M$466,$A65,Payment!$L$3:$L$466,"&lt;=30",Payment!$D$3:$D$466,"&gt;="&amp;C$6,Payment!$D$3:$D$466,"&lt;="&amp;C$5,Payment!$I$3:$I$466,{"531","641","3311"}))/1.1</f>
        <v>353472378.18181813</v>
      </c>
      <c r="D65" s="7">
        <f>SUMIFS(Payment!$J$3:$J$466,Payment!$M$3:$M$466,$A65,Payment!$L$3:$L$466,"&lt;=30",Payment!$D$3:$D$466,"&gt;="&amp;D$6,Payment!$D$3:$D$466,"&lt;="&amp;D$5)/1.1-SUM(SUMIFS(Payment!$J$3:$J$466,Payment!$M$3:$M$466,$A65,Payment!$L$3:$L$466,"&lt;=30",Payment!$D$3:$D$466,"&gt;="&amp;D$6,Payment!$D$3:$D$466,"&lt;="&amp;D$5,Payment!$I$3:$I$466,{"531","641","3311"}))/1.1</f>
        <v>54290714.545454539</v>
      </c>
      <c r="E65" s="7">
        <f>SUMIFS(Payment!$J$3:$J$466,Payment!$M$3:$M$466,$A65,Payment!$L$3:$L$466,"&lt;=30",Payment!$D$3:$D$466,"&gt;="&amp;E$6,Payment!$D$3:$D$466,"&lt;="&amp;E$5)/1.1-SUM(SUMIFS(Payment!$J$3:$J$466,Payment!$M$3:$M$466,$A65,Payment!$L$3:$L$466,"&lt;=30",Payment!$D$3:$D$466,"&gt;="&amp;E$6,Payment!$D$3:$D$466,"&lt;="&amp;E$5,Payment!$I$3:$I$466,{"531","641","3311"}))/1.1</f>
        <v>6963636.3636363633</v>
      </c>
      <c r="F65" s="7">
        <f>SUMIFS(Payment!$J$3:$J$466,Payment!$M$3:$M$466,$A65,Payment!$L$3:$L$466,"&gt;30",Payment!$L$3:$L$466,"&lt;=60",Payment!$D$3:$D$466,"&gt;="&amp;F$6,Payment!$D$3:$D$466,"&lt;="&amp;F$5)/1.1-SUM(SUMIFS(Payment!$J$3:$J$466,Payment!$M$3:$M$466,$A65,Payment!$L$3:$L$466,"&gt;30",Payment!$L$3:$L$466,"&lt;=60",Payment!$D$3:$D$466,"&gt;="&amp;F$6,Payment!$D$3:$D$466,"&lt;="&amp;F$5,Payment!$I$3:$I$466,{"531","641","3311"}))/1.1</f>
        <v>0</v>
      </c>
      <c r="G65" s="7">
        <f>SUMIFS(Payment!$J$3:$J$466,Payment!$M$3:$M$466,$A65,Payment!$L$3:$L$466,"&gt;30",Payment!$L$3:$L$466,"&lt;=60",Payment!$D$3:$D$466,"&gt;="&amp;G$6,Payment!$D$3:$D$466,"&lt;="&amp;G$5)/1.1-SUM(SUMIFS(Payment!$J$3:$J$466,Payment!$M$3:$M$466,$A65,Payment!$L$3:$L$466,"&gt;30",Payment!$L$3:$L$466,"&lt;=60",Payment!$D$3:$D$466,"&gt;="&amp;G$6,Payment!$D$3:$D$466,"&lt;="&amp;G$5,Payment!$I$3:$I$466,{"531","641","3311"}))/1.1</f>
        <v>0</v>
      </c>
      <c r="H65" s="7">
        <f>SUMIFS(Payment!$J$3:$J$466,Payment!$M$3:$M$466,$A65,Payment!$L$3:$L$466,"&gt;30",Payment!$L$3:$L$466,"&lt;=60",Payment!$D$3:$D$466,"&gt;="&amp;H$6,Payment!$D$3:$D$466,"&lt;="&amp;H$5)/1.1-SUM(SUMIFS(Payment!$J$3:$J$466,Payment!$M$3:$M$466,$A65,Payment!$L$3:$L$466,"&gt;30",Payment!$L$3:$L$466,"&lt;=60",Payment!$D$3:$D$466,"&gt;="&amp;H$6,Payment!$D$3:$D$466,"&lt;="&amp;H$5,Payment!$I$3:$I$466,{"531","641","3311"}))/1.1</f>
        <v>0</v>
      </c>
      <c r="I65" s="7">
        <f>SUMIFS(Payment!$J$3:$J$466,Payment!$M$3:$M$466,$A65,Payment!$L$3:$L$466,"&gt;60",Payment!$L$3:$L$466,"&lt;=90",Payment!$D$3:$D$466,"&gt;="&amp;I$6,Payment!$D$3:$D$466,"&lt;="&amp;I$5)/1.1-SUM(SUMIFS(Payment!$J$3:$J$466,Payment!$M$3:$M$466,$A65,Payment!$L$3:$L$466,"&gt;60",Payment!$L$3:$L$466,"&lt;=90",Payment!$D$3:$D$466,"&gt;="&amp;I$6,Payment!$D$3:$D$466,"&lt;="&amp;I$5,Payment!$I$3:$I$466,{"531","641","3311"}))/1.1</f>
        <v>0</v>
      </c>
      <c r="J65" s="7">
        <f>SUMIFS(Payment!$J$3:$J$466,Payment!$M$3:$M$466,$A65,Payment!$L$3:$L$466,"&gt;60",Payment!$L$3:$L$466,"&lt;=90",Payment!$D$3:$D$466,"&gt;="&amp;J$6,Payment!$D$3:$D$466,"&lt;="&amp;J$5)/1.1-SUM(SUMIFS(Payment!$J$3:$J$466,Payment!$M$3:$M$466,$A65,Payment!$L$3:$L$466,"&gt;60",Payment!$L$3:$L$466,"&lt;=90",Payment!$D$3:$D$466,"&gt;="&amp;J$6,Payment!$D$3:$D$466,"&lt;="&amp;J$5,Payment!$I$3:$I$466,{"531","641","3311"}))/1.1</f>
        <v>6324089.0909090908</v>
      </c>
      <c r="K65" s="7">
        <f>SUMIFS(Payment!$J$3:$J$466,Payment!$M$3:$M$466,$A65,Payment!$L$3:$L$466,"&gt;60",Payment!$L$3:$L$466,"&lt;=90",Payment!$D$3:$D$466,"&gt;="&amp;K$6,Payment!$D$3:$D$466,"&lt;="&amp;K$5)/1.1-SUM(SUMIFS(Payment!$J$3:$J$466,Payment!$M$3:$M$466,$A65,Payment!$L$3:$L$466,"&gt;60",Payment!$L$3:$L$466,"&lt;=90",Payment!$D$3:$D$466,"&gt;="&amp;K$6,Payment!$D$3:$D$466,"&lt;="&amp;K$5,Payment!$I$3:$I$466,{"531","641","3311"}))/1.1</f>
        <v>0</v>
      </c>
      <c r="L65" s="7">
        <f>SUMIFS(Payment!$J$3:$J$466,Payment!$M$3:$M$466,$A65,Payment!$L$3:$L$466,"&gt;90",Payment!$L$3:$L$466,"&lt;=180",Payment!$D$3:$D$466,"&gt;="&amp;L$6,Payment!$D$3:$D$466,"&lt;="&amp;L$5)/1.1-SUM(SUMIFS(Payment!$J$3:$J$466,Payment!$M$3:$M$466,$A65,Payment!$L$3:$L$466,"&gt;90",Payment!$L$3:$L$466,"&lt;=180",Payment!$D$3:$D$466,"&gt;="&amp;L$6,Payment!$D$3:$D$466,"&lt;="&amp;L$5,Payment!$I$3:$I$466,{"531","641","3311"}))/1.1</f>
        <v>0</v>
      </c>
      <c r="M65" s="7">
        <f>SUMIFS(Payment!$J$3:$J$466,Payment!$M$3:$M$466,$A65,Payment!$L$3:$L$466,"&gt;90",Payment!$L$3:$L$466,"&lt;=180",Payment!$D$3:$D$466,"&gt;="&amp;M$6,Payment!$D$3:$D$466,"&lt;="&amp;M$5)/1.1-SUM(SUMIFS(Payment!$J$3:$J$466,Payment!$M$3:$M$466,$A65,Payment!$L$3:$L$466,"&gt;90",Payment!$L$3:$L$466,"&lt;=180",Payment!$D$3:$D$466,"&gt;="&amp;M$6,Payment!$D$3:$D$466,"&lt;="&amp;M$5,Payment!$I$3:$I$466,{"531","641","3311"}))/1.1</f>
        <v>0</v>
      </c>
      <c r="N65" s="7">
        <f>SUMIFS(Payment!$J$3:$J$466,Payment!$M$3:$M$466,$A65,Payment!$L$3:$L$466,"&gt;90",Payment!$L$3:$L$466,"&lt;=180",Payment!$D$3:$D$466,"&gt;="&amp;N$6,Payment!$D$3:$D$466,"&lt;="&amp;N$5)/1.1-SUM(SUMIFS(Payment!$J$3:$J$466,Payment!$M$3:$M$466,$A65,Payment!$L$3:$L$466,"&gt;90",Payment!$L$3:$L$466,"&lt;=180",Payment!$D$3:$D$466,"&gt;="&amp;N$6,Payment!$D$3:$D$466,"&lt;="&amp;N$5,Payment!$I$3:$I$466,{"531","641","3311"}))/1.1</f>
        <v>0</v>
      </c>
      <c r="O65" s="7">
        <f>SUMIFS(Payment!$J$3:$J$466,Payment!$M$3:$M$466,$A65,Payment!$L$3:$L$466,"&gt;90",Payment!$L$3:$L$466,"&lt;=180",Payment!$D$3:$D$466,"&gt;="&amp;O$6,Payment!$D$3:$D$466,"&lt;="&amp;O$5)/1.1-SUM(SUMIFS(Payment!$J$3:$J$466,Payment!$M$3:$M$466,$A65,Payment!$L$3:$L$466,"&gt;90",Payment!$L$3:$L$466,"&lt;=180",Payment!$D$3:$D$466,"&gt;="&amp;O$6,Payment!$D$3:$D$466,"&lt;="&amp;O$5,Payment!$I$3:$I$466,{"531","641","3311"}))/1.1</f>
        <v>0</v>
      </c>
      <c r="P65" s="48">
        <f>B36-B49</f>
        <v>421050818.18181813</v>
      </c>
      <c r="Q65" s="49">
        <f t="shared" si="15"/>
        <v>0</v>
      </c>
      <c r="R65" s="75">
        <f>Q65*1.1</f>
        <v>0</v>
      </c>
    </row>
    <row r="66" spans="1:18" s="4" customFormat="1">
      <c r="A66" s="54" t="s">
        <v>21</v>
      </c>
      <c r="B66" s="55">
        <f>SUM(B56:B65)</f>
        <v>4746947244.5454531</v>
      </c>
      <c r="C66" s="55">
        <f>SUM(C56:C65)</f>
        <v>3105853373.6363635</v>
      </c>
      <c r="D66" s="55">
        <f>SUM(D56:D65)</f>
        <v>1230443734.5454543</v>
      </c>
      <c r="E66" s="55">
        <f>SUM(E56:E65)</f>
        <v>6963636.3636363633</v>
      </c>
      <c r="F66" s="55">
        <f>SUM(F56:F65)</f>
        <v>27763636.363636363</v>
      </c>
      <c r="G66" s="55">
        <f>SUM(G56:G65)</f>
        <v>135120938.18181816</v>
      </c>
      <c r="H66" s="55">
        <f>SUM(H56:H65)</f>
        <v>70967045.454545438</v>
      </c>
      <c r="I66" s="55">
        <f>SUM(I56:I65)</f>
        <v>4545454.5454545449</v>
      </c>
      <c r="J66" s="55">
        <f>SUM(J56:J65)</f>
        <v>28483179.999999996</v>
      </c>
      <c r="K66" s="55">
        <f>SUM(K56:K65)</f>
        <v>132260790.90909091</v>
      </c>
      <c r="L66" s="55">
        <f>SUM(L56:L65)</f>
        <v>0</v>
      </c>
      <c r="M66" s="55">
        <f>SUM(M56:M65)</f>
        <v>4545454.5454545449</v>
      </c>
      <c r="N66" s="55">
        <f>SUM(N56:N65)</f>
        <v>0</v>
      </c>
      <c r="O66" s="55">
        <f>SUM(O56:O65)</f>
        <v>0</v>
      </c>
    </row>
    <row r="67" spans="1:18" s="4" customFormat="1">
      <c r="A67" s="82" t="s">
        <v>48</v>
      </c>
      <c r="B67" s="96">
        <f>B37-B50-B66</f>
        <v>0</v>
      </c>
      <c r="C67" s="90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</row>
    <row r="68" spans="1:18" s="4" customFormat="1" ht="15" customHeight="1">
      <c r="A68" s="116"/>
      <c r="B68" s="117" t="s">
        <v>63</v>
      </c>
      <c r="C68" s="116" t="s">
        <v>37</v>
      </c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</row>
    <row r="69" spans="1:18" s="4" customFormat="1" ht="15" customHeight="1">
      <c r="A69" s="116"/>
      <c r="B69" s="118"/>
      <c r="C69" s="119" t="s">
        <v>27</v>
      </c>
      <c r="D69" s="120"/>
      <c r="E69" s="121"/>
      <c r="F69" s="127" t="s">
        <v>28</v>
      </c>
      <c r="G69" s="127"/>
      <c r="H69" s="127"/>
      <c r="I69" s="128" t="s">
        <v>29</v>
      </c>
      <c r="J69" s="128"/>
      <c r="K69" s="128"/>
      <c r="L69" s="124" t="s">
        <v>69</v>
      </c>
      <c r="M69" s="125"/>
      <c r="N69" s="125"/>
      <c r="O69" s="126"/>
    </row>
    <row r="70" spans="1:18" s="4" customFormat="1">
      <c r="A70" s="88"/>
      <c r="B70" s="88" t="s">
        <v>64</v>
      </c>
      <c r="C70" s="88" t="str">
        <f>C54</f>
        <v>T6</v>
      </c>
      <c r="D70" s="88" t="str">
        <f>D54</f>
        <v>T5</v>
      </c>
      <c r="E70" s="88" t="str">
        <f>E54</f>
        <v>T4</v>
      </c>
      <c r="F70" s="88" t="str">
        <f>F54</f>
        <v>T5</v>
      </c>
      <c r="G70" s="88" t="str">
        <f>G54</f>
        <v>T4</v>
      </c>
      <c r="H70" s="88" t="str">
        <f>H54</f>
        <v>T3</v>
      </c>
      <c r="I70" s="88" t="str">
        <f>I54</f>
        <v>T4</v>
      </c>
      <c r="J70" s="88" t="str">
        <f>J54</f>
        <v>T3</v>
      </c>
      <c r="K70" s="88" t="str">
        <f>K54</f>
        <v>T2</v>
      </c>
      <c r="L70" s="88" t="str">
        <f>L54</f>
        <v>T3</v>
      </c>
      <c r="M70" s="88" t="str">
        <f>M54</f>
        <v>T2</v>
      </c>
      <c r="N70" s="88" t="str">
        <f>N54</f>
        <v>T1</v>
      </c>
      <c r="O70" s="97" t="str">
        <f>O54</f>
        <v>T12/22</v>
      </c>
    </row>
    <row r="71" spans="1:18" s="4" customFormat="1">
      <c r="A71" s="5" t="str">
        <f>A13</f>
        <v>NGUYEN VAN A</v>
      </c>
      <c r="B71" s="46">
        <f t="shared" ref="B71:B74" si="19">SUM(C71:O71)</f>
        <v>175909.09090909094</v>
      </c>
      <c r="C71" s="7">
        <f>C56*(1-C$55)</f>
        <v>0</v>
      </c>
      <c r="D71" s="7">
        <f>D56*(1-D$55)</f>
        <v>0</v>
      </c>
      <c r="E71" s="7">
        <f>E56*(1-E$55)</f>
        <v>0</v>
      </c>
      <c r="F71" s="7">
        <f>F56*(1-F$55)</f>
        <v>0</v>
      </c>
      <c r="G71" s="7">
        <f>G56*(1-G$55)</f>
        <v>175909.09090909094</v>
      </c>
      <c r="H71" s="7">
        <f>H56*(1-H$55)</f>
        <v>0</v>
      </c>
      <c r="I71" s="7">
        <f>I56*(1-I$55)</f>
        <v>0</v>
      </c>
      <c r="J71" s="7">
        <f>J56*(1-J$55)</f>
        <v>0</v>
      </c>
      <c r="K71" s="7">
        <f>K56*(1-K$55)</f>
        <v>0</v>
      </c>
      <c r="L71" s="7">
        <f>L56*(1-L$55)</f>
        <v>0</v>
      </c>
      <c r="M71" s="7">
        <f>M56*(1-M$55)</f>
        <v>0</v>
      </c>
      <c r="N71" s="7">
        <f>N56*(1-N$55)</f>
        <v>0</v>
      </c>
      <c r="O71" s="7">
        <f>O56*(1-O$55)</f>
        <v>0</v>
      </c>
      <c r="P71" s="22"/>
      <c r="R71" s="22"/>
    </row>
    <row r="72" spans="1:18" s="4" customFormat="1">
      <c r="A72" s="5" t="str">
        <f>A14</f>
        <v>NGUYEN VAN B</v>
      </c>
      <c r="B72" s="46">
        <f t="shared" si="19"/>
        <v>3982299.8181818184</v>
      </c>
      <c r="C72" s="7">
        <f>C57*(1-C$55)</f>
        <v>0</v>
      </c>
      <c r="D72" s="7">
        <f>D57*(1-D$55)</f>
        <v>0</v>
      </c>
      <c r="E72" s="7">
        <f>E57*(1-E$55)</f>
        <v>0</v>
      </c>
      <c r="F72" s="7">
        <f>F57*(1-F$55)</f>
        <v>1772727.2727272727</v>
      </c>
      <c r="G72" s="7">
        <f>G57*(1-G$55)</f>
        <v>2209572.5454545454</v>
      </c>
      <c r="H72" s="7">
        <f>H57*(1-H$55)</f>
        <v>0</v>
      </c>
      <c r="I72" s="7">
        <f>I57*(1-I$55)</f>
        <v>0</v>
      </c>
      <c r="J72" s="7">
        <f>J57*(1-J$55)</f>
        <v>0</v>
      </c>
      <c r="K72" s="7">
        <f>K57*(1-K$55)</f>
        <v>0</v>
      </c>
      <c r="L72" s="7">
        <f>L57*(1-L$55)</f>
        <v>0</v>
      </c>
      <c r="M72" s="7">
        <f>M57*(1-M$55)</f>
        <v>0</v>
      </c>
      <c r="N72" s="7">
        <f>N57*(1-N$55)</f>
        <v>0</v>
      </c>
      <c r="O72" s="7">
        <f>O57*(1-O$55)</f>
        <v>0</v>
      </c>
      <c r="P72" s="22"/>
      <c r="R72" s="22"/>
    </row>
    <row r="73" spans="1:18" s="4" customFormat="1">
      <c r="A73" s="5" t="str">
        <f>A15</f>
        <v>NGUYEN VAN C</v>
      </c>
      <c r="B73" s="46">
        <f t="shared" si="19"/>
        <v>2272727.2727272725</v>
      </c>
      <c r="C73" s="7">
        <f>C58*(1-C$55)</f>
        <v>0</v>
      </c>
      <c r="D73" s="7">
        <f>D58*(1-D$55)</f>
        <v>0</v>
      </c>
      <c r="E73" s="7">
        <f>E58*(1-E$55)</f>
        <v>0</v>
      </c>
      <c r="F73" s="7">
        <f>F58*(1-F$55)</f>
        <v>0</v>
      </c>
      <c r="G73" s="7">
        <f>G58*(1-G$55)</f>
        <v>0</v>
      </c>
      <c r="H73" s="7">
        <f>H58*(1-H$55)</f>
        <v>0</v>
      </c>
      <c r="I73" s="7">
        <f>I58*(1-I$55)</f>
        <v>0</v>
      </c>
      <c r="J73" s="7">
        <f>J58*(1-J$55)</f>
        <v>0</v>
      </c>
      <c r="K73" s="7">
        <f>K58*(1-K$55)</f>
        <v>0</v>
      </c>
      <c r="L73" s="7">
        <f>L58*(1-L$55)</f>
        <v>0</v>
      </c>
      <c r="M73" s="7">
        <f>M58*(1-M$55)</f>
        <v>2272727.2727272725</v>
      </c>
      <c r="N73" s="7">
        <f>N58*(1-N$55)</f>
        <v>0</v>
      </c>
      <c r="O73" s="7">
        <f>O58*(1-O$55)</f>
        <v>0</v>
      </c>
      <c r="P73" s="22"/>
      <c r="R73" s="22"/>
    </row>
    <row r="74" spans="1:18" s="4" customFormat="1">
      <c r="A74" s="5" t="str">
        <f>A16</f>
        <v>NGUYEN VAN D</v>
      </c>
      <c r="B74" s="46">
        <f t="shared" si="19"/>
        <v>7846875</v>
      </c>
      <c r="C74" s="7">
        <f>C59*(1-C$55)</f>
        <v>0</v>
      </c>
      <c r="D74" s="7">
        <f>D59*(1-D$55)</f>
        <v>0</v>
      </c>
      <c r="E74" s="7">
        <f>E59*(1-E$55)</f>
        <v>0</v>
      </c>
      <c r="F74" s="7">
        <f>F59*(1-F$55)</f>
        <v>0</v>
      </c>
      <c r="G74" s="7">
        <f>G59*(1-G$55)</f>
        <v>0</v>
      </c>
      <c r="H74" s="7">
        <f>H59*(1-H$55)</f>
        <v>7846875</v>
      </c>
      <c r="I74" s="7">
        <f>I59*(1-I$55)</f>
        <v>0</v>
      </c>
      <c r="J74" s="7">
        <f>J59*(1-J$55)</f>
        <v>0</v>
      </c>
      <c r="K74" s="7">
        <f>K59*(1-K$55)</f>
        <v>0</v>
      </c>
      <c r="L74" s="7">
        <f>L59*(1-L$55)</f>
        <v>0</v>
      </c>
      <c r="M74" s="7">
        <f>M59*(1-M$55)</f>
        <v>0</v>
      </c>
      <c r="N74" s="7">
        <f>N59*(1-N$55)</f>
        <v>0</v>
      </c>
      <c r="O74" s="7">
        <f>O59*(1-O$55)</f>
        <v>0</v>
      </c>
      <c r="P74" s="22"/>
      <c r="R74" s="22"/>
    </row>
    <row r="75" spans="1:18" s="4" customFormat="1">
      <c r="A75" s="5" t="str">
        <f>A17</f>
        <v>NGUYEN VAN E</v>
      </c>
      <c r="B75" s="46">
        <f t="shared" ref="B75:B80" si="20">SUM(C75:O75)</f>
        <v>25907964.545454551</v>
      </c>
      <c r="C75" s="7">
        <f>C60*(1-C$55)</f>
        <v>0</v>
      </c>
      <c r="D75" s="7">
        <f>D60*(1-D$55)</f>
        <v>0</v>
      </c>
      <c r="E75" s="7">
        <f>E60*(1-E$55)</f>
        <v>0</v>
      </c>
      <c r="F75" s="7">
        <f>F60*(1-F$55)</f>
        <v>0</v>
      </c>
      <c r="G75" s="7">
        <f>G60*(1-G$55)</f>
        <v>2727272.7272727275</v>
      </c>
      <c r="H75" s="7">
        <f>H60*(1-H$55)</f>
        <v>2798181.8181818184</v>
      </c>
      <c r="I75" s="7">
        <f>I60*(1-I$55)</f>
        <v>0</v>
      </c>
      <c r="J75" s="7">
        <f>J60*(1-J$55)</f>
        <v>0</v>
      </c>
      <c r="K75" s="7">
        <f>K60*(1-K$55)</f>
        <v>20382510.000000004</v>
      </c>
      <c r="L75" s="7">
        <f>L60*(1-L$55)</f>
        <v>0</v>
      </c>
      <c r="M75" s="7">
        <f>M60*(1-M$55)</f>
        <v>0</v>
      </c>
      <c r="N75" s="7">
        <f>N60*(1-N$55)</f>
        <v>0</v>
      </c>
      <c r="O75" s="7">
        <f>O60*(1-O$55)</f>
        <v>0</v>
      </c>
      <c r="P75" s="22"/>
      <c r="R75" s="22"/>
    </row>
    <row r="76" spans="1:18" s="4" customFormat="1">
      <c r="A76" s="5" t="str">
        <f>A18</f>
        <v>NGUYEN VAN F</v>
      </c>
      <c r="B76" s="46">
        <f>SUM(C76:O76)</f>
        <v>24442090.90909091</v>
      </c>
      <c r="C76" s="7">
        <f>C61*(1-C$55)</f>
        <v>0</v>
      </c>
      <c r="D76" s="7">
        <f>D61*(1-D$55)</f>
        <v>0</v>
      </c>
      <c r="E76" s="7">
        <f>E61*(1-E$55)</f>
        <v>0</v>
      </c>
      <c r="F76" s="7">
        <f>F61*(1-F$55)</f>
        <v>1055454.5454545454</v>
      </c>
      <c r="G76" s="7">
        <f>G61*(1-G$55)</f>
        <v>0</v>
      </c>
      <c r="H76" s="7">
        <f>H61*(1-H$55)</f>
        <v>0</v>
      </c>
      <c r="I76" s="7">
        <f>I61*(1-I$55)</f>
        <v>1363636.3636363638</v>
      </c>
      <c r="J76" s="7">
        <f>J61*(1-J$55)</f>
        <v>2727272.7272727275</v>
      </c>
      <c r="K76" s="7">
        <f>K61*(1-K$55)</f>
        <v>19295727.272727273</v>
      </c>
      <c r="L76" s="7">
        <f>L61*(1-L$55)</f>
        <v>0</v>
      </c>
      <c r="M76" s="7">
        <f>M61*(1-M$55)</f>
        <v>0</v>
      </c>
      <c r="N76" s="7">
        <f>N61*(1-N$55)</f>
        <v>0</v>
      </c>
      <c r="O76" s="7">
        <f>O61*(1-O$55)</f>
        <v>0</v>
      </c>
      <c r="P76" s="22"/>
      <c r="R76" s="22"/>
    </row>
    <row r="77" spans="1:18" s="4" customFormat="1">
      <c r="A77" s="5" t="str">
        <f>A19</f>
        <v>NGUYEN VAN G</v>
      </c>
      <c r="B77" s="46">
        <f>SUM(C77:O77)</f>
        <v>0</v>
      </c>
      <c r="C77" s="7">
        <f>C62*(1-C$55)</f>
        <v>0</v>
      </c>
      <c r="D77" s="7">
        <f>D62*(1-D$55)</f>
        <v>0</v>
      </c>
      <c r="E77" s="7">
        <f>E62*(1-E$55)</f>
        <v>0</v>
      </c>
      <c r="F77" s="7">
        <f>F62*(1-F$55)</f>
        <v>0</v>
      </c>
      <c r="G77" s="7">
        <f>G62*(1-G$55)</f>
        <v>0</v>
      </c>
      <c r="H77" s="7">
        <f>H62*(1-H$55)</f>
        <v>0</v>
      </c>
      <c r="I77" s="7">
        <f>I62*(1-I$55)</f>
        <v>0</v>
      </c>
      <c r="J77" s="7">
        <f>J62*(1-J$55)</f>
        <v>0</v>
      </c>
      <c r="K77" s="7">
        <f>K62*(1-K$55)</f>
        <v>0</v>
      </c>
      <c r="L77" s="7">
        <f>L62*(1-L$55)</f>
        <v>0</v>
      </c>
      <c r="M77" s="7">
        <f>M62*(1-M$55)</f>
        <v>0</v>
      </c>
      <c r="N77" s="7">
        <f>N62*(1-N$55)</f>
        <v>0</v>
      </c>
      <c r="O77" s="7">
        <f>O62*(1-O$55)</f>
        <v>0</v>
      </c>
      <c r="P77" s="22"/>
      <c r="R77" s="22"/>
    </row>
    <row r="78" spans="1:18" s="4" customFormat="1">
      <c r="A78" s="5" t="str">
        <f>A20</f>
        <v>NGUYEN VAN H</v>
      </c>
      <c r="B78" s="46">
        <f t="shared" si="20"/>
        <v>11281022.727272727</v>
      </c>
      <c r="C78" s="7">
        <f>C63*(1-C$55)</f>
        <v>0</v>
      </c>
      <c r="D78" s="7">
        <f>D63*(1-D$55)</f>
        <v>0</v>
      </c>
      <c r="E78" s="7">
        <f>E63*(1-E$55)</f>
        <v>0</v>
      </c>
      <c r="F78" s="7">
        <f>F63*(1-F$55)</f>
        <v>0</v>
      </c>
      <c r="G78" s="7">
        <f>G63*(1-G$55)</f>
        <v>11281022.727272727</v>
      </c>
      <c r="H78" s="7">
        <f>H63*(1-H$55)</f>
        <v>0</v>
      </c>
      <c r="I78" s="7">
        <f>I63*(1-I$55)</f>
        <v>0</v>
      </c>
      <c r="J78" s="7">
        <f>J63*(1-J$55)</f>
        <v>0</v>
      </c>
      <c r="K78" s="7">
        <f>K63*(1-K$55)</f>
        <v>0</v>
      </c>
      <c r="L78" s="7">
        <f>L63*(1-L$55)</f>
        <v>0</v>
      </c>
      <c r="M78" s="7">
        <f>M63*(1-M$55)</f>
        <v>0</v>
      </c>
      <c r="N78" s="7">
        <f>N63*(1-N$55)</f>
        <v>0</v>
      </c>
      <c r="O78" s="7">
        <f>O63*(1-O$55)</f>
        <v>0</v>
      </c>
      <c r="P78" s="22"/>
      <c r="R78" s="22"/>
    </row>
    <row r="79" spans="1:18" s="4" customFormat="1">
      <c r="A79" s="5" t="str">
        <f>A21</f>
        <v>NGUYEN VAN I</v>
      </c>
      <c r="B79" s="46">
        <f t="shared" si="20"/>
        <v>9131181.8181818184</v>
      </c>
      <c r="C79" s="7">
        <f>C64*(1-C$55)</f>
        <v>0</v>
      </c>
      <c r="D79" s="7">
        <f>D64*(1-D$55)</f>
        <v>0</v>
      </c>
      <c r="E79" s="7">
        <f>E64*(1-E$55)</f>
        <v>0</v>
      </c>
      <c r="F79" s="7">
        <f>F64*(1-F$55)</f>
        <v>1336363.6363636367</v>
      </c>
      <c r="G79" s="7">
        <f>G64*(1-G$55)</f>
        <v>3874363.6363636367</v>
      </c>
      <c r="H79" s="7">
        <f>H64*(1-H$55)</f>
        <v>0</v>
      </c>
      <c r="I79" s="7">
        <f>I64*(1-I$55)</f>
        <v>0</v>
      </c>
      <c r="J79" s="7">
        <f>J64*(1-J$55)</f>
        <v>3920454.5454545454</v>
      </c>
      <c r="K79" s="7">
        <f>K64*(1-K$55)</f>
        <v>0</v>
      </c>
      <c r="L79" s="7">
        <f>L64*(1-L$55)</f>
        <v>0</v>
      </c>
      <c r="M79" s="7">
        <f>M64*(1-M$55)</f>
        <v>0</v>
      </c>
      <c r="N79" s="7">
        <f>N64*(1-N$55)</f>
        <v>0</v>
      </c>
      <c r="O79" s="7">
        <f>O64*(1-O$55)</f>
        <v>0</v>
      </c>
      <c r="P79" s="22"/>
      <c r="R79" s="22"/>
    </row>
    <row r="80" spans="1:18" s="4" customFormat="1">
      <c r="A80" s="5" t="str">
        <f>A22</f>
        <v>NGUYEN VAN K</v>
      </c>
      <c r="B80" s="46">
        <f t="shared" si="20"/>
        <v>1897226.7272727275</v>
      </c>
      <c r="C80" s="7">
        <f>C65*(1-C$55)</f>
        <v>0</v>
      </c>
      <c r="D80" s="7">
        <f>D65*(1-D$55)</f>
        <v>0</v>
      </c>
      <c r="E80" s="7">
        <f>E65*(1-E$55)</f>
        <v>0</v>
      </c>
      <c r="F80" s="7">
        <f>F65*(1-F$55)</f>
        <v>0</v>
      </c>
      <c r="G80" s="7">
        <f>G65*(1-G$55)</f>
        <v>0</v>
      </c>
      <c r="H80" s="7">
        <f>H65*(1-H$55)</f>
        <v>0</v>
      </c>
      <c r="I80" s="7">
        <f>I65*(1-I$55)</f>
        <v>0</v>
      </c>
      <c r="J80" s="7">
        <f>J65*(1-J$55)</f>
        <v>1897226.7272727275</v>
      </c>
      <c r="K80" s="7">
        <f>K65*(1-K$55)</f>
        <v>0</v>
      </c>
      <c r="L80" s="7">
        <f>L65*(1-L$55)</f>
        <v>0</v>
      </c>
      <c r="M80" s="7">
        <f>M65*(1-M$55)</f>
        <v>0</v>
      </c>
      <c r="N80" s="7">
        <f>N65*(1-N$55)</f>
        <v>0</v>
      </c>
      <c r="O80" s="7">
        <f>O65*(1-O$55)</f>
        <v>0</v>
      </c>
      <c r="P80" s="22"/>
      <c r="R80" s="22"/>
    </row>
    <row r="81" spans="1:16" s="4" customFormat="1">
      <c r="A81" s="54" t="s">
        <v>21</v>
      </c>
      <c r="B81" s="56">
        <f>SUM(B71:B80)</f>
        <v>86937297.909090921</v>
      </c>
      <c r="C81" s="56">
        <f>SUM(C71:C80)</f>
        <v>0</v>
      </c>
      <c r="D81" s="56">
        <f>SUM(D71:D80)</f>
        <v>0</v>
      </c>
      <c r="E81" s="56">
        <f>SUM(E71:E80)</f>
        <v>0</v>
      </c>
      <c r="F81" s="56">
        <f>SUM(F71:F80)</f>
        <v>4164545.4545454551</v>
      </c>
      <c r="G81" s="56">
        <f>SUM(G71:G80)</f>
        <v>20268140.727272727</v>
      </c>
      <c r="H81" s="56">
        <f>SUM(H71:H80)</f>
        <v>10645056.818181818</v>
      </c>
      <c r="I81" s="56">
        <f>SUM(I71:I80)</f>
        <v>1363636.3636363638</v>
      </c>
      <c r="J81" s="56">
        <f>SUM(J71:J80)</f>
        <v>8544954</v>
      </c>
      <c r="K81" s="56">
        <f>SUM(K71:K80)</f>
        <v>39678237.272727281</v>
      </c>
      <c r="L81" s="56">
        <f>SUM(L71:L80)</f>
        <v>0</v>
      </c>
      <c r="M81" s="56">
        <f>SUM(M71:M80)</f>
        <v>2272727.2727272725</v>
      </c>
      <c r="N81" s="56">
        <f>SUM(N71:N80)</f>
        <v>0</v>
      </c>
      <c r="O81" s="56">
        <f>SUM(O71:O80)</f>
        <v>0</v>
      </c>
    </row>
    <row r="82" spans="1:16" s="4" customFormat="1" ht="15.75" customHeight="1">
      <c r="A82" s="82" t="s">
        <v>48</v>
      </c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</row>
    <row r="83" spans="1:16" s="4" customFormat="1" ht="15" customHeight="1">
      <c r="A83" s="105" t="s">
        <v>12</v>
      </c>
      <c r="B83" s="129" t="s">
        <v>234</v>
      </c>
      <c r="C83" s="130"/>
      <c r="D83" s="130"/>
      <c r="E83" s="130"/>
      <c r="F83" s="130"/>
      <c r="G83" s="130"/>
      <c r="H83" s="130"/>
      <c r="I83" s="131"/>
      <c r="J83" s="24"/>
      <c r="K83" s="24"/>
      <c r="L83" s="24"/>
      <c r="M83" s="24"/>
      <c r="N83" s="24"/>
      <c r="O83" s="24"/>
      <c r="P83" s="24"/>
    </row>
    <row r="84" spans="1:16" s="4" customFormat="1">
      <c r="A84" s="105"/>
      <c r="B84" s="107" t="s">
        <v>31</v>
      </c>
      <c r="C84" s="107" t="str">
        <f>C$26</f>
        <v>T6</v>
      </c>
      <c r="D84" s="107" t="str">
        <f t="shared" ref="D84:I84" si="21">D$26</f>
        <v>T5</v>
      </c>
      <c r="E84" s="107" t="str">
        <f t="shared" si="21"/>
        <v>T4</v>
      </c>
      <c r="F84" s="107" t="str">
        <f t="shared" si="21"/>
        <v>T3</v>
      </c>
      <c r="G84" s="107" t="str">
        <f t="shared" si="21"/>
        <v>T2</v>
      </c>
      <c r="H84" s="107" t="str">
        <f t="shared" si="21"/>
        <v>T1</v>
      </c>
      <c r="I84" s="107" t="str">
        <f t="shared" si="21"/>
        <v>T12/22</v>
      </c>
      <c r="J84" s="24"/>
      <c r="K84" s="24"/>
      <c r="L84" s="24"/>
      <c r="M84" s="24"/>
      <c r="N84" s="24"/>
      <c r="O84" s="24"/>
      <c r="P84" s="24"/>
    </row>
    <row r="85" spans="1:16" s="4" customFormat="1">
      <c r="A85" s="5" t="str">
        <f>A13</f>
        <v>NGUYEN VAN A</v>
      </c>
      <c r="B85" s="15">
        <f t="shared" ref="B85:B93" si="22">SUM(C85:I85)</f>
        <v>1308057265.4545453</v>
      </c>
      <c r="C85" s="15">
        <f>C27-C40-SUMIFS($K$124:$K$187,$E$124:$E$187,$A85)</f>
        <v>1046125916.3636363</v>
      </c>
      <c r="D85" s="15">
        <f>D27-D40-SUMIFS($F56:$H56,$F$54:$H$54,D$84)*15%-SUMIFS($I56:$K56,$I$54:$K$54,D$84)*30%-SUMIFS($L56:$O56,$L$54:$O$54,D$84)*50%</f>
        <v>260934530.90909088</v>
      </c>
      <c r="E85" s="15">
        <f>E27-E40-SUMIFS($F56:$H56,$F$54:$H$54,E$84)*15%-SUMIFS($I56:$K56,$I$54:$K$54,E$84)*30%-SUMIFS($L56:$O56,$L$54:$O$54,E$84)*50%</f>
        <v>996818.18181818177</v>
      </c>
      <c r="F85" s="15">
        <f>F27-F40-SUMIFS($F56:$H56,$F$54:$H$54,F$84)*15%-SUMIFS($I56:$K56,$I$54:$K$54,F$84)*30%-SUMIFS($L56:$O56,$L$54:$O$54,F$84)*50%</f>
        <v>0</v>
      </c>
      <c r="G85" s="15">
        <f>G27-G40-SUMIFS($F56:$H56,$F$54:$H$54,G$84)*15%-SUMIFS($I56:$K56,$I$54:$K$54,G$84)*30%-SUMIFS($L56:$O56,$L$54:$O$54,G$84)*50%</f>
        <v>0</v>
      </c>
      <c r="H85" s="15">
        <f>H27-H40-SUMIFS($F56:$H56,$F$54:$H$54,H$84)*15%-SUMIFS($I56:$K56,$I$54:$K$54,H$84)*30%-SUMIFS($L56:$O56,$L$54:$O$54,H$84)*50%</f>
        <v>0</v>
      </c>
      <c r="I85" s="15">
        <f>I27-I40-SUMIFS($F56:$H56,$F$54:$H$54,I$84)*15%-SUMIFS($I56:$K56,$I$54:$K$54,I$84)*30%-SUMIFS($L56:$O56,$L$54:$O$54,I$84)*50%</f>
        <v>0</v>
      </c>
      <c r="J85" s="76"/>
      <c r="K85" s="24"/>
      <c r="L85" s="24"/>
      <c r="M85" s="24"/>
      <c r="N85" s="24"/>
      <c r="O85" s="24"/>
      <c r="P85" s="24"/>
    </row>
    <row r="86" spans="1:16" s="4" customFormat="1">
      <c r="A86" s="5" t="str">
        <f>A14</f>
        <v>NGUYEN VAN B</v>
      </c>
      <c r="B86" s="15">
        <f>SUM(C86:I86)</f>
        <v>1379841741.0909088</v>
      </c>
      <c r="C86" s="15">
        <f>C28-C41-SUMIFS($K$124:$K$187,$E$124:$E$187,$A86)</f>
        <v>852242637.27272713</v>
      </c>
      <c r="D86" s="15">
        <f>D28-D41-SUMIFS($F57:$H57,$F$54:$H$54,D$84)*15%-SUMIFS($I57:$K57,$I$54:$K$54,D$84)*30%-SUMIFS($L57:$O57,$L$54:$O$54,D$84)*50%</f>
        <v>515078192.72727269</v>
      </c>
      <c r="E86" s="15">
        <f>E28-E41-SUMIFS($F57:$H57,$F$54:$H$54,E$84)*15%-SUMIFS($I57:$K57,$I$54:$K$54,E$84)*30%-SUMIFS($L57:$O57,$L$54:$O$54,E$84)*50%</f>
        <v>12520911.09090909</v>
      </c>
      <c r="F86" s="67">
        <f>F28-F41-SUMIFS($F57:$H57,$F$54:$H$54,F$84)*15%-SUMIFS($I57:$K57,$I$54:$K$54,F$84)*30%-SUMIFS($L57:$O57,$L$54:$O$54,F$84)*50%</f>
        <v>0</v>
      </c>
      <c r="G86" s="15">
        <f>G28-G41-SUMIFS($F57:$H57,$F$54:$H$54,G$84)*15%-SUMIFS($I57:$K57,$I$54:$K$54,G$84)*30%-SUMIFS($L57:$O57,$L$54:$O$54,G$84)*50%</f>
        <v>0</v>
      </c>
      <c r="H86" s="15">
        <f>H28-H41-SUMIFS($F57:$H57,$F$54:$H$54,H$84)*15%-SUMIFS($I57:$K57,$I$54:$K$54,H$84)*30%-SUMIFS($L57:$O57,$L$54:$O$54,H$84)*50%</f>
        <v>0</v>
      </c>
      <c r="I86" s="15">
        <f>I28-I41-SUMIFS($F57:$H57,$F$54:$H$54,I$84)*15%-SUMIFS($I57:$K57,$I$54:$K$54,I$84)*30%-SUMIFS($L57:$O57,$L$54:$O$54,I$84)*50%</f>
        <v>0</v>
      </c>
      <c r="J86" s="76"/>
      <c r="K86" s="24"/>
      <c r="L86" s="24"/>
      <c r="M86" s="24"/>
      <c r="N86" s="24"/>
      <c r="O86" s="24"/>
      <c r="P86" s="24"/>
    </row>
    <row r="87" spans="1:16" s="4" customFormat="1">
      <c r="A87" s="5" t="str">
        <f>A15</f>
        <v>NGUYEN VAN C</v>
      </c>
      <c r="B87" s="15">
        <f t="shared" si="22"/>
        <v>65698636.36363636</v>
      </c>
      <c r="C87" s="15">
        <f>C29-C42-SUMIFS($K$124:$K$187,$E$124:$E$187,$A87)</f>
        <v>63425909.090909086</v>
      </c>
      <c r="D87" s="15">
        <f>D29-D42-SUMIFS($F58:$H58,$F$54:$H$54,D$84)*15%-SUMIFS($I58:$K58,$I$54:$K$54,D$84)*30%-SUMIFS($L58:$O58,$L$54:$O$54,D$84)*50%</f>
        <v>0</v>
      </c>
      <c r="E87" s="15">
        <f>E29-E42-SUMIFS($F58:$H58,$F$54:$H$54,E$84)*15%-SUMIFS($I58:$K58,$I$54:$K$54,E$84)*30%-SUMIFS($L58:$O58,$L$54:$O$54,E$84)*50%</f>
        <v>0</v>
      </c>
      <c r="F87" s="15">
        <f>F29-F42-SUMIFS($F58:$H58,$F$54:$H$54,F$84)*15%-SUMIFS($I58:$K58,$I$54:$K$54,F$84)*30%-SUMIFS($L58:$O58,$L$54:$O$54,F$84)*50%</f>
        <v>0</v>
      </c>
      <c r="G87" s="15">
        <f>G29-G42-SUMIFS($F58:$H58,$F$54:$H$54,G$84)*15%-SUMIFS($I58:$K58,$I$54:$K$54,G$84)*30%-SUMIFS($L58:$O58,$L$54:$O$54,G$84)*50%</f>
        <v>2272727.2727272725</v>
      </c>
      <c r="H87" s="15">
        <f>H29-H42-SUMIFS($F58:$H58,$F$54:$H$54,H$84)*15%-SUMIFS($I58:$K58,$I$54:$K$54,H$84)*30%-SUMIFS($L58:$O58,$L$54:$O$54,H$84)*50%</f>
        <v>0</v>
      </c>
      <c r="I87" s="67">
        <f>I29-I42-SUMIFS($F58:$H58,$F$54:$H$54,I$84)*15%-SUMIFS($I58:$K58,$I$54:$K$54,I$84)*30%-SUMIFS($L58:$O58,$L$54:$O$54,I$84)*50%</f>
        <v>0</v>
      </c>
      <c r="J87" s="76"/>
      <c r="K87" s="24"/>
      <c r="L87" s="24"/>
      <c r="M87" s="24"/>
      <c r="N87" s="24"/>
      <c r="O87" s="24"/>
      <c r="P87" s="24"/>
    </row>
    <row r="88" spans="1:16" s="4" customFormat="1">
      <c r="A88" s="5" t="str">
        <f>A16</f>
        <v>NGUYEN VAN D</v>
      </c>
      <c r="B88" s="15">
        <f t="shared" si="22"/>
        <v>281284908.63636363</v>
      </c>
      <c r="C88" s="15">
        <f>C30-C43-SUMIFS($K$124:$K$187,$E$124:$E$187,$A88)</f>
        <v>203051556.36363634</v>
      </c>
      <c r="D88" s="15">
        <f>D30-D43-SUMIFS($F59:$H59,$F$54:$H$54,D$84)*15%-SUMIFS($I59:$K59,$I$54:$K$54,D$84)*30%-SUMIFS($L59:$O59,$L$54:$O$54,D$84)*50%</f>
        <v>33767727.272727273</v>
      </c>
      <c r="E88" s="15">
        <f>E30-E43-SUMIFS($F59:$H59,$F$54:$H$54,E$84)*15%-SUMIFS($I59:$K59,$I$54:$K$54,E$84)*30%-SUMIFS($L59:$O59,$L$54:$O$54,E$84)*50%</f>
        <v>0</v>
      </c>
      <c r="F88" s="15">
        <f>F30-F43-SUMIFS($F59:$H59,$F$54:$H$54,F$84)*15%-SUMIFS($I59:$K59,$I$54:$K$54,F$84)*30%-SUMIFS($L59:$O59,$L$54:$O$54,F$84)*50%</f>
        <v>44465624.999999993</v>
      </c>
      <c r="G88" s="15">
        <f>G30-G43-SUMIFS($F59:$H59,$F$54:$H$54,G$84)*15%-SUMIFS($I59:$K59,$I$54:$K$54,G$84)*30%-SUMIFS($L59:$O59,$L$54:$O$54,G$84)*50%</f>
        <v>0</v>
      </c>
      <c r="H88" s="15">
        <f>H30-H43-SUMIFS($F59:$H59,$F$54:$H$54,H$84)*15%-SUMIFS($I59:$K59,$I$54:$K$54,H$84)*30%-SUMIFS($L59:$O59,$L$54:$O$54,H$84)*50%</f>
        <v>0</v>
      </c>
      <c r="I88" s="15">
        <f>I30-I43-SUMIFS($F59:$H59,$F$54:$H$54,I$84)*15%-SUMIFS($I59:$K59,$I$54:$K$54,I$84)*30%-SUMIFS($L59:$O59,$L$54:$O$54,I$84)*50%</f>
        <v>0</v>
      </c>
      <c r="J88" s="76"/>
      <c r="K88" s="24"/>
      <c r="L88" s="24"/>
      <c r="M88" s="24"/>
      <c r="N88" s="24"/>
      <c r="O88" s="24"/>
      <c r="P88" s="24"/>
    </row>
    <row r="89" spans="1:16" s="4" customFormat="1">
      <c r="A89" s="5" t="str">
        <f>A17</f>
        <v>NGUYEN VAN E</v>
      </c>
      <c r="B89" s="15">
        <f t="shared" si="22"/>
        <v>97961008.181818187</v>
      </c>
      <c r="C89" s="15">
        <f>C31-C44-SUMIFS($K$124:$K$187,$E$124:$E$187,$A89)</f>
        <v>9090909.0909090899</v>
      </c>
      <c r="D89" s="15">
        <f>D31-D44-SUMIFS($F60:$H60,$F$54:$H$54,D$84)*15%-SUMIFS($I60:$K60,$I$54:$K$54,D$84)*30%-SUMIFS($L60:$O60,$L$54:$O$54,D$84)*50%</f>
        <v>10000000</v>
      </c>
      <c r="E89" s="15">
        <f>E31-E44-SUMIFS($F60:$H60,$F$54:$H$54,E$84)*15%-SUMIFS($I60:$K60,$I$54:$K$54,E$84)*30%-SUMIFS($L60:$O60,$L$54:$O$54,E$84)*50%</f>
        <v>15454545.454545453</v>
      </c>
      <c r="F89" s="15">
        <f>F31-F44-SUMIFS($F60:$H60,$F$54:$H$54,F$84)*15%-SUMIFS($I60:$K60,$I$54:$K$54,F$84)*30%-SUMIFS($L60:$O60,$L$54:$O$54,F$84)*50%</f>
        <v>15856363.636363635</v>
      </c>
      <c r="G89" s="15">
        <f>G31-G44-SUMIFS($F60:$H60,$F$54:$H$54,G$84)*15%-SUMIFS($I60:$K60,$I$54:$K$54,G$84)*30%-SUMIFS($L60:$O60,$L$54:$O$54,G$84)*50%</f>
        <v>47559190</v>
      </c>
      <c r="H89" s="15">
        <f>H31-H44-SUMIFS($F60:$H60,$F$54:$H$54,H$84)*15%-SUMIFS($I60:$K60,$I$54:$K$54,H$84)*30%-SUMIFS($L60:$O60,$L$54:$O$54,H$84)*50%</f>
        <v>0</v>
      </c>
      <c r="I89" s="15">
        <f>I31-I44-SUMIFS($F60:$H60,$F$54:$H$54,I$84)*15%-SUMIFS($I60:$K60,$I$54:$K$54,I$84)*30%-SUMIFS($L60:$O60,$L$54:$O$54,I$84)*50%</f>
        <v>0</v>
      </c>
      <c r="J89" s="76"/>
      <c r="K89" s="24"/>
      <c r="L89" s="24"/>
      <c r="M89" s="24"/>
      <c r="N89" s="24"/>
      <c r="O89" s="24"/>
      <c r="P89" s="24"/>
    </row>
    <row r="90" spans="1:16" s="4" customFormat="1">
      <c r="A90" s="5" t="str">
        <f>A18</f>
        <v>NGUYEN VAN F</v>
      </c>
      <c r="B90" s="15">
        <f t="shared" si="22"/>
        <v>97119727.272727266</v>
      </c>
      <c r="C90" s="15">
        <f>C32-C45-SUMIFS($K$124:$K$187,$E$124:$E$187,$A90)</f>
        <v>9090909.0909090899</v>
      </c>
      <c r="D90" s="15">
        <f>D32-D45-SUMIFS($F61:$H61,$F$54:$H$54,D$84)*15%-SUMIFS($I61:$K61,$I$54:$K$54,D$84)*30%-SUMIFS($L61:$O61,$L$54:$O$54,D$84)*50%</f>
        <v>33460000</v>
      </c>
      <c r="E90" s="15">
        <f>E32-E45-SUMIFS($F61:$H61,$F$54:$H$54,E$84)*15%-SUMIFS($I61:$K61,$I$54:$K$54,E$84)*30%-SUMIFS($L61:$O61,$L$54:$O$54,E$84)*50%</f>
        <v>3181818.1818181816</v>
      </c>
      <c r="F90" s="15">
        <f>F32-F45-SUMIFS($F61:$H61,$F$54:$H$54,F$84)*15%-SUMIFS($I61:$K61,$I$54:$K$54,F$84)*30%-SUMIFS($L61:$O61,$L$54:$O$54,F$84)*50%</f>
        <v>6363636.3636363633</v>
      </c>
      <c r="G90" s="15">
        <f>G32-G45-SUMIFS($F61:$H61,$F$54:$H$54,G$84)*15%-SUMIFS($I61:$K61,$I$54:$K$54,G$84)*30%-SUMIFS($L61:$O61,$L$54:$O$54,G$84)*50%</f>
        <v>45023363.636363626</v>
      </c>
      <c r="H90" s="15">
        <f>H32-H45-SUMIFS($F61:$H61,$F$54:$H$54,H$84)*15%-SUMIFS($I61:$K61,$I$54:$K$54,H$84)*30%-SUMIFS($L61:$O61,$L$54:$O$54,H$84)*50%</f>
        <v>0</v>
      </c>
      <c r="I90" s="15">
        <f>I32-I45-SUMIFS($F61:$H61,$F$54:$H$54,I$84)*15%-SUMIFS($I61:$K61,$I$54:$K$54,I$84)*30%-SUMIFS($L61:$O61,$L$54:$O$54,I$84)*50%</f>
        <v>0</v>
      </c>
      <c r="J90" s="76"/>
      <c r="K90" s="24"/>
      <c r="L90" s="24"/>
      <c r="M90" s="24"/>
      <c r="N90" s="24"/>
      <c r="O90" s="24"/>
      <c r="P90" s="24"/>
    </row>
    <row r="91" spans="1:16" s="4" customFormat="1">
      <c r="A91" s="5" t="str">
        <f>A19</f>
        <v>NGUYEN VAN G</v>
      </c>
      <c r="B91" s="15">
        <f t="shared" ref="B91" si="23">SUM(C91:I91)</f>
        <v>784871785.45454538</v>
      </c>
      <c r="C91" s="15">
        <f>C33-C46-SUMIFS($K$124:$K$187,$E$124:$E$187,$A91)</f>
        <v>529115885.45454544</v>
      </c>
      <c r="D91" s="15">
        <f>D33-D46-SUMIFS($F62:$H62,$F$54:$H$54,D$84)*15%-SUMIFS($I62:$K62,$I$54:$K$54,D$84)*30%-SUMIFS($L62:$O62,$L$54:$O$54,D$84)*50%</f>
        <v>255755899.99999997</v>
      </c>
      <c r="E91" s="15">
        <f>E33-E46-SUMIFS($F62:$H62,$F$54:$H$54,E$84)*15%-SUMIFS($I62:$K62,$I$54:$K$54,E$84)*30%-SUMIFS($L62:$O62,$L$54:$O$54,E$84)*50%</f>
        <v>0</v>
      </c>
      <c r="F91" s="15">
        <f>F33-F46-SUMIFS($F62:$H62,$F$54:$H$54,F$84)*15%-SUMIFS($I62:$K62,$I$54:$K$54,F$84)*30%-SUMIFS($L62:$O62,$L$54:$O$54,F$84)*50%</f>
        <v>0</v>
      </c>
      <c r="G91" s="15">
        <f>G33-G46-SUMIFS($F62:$H62,$F$54:$H$54,G$84)*15%-SUMIFS($I62:$K62,$I$54:$K$54,G$84)*30%-SUMIFS($L62:$O62,$L$54:$O$54,G$84)*50%</f>
        <v>0</v>
      </c>
      <c r="H91" s="15">
        <f>H33-H46-SUMIFS($F62:$H62,$F$54:$H$54,H$84)*15%-SUMIFS($I62:$K62,$I$54:$K$54,H$84)*30%-SUMIFS($L62:$O62,$L$54:$O$54,H$84)*50%</f>
        <v>0</v>
      </c>
      <c r="I91" s="15">
        <f>I33-I46-SUMIFS($F62:$H62,$F$54:$H$54,I$84)*15%-SUMIFS($I62:$K62,$I$54:$K$54,I$84)*30%-SUMIFS($L62:$O62,$L$54:$O$54,I$84)*50%</f>
        <v>0</v>
      </c>
      <c r="J91" s="76"/>
      <c r="K91" s="24"/>
      <c r="L91" s="24"/>
      <c r="M91" s="24"/>
      <c r="N91" s="24"/>
      <c r="O91" s="24"/>
      <c r="P91" s="24"/>
    </row>
    <row r="92" spans="1:16" s="4" customFormat="1">
      <c r="A92" s="5" t="str">
        <f>A20</f>
        <v>NGUYEN VAN H</v>
      </c>
      <c r="B92" s="15">
        <f t="shared" si="22"/>
        <v>91378978.181818172</v>
      </c>
      <c r="C92" s="15">
        <f>C34-C47-SUMIFS($K$124:$K$187,$E$124:$E$187,$A92)</f>
        <v>17672727.27272727</v>
      </c>
      <c r="D92" s="15">
        <f>D34-D47-SUMIFS($F63:$H63,$F$54:$H$54,D$84)*15%-SUMIFS($I63:$K63,$I$54:$K$54,D$84)*30%-SUMIFS($L63:$O63,$L$54:$O$54,D$84)*50%</f>
        <v>9780455.4545454532</v>
      </c>
      <c r="E92" s="15">
        <f>E34-E47-SUMIFS($F63:$H63,$F$54:$H$54,E$84)*15%-SUMIFS($I63:$K63,$I$54:$K$54,E$84)*30%-SUMIFS($L63:$O63,$L$54:$O$54,E$84)*50%</f>
        <v>63925795.454545446</v>
      </c>
      <c r="F92" s="15">
        <f>F34-F47-SUMIFS($F63:$H63,$F$54:$H$54,F$84)*15%-SUMIFS($I63:$K63,$I$54:$K$54,F$84)*30%-SUMIFS($L63:$O63,$L$54:$O$54,F$84)*50%</f>
        <v>0</v>
      </c>
      <c r="G92" s="15">
        <f>G34-G47-SUMIFS($F63:$H63,$F$54:$H$54,G$84)*15%-SUMIFS($I63:$K63,$I$54:$K$54,G$84)*30%-SUMIFS($L63:$O63,$L$54:$O$54,G$84)*50%</f>
        <v>0</v>
      </c>
      <c r="H92" s="15">
        <f>H34-H47-SUMIFS($F63:$H63,$F$54:$H$54,H$84)*15%-SUMIFS($I63:$K63,$I$54:$K$54,H$84)*30%-SUMIFS($L63:$O63,$L$54:$O$54,H$84)*50%</f>
        <v>0</v>
      </c>
      <c r="I92" s="15">
        <f>I34-I47-SUMIFS($F63:$H63,$F$54:$H$54,I$84)*15%-SUMIFS($I63:$K63,$I$54:$K$54,I$84)*30%-SUMIFS($L63:$O63,$L$54:$O$54,I$84)*50%</f>
        <v>0</v>
      </c>
      <c r="J92" s="76"/>
      <c r="K92" s="24"/>
      <c r="L92" s="24"/>
      <c r="M92" s="24"/>
      <c r="N92" s="24"/>
      <c r="O92" s="24"/>
      <c r="P92" s="24"/>
    </row>
    <row r="93" spans="1:16" s="4" customFormat="1">
      <c r="A93" s="10" t="str">
        <f>A21</f>
        <v>NGUYEN VAN I</v>
      </c>
      <c r="B93" s="15">
        <f t="shared" si="22"/>
        <v>134642304.54545453</v>
      </c>
      <c r="C93" s="15">
        <f>C35-C48-SUMIFS($K$124:$K$187,$E$124:$E$187,$A93)</f>
        <v>22564545.454545453</v>
      </c>
      <c r="D93" s="15">
        <f>D35-D48-SUMIFS($F64:$H64,$F$54:$H$54,D$84)*15%-SUMIFS($I64:$K64,$I$54:$K$54,D$84)*30%-SUMIFS($L64:$O64,$L$54:$O$54,D$84)*50%</f>
        <v>80975304.545454532</v>
      </c>
      <c r="E93" s="15">
        <f>E35-E48-SUMIFS($F64:$H64,$F$54:$H$54,E$84)*15%-SUMIFS($I64:$K64,$I$54:$K$54,E$84)*30%-SUMIFS($L64:$O64,$L$54:$O$54,E$84)*50%</f>
        <v>21954727.27272727</v>
      </c>
      <c r="F93" s="15">
        <f>F35-F48-SUMIFS($F64:$H64,$F$54:$H$54,F$84)*15%-SUMIFS($I64:$K64,$I$54:$K$54,F$84)*30%-SUMIFS($L64:$O64,$L$54:$O$54,F$84)*50%</f>
        <v>9147727.2727272715</v>
      </c>
      <c r="G93" s="15">
        <f>G35-G48-SUMIFS($F64:$H64,$F$54:$H$54,G$84)*15%-SUMIFS($I64:$K64,$I$54:$K$54,G$84)*30%-SUMIFS($L64:$O64,$L$54:$O$54,G$84)*50%</f>
        <v>0</v>
      </c>
      <c r="H93" s="15">
        <f>H35-H48-SUMIFS($F64:$H64,$F$54:$H$54,H$84)*15%-SUMIFS($I64:$K64,$I$54:$K$54,H$84)*30%-SUMIFS($L64:$O64,$L$54:$O$54,H$84)*50%</f>
        <v>0</v>
      </c>
      <c r="I93" s="15">
        <f>I35-I48-SUMIFS($F64:$H64,$F$54:$H$54,I$84)*15%-SUMIFS($I64:$K64,$I$54:$K$54,I$84)*30%-SUMIFS($L64:$O64,$L$54:$O$54,I$84)*50%</f>
        <v>0</v>
      </c>
      <c r="J93" s="76"/>
      <c r="K93" s="24"/>
      <c r="L93" s="24"/>
      <c r="M93" s="24"/>
      <c r="N93" s="24"/>
      <c r="O93" s="24"/>
      <c r="P93" s="24"/>
    </row>
    <row r="94" spans="1:16" s="4" customFormat="1">
      <c r="A94" s="5" t="str">
        <f>A22</f>
        <v>NGUYEN VAN K</v>
      </c>
      <c r="B94" s="15">
        <f>SUM(C94:I94)</f>
        <v>419153591.45454544</v>
      </c>
      <c r="C94" s="15">
        <f>C36-C49-SUMIFS($K$124:$K$187,$E$124:$E$187,$A94)</f>
        <v>353472378.18181813</v>
      </c>
      <c r="D94" s="15">
        <f>D36-D49-SUMIFS($F65:$H65,$F$54:$H$54,D$84)*15%-SUMIFS($I65:$K65,$I$54:$K$54,D$84)*30%-SUMIFS($L65:$O65,$L$54:$O$54,D$84)*50%</f>
        <v>54290714.545454539</v>
      </c>
      <c r="E94" s="15">
        <f>E36-E49-SUMIFS($F65:$H65,$F$54:$H$54,E$84)*15%-SUMIFS($I65:$K65,$I$54:$K$54,E$84)*30%-SUMIFS($L65:$O65,$L$54:$O$54,E$84)*50%</f>
        <v>6963636.3636363633</v>
      </c>
      <c r="F94" s="15">
        <f>F36-F49-SUMIFS($F65:$H65,$F$54:$H$54,F$84)*15%-SUMIFS($I65:$K65,$I$54:$K$54,F$84)*30%-SUMIFS($L65:$O65,$L$54:$O$54,F$84)*50%</f>
        <v>4426862.3636363633</v>
      </c>
      <c r="G94" s="15">
        <f>G36-G49-SUMIFS($F65:$H65,$F$54:$H$54,G$84)*15%-SUMIFS($I65:$K65,$I$54:$K$54,G$84)*30%-SUMIFS($L65:$O65,$L$54:$O$54,G$84)*50%</f>
        <v>0</v>
      </c>
      <c r="H94" s="15">
        <f>H36-H49-SUMIFS($F65:$H65,$F$54:$H$54,H$84)*15%-SUMIFS($I65:$K65,$I$54:$K$54,H$84)*30%-SUMIFS($L65:$O65,$L$54:$O$54,H$84)*50%</f>
        <v>0</v>
      </c>
      <c r="I94" s="15">
        <f>I36-I49-SUMIFS($F65:$H65,$F$54:$H$54,I$84)*15%-SUMIFS($I65:$K65,$I$54:$K$54,I$84)*30%-SUMIFS($L65:$O65,$L$54:$O$54,I$84)*50%</f>
        <v>0</v>
      </c>
      <c r="J94" s="76"/>
      <c r="K94" s="24"/>
      <c r="L94" s="24"/>
      <c r="M94" s="24"/>
      <c r="N94" s="24"/>
      <c r="O94" s="24"/>
      <c r="P94" s="24"/>
    </row>
    <row r="95" spans="1:16" s="2" customFormat="1" ht="15.6">
      <c r="A95" s="52" t="s">
        <v>21</v>
      </c>
      <c r="B95" s="57">
        <f>SUM(B85:B94)</f>
        <v>4660009946.636363</v>
      </c>
      <c r="C95" s="57">
        <f>SUM(C85:C94)</f>
        <v>3105853373.6363635</v>
      </c>
      <c r="D95" s="57">
        <f>SUM(D85:D94)</f>
        <v>1254042825.4545453</v>
      </c>
      <c r="E95" s="57">
        <f>SUM(E85:E94)</f>
        <v>124998251.99999997</v>
      </c>
      <c r="F95" s="57">
        <f>SUM(F85:F94)</f>
        <v>80260214.636363611</v>
      </c>
      <c r="G95" s="57">
        <f>SUM(G85:G94)</f>
        <v>94855280.909090906</v>
      </c>
      <c r="H95" s="57">
        <f>SUM(H85:H94)</f>
        <v>0</v>
      </c>
      <c r="I95" s="57">
        <f>SUM(I85:I94)</f>
        <v>0</v>
      </c>
      <c r="J95" s="76"/>
      <c r="K95" s="35"/>
    </row>
    <row r="96" spans="1:16">
      <c r="A96" s="82" t="s">
        <v>48</v>
      </c>
      <c r="B96" s="91">
        <f>B37-B50-B81-B95</f>
        <v>0</v>
      </c>
    </row>
    <row r="97" spans="1:16">
      <c r="A97" s="132" t="s">
        <v>65</v>
      </c>
      <c r="B97" s="133"/>
      <c r="C97" s="134" t="str">
        <f>C$26</f>
        <v>T6</v>
      </c>
      <c r="D97" s="135" t="str">
        <f t="shared" ref="D97:I97" si="24">D$26</f>
        <v>T5</v>
      </c>
      <c r="E97" s="135" t="str">
        <f t="shared" si="24"/>
        <v>T4</v>
      </c>
      <c r="F97" s="135" t="str">
        <f t="shared" si="24"/>
        <v>T3</v>
      </c>
      <c r="G97" s="135" t="str">
        <f t="shared" si="24"/>
        <v>T2</v>
      </c>
      <c r="H97" s="135" t="str">
        <f t="shared" si="24"/>
        <v>T1</v>
      </c>
      <c r="I97" s="135" t="str">
        <f t="shared" si="24"/>
        <v>T12/22</v>
      </c>
      <c r="J97" s="24"/>
      <c r="K97" s="24"/>
    </row>
    <row r="98" spans="1:16">
      <c r="A98" s="5" t="str">
        <f>A13</f>
        <v>NGUYEN VAN A</v>
      </c>
      <c r="B98" s="47"/>
      <c r="C98" s="63">
        <f>INDEX(Target!$Y$2:$AS$12,MATCH($A98,Target!$Y$2:$Y$12,0),MATCH(C$97,Target!$Y$2:$AS$2,0))</f>
        <v>1.7000000000000001E-2</v>
      </c>
      <c r="D98" s="63">
        <f>INDEX(Target!$Y$2:$AS$12,MATCH($A98,Target!$Y$2:$Y$12,0),MATCH(D$97,Target!$Y$2:$AS$2,0))</f>
        <v>1.7000000000000001E-2</v>
      </c>
      <c r="E98" s="63">
        <f>INDEX(Target!$Y$2:$AS$12,MATCH($A98,Target!$Y$2:$Y$12,0),MATCH(E$97,Target!$Y$2:$AS$2,0))</f>
        <v>1.9E-2</v>
      </c>
      <c r="F98" s="63">
        <f>INDEX(Target!$Y$2:$AS$12,MATCH($A98,Target!$Y$2:$Y$12,0),MATCH(F$97,Target!$Y$2:$AS$2,0))</f>
        <v>1.7000000000000001E-2</v>
      </c>
      <c r="G98" s="63">
        <f>INDEX(Target!$Y$2:$AS$12,MATCH($A98,Target!$Y$2:$Y$12,0),MATCH(G$97,Target!$Y$2:$AS$2,0))</f>
        <v>1.9E-2</v>
      </c>
      <c r="H98" s="63">
        <f>INDEX(Target!$Y$2:$AS$12,MATCH($A98,Target!$Y$2:$Y$12,0),MATCH(H$97,Target!$Y$2:$AS$2,0))</f>
        <v>1.7000000000000001E-2</v>
      </c>
      <c r="I98" s="63">
        <f>INDEX(Target!$Y$2:$AS$12,MATCH($A98,Target!$Y$2:$Y$12,0),MATCH(I$97,Target!$Y$2:$AS$2,0))</f>
        <v>1.9E-2</v>
      </c>
      <c r="J98" s="24"/>
      <c r="K98" s="24"/>
    </row>
    <row r="99" spans="1:16">
      <c r="A99" s="5" t="str">
        <f>A14</f>
        <v>NGUYEN VAN B</v>
      </c>
      <c r="B99" s="47"/>
      <c r="C99" s="63">
        <f>INDEX(Target!$Y$2:$AS$12,MATCH($A99,Target!$Y$2:$Y$12,0),MATCH(C$97,Target!$Y$2:$AS$2,0))</f>
        <v>1.4999999999999999E-2</v>
      </c>
      <c r="D99" s="63">
        <f>INDEX(Target!$Y$2:$AS$12,MATCH($A99,Target!$Y$2:$Y$12,0),MATCH(D$97,Target!$Y$2:$AS$2,0))</f>
        <v>1.4999999999999999E-2</v>
      </c>
      <c r="E99" s="63">
        <f>INDEX(Target!$Y$2:$AS$12,MATCH($A99,Target!$Y$2:$Y$12,0),MATCH(E$97,Target!$Y$2:$AS$2,0))</f>
        <v>1.4999999999999999E-2</v>
      </c>
      <c r="F99" s="63">
        <f>INDEX(Target!$Y$2:$AS$12,MATCH($A99,Target!$Y$2:$Y$12,0),MATCH(F$97,Target!$Y$2:$AS$2,0))</f>
        <v>1.9E-2</v>
      </c>
      <c r="G99" s="63">
        <f>INDEX(Target!$Y$2:$AS$12,MATCH($A99,Target!$Y$2:$Y$12,0),MATCH(G$97,Target!$Y$2:$AS$2,0))</f>
        <v>1.9E-2</v>
      </c>
      <c r="H99" s="63">
        <f>INDEX(Target!$Y$2:$AS$12,MATCH($A99,Target!$Y$2:$Y$12,0),MATCH(H$97,Target!$Y$2:$AS$2,0))</f>
        <v>1.4999999999999999E-2</v>
      </c>
      <c r="I99" s="63">
        <f>INDEX(Target!$Y$2:$AS$12,MATCH($A99,Target!$Y$2:$Y$12,0),MATCH(I$97,Target!$Y$2:$AS$2,0))</f>
        <v>1.9E-2</v>
      </c>
      <c r="J99" s="24"/>
      <c r="K99" s="24"/>
    </row>
    <row r="100" spans="1:16">
      <c r="A100" s="5" t="str">
        <f>A15</f>
        <v>NGUYEN VAN C</v>
      </c>
      <c r="B100" s="47"/>
      <c r="C100" s="63">
        <f>INDEX(Target!$Y$2:$AS$12,MATCH($A100,Target!$Y$2:$Y$12,0),MATCH(C$97,Target!$Y$2:$AS$2,0))</f>
        <v>0.01</v>
      </c>
      <c r="D100" s="63">
        <f>INDEX(Target!$Y$2:$AS$12,MATCH($A100,Target!$Y$2:$Y$12,0),MATCH(D$97,Target!$Y$2:$AS$2,0))</f>
        <v>1.9E-2</v>
      </c>
      <c r="E100" s="63">
        <f>INDEX(Target!$Y$2:$AS$12,MATCH($A100,Target!$Y$2:$Y$12,0),MATCH(E$97,Target!$Y$2:$AS$2,0))</f>
        <v>1.9E-2</v>
      </c>
      <c r="F100" s="63">
        <f>INDEX(Target!$Y$2:$AS$12,MATCH($A100,Target!$Y$2:$Y$12,0),MATCH(F$97,Target!$Y$2:$AS$2,0))</f>
        <v>1.9E-2</v>
      </c>
      <c r="G100" s="63">
        <f>INDEX(Target!$Y$2:$AS$12,MATCH($A100,Target!$Y$2:$Y$12,0),MATCH(G$97,Target!$Y$2:$AS$2,0))</f>
        <v>0.01</v>
      </c>
      <c r="H100" s="63">
        <f>INDEX(Target!$Y$2:$AS$12,MATCH($A100,Target!$Y$2:$Y$12,0),MATCH(H$97,Target!$Y$2:$AS$2,0))</f>
        <v>0.01</v>
      </c>
      <c r="I100" s="63">
        <f>INDEX(Target!$Y$2:$AS$12,MATCH($A100,Target!$Y$2:$Y$12,0),MATCH(I$97,Target!$Y$2:$AS$2,0))</f>
        <v>1.9E-2</v>
      </c>
      <c r="J100" s="24"/>
      <c r="K100" s="24"/>
    </row>
    <row r="101" spans="1:16">
      <c r="A101" s="5" t="str">
        <f>A16</f>
        <v>NGUYEN VAN D</v>
      </c>
      <c r="B101" s="47"/>
      <c r="C101" s="63">
        <f>INDEX(Target!$Y$2:$AS$12,MATCH($A101,Target!$Y$2:$Y$12,0),MATCH(C$97,Target!$Y$2:$AS$2,0))</f>
        <v>7.0000000000000001E-3</v>
      </c>
      <c r="D101" s="63">
        <f>INDEX(Target!$Y$2:$AS$12,MATCH($A101,Target!$Y$2:$Y$12,0),MATCH(D$97,Target!$Y$2:$AS$2,0))</f>
        <v>1.7000000000000001E-2</v>
      </c>
      <c r="E101" s="63">
        <f>INDEX(Target!$Y$2:$AS$12,MATCH($A101,Target!$Y$2:$Y$12,0),MATCH(E$97,Target!$Y$2:$AS$2,0))</f>
        <v>1.7000000000000001E-2</v>
      </c>
      <c r="F101" s="63">
        <f>INDEX(Target!$Y$2:$AS$12,MATCH($A101,Target!$Y$2:$Y$12,0),MATCH(F$97,Target!$Y$2:$AS$2,0))</f>
        <v>7.0000000000000001E-3</v>
      </c>
      <c r="G101" s="63">
        <f>INDEX(Target!$Y$2:$AS$12,MATCH($A101,Target!$Y$2:$Y$12,0),MATCH(G$97,Target!$Y$2:$AS$2,0))</f>
        <v>7.0000000000000001E-3</v>
      </c>
      <c r="H101" s="63">
        <f>INDEX(Target!$Y$2:$AS$12,MATCH($A101,Target!$Y$2:$Y$12,0),MATCH(H$97,Target!$Y$2:$AS$2,0))</f>
        <v>8.0000000000000002E-3</v>
      </c>
      <c r="I101" s="63">
        <f>INDEX(Target!$Y$2:$AS$12,MATCH($A101,Target!$Y$2:$Y$12,0),MATCH(I$97,Target!$Y$2:$AS$2,0))</f>
        <v>1.9E-2</v>
      </c>
      <c r="J101" s="24"/>
      <c r="K101" s="24"/>
    </row>
    <row r="102" spans="1:16">
      <c r="A102" s="5" t="str">
        <f>A17</f>
        <v>NGUYEN VAN E</v>
      </c>
      <c r="B102" s="47"/>
      <c r="C102" s="63">
        <f>INDEX(Target!$Y$2:$AS$12,MATCH($A102,Target!$Y$2:$Y$12,0),MATCH(C$97,Target!$Y$2:$AS$2,0))</f>
        <v>7.0000000000000001E-3</v>
      </c>
      <c r="D102" s="63">
        <f>INDEX(Target!$Y$2:$AS$12,MATCH($A102,Target!$Y$2:$Y$12,0),MATCH(D$97,Target!$Y$2:$AS$2,0))</f>
        <v>1.9E-2</v>
      </c>
      <c r="E102" s="63">
        <f>INDEX(Target!$Y$2:$AS$12,MATCH($A102,Target!$Y$2:$Y$12,0),MATCH(E$97,Target!$Y$2:$AS$2,0))</f>
        <v>8.0000000000000002E-3</v>
      </c>
      <c r="F102" s="63">
        <f>INDEX(Target!$Y$2:$AS$12,MATCH($A102,Target!$Y$2:$Y$12,0),MATCH(F$97,Target!$Y$2:$AS$2,0))</f>
        <v>7.0000000000000001E-3</v>
      </c>
      <c r="G102" s="63">
        <f>INDEX(Target!$Y$2:$AS$12,MATCH($A102,Target!$Y$2:$Y$12,0),MATCH(G$97,Target!$Y$2:$AS$2,0))</f>
        <v>7.0000000000000001E-3</v>
      </c>
      <c r="H102" s="63">
        <f>INDEX(Target!$Y$2:$AS$12,MATCH($A102,Target!$Y$2:$Y$12,0),MATCH(H$97,Target!$Y$2:$AS$2,0))</f>
        <v>7.0000000000000001E-3</v>
      </c>
      <c r="I102" s="63">
        <f>INDEX(Target!$Y$2:$AS$12,MATCH($A102,Target!$Y$2:$Y$12,0),MATCH(I$97,Target!$Y$2:$AS$2,0))</f>
        <v>1.9E-2</v>
      </c>
      <c r="J102" s="24"/>
      <c r="K102" s="24"/>
    </row>
    <row r="103" spans="1:16">
      <c r="A103" s="5" t="str">
        <f>A18</f>
        <v>NGUYEN VAN F</v>
      </c>
      <c r="B103" s="47"/>
      <c r="C103" s="63">
        <f>INDEX(Target!$Y$2:$AS$12,MATCH($A103,Target!$Y$2:$Y$12,0),MATCH(C$97,Target!$Y$2:$AS$2,0))</f>
        <v>1.4999999999999999E-2</v>
      </c>
      <c r="D103" s="63">
        <f>INDEX(Target!$Y$2:$AS$12,MATCH($A103,Target!$Y$2:$Y$12,0),MATCH(D$97,Target!$Y$2:$AS$2,0))</f>
        <v>1.4999999999999999E-2</v>
      </c>
      <c r="E103" s="63">
        <f>INDEX(Target!$Y$2:$AS$12,MATCH($A103,Target!$Y$2:$Y$12,0),MATCH(E$97,Target!$Y$2:$AS$2,0))</f>
        <v>1.4999999999999999E-2</v>
      </c>
      <c r="F103" s="63">
        <f>INDEX(Target!$Y$2:$AS$12,MATCH($A103,Target!$Y$2:$Y$12,0),MATCH(F$97,Target!$Y$2:$AS$2,0))</f>
        <v>1.9E-2</v>
      </c>
      <c r="G103" s="63">
        <f>INDEX(Target!$Y$2:$AS$12,MATCH($A103,Target!$Y$2:$Y$12,0),MATCH(G$97,Target!$Y$2:$AS$2,0))</f>
        <v>1.9E-2</v>
      </c>
      <c r="H103" s="63">
        <f>INDEX(Target!$Y$2:$AS$12,MATCH($A103,Target!$Y$2:$Y$12,0),MATCH(H$97,Target!$Y$2:$AS$2,0))</f>
        <v>1.4999999999999999E-2</v>
      </c>
      <c r="I103" s="63">
        <f>INDEX(Target!$Y$2:$AS$12,MATCH($A103,Target!$Y$2:$Y$12,0),MATCH(I$97,Target!$Y$2:$AS$2,0))</f>
        <v>7.000000000000001E-3</v>
      </c>
      <c r="J103" s="24"/>
      <c r="K103" s="24"/>
    </row>
    <row r="104" spans="1:16">
      <c r="A104" s="5" t="str">
        <f>A19</f>
        <v>NGUYEN VAN G</v>
      </c>
      <c r="B104" s="47"/>
      <c r="C104" s="63">
        <f>INDEX(Target!$Y$2:$AS$12,MATCH($A104,Target!$Y$2:$Y$12,0),MATCH(C$97,Target!$Y$2:$AS$2,0))</f>
        <v>8.0000000000000002E-3</v>
      </c>
      <c r="D104" s="63">
        <f>INDEX(Target!$Y$2:$AS$12,MATCH($A104,Target!$Y$2:$Y$12,0),MATCH(D$97,Target!$Y$2:$AS$2,0))</f>
        <v>8.0000000000000002E-3</v>
      </c>
      <c r="E104" s="63">
        <f>INDEX(Target!$Y$2:$AS$12,MATCH($A104,Target!$Y$2:$Y$12,0),MATCH(E$97,Target!$Y$2:$AS$2,0))</f>
        <v>8.0000000000000002E-3</v>
      </c>
      <c r="F104" s="63">
        <f>INDEX(Target!$Y$2:$AS$12,MATCH($A104,Target!$Y$2:$Y$12,0),MATCH(F$97,Target!$Y$2:$AS$2,0))</f>
        <v>8.0000000000000002E-3</v>
      </c>
      <c r="G104" s="63">
        <f>INDEX(Target!$Y$2:$AS$12,MATCH($A104,Target!$Y$2:$Y$12,0),MATCH(G$97,Target!$Y$2:$AS$2,0))</f>
        <v>8.0000000000000002E-3</v>
      </c>
      <c r="H104" s="63">
        <f>INDEX(Target!$Y$2:$AS$12,MATCH($A104,Target!$Y$2:$Y$12,0),MATCH(H$97,Target!$Y$2:$AS$2,0))</f>
        <v>8.0000000000000002E-3</v>
      </c>
      <c r="I104" s="63">
        <f>INDEX(Target!$Y$2:$AS$12,MATCH($A104,Target!$Y$2:$Y$12,0),MATCH(I$97,Target!$Y$2:$AS$2,0))</f>
        <v>8.0000000000000002E-3</v>
      </c>
      <c r="J104" s="24"/>
      <c r="K104" s="24"/>
    </row>
    <row r="105" spans="1:16">
      <c r="A105" s="5" t="str">
        <f>A20</f>
        <v>NGUYEN VAN H</v>
      </c>
      <c r="B105" s="47"/>
      <c r="C105" s="63">
        <f>INDEX(Target!$Y$2:$AS$12,MATCH($A105,Target!$Y$2:$Y$12,0),MATCH(C$97,Target!$Y$2:$AS$2,0))</f>
        <v>1.7000000000000001E-2</v>
      </c>
      <c r="D105" s="63">
        <f>INDEX(Target!$Y$2:$AS$12,MATCH($A105,Target!$Y$2:$Y$12,0),MATCH(D$97,Target!$Y$2:$AS$2,0))</f>
        <v>1.7000000000000001E-2</v>
      </c>
      <c r="E105" s="63">
        <f>INDEX(Target!$Y$2:$AS$12,MATCH($A105,Target!$Y$2:$Y$12,0),MATCH(E$97,Target!$Y$2:$AS$2,0))</f>
        <v>1.9E-2</v>
      </c>
      <c r="F105" s="63">
        <f>INDEX(Target!$Y$2:$AS$12,MATCH($A105,Target!$Y$2:$Y$12,0),MATCH(F$97,Target!$Y$2:$AS$2,0))</f>
        <v>1.7000000000000001E-2</v>
      </c>
      <c r="G105" s="63">
        <f>INDEX(Target!$Y$2:$AS$12,MATCH($A105,Target!$Y$2:$Y$12,0),MATCH(G$97,Target!$Y$2:$AS$2,0))</f>
        <v>1.9E-2</v>
      </c>
      <c r="H105" s="63">
        <f>INDEX(Target!$Y$2:$AS$12,MATCH($A105,Target!$Y$2:$Y$12,0),MATCH(H$97,Target!$Y$2:$AS$2,0))</f>
        <v>1.7000000000000001E-2</v>
      </c>
      <c r="I105" s="63">
        <f>INDEX(Target!$Y$2:$AS$12,MATCH($A105,Target!$Y$2:$Y$12,0),MATCH(I$97,Target!$Y$2:$AS$2,0))</f>
        <v>1.3000000000000001E-2</v>
      </c>
      <c r="J105" s="24"/>
      <c r="K105" s="24"/>
    </row>
    <row r="106" spans="1:16">
      <c r="A106" s="5" t="str">
        <f>A21</f>
        <v>NGUYEN VAN I</v>
      </c>
      <c r="B106" s="47"/>
      <c r="C106" s="63">
        <f>INDEX(Target!$Y$2:$AS$12,MATCH($A106,Target!$Y$2:$Y$12,0),MATCH(C$97,Target!$Y$2:$AS$2,0))</f>
        <v>1.4999999999999999E-2</v>
      </c>
      <c r="D106" s="63">
        <f>INDEX(Target!$Y$2:$AS$12,MATCH($A106,Target!$Y$2:$Y$12,0),MATCH(D$97,Target!$Y$2:$AS$2,0))</f>
        <v>1.4999999999999999E-2</v>
      </c>
      <c r="E106" s="63">
        <f>INDEX(Target!$Y$2:$AS$12,MATCH($A106,Target!$Y$2:$Y$12,0),MATCH(E$97,Target!$Y$2:$AS$2,0))</f>
        <v>1.4999999999999999E-2</v>
      </c>
      <c r="F106" s="63">
        <f>INDEX(Target!$Y$2:$AS$12,MATCH($A106,Target!$Y$2:$Y$12,0),MATCH(F$97,Target!$Y$2:$AS$2,0))</f>
        <v>1.9E-2</v>
      </c>
      <c r="G106" s="63">
        <f>INDEX(Target!$Y$2:$AS$12,MATCH($A106,Target!$Y$2:$Y$12,0),MATCH(G$97,Target!$Y$2:$AS$2,0))</f>
        <v>1.9E-2</v>
      </c>
      <c r="H106" s="63">
        <f>INDEX(Target!$Y$2:$AS$12,MATCH($A106,Target!$Y$2:$Y$12,0),MATCH(H$97,Target!$Y$2:$AS$2,0))</f>
        <v>1.4999999999999999E-2</v>
      </c>
      <c r="I106" s="63">
        <f>INDEX(Target!$Y$2:$AS$12,MATCH($A106,Target!$Y$2:$Y$12,0),MATCH(I$97,Target!$Y$2:$AS$2,0))</f>
        <v>1.3000000000000001E-2</v>
      </c>
      <c r="J106" s="24"/>
      <c r="K106" s="24"/>
    </row>
    <row r="107" spans="1:16">
      <c r="A107" s="5" t="str">
        <f>A22</f>
        <v>NGUYEN VAN K</v>
      </c>
      <c r="B107" s="47"/>
      <c r="C107" s="63">
        <f>INDEX(Target!$Y$2:$AS$12,MATCH($A107,Target!$Y$2:$Y$12,0),MATCH(C$97,Target!$Y$2:$AS$2,0))</f>
        <v>0.01</v>
      </c>
      <c r="D107" s="63">
        <f>INDEX(Target!$Y$2:$AS$12,MATCH($A107,Target!$Y$2:$Y$12,0),MATCH(D$97,Target!$Y$2:$AS$2,0))</f>
        <v>1.9E-2</v>
      </c>
      <c r="E107" s="63">
        <f>INDEX(Target!$Y$2:$AS$12,MATCH($A107,Target!$Y$2:$Y$12,0),MATCH(E$97,Target!$Y$2:$AS$2,0))</f>
        <v>1.9E-2</v>
      </c>
      <c r="F107" s="63">
        <f>INDEX(Target!$Y$2:$AS$12,MATCH($A107,Target!$Y$2:$Y$12,0),MATCH(F$97,Target!$Y$2:$AS$2,0))</f>
        <v>1.9E-2</v>
      </c>
      <c r="G107" s="63">
        <f>INDEX(Target!$Y$2:$AS$12,MATCH($A107,Target!$Y$2:$Y$12,0),MATCH(G$97,Target!$Y$2:$AS$2,0))</f>
        <v>0.01</v>
      </c>
      <c r="H107" s="63">
        <f>INDEX(Target!$Y$2:$AS$12,MATCH($A107,Target!$Y$2:$Y$12,0),MATCH(H$97,Target!$Y$2:$AS$2,0))</f>
        <v>0.01</v>
      </c>
      <c r="I107" s="63">
        <f>INDEX(Target!$Y$2:$AS$12,MATCH($A107,Target!$Y$2:$Y$12,0),MATCH(I$97,Target!$Y$2:$AS$2,0))</f>
        <v>1.3000000000000001E-2</v>
      </c>
      <c r="J107" s="24"/>
      <c r="K107" s="24"/>
    </row>
    <row r="108" spans="1:16">
      <c r="A108" s="19"/>
      <c r="J108" s="24"/>
      <c r="K108" s="24"/>
    </row>
    <row r="109" spans="1:16" s="4" customFormat="1" ht="15" customHeight="1">
      <c r="A109" s="105" t="s">
        <v>12</v>
      </c>
      <c r="B109" s="129" t="s">
        <v>36</v>
      </c>
      <c r="C109" s="130"/>
      <c r="D109" s="130"/>
      <c r="E109" s="130"/>
      <c r="F109" s="130"/>
      <c r="G109" s="130"/>
      <c r="H109" s="130"/>
      <c r="I109" s="131"/>
      <c r="J109" s="60"/>
      <c r="K109" s="60"/>
      <c r="L109" s="60"/>
      <c r="M109" s="60"/>
      <c r="N109" s="60"/>
      <c r="O109" s="60"/>
      <c r="P109" s="60"/>
    </row>
    <row r="110" spans="1:16" s="4" customFormat="1">
      <c r="A110" s="105"/>
      <c r="B110" s="107" t="s">
        <v>31</v>
      </c>
      <c r="C110" s="107" t="str">
        <f>C$26</f>
        <v>T6</v>
      </c>
      <c r="D110" s="107" t="str">
        <f t="shared" ref="D110:I110" si="25">D$26</f>
        <v>T5</v>
      </c>
      <c r="E110" s="107" t="str">
        <f t="shared" si="25"/>
        <v>T4</v>
      </c>
      <c r="F110" s="107" t="str">
        <f t="shared" si="25"/>
        <v>T3</v>
      </c>
      <c r="G110" s="107" t="str">
        <f t="shared" si="25"/>
        <v>T2</v>
      </c>
      <c r="H110" s="107" t="str">
        <f t="shared" si="25"/>
        <v>T1</v>
      </c>
      <c r="I110" s="107" t="str">
        <f t="shared" si="25"/>
        <v>T12/22</v>
      </c>
      <c r="J110" s="60"/>
      <c r="K110" s="60"/>
      <c r="L110" s="60"/>
      <c r="M110" s="60"/>
      <c r="N110" s="60"/>
      <c r="O110" s="60"/>
      <c r="P110" s="60"/>
    </row>
    <row r="111" spans="1:16" s="4" customFormat="1">
      <c r="A111" s="5" t="str">
        <f>A13</f>
        <v>NGUYEN VAN A</v>
      </c>
      <c r="B111" s="61">
        <f t="shared" ref="B111:B120" si="26">ROUND(SUM(C111:I111),0)</f>
        <v>22238967</v>
      </c>
      <c r="C111" s="61">
        <f>C85*C98</f>
        <v>17784140.578181818</v>
      </c>
      <c r="D111" s="61">
        <f>D85*D98</f>
        <v>4435887.0254545454</v>
      </c>
      <c r="E111" s="61">
        <f>E85*E98</f>
        <v>18939.545454545452</v>
      </c>
      <c r="F111" s="61">
        <f>F85*F98</f>
        <v>0</v>
      </c>
      <c r="G111" s="61">
        <f>G85*G98</f>
        <v>0</v>
      </c>
      <c r="H111" s="61">
        <f>H85*H98</f>
        <v>0</v>
      </c>
      <c r="I111" s="61">
        <f>I85*I98</f>
        <v>0</v>
      </c>
      <c r="J111" s="60"/>
      <c r="K111" s="60"/>
      <c r="L111" s="60"/>
      <c r="M111" s="60"/>
      <c r="N111" s="60"/>
      <c r="O111" s="60"/>
      <c r="P111" s="60"/>
    </row>
    <row r="112" spans="1:16" s="4" customFormat="1">
      <c r="A112" s="5" t="str">
        <f>A14</f>
        <v>NGUYEN VAN B</v>
      </c>
      <c r="B112" s="61">
        <f t="shared" si="26"/>
        <v>20697626</v>
      </c>
      <c r="C112" s="61">
        <f>C86*C99</f>
        <v>12783639.559090907</v>
      </c>
      <c r="D112" s="61">
        <f>D86*D99</f>
        <v>7726172.8909090897</v>
      </c>
      <c r="E112" s="61">
        <f>E86*E99</f>
        <v>187813.66636363635</v>
      </c>
      <c r="F112" s="61">
        <f>F86*F99</f>
        <v>0</v>
      </c>
      <c r="G112" s="61">
        <f>G86*G99</f>
        <v>0</v>
      </c>
      <c r="H112" s="61">
        <f>H86*H99</f>
        <v>0</v>
      </c>
      <c r="I112" s="61">
        <f>I86*I99</f>
        <v>0</v>
      </c>
      <c r="J112" s="60"/>
      <c r="K112" s="60"/>
      <c r="L112" s="60"/>
      <c r="M112" s="60"/>
      <c r="N112" s="60"/>
      <c r="O112" s="60"/>
      <c r="P112" s="60"/>
    </row>
    <row r="113" spans="1:24" s="4" customFormat="1">
      <c r="A113" s="5" t="str">
        <f>A15</f>
        <v>NGUYEN VAN C</v>
      </c>
      <c r="B113" s="61">
        <f t="shared" si="26"/>
        <v>656986</v>
      </c>
      <c r="C113" s="61">
        <f>C87*C100</f>
        <v>634259.09090909082</v>
      </c>
      <c r="D113" s="61">
        <f>D87*D100</f>
        <v>0</v>
      </c>
      <c r="E113" s="61">
        <f>E87*E100</f>
        <v>0</v>
      </c>
      <c r="F113" s="61">
        <f>F87*F100</f>
        <v>0</v>
      </c>
      <c r="G113" s="61">
        <f>G87*G100</f>
        <v>22727.272727272724</v>
      </c>
      <c r="H113" s="61">
        <f>H87*H100</f>
        <v>0</v>
      </c>
      <c r="I113" s="61">
        <f>I87*I100</f>
        <v>0</v>
      </c>
      <c r="J113" s="60"/>
      <c r="K113" s="60"/>
      <c r="L113" s="60"/>
      <c r="M113" s="60"/>
      <c r="N113" s="60"/>
      <c r="O113" s="60"/>
      <c r="P113" s="60"/>
    </row>
    <row r="114" spans="1:24" s="4" customFormat="1">
      <c r="A114" s="5" t="str">
        <f>A16</f>
        <v>NGUYEN VAN D</v>
      </c>
      <c r="B114" s="61">
        <f t="shared" si="26"/>
        <v>2306672</v>
      </c>
      <c r="C114" s="61">
        <f>C88*C101</f>
        <v>1421360.8945454545</v>
      </c>
      <c r="D114" s="61">
        <f>D88*D101</f>
        <v>574051.36363636365</v>
      </c>
      <c r="E114" s="61">
        <f>E88*E101</f>
        <v>0</v>
      </c>
      <c r="F114" s="61">
        <f>F88*F101</f>
        <v>311259.37499999994</v>
      </c>
      <c r="G114" s="61">
        <f>G88*G101</f>
        <v>0</v>
      </c>
      <c r="H114" s="61">
        <f>H88*H101</f>
        <v>0</v>
      </c>
      <c r="I114" s="61">
        <f>I88*I101</f>
        <v>0</v>
      </c>
      <c r="J114" s="60"/>
      <c r="K114" s="60"/>
      <c r="L114" s="60"/>
      <c r="M114" s="60"/>
      <c r="N114" s="60"/>
      <c r="O114" s="60"/>
      <c r="P114" s="60"/>
    </row>
    <row r="115" spans="1:24" s="4" customFormat="1">
      <c r="A115" s="5" t="str">
        <f>A17</f>
        <v>NGUYEN VAN E</v>
      </c>
      <c r="B115" s="61">
        <f t="shared" si="26"/>
        <v>821182</v>
      </c>
      <c r="C115" s="61">
        <f>C89*C102</f>
        <v>63636.363636363632</v>
      </c>
      <c r="D115" s="61">
        <f>D89*D102</f>
        <v>190000</v>
      </c>
      <c r="E115" s="61">
        <f>E89*E102</f>
        <v>123636.36363636363</v>
      </c>
      <c r="F115" s="61">
        <f>F89*F102</f>
        <v>110994.54545454544</v>
      </c>
      <c r="G115" s="61">
        <f>G89*G102</f>
        <v>332914.33</v>
      </c>
      <c r="H115" s="61">
        <f>H89*H102</f>
        <v>0</v>
      </c>
      <c r="I115" s="61">
        <f>I89*I102</f>
        <v>0</v>
      </c>
      <c r="J115" s="60"/>
      <c r="K115" s="60"/>
      <c r="L115" s="60"/>
      <c r="M115" s="60"/>
      <c r="N115" s="60"/>
      <c r="O115" s="60"/>
      <c r="P115" s="60"/>
    </row>
    <row r="116" spans="1:24" s="4" customFormat="1">
      <c r="A116" s="5" t="str">
        <f>A18</f>
        <v>NGUYEN VAN F</v>
      </c>
      <c r="B116" s="61">
        <f>ROUND(SUM(C116:I116),0)</f>
        <v>1662344</v>
      </c>
      <c r="C116" s="61">
        <f>C90*C103</f>
        <v>136363.63636363635</v>
      </c>
      <c r="D116" s="61">
        <f>D90*D103</f>
        <v>501900</v>
      </c>
      <c r="E116" s="61">
        <f>E90*E103</f>
        <v>47727.272727272721</v>
      </c>
      <c r="F116" s="61">
        <f>F90*F103</f>
        <v>120909.0909090909</v>
      </c>
      <c r="G116" s="61">
        <f>G90*G103</f>
        <v>855443.90909090883</v>
      </c>
      <c r="H116" s="61">
        <f>H90*H103</f>
        <v>0</v>
      </c>
      <c r="I116" s="61">
        <f>I90*I103</f>
        <v>0</v>
      </c>
      <c r="J116" s="60"/>
      <c r="K116" s="60"/>
      <c r="L116" s="60"/>
      <c r="M116" s="60"/>
      <c r="N116" s="60"/>
      <c r="O116" s="60"/>
      <c r="P116" s="60"/>
    </row>
    <row r="117" spans="1:24" s="4" customFormat="1">
      <c r="A117" s="5" t="str">
        <f>A19</f>
        <v>NGUYEN VAN G</v>
      </c>
      <c r="B117" s="61">
        <f>ROUND(SUM(C117:I117),0)</f>
        <v>6278974</v>
      </c>
      <c r="C117" s="61">
        <f>C91*C104</f>
        <v>4232927.083636364</v>
      </c>
      <c r="D117" s="61">
        <f>D91*D104</f>
        <v>2046047.1999999997</v>
      </c>
      <c r="E117" s="61">
        <f>E91*E104</f>
        <v>0</v>
      </c>
      <c r="F117" s="61">
        <f>F91*F104</f>
        <v>0</v>
      </c>
      <c r="G117" s="61">
        <f>G91*G104</f>
        <v>0</v>
      </c>
      <c r="H117" s="61">
        <f>H91*H104</f>
        <v>0</v>
      </c>
      <c r="I117" s="61">
        <f>I91*I104</f>
        <v>0</v>
      </c>
      <c r="J117" s="60"/>
      <c r="K117" s="60"/>
      <c r="L117" s="60"/>
      <c r="M117" s="60"/>
      <c r="N117" s="60"/>
      <c r="O117" s="60"/>
      <c r="P117" s="60"/>
    </row>
    <row r="118" spans="1:24" s="4" customFormat="1">
      <c r="A118" s="5" t="str">
        <f>A20</f>
        <v>NGUYEN VAN H</v>
      </c>
      <c r="B118" s="61">
        <f t="shared" si="26"/>
        <v>1681294</v>
      </c>
      <c r="C118" s="61">
        <f>C92*C105</f>
        <v>300436.36363636359</v>
      </c>
      <c r="D118" s="61">
        <f>D92*D105</f>
        <v>166267.74272727271</v>
      </c>
      <c r="E118" s="61">
        <f>E92*E105</f>
        <v>1214590.1136363635</v>
      </c>
      <c r="F118" s="61">
        <f>F92*F105</f>
        <v>0</v>
      </c>
      <c r="G118" s="61">
        <f>G92*G105</f>
        <v>0</v>
      </c>
      <c r="H118" s="61">
        <f>H92*H105</f>
        <v>0</v>
      </c>
      <c r="I118" s="61">
        <f>I92*I105</f>
        <v>0</v>
      </c>
      <c r="J118" s="60"/>
      <c r="K118" s="60"/>
      <c r="L118" s="60"/>
      <c r="M118" s="60"/>
      <c r="N118" s="60"/>
      <c r="O118" s="60"/>
      <c r="P118" s="60"/>
    </row>
    <row r="119" spans="1:24" s="4" customFormat="1">
      <c r="A119" s="10" t="str">
        <f>A21</f>
        <v>NGUYEN VAN I</v>
      </c>
      <c r="B119" s="61">
        <f t="shared" si="26"/>
        <v>2056225</v>
      </c>
      <c r="C119" s="61">
        <f>C93*C106</f>
        <v>338468.18181818177</v>
      </c>
      <c r="D119" s="61">
        <f>D93*D106</f>
        <v>1214629.5681818179</v>
      </c>
      <c r="E119" s="61">
        <f>E93*E106</f>
        <v>329320.90909090906</v>
      </c>
      <c r="F119" s="61">
        <f>F93*F106</f>
        <v>173806.81818181815</v>
      </c>
      <c r="G119" s="61">
        <f>G93*G106</f>
        <v>0</v>
      </c>
      <c r="H119" s="61">
        <f>H93*H106</f>
        <v>0</v>
      </c>
      <c r="I119" s="61">
        <f>I93*I106</f>
        <v>0</v>
      </c>
      <c r="J119" s="60"/>
      <c r="K119" s="60"/>
      <c r="L119" s="60"/>
      <c r="M119" s="60"/>
      <c r="N119" s="60"/>
      <c r="O119" s="60"/>
      <c r="P119" s="60"/>
    </row>
    <row r="120" spans="1:24" s="4" customFormat="1">
      <c r="A120" s="5" t="str">
        <f>A22</f>
        <v>NGUYEN VAN K</v>
      </c>
      <c r="B120" s="61">
        <f t="shared" si="26"/>
        <v>4782667</v>
      </c>
      <c r="C120" s="61">
        <f>C94*C107</f>
        <v>3534723.7818181813</v>
      </c>
      <c r="D120" s="61">
        <f>D94*D107</f>
        <v>1031523.5763636362</v>
      </c>
      <c r="E120" s="61">
        <f>E94*E107</f>
        <v>132309.09090909091</v>
      </c>
      <c r="F120" s="61">
        <f>F94*F107</f>
        <v>84110.384909090906</v>
      </c>
      <c r="G120" s="61">
        <f>G94*G107</f>
        <v>0</v>
      </c>
      <c r="H120" s="61">
        <f>H94*H107</f>
        <v>0</v>
      </c>
      <c r="I120" s="61">
        <f>I94*I107</f>
        <v>0</v>
      </c>
      <c r="J120" s="60"/>
      <c r="K120" s="60"/>
      <c r="L120" s="60"/>
      <c r="M120" s="60"/>
      <c r="N120" s="60"/>
      <c r="O120" s="60"/>
      <c r="P120" s="60"/>
    </row>
    <row r="121" spans="1:24" s="2" customFormat="1" ht="15.6">
      <c r="A121" s="52" t="s">
        <v>21</v>
      </c>
      <c r="B121" s="57">
        <f>SUM(B111:B120)</f>
        <v>63182937</v>
      </c>
      <c r="C121" s="57">
        <f>SUM(C111:C120)</f>
        <v>41229955.533636361</v>
      </c>
      <c r="D121" s="57">
        <f>SUM(D111:D120)</f>
        <v>17886479.36727272</v>
      </c>
      <c r="E121" s="57">
        <f>SUM(E111:E120)</f>
        <v>2054336.9618181814</v>
      </c>
      <c r="F121" s="57">
        <f>SUM(F111:F120)</f>
        <v>801080.21445454541</v>
      </c>
      <c r="G121" s="57">
        <f>SUM(G111:G120)</f>
        <v>1211085.5118181815</v>
      </c>
      <c r="H121" s="57">
        <f>SUM(H111:H120)</f>
        <v>0</v>
      </c>
      <c r="I121" s="57">
        <f>SUM(I111:I120)</f>
        <v>0</v>
      </c>
      <c r="J121" s="3"/>
      <c r="K121" s="35"/>
    </row>
    <row r="123" spans="1:24">
      <c r="A123" s="82" t="s">
        <v>48</v>
      </c>
      <c r="W123" s="27"/>
      <c r="X123" s="17"/>
    </row>
  </sheetData>
  <mergeCells count="26">
    <mergeCell ref="A8:A9"/>
    <mergeCell ref="A68:A69"/>
    <mergeCell ref="B68:B69"/>
    <mergeCell ref="C68:O68"/>
    <mergeCell ref="C69:E69"/>
    <mergeCell ref="F69:H69"/>
    <mergeCell ref="I69:K69"/>
    <mergeCell ref="L69:O69"/>
    <mergeCell ref="A83:A84"/>
    <mergeCell ref="B83:I83"/>
    <mergeCell ref="A109:A110"/>
    <mergeCell ref="B109:I109"/>
    <mergeCell ref="A5:A6"/>
    <mergeCell ref="A52:A53"/>
    <mergeCell ref="B52:B53"/>
    <mergeCell ref="C52:O52"/>
    <mergeCell ref="C53:E53"/>
    <mergeCell ref="F53:H53"/>
    <mergeCell ref="I53:K53"/>
    <mergeCell ref="L53:O53"/>
    <mergeCell ref="A1:J1"/>
    <mergeCell ref="A11:A12"/>
    <mergeCell ref="B11:B12"/>
    <mergeCell ref="G11:G12"/>
    <mergeCell ref="A25:A26"/>
    <mergeCell ref="B25:I25"/>
  </mergeCells>
  <conditionalFormatting sqref="C85:C88">
    <cfRule type="expression" dxfId="1" priority="3">
      <formula>C85&lt;0</formula>
    </cfRule>
  </conditionalFormatting>
  <conditionalFormatting sqref="C89:C94">
    <cfRule type="expression" dxfId="0" priority="2">
      <formula>C89&lt;0</formula>
    </cfRule>
  </conditionalFormatting>
  <pageMargins left="0.16" right="0.16" top="0.17" bottom="0.16" header="0.17" footer="0.16"/>
  <pageSetup paperSize="9" scale="68" fitToHeight="0" orientation="landscape" r:id="rId1"/>
  <rowBreaks count="3" manualBreakCount="3">
    <brk id="50" max="14" man="1"/>
    <brk id="81" max="14" man="1"/>
    <brk id="107" max="1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K18"/>
  <sheetViews>
    <sheetView zoomScaleNormal="100" workbookViewId="0">
      <pane xSplit="3" topLeftCell="D1" activePane="topRight" state="frozenSplit"/>
      <selection activeCell="K25" sqref="K25"/>
      <selection pane="topRight" activeCell="D25" sqref="D25"/>
    </sheetView>
  </sheetViews>
  <sheetFormatPr defaultRowHeight="14.4"/>
  <cols>
    <col min="1" max="1" width="0" hidden="1" customWidth="1"/>
    <col min="2" max="2" width="24.21875" bestFit="1" customWidth="1"/>
    <col min="3" max="3" width="15.21875" bestFit="1" customWidth="1"/>
    <col min="4" max="4" width="14.77734375" bestFit="1" customWidth="1"/>
    <col min="5" max="10" width="12.77734375" bestFit="1" customWidth="1"/>
    <col min="11" max="11" width="2.44140625" customWidth="1"/>
    <col min="12" max="12" width="11.21875" bestFit="1" customWidth="1"/>
    <col min="13" max="15" width="10" customWidth="1"/>
  </cols>
  <sheetData>
    <row r="1" spans="2:11">
      <c r="B1" t="s">
        <v>66</v>
      </c>
    </row>
    <row r="2" spans="2:11">
      <c r="B2" s="36" t="s">
        <v>68</v>
      </c>
      <c r="C2" s="62"/>
    </row>
    <row r="3" spans="2:11">
      <c r="B3" s="41" t="s">
        <v>769</v>
      </c>
      <c r="C3" s="45" t="s">
        <v>50</v>
      </c>
      <c r="D3" s="39" t="str">
        <f>Commission!C26</f>
        <v>T6</v>
      </c>
      <c r="E3" s="39" t="str">
        <f>Commission!D26</f>
        <v>T5</v>
      </c>
      <c r="F3" s="39" t="str">
        <f>Commission!E26</f>
        <v>T4</v>
      </c>
      <c r="G3" s="39" t="str">
        <f>Commission!F26</f>
        <v>T3</v>
      </c>
      <c r="H3" s="39" t="str">
        <f>Commission!G26</f>
        <v>T2</v>
      </c>
      <c r="I3" s="39" t="str">
        <f>Commission!H26</f>
        <v>T1</v>
      </c>
      <c r="J3" s="39" t="str">
        <f>Commission!I26</f>
        <v>T12/22</v>
      </c>
    </row>
    <row r="4" spans="2:11">
      <c r="B4" s="40" t="s">
        <v>59</v>
      </c>
      <c r="C4" s="37"/>
      <c r="D4" s="6">
        <f>SUMIFS(Commission!$B$13:$B$23,Commission!$A$13:$A$23,$B$3)</f>
        <v>1932656461</v>
      </c>
      <c r="E4" s="43"/>
      <c r="F4" s="43"/>
      <c r="G4" s="43"/>
      <c r="H4" s="43"/>
      <c r="I4" s="43"/>
      <c r="J4" s="43"/>
    </row>
    <row r="5" spans="2:11">
      <c r="B5" s="40" t="s">
        <v>49</v>
      </c>
      <c r="C5" s="44"/>
      <c r="D5" s="6">
        <f>SUMIFS(Commission!$C$13:$C$23,Commission!$A$13:$A$23,$B$3)</f>
        <v>1200000000</v>
      </c>
      <c r="E5" s="43"/>
      <c r="F5" s="43"/>
      <c r="G5" s="43"/>
      <c r="H5" s="43"/>
      <c r="I5" s="43"/>
      <c r="J5" s="43"/>
    </row>
    <row r="6" spans="2:11">
      <c r="B6" s="40" t="s">
        <v>51</v>
      </c>
      <c r="C6" s="37">
        <f t="shared" ref="C6:C12" si="0">SUM(D6:J6)</f>
        <v>1308233174.5454543</v>
      </c>
      <c r="D6" s="6">
        <f>SUMIFS(Commission!C$27:C$36,Commission!$A$27:$A$36,$B$3)</f>
        <v>1046125916.3636363</v>
      </c>
      <c r="E6" s="6">
        <f>SUMIFS(Commission!D$27:D$36,Commission!$A$27:$A$36,$B$3)</f>
        <v>260934530.90909088</v>
      </c>
      <c r="F6" s="6">
        <f>SUMIFS(Commission!E$27:E$36,Commission!$A$27:$A$36,$B$3)</f>
        <v>1172727.2727272727</v>
      </c>
      <c r="G6" s="6">
        <f>SUMIFS(Commission!F$27:F$36,Commission!$A$27:$A$36,$B$3)</f>
        <v>0</v>
      </c>
      <c r="H6" s="6">
        <f>SUMIFS(Commission!G$27:G$36,Commission!$A$27:$A$36,$B$3)</f>
        <v>0</v>
      </c>
      <c r="I6" s="6">
        <f>SUMIFS(Commission!H$27:H$36,Commission!$A$27:$A$36,$B$3)</f>
        <v>0</v>
      </c>
      <c r="J6" s="6">
        <f>SUMIFS(Commission!I$27:I$36,Commission!$A$27:$A$36,$B$3)</f>
        <v>0</v>
      </c>
    </row>
    <row r="7" spans="2:11">
      <c r="B7" s="40" t="s">
        <v>52</v>
      </c>
      <c r="C7" s="37">
        <f t="shared" si="0"/>
        <v>0</v>
      </c>
      <c r="D7" s="6">
        <f>SUMIFS(Commission!C$40:C$49,Commission!$A$40:$A$49,$B$3)</f>
        <v>0</v>
      </c>
      <c r="E7" s="6">
        <f>SUMIFS(Commission!D$40:D$49,Commission!$A$40:$A$49,$B$3)</f>
        <v>0</v>
      </c>
      <c r="F7" s="6">
        <f>SUMIFS(Commission!E$40:E$49,Commission!$A$40:$A$49,$B$3)</f>
        <v>0</v>
      </c>
      <c r="G7" s="6">
        <f>SUMIFS(Commission!F$40:F$49,Commission!$A$40:$A$49,$B$3)</f>
        <v>0</v>
      </c>
      <c r="H7" s="6">
        <f>SUMIFS(Commission!G$40:G$49,Commission!$A$40:$A$49,$B$3)</f>
        <v>0</v>
      </c>
      <c r="I7" s="6">
        <f>SUMIFS(Commission!H$40:H$49,Commission!$A$40:$A$49,$B$3)</f>
        <v>0</v>
      </c>
      <c r="J7" s="6">
        <f>SUMIFS(Commission!I$40:I$49,Commission!$A$40:$A$49,$B$3)</f>
        <v>0</v>
      </c>
    </row>
    <row r="8" spans="2:11">
      <c r="B8" s="40" t="s">
        <v>54</v>
      </c>
      <c r="C8" s="37">
        <f t="shared" si="0"/>
        <v>1307060447.272727</v>
      </c>
      <c r="D8" s="6">
        <f>SUMIFS(Commission!C$56:C$65,Commission!$A$56:$A$65,$B$3)</f>
        <v>1046125916.3636363</v>
      </c>
      <c r="E8" s="6">
        <f>SUMIFS(Commission!D$56:D$65,Commission!$A$56:$A$65,$B$3)</f>
        <v>260934530.90909088</v>
      </c>
      <c r="F8" s="6">
        <f>SUMIFS(Commission!E$56:E$65,Commission!$A$56:$A$65,$B$3)</f>
        <v>0</v>
      </c>
      <c r="G8" s="43"/>
      <c r="H8" s="43"/>
      <c r="I8" s="43"/>
      <c r="J8" s="43"/>
    </row>
    <row r="9" spans="2:11">
      <c r="B9" s="40" t="s">
        <v>55</v>
      </c>
      <c r="C9" s="37">
        <f t="shared" si="0"/>
        <v>1172727.2727272727</v>
      </c>
      <c r="D9" s="43"/>
      <c r="E9" s="6">
        <f>SUMIFS(Commission!F$56:F$65,Commission!$A$56:$A$65,$B$3)</f>
        <v>0</v>
      </c>
      <c r="F9" s="6">
        <f>SUMIFS(Commission!G$56:G$65,Commission!$A$56:$A$65,$B$3)</f>
        <v>1172727.2727272727</v>
      </c>
      <c r="G9" s="6">
        <f>SUMIFS(Commission!H$56:H$65,Commission!$A$56:$A$65,$B$3)</f>
        <v>0</v>
      </c>
      <c r="H9" s="43"/>
      <c r="I9" s="43"/>
      <c r="J9" s="43"/>
    </row>
    <row r="10" spans="2:11">
      <c r="B10" s="40" t="s">
        <v>62</v>
      </c>
      <c r="C10" s="37">
        <f t="shared" si="0"/>
        <v>0</v>
      </c>
      <c r="D10" s="43"/>
      <c r="E10" s="43"/>
      <c r="F10" s="6">
        <f>SUMIFS(Commission!I$56:I$65,Commission!$A$56:$A$65,$B$3)</f>
        <v>0</v>
      </c>
      <c r="G10" s="6">
        <f>SUMIFS(Commission!J$56:J$65,Commission!$A$56:$A$65,$B$3)</f>
        <v>0</v>
      </c>
      <c r="H10" s="6">
        <f>SUMIFS(Commission!K$56:K$65,Commission!$A$56:$A$65,$B$3)</f>
        <v>0</v>
      </c>
      <c r="I10" s="43"/>
      <c r="J10" s="43"/>
    </row>
    <row r="11" spans="2:11">
      <c r="B11" s="40" t="s">
        <v>56</v>
      </c>
      <c r="C11" s="37">
        <f t="shared" si="0"/>
        <v>0</v>
      </c>
      <c r="D11" s="43"/>
      <c r="E11" s="43"/>
      <c r="F11" s="43"/>
      <c r="G11" s="6">
        <f>SUMIFS(Commission!L$56:L$65,Commission!$A$56:$A$65,$B$3)</f>
        <v>0</v>
      </c>
      <c r="H11" s="6">
        <f>SUMIFS(Commission!M$56:M$65,Commission!$A$56:$A$65,$B$3)</f>
        <v>0</v>
      </c>
      <c r="I11" s="6">
        <f>SUMIFS(Commission!N$56:N$65,Commission!$A$56:$A$65,$B$3)</f>
        <v>0</v>
      </c>
      <c r="J11" s="6">
        <f>SUMIFS(Commission!O$56:O$65,Commission!$A$56:$A$65,$B$3)</f>
        <v>0</v>
      </c>
    </row>
    <row r="12" spans="2:11">
      <c r="B12" s="40" t="s">
        <v>57</v>
      </c>
      <c r="C12" s="37">
        <f t="shared" si="0"/>
        <v>0</v>
      </c>
      <c r="D12" s="43"/>
      <c r="E12" s="43"/>
      <c r="F12" s="43"/>
      <c r="G12" s="43"/>
      <c r="H12" s="43"/>
      <c r="I12" s="43"/>
      <c r="J12" s="43"/>
      <c r="K12" s="42">
        <f>C6-C7-SUM(C8:C12)</f>
        <v>0</v>
      </c>
    </row>
    <row r="13" spans="2:11">
      <c r="B13" s="40" t="s">
        <v>53</v>
      </c>
      <c r="C13" s="37">
        <f>SUM(D13:J13)</f>
        <v>0</v>
      </c>
      <c r="D13" s="6">
        <f>IF($B$3="DUC HUY",SUM(SUMIFS(Commission!$K$98:$K$123,Commission!$E$98:$E$123,{"DUC HUY","CONG HUY"})),SUMIFS(Commission!$K$98:$K$123,Commission!$E$98:$E$123,$B$3))</f>
        <v>0</v>
      </c>
      <c r="E13" s="43"/>
      <c r="F13" s="43"/>
      <c r="G13" s="43"/>
      <c r="H13" s="43"/>
      <c r="I13" s="43"/>
      <c r="J13" s="43"/>
    </row>
    <row r="14" spans="2:11">
      <c r="B14" s="40" t="s">
        <v>45</v>
      </c>
      <c r="C14" s="37">
        <f>SUM(D14:J14)</f>
        <v>1308057265.4545453</v>
      </c>
      <c r="D14" s="6">
        <f>D6-D7-D9*(1-85%)-D10*(1-70%)-D11*(1-50%)-D12*(1-0%)-D13</f>
        <v>1046125916.3636363</v>
      </c>
      <c r="E14" s="6">
        <f t="shared" ref="E14:J14" si="1">E6-E7-E9*(1-85%)-E10*(1-70%)-E11*(1-50%)-E12*(1-0%)-E13</f>
        <v>260934530.90909088</v>
      </c>
      <c r="F14" s="6">
        <f t="shared" si="1"/>
        <v>996818.18181818177</v>
      </c>
      <c r="G14" s="6">
        <f t="shared" si="1"/>
        <v>0</v>
      </c>
      <c r="H14" s="6">
        <f t="shared" si="1"/>
        <v>0</v>
      </c>
      <c r="I14" s="6">
        <f>I6-I7-I9*(1-85%)-I10*(1-70%)-I11*(1-50%)-I12*(1-0%)-I13</f>
        <v>0</v>
      </c>
      <c r="J14" s="6">
        <f t="shared" si="1"/>
        <v>0</v>
      </c>
    </row>
    <row r="15" spans="2:11">
      <c r="B15" s="40" t="s">
        <v>58</v>
      </c>
      <c r="C15" s="59"/>
      <c r="D15" s="30">
        <f>SUMIFS(Commission!C$98:C$107,Commission!$A$98:$A$107,$B$3)</f>
        <v>1.7000000000000001E-2</v>
      </c>
      <c r="E15" s="30">
        <f>SUMIFS(Commission!D$98:D$107,Commission!$A$98:$A$107,$B$3)</f>
        <v>1.7000000000000001E-2</v>
      </c>
      <c r="F15" s="30">
        <f>SUMIFS(Commission!E$98:E$107,Commission!$A$98:$A$107,$B$3)</f>
        <v>1.9E-2</v>
      </c>
      <c r="G15" s="30">
        <f>SUMIFS(Commission!F$98:F$107,Commission!$A$98:$A$107,$B$3)</f>
        <v>1.7000000000000001E-2</v>
      </c>
      <c r="H15" s="30">
        <f>SUMIFS(Commission!G$98:G$107,Commission!$A$98:$A$107,$B$3)</f>
        <v>1.9E-2</v>
      </c>
      <c r="I15" s="30">
        <f>SUMIFS(Commission!H$98:H$107,Commission!$A$98:$A$107,$B$3)</f>
        <v>1.7000000000000001E-2</v>
      </c>
      <c r="J15" s="30">
        <f>SUMIFS(Commission!I$98:I$107,Commission!$A$98:$A$107,$B$3)</f>
        <v>1.9E-2</v>
      </c>
    </row>
    <row r="16" spans="2:11">
      <c r="B16" s="40" t="s">
        <v>60</v>
      </c>
      <c r="C16" s="37">
        <f>SUM(D16:J16)</f>
        <v>22238967.149090908</v>
      </c>
      <c r="D16" s="6">
        <f>D14*D15</f>
        <v>17784140.578181818</v>
      </c>
      <c r="E16" s="6">
        <f t="shared" ref="E16:I16" si="2">E14*E15</f>
        <v>4435887.0254545454</v>
      </c>
      <c r="F16" s="6">
        <f t="shared" si="2"/>
        <v>18939.545454545452</v>
      </c>
      <c r="G16" s="6">
        <f t="shared" si="2"/>
        <v>0</v>
      </c>
      <c r="H16" s="6">
        <f t="shared" si="2"/>
        <v>0</v>
      </c>
      <c r="I16" s="6">
        <f t="shared" si="2"/>
        <v>0</v>
      </c>
      <c r="J16" s="6">
        <f>J14*J15</f>
        <v>0</v>
      </c>
    </row>
    <row r="17" spans="2:10">
      <c r="B17" s="40" t="s">
        <v>61</v>
      </c>
      <c r="C17" s="37">
        <f>ROUND(C16-C16*10%,0)</f>
        <v>20015070</v>
      </c>
      <c r="D17" s="43"/>
      <c r="E17" s="43"/>
      <c r="F17" s="43"/>
      <c r="G17" s="43"/>
      <c r="H17" s="43"/>
      <c r="I17" s="43"/>
      <c r="J17" s="43"/>
    </row>
    <row r="18" spans="2:10">
      <c r="C18" s="42">
        <f>C17-SUMIFS(Commission!$H$13:$H$23,Commission!$A$13:$A$23,$B$3)</f>
        <v>0</v>
      </c>
    </row>
  </sheetData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Commission!$A$13:$A$23</xm:f>
          </x14:formula1>
          <xm:sqref>B3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Target</vt:lpstr>
      <vt:lpstr>Payment</vt:lpstr>
      <vt:lpstr>Commission</vt:lpstr>
      <vt:lpstr>For sale</vt:lpstr>
      <vt:lpstr>Commission!Print_Area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HP</cp:lastModifiedBy>
  <cp:lastPrinted>2023-04-08T01:56:42Z</cp:lastPrinted>
  <dcterms:created xsi:type="dcterms:W3CDTF">2020-02-20T13:32:47Z</dcterms:created>
  <dcterms:modified xsi:type="dcterms:W3CDTF">2023-07-19T08:33:10Z</dcterms:modified>
</cp:coreProperties>
</file>