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duce production" sheetId="1" r:id="rId3"/>
    <sheet state="visible" name="Apple car" sheetId="2" r:id="rId4"/>
    <sheet state="visible" name="OCA" sheetId="3" r:id="rId5"/>
    <sheet state="visible" name="Battery Capacity" sheetId="4" r:id="rId6"/>
    <sheet state="visible" name="JIT" sheetId="5" r:id="rId7"/>
    <sheet state="visible" name="Warranty Cost" sheetId="6" r:id="rId8"/>
  </sheets>
  <definedNames/>
  <calcPr/>
</workbook>
</file>

<file path=xl/sharedStrings.xml><?xml version="1.0" encoding="utf-8"?>
<sst xmlns="http://schemas.openxmlformats.org/spreadsheetml/2006/main" count="139" uniqueCount="72">
  <si>
    <t>Year</t>
  </si>
  <si>
    <t>Investment</t>
  </si>
  <si>
    <t>Impact</t>
  </si>
  <si>
    <t>Number of Units sold</t>
  </si>
  <si>
    <t>Labour Cost Saved</t>
  </si>
  <si>
    <t>Labour Cost</t>
  </si>
  <si>
    <t>Cash Flow</t>
  </si>
  <si>
    <t>Cumulative Cash Flow</t>
  </si>
  <si>
    <t>Cumulative Sales</t>
  </si>
  <si>
    <t>Metrics</t>
  </si>
  <si>
    <t>Initial Investment/Operational Expenses</t>
  </si>
  <si>
    <t>Selling Price</t>
  </si>
  <si>
    <t>CapEx</t>
  </si>
  <si>
    <t>OpEx</t>
  </si>
  <si>
    <t>NPV</t>
  </si>
  <si>
    <t>Labor Savings</t>
  </si>
  <si>
    <t>Inflation Rate</t>
  </si>
  <si>
    <t>Growth Rate</t>
  </si>
  <si>
    <t>Manufacturing capacity</t>
  </si>
  <si>
    <t>Ignore the fixed manufacturing capacity of 25000 cars</t>
  </si>
  <si>
    <t>Expected Life Cycle of the Car to be 5-6 Years</t>
  </si>
  <si>
    <t xml:space="preserve">Capex changed to </t>
  </si>
  <si>
    <t>Lifetime</t>
  </si>
  <si>
    <t>10 years</t>
  </si>
  <si>
    <t>Salvage Value</t>
  </si>
  <si>
    <t>Payback Period</t>
  </si>
  <si>
    <t>IRR</t>
  </si>
  <si>
    <t>Years</t>
  </si>
  <si>
    <t>OpEX</t>
  </si>
  <si>
    <t>Expected Value</t>
  </si>
  <si>
    <t>Forecasting team</t>
  </si>
  <si>
    <t>Investment/ Operational Expenses</t>
  </si>
  <si>
    <t>Renovating the layout of warehouse</t>
  </si>
  <si>
    <t>New Database System</t>
  </si>
  <si>
    <t>Kaizen team</t>
  </si>
  <si>
    <t>Purchase cost</t>
  </si>
  <si>
    <t>Total Cost</t>
  </si>
  <si>
    <t>Investment Metrics</t>
  </si>
  <si>
    <t>Reduction in warranty cost by 50%</t>
  </si>
  <si>
    <t>Interest rate (returns)</t>
  </si>
  <si>
    <t>Inflation rate (%/year)</t>
  </si>
  <si>
    <t>Inventory Cost</t>
  </si>
  <si>
    <t>Investments</t>
  </si>
  <si>
    <t>CapEX</t>
  </si>
  <si>
    <t>Warranty Cost savings per unit</t>
  </si>
  <si>
    <t>Warranty Cost per Unit</t>
  </si>
  <si>
    <t>Cumultive Cash Flow</t>
  </si>
  <si>
    <t>Cummulative Sales</t>
  </si>
  <si>
    <t>Expected lifetime of machinery to be 5 years</t>
  </si>
  <si>
    <t>Expected Life Cycle of the battery to be 1-2 Years</t>
  </si>
  <si>
    <t>Capital Expense</t>
  </si>
  <si>
    <t xml:space="preserve">IRR </t>
  </si>
  <si>
    <t>Payback period</t>
  </si>
  <si>
    <t>Hiring Expense</t>
  </si>
  <si>
    <t>Expected Life Cycle of Database system to be 5 Years</t>
  </si>
  <si>
    <t>No. of Person</t>
  </si>
  <si>
    <t>Capex</t>
  </si>
  <si>
    <t>Training Expense</t>
  </si>
  <si>
    <t>Opex</t>
  </si>
  <si>
    <t>Total Capital Expense</t>
  </si>
  <si>
    <t>Expense In Million USD</t>
  </si>
  <si>
    <t>Operation Expense</t>
  </si>
  <si>
    <t>No of Products Repaired</t>
  </si>
  <si>
    <t>No of Products Repired in an Hour</t>
  </si>
  <si>
    <t>Total Hours Required</t>
  </si>
  <si>
    <t>Labor Cost ($/hr)</t>
  </si>
  <si>
    <t>Labor Cost ($)</t>
  </si>
  <si>
    <t>Yearly Subscription for Database System</t>
  </si>
  <si>
    <t>Material Cost</t>
  </si>
  <si>
    <t>Salary of Employees</t>
  </si>
  <si>
    <t>Total Opex</t>
  </si>
  <si>
    <t>Expense in Million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</si>
</sst>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6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b/>
    </font>
    <font/>
    <font>
      <sz val="12.0"/>
      <color rgb="FF000000"/>
      <name val="'Times New Roman'"/>
    </font>
    <font>
      <name val="Arial"/>
    </font>
    <font>
      <sz val="12.0"/>
      <color rgb="FF000000"/>
      <name val="Times New Roman"/>
    </font>
    <font>
      <color rgb="FF000000"/>
      <name val="Arial"/>
    </font>
    <font>
      <sz val="11.0"/>
      <color rgb="FF000000"/>
      <name val="Inconsolata"/>
    </font>
    <font>
      <sz val="12.0"/>
      <name val="Times New Roman"/>
    </font>
    <font>
      <b/>
      <sz val="14.0"/>
      <color rgb="FF000000"/>
      <name val="Times New Roman"/>
    </font>
    <font>
      <sz val="14.0"/>
      <name val="Times New Roman"/>
    </font>
    <font>
      <b/>
      <sz val="14.0"/>
      <name val="Times New Roman"/>
    </font>
    <font>
      <sz val="14.0"/>
      <color rgb="FF000000"/>
      <name val="Times New Roman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/>
    </xf>
    <xf borderId="1" fillId="0" fontId="4" numFmtId="0" xfId="0" applyBorder="1" applyFont="1"/>
    <xf borderId="1" fillId="0" fontId="1" numFmtId="164" xfId="0" applyAlignment="1" applyBorder="1" applyFont="1" applyNumberFormat="1">
      <alignment readingOrder="0" vertical="bottom"/>
    </xf>
    <xf borderId="0" fillId="0" fontId="6" numFmtId="0" xfId="0" applyAlignment="1" applyFont="1">
      <alignment vertical="bottom"/>
    </xf>
    <xf borderId="1" fillId="0" fontId="1" numFmtId="164" xfId="0" applyAlignment="1" applyBorder="1" applyFont="1" applyNumberForma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1" fillId="0" fontId="7" numFmtId="164" xfId="0" applyAlignment="1" applyBorder="1" applyFont="1" applyNumberFormat="1">
      <alignment readingOrder="0" vertical="bottom"/>
    </xf>
    <xf borderId="0" fillId="0" fontId="4" numFmtId="9" xfId="0" applyAlignment="1" applyFont="1" applyNumberFormat="1">
      <alignment readingOrder="0"/>
    </xf>
    <xf borderId="1" fillId="0" fontId="7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0" fontId="7" numFmtId="164" xfId="0" applyAlignment="1" applyBorder="1" applyFont="1" applyNumberFormat="1">
      <alignment readingOrder="0" shrinkToFit="0" vertical="bottom" wrapText="0"/>
    </xf>
    <xf borderId="1" fillId="0" fontId="8" numFmtId="164" xfId="0" applyAlignment="1" applyBorder="1" applyFont="1" applyNumberFormat="1">
      <alignment horizontal="right" readingOrder="0"/>
    </xf>
    <xf borderId="1" fillId="0" fontId="7" numFmtId="4" xfId="0" applyAlignment="1" applyBorder="1" applyFont="1" applyNumberFormat="1">
      <alignment readingOrder="0"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4" numFmtId="0" xfId="0" applyAlignment="1" applyBorder="1" applyFont="1">
      <alignment readingOrder="0"/>
    </xf>
    <xf borderId="1" fillId="0" fontId="4" numFmtId="9" xfId="0" applyAlignment="1" applyBorder="1" applyFont="1" applyNumberFormat="1">
      <alignment horizontal="left" readingOrder="0"/>
    </xf>
    <xf borderId="1" fillId="2" fontId="7" numFmtId="164" xfId="0" applyAlignment="1" applyBorder="1" applyFill="1" applyFont="1" applyNumberFormat="1">
      <alignment horizontal="right" vertical="bottom"/>
    </xf>
    <xf borderId="2" fillId="2" fontId="7" numFmtId="164" xfId="0" applyAlignment="1" applyBorder="1" applyFont="1" applyNumberFormat="1">
      <alignment horizontal="right" vertical="bottom"/>
    </xf>
    <xf borderId="0" fillId="0" fontId="4" numFmtId="164" xfId="0" applyFont="1" applyNumberFormat="1"/>
    <xf borderId="1" fillId="0" fontId="7" numFmtId="0" xfId="0" applyAlignment="1" applyBorder="1" applyFont="1">
      <alignment readingOrder="0" vertical="bottom"/>
    </xf>
    <xf borderId="1" fillId="0" fontId="4" numFmtId="10" xfId="0" applyAlignment="1" applyBorder="1" applyFont="1" applyNumberFormat="1">
      <alignment horizontal="left" readingOrder="0"/>
    </xf>
    <xf borderId="0" fillId="0" fontId="6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1" fillId="0" fontId="7" numFmtId="164" xfId="0" applyAlignment="1" applyBorder="1" applyFont="1" applyNumberFormat="1">
      <alignment shrinkToFit="0" vertical="bottom" wrapText="0"/>
    </xf>
    <xf borderId="3" fillId="2" fontId="7" numFmtId="164" xfId="0" applyAlignment="1" applyBorder="1" applyFont="1" applyNumberFormat="1">
      <alignment horizontal="right" vertical="bottom"/>
    </xf>
    <xf borderId="4" fillId="2" fontId="7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horizontal="left" readingOrder="0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left"/>
    </xf>
    <xf borderId="0" fillId="0" fontId="1" numFmtId="4" xfId="0" applyAlignment="1" applyFont="1" applyNumberFormat="1">
      <alignment readingOrder="0" shrinkToFit="0" vertical="bottom" wrapText="0"/>
    </xf>
    <xf borderId="1" fillId="2" fontId="8" numFmtId="164" xfId="0" applyAlignment="1" applyBorder="1" applyFont="1" applyNumberFormat="1">
      <alignment horizontal="right" readingOrder="0"/>
    </xf>
    <xf borderId="1" fillId="2" fontId="4" numFmtId="0" xfId="0" applyBorder="1" applyFont="1"/>
    <xf borderId="0" fillId="2" fontId="4" numFmtId="0" xfId="0" applyFont="1"/>
    <xf borderId="0" fillId="2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10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 vertical="bottom"/>
    </xf>
    <xf borderId="1" fillId="0" fontId="3" numFmtId="9" xfId="0" applyBorder="1" applyFont="1" applyNumberFormat="1"/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1" xfId="0" applyAlignment="1" applyFont="1" applyNumberFormat="1">
      <alignment readingOrder="0"/>
    </xf>
    <xf borderId="0" fillId="0" fontId="3" numFmtId="9" xfId="0" applyFont="1" applyNumberFormat="1"/>
    <xf borderId="1" fillId="0" fontId="11" numFmtId="0" xfId="0" applyAlignment="1" applyBorder="1" applyFont="1">
      <alignment readingOrder="0"/>
    </xf>
    <xf borderId="1" fillId="0" fontId="12" numFmtId="0" xfId="0" applyBorder="1" applyFont="1"/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vertical="bottom"/>
    </xf>
    <xf borderId="1" fillId="0" fontId="13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0" fontId="14" numFmtId="164" xfId="0" applyAlignment="1" applyBorder="1" applyFont="1" applyNumberFormat="1">
      <alignment horizontal="right" readingOrder="0"/>
    </xf>
    <xf borderId="1" fillId="0" fontId="12" numFmtId="164" xfId="0" applyBorder="1" applyFont="1" applyNumberFormat="1"/>
    <xf borderId="1" fillId="0" fontId="12" numFmtId="164" xfId="0" applyAlignment="1" applyBorder="1" applyFont="1" applyNumberFormat="1">
      <alignment horizontal="right" vertical="bottom"/>
    </xf>
    <xf borderId="1" fillId="0" fontId="6" numFmtId="164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2" numFmtId="0" xfId="0" applyAlignment="1" applyBorder="1" applyFont="1">
      <alignment horizontal="right" vertical="bottom"/>
    </xf>
    <xf borderId="1" fillId="0" fontId="6" numFmtId="0" xfId="0" applyAlignment="1" applyBorder="1" applyFont="1">
      <alignment vertical="bottom"/>
    </xf>
    <xf borderId="1" fillId="0" fontId="4" numFmtId="9" xfId="0" applyAlignment="1" applyBorder="1" applyFont="1" applyNumberFormat="1">
      <alignment readingOrder="0"/>
    </xf>
    <xf borderId="1" fillId="0" fontId="12" numFmtId="164" xfId="0" applyBorder="1" applyFont="1" applyNumberFormat="1"/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2" xfId="0" applyAlignment="1" applyBorder="1" applyFont="1" applyNumberForma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1" fillId="0" fontId="12" numFmtId="0" xfId="0" applyAlignment="1" applyBorder="1" applyFont="1">
      <alignment vertical="bottom"/>
    </xf>
    <xf borderId="0" fillId="0" fontId="8" numFmtId="0" xfId="0" applyAlignment="1" applyFont="1">
      <alignment shrinkToFit="0" vertical="bottom" wrapText="0"/>
    </xf>
    <xf borderId="1" fillId="0" fontId="14" numFmtId="10" xfId="0" applyAlignment="1" applyBorder="1" applyFont="1" applyNumberFormat="1">
      <alignment horizontal="right" readingOrder="0"/>
    </xf>
    <xf borderId="1" fillId="0" fontId="15" numFmtId="0" xfId="0" applyAlignment="1" applyBorder="1" applyFont="1">
      <alignment readingOrder="0" shrinkToFit="0" vertical="bottom" wrapText="0"/>
    </xf>
    <xf borderId="1" fillId="0" fontId="12" numFmtId="164" xfId="0" applyAlignment="1" applyBorder="1" applyFont="1" applyNumberFormat="1">
      <alignment readingOrder="0" shrinkToFit="0" vertical="top" wrapText="0"/>
    </xf>
    <xf borderId="0" fillId="0" fontId="8" numFmtId="0" xfId="0" applyAlignment="1" applyFont="1">
      <alignment readingOrder="0" shrinkToFit="0" vertical="bottom" wrapText="0"/>
    </xf>
    <xf borderId="0" fillId="0" fontId="8" numFmtId="9" xfId="0" applyAlignment="1" applyFont="1" applyNumberFormat="1">
      <alignment horizontal="right" readingOrder="0" shrinkToFit="0" vertical="bottom" wrapText="0"/>
    </xf>
    <xf borderId="1" fillId="0" fontId="1" numFmtId="2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8" numFmtId="9" xfId="0" applyAlignment="1" applyBorder="1" applyFont="1" applyNumberFormat="1">
      <alignment horizontal="right" readingOrder="0" shrinkToFit="0" vertical="bottom" wrapText="0"/>
    </xf>
    <xf borderId="1" fillId="0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horizontal="right" readingOrder="0" shrinkToFit="0" vertical="bottom" wrapText="0"/>
    </xf>
    <xf borderId="0" fillId="0" fontId="4" numFmtId="164" xfId="0" applyFont="1" applyNumberFormat="1"/>
    <xf borderId="1" fillId="0" fontId="8" numFmtId="165" xfId="0" applyAlignment="1" applyBorder="1" applyFont="1" applyNumberFormat="1">
      <alignment horizontal="right" readingOrder="0" shrinkToFit="0" vertical="bottom" wrapText="0"/>
    </xf>
    <xf borderId="1" fillId="0" fontId="8" numFmtId="165" xfId="0" applyAlignment="1" applyBorder="1" applyFont="1" applyNumberForma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12" numFmtId="0" xfId="0" applyFont="1"/>
    <xf borderId="1" fillId="0" fontId="8" numFmtId="164" xfId="0" applyAlignment="1" applyBorder="1" applyFont="1" applyNumberFormat="1">
      <alignment horizontal="right" readingOrder="0" shrinkToFit="0" vertical="bottom" wrapText="0"/>
    </xf>
    <xf borderId="0" fillId="0" fontId="3" numFmtId="164" xfId="0" applyFont="1" applyNumberFormat="1"/>
    <xf borderId="1" fillId="0" fontId="8" numFmtId="165" xfId="0" applyAlignment="1" applyBorder="1" applyFont="1" applyNumberFormat="1">
      <alignment shrinkToFit="0" vertical="bottom" wrapText="0"/>
    </xf>
    <xf borderId="0" fillId="0" fontId="8" numFmtId="164" xfId="0" applyAlignment="1" applyFont="1" applyNumberFormat="1">
      <alignment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1" fillId="0" fontId="8" numFmtId="1" xfId="0" applyAlignment="1" applyBorder="1" applyFont="1" applyNumberFormat="1">
      <alignment horizontal="right" readingOrder="0" shrinkToFit="0" vertical="bottom" wrapText="0"/>
    </xf>
    <xf borderId="1" fillId="0" fontId="8" numFmtId="164" xfId="0" applyAlignment="1" applyBorder="1" applyFont="1" applyNumberFormat="1">
      <alignment readingOrder="0" shrinkToFit="0" vertical="bottom" wrapText="0"/>
    </xf>
    <xf borderId="1" fillId="3" fontId="8" numFmtId="0" xfId="0" applyAlignment="1" applyBorder="1" applyFill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0" fontId="8" numFmtId="4" xfId="0" applyAlignment="1" applyFont="1" applyNumberFormat="1">
      <alignment readingOrder="0" shrinkToFit="0" vertical="bottom" wrapText="0"/>
    </xf>
    <xf borderId="1" fillId="0" fontId="8" numFmtId="4" xfId="0" applyAlignment="1" applyBorder="1" applyFont="1" applyNumberFormat="1">
      <alignment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1" fillId="0" fontId="15" numFmtId="164" xfId="0" applyAlignment="1" applyBorder="1" applyFont="1" applyNumberFormat="1">
      <alignment readingOrder="0" shrinkToFit="0" vertical="bottom" wrapText="0"/>
    </xf>
    <xf borderId="1" fillId="0" fontId="15" numFmtId="165" xfId="0" applyAlignment="1" applyBorder="1" applyFont="1" applyNumberFormat="1">
      <alignment horizontal="right" readingOrder="0" shrinkToFit="0" vertical="bottom" wrapText="0"/>
    </xf>
    <xf borderId="1" fillId="0" fontId="15" numFmtId="0" xfId="0" applyAlignment="1" applyBorder="1" applyFont="1">
      <alignment horizontal="right" readingOrder="0" shrinkToFit="0" vertical="bottom" wrapText="0"/>
    </xf>
    <xf borderId="1" fillId="0" fontId="15" numFmtId="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Cash Flow Diagram for 30 years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'Reduce production'!$G$2</c:f>
            </c:strRef>
          </c:tx>
          <c:spPr>
            <a:solidFill>
              <a:srgbClr val="3366CC"/>
            </a:solidFill>
          </c:spPr>
          <c:val>
            <c:numRef>
              <c:f>'Reduce production'!$G$3:$G$33</c:f>
            </c:numRef>
          </c:val>
        </c:ser>
        <c:axId val="638110815"/>
        <c:axId val="1951674134"/>
      </c:barChart>
      <c:catAx>
        <c:axId val="63811081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51674134"/>
      </c:catAx>
      <c:valAx>
        <c:axId val="1951674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Cash Flow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38110815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Cash Flow Diagram for 30 years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'Apple car'!$F$2</c:f>
            </c:strRef>
          </c:tx>
          <c:spPr>
            <a:solidFill>
              <a:srgbClr val="3366CC"/>
            </a:solidFill>
          </c:spPr>
          <c:val>
            <c:numRef>
              <c:f>'Apple car'!$F$3:$F$33</c:f>
            </c:numRef>
          </c:val>
        </c:ser>
        <c:axId val="781351048"/>
        <c:axId val="1592215592"/>
      </c:barChart>
      <c:catAx>
        <c:axId val="78135104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92215592"/>
      </c:catAx>
      <c:valAx>
        <c:axId val="15922155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Cash Flow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81351048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Cash Flow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val>
            <c:numRef>
              <c:f>OCA!$I$1:$I$33</c:f>
            </c:numRef>
          </c:val>
        </c:ser>
        <c:axId val="2109195228"/>
        <c:axId val="7057119"/>
      </c:barChart>
      <c:catAx>
        <c:axId val="210919522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057119"/>
      </c:catAx>
      <c:valAx>
        <c:axId val="7057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Cash Flow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09195228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Cash Flow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val>
            <c:numRef>
              <c:f>'Battery Capacity'!$I$1:$I$33</c:f>
            </c:numRef>
          </c:val>
        </c:ser>
        <c:axId val="96399446"/>
        <c:axId val="76965645"/>
      </c:barChart>
      <c:catAx>
        <c:axId val="9639944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6965645"/>
      </c:catAx>
      <c:valAx>
        <c:axId val="769656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Cash Flow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6399446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Cash Flow Diagram for 30 years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JIT!$J$2</c:f>
            </c:strRef>
          </c:tx>
          <c:spPr>
            <a:solidFill>
              <a:srgbClr val="3366CC"/>
            </a:solidFill>
          </c:spPr>
          <c:val>
            <c:numRef>
              <c:f>JIT!$J$3:$J$33</c:f>
            </c:numRef>
          </c:val>
        </c:ser>
        <c:axId val="543099556"/>
        <c:axId val="2101805194"/>
      </c:barChart>
      <c:catAx>
        <c:axId val="54309955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101805194"/>
      </c:catAx>
      <c:valAx>
        <c:axId val="2101805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43099556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Cash Flow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val>
            <c:numRef>
              <c:f>'Warranty Cost'!$J$1:$J$33</c:f>
            </c:numRef>
          </c:val>
        </c:ser>
        <c:axId val="1235140496"/>
        <c:axId val="2036446158"/>
      </c:barChart>
      <c:catAx>
        <c:axId val="123514049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36446158"/>
      </c:catAx>
      <c:valAx>
        <c:axId val="2036446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Cash Flow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35140496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590550</xdr:colOff>
      <xdr:row>36</xdr:row>
      <xdr:rowOff>95250</xdr:rowOff>
    </xdr:from>
    <xdr:ext cx="4867275" cy="3009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85725</xdr:colOff>
      <xdr:row>37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171450</xdr:colOff>
      <xdr:row>35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1666875</xdr:colOff>
      <xdr:row>33</xdr:row>
      <xdr:rowOff>123825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752475</xdr:colOff>
      <xdr:row>38</xdr:row>
      <xdr:rowOff>28575</xdr:rowOff>
    </xdr:from>
    <xdr:ext cx="7915275" cy="41243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35</xdr:row>
      <xdr:rowOff>66675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18.14"/>
    <col customWidth="1" min="4" max="5" width="20.86"/>
    <col customWidth="1" min="7" max="7" width="17.57"/>
    <col customWidth="1" min="8" max="8" width="20.57"/>
    <col customWidth="1" min="9" max="9" width="18.86"/>
    <col customWidth="1" min="10" max="10" width="45.43"/>
  </cols>
  <sheetData>
    <row r="1">
      <c r="A1" s="1"/>
      <c r="B1" s="1"/>
      <c r="C1" s="1"/>
      <c r="D1" s="1"/>
      <c r="E1" s="1"/>
      <c r="G1" s="1"/>
      <c r="H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5" t="s">
        <v>9</v>
      </c>
    </row>
    <row r="3">
      <c r="A3" s="7">
        <v>0.0</v>
      </c>
      <c r="B3" s="9">
        <v>1400470.0</v>
      </c>
      <c r="C3" s="10"/>
      <c r="D3" s="10"/>
      <c r="E3" s="10"/>
      <c r="F3" s="10"/>
      <c r="G3" s="15">
        <f t="shared" ref="G3:G33" si="1">C3-B3</f>
        <v>-1400470</v>
      </c>
      <c r="H3" s="15">
        <f>Sum(G$3:G3)</f>
        <v>-1400470</v>
      </c>
      <c r="I3" s="17">
        <f t="shared" ref="I3:I33" si="2">Sum(D$3:D3)</f>
        <v>0</v>
      </c>
      <c r="J3" s="5" t="s">
        <v>16</v>
      </c>
      <c r="K3" s="19">
        <v>0.03</v>
      </c>
    </row>
    <row r="4">
      <c r="A4" s="7">
        <v>1.0</v>
      </c>
      <c r="B4" s="23">
        <v>5604300.0</v>
      </c>
      <c r="C4" s="13">
        <f t="shared" ref="C4:C33" si="3">D4*E4</f>
        <v>10800000</v>
      </c>
      <c r="D4" s="7">
        <v>2.16E8</v>
      </c>
      <c r="E4" s="26">
        <f t="shared" ref="E4:E33" si="4">F4*0.01</f>
        <v>0.05</v>
      </c>
      <c r="F4" s="7">
        <v>5.0</v>
      </c>
      <c r="G4" s="15">
        <f t="shared" si="1"/>
        <v>5195700</v>
      </c>
      <c r="H4" s="15">
        <f t="shared" ref="H4:H33" si="5">Sum($G$3:G4)</f>
        <v>3795230</v>
      </c>
      <c r="I4" s="17">
        <f t="shared" si="2"/>
        <v>216000000</v>
      </c>
      <c r="J4" s="5" t="s">
        <v>17</v>
      </c>
      <c r="K4" s="19">
        <v>0.05</v>
      </c>
    </row>
    <row r="5">
      <c r="A5" s="7">
        <v>2.0</v>
      </c>
      <c r="B5" s="10"/>
      <c r="C5" s="13">
        <f t="shared" si="3"/>
        <v>12632136.3</v>
      </c>
      <c r="D5" s="21">
        <f t="shared" ref="D5:D33" si="6">$D$4*(1+$K$4)^A5</f>
        <v>238140000</v>
      </c>
      <c r="E5" s="26">
        <f t="shared" si="4"/>
        <v>0.053045</v>
      </c>
      <c r="F5" s="10">
        <f t="shared" ref="F5:F33" si="7">$F$4*(1+$K$3)^A5</f>
        <v>5.3045</v>
      </c>
      <c r="G5" s="15">
        <f t="shared" si="1"/>
        <v>12632136.3</v>
      </c>
      <c r="H5" s="15">
        <f t="shared" si="5"/>
        <v>16427366.3</v>
      </c>
      <c r="I5" s="17">
        <f t="shared" si="2"/>
        <v>454140000</v>
      </c>
      <c r="J5" s="5" t="s">
        <v>18</v>
      </c>
      <c r="K5" s="5">
        <v>10000.0</v>
      </c>
    </row>
    <row r="6">
      <c r="A6" s="7">
        <v>3.0</v>
      </c>
      <c r="B6" s="10"/>
      <c r="C6" s="13">
        <f t="shared" si="3"/>
        <v>13661655.41</v>
      </c>
      <c r="D6" s="21">
        <f t="shared" si="6"/>
        <v>250047000</v>
      </c>
      <c r="E6" s="26">
        <f t="shared" si="4"/>
        <v>0.05463635</v>
      </c>
      <c r="F6" s="10">
        <f t="shared" si="7"/>
        <v>5.463635</v>
      </c>
      <c r="G6" s="15">
        <f t="shared" si="1"/>
        <v>13661655.41</v>
      </c>
      <c r="H6" s="15">
        <f t="shared" si="5"/>
        <v>30089021.71</v>
      </c>
      <c r="I6" s="17">
        <f t="shared" si="2"/>
        <v>704187000</v>
      </c>
      <c r="J6" s="5"/>
    </row>
    <row r="7">
      <c r="A7" s="7">
        <v>4.0</v>
      </c>
      <c r="B7" s="10"/>
      <c r="C7" s="13">
        <f t="shared" si="3"/>
        <v>14775080.32</v>
      </c>
      <c r="D7" s="21">
        <f t="shared" si="6"/>
        <v>262549350</v>
      </c>
      <c r="E7" s="26">
        <f t="shared" si="4"/>
        <v>0.0562754405</v>
      </c>
      <c r="F7" s="10">
        <f t="shared" si="7"/>
        <v>5.62754405</v>
      </c>
      <c r="G7" s="15">
        <f t="shared" si="1"/>
        <v>14775080.32</v>
      </c>
      <c r="H7" s="15">
        <f t="shared" si="5"/>
        <v>44864102.03</v>
      </c>
      <c r="I7" s="17">
        <f t="shared" si="2"/>
        <v>966736350</v>
      </c>
      <c r="J7" s="5"/>
    </row>
    <row r="8">
      <c r="A8" s="7">
        <v>5.0</v>
      </c>
      <c r="B8" s="10"/>
      <c r="C8" s="13">
        <f t="shared" si="3"/>
        <v>15979249.37</v>
      </c>
      <c r="D8" s="21">
        <f t="shared" si="6"/>
        <v>275676817.5</v>
      </c>
      <c r="E8" s="26">
        <f t="shared" si="4"/>
        <v>0.05796370372</v>
      </c>
      <c r="F8" s="10">
        <f t="shared" si="7"/>
        <v>5.796370372</v>
      </c>
      <c r="G8" s="15">
        <f t="shared" si="1"/>
        <v>15979249.37</v>
      </c>
      <c r="H8" s="15">
        <f t="shared" si="5"/>
        <v>60843351.4</v>
      </c>
      <c r="I8" s="17">
        <f t="shared" si="2"/>
        <v>1242413168</v>
      </c>
      <c r="J8" s="5"/>
    </row>
    <row r="9">
      <c r="A9" s="7">
        <v>6.0</v>
      </c>
      <c r="B9" s="10"/>
      <c r="C9" s="13">
        <f t="shared" si="3"/>
        <v>17281558.19</v>
      </c>
      <c r="D9" s="21">
        <f t="shared" si="6"/>
        <v>289460658.4</v>
      </c>
      <c r="E9" s="26">
        <f t="shared" si="4"/>
        <v>0.05970261483</v>
      </c>
      <c r="F9" s="10">
        <f t="shared" si="7"/>
        <v>5.970261483</v>
      </c>
      <c r="G9" s="15">
        <f t="shared" si="1"/>
        <v>17281558.19</v>
      </c>
      <c r="H9" s="15">
        <f t="shared" si="5"/>
        <v>78124909.6</v>
      </c>
      <c r="I9" s="17">
        <f t="shared" si="2"/>
        <v>1531873826</v>
      </c>
    </row>
    <row r="10">
      <c r="A10" s="7">
        <v>7.0</v>
      </c>
      <c r="B10" s="10"/>
      <c r="C10" s="13">
        <f t="shared" si="3"/>
        <v>18690005.19</v>
      </c>
      <c r="D10" s="21">
        <f t="shared" si="6"/>
        <v>303933691.3</v>
      </c>
      <c r="E10" s="26">
        <f t="shared" si="4"/>
        <v>0.06149369327</v>
      </c>
      <c r="F10" s="10">
        <f t="shared" si="7"/>
        <v>6.149369327</v>
      </c>
      <c r="G10" s="15">
        <f t="shared" si="1"/>
        <v>18690005.19</v>
      </c>
      <c r="H10" s="15">
        <f t="shared" si="5"/>
        <v>96814914.78</v>
      </c>
      <c r="I10" s="17">
        <f t="shared" si="2"/>
        <v>1835807517</v>
      </c>
    </row>
    <row r="11">
      <c r="A11" s="7">
        <v>8.0</v>
      </c>
      <c r="B11" s="10"/>
      <c r="C11" s="13">
        <f t="shared" si="3"/>
        <v>20213240.61</v>
      </c>
      <c r="D11" s="21">
        <f t="shared" si="6"/>
        <v>319130375.9</v>
      </c>
      <c r="E11" s="26">
        <f t="shared" si="4"/>
        <v>0.06333850407</v>
      </c>
      <c r="F11" s="10">
        <f t="shared" si="7"/>
        <v>6.333850407</v>
      </c>
      <c r="G11" s="15">
        <f t="shared" si="1"/>
        <v>20213240.61</v>
      </c>
      <c r="H11" s="15">
        <f t="shared" si="5"/>
        <v>117028155.4</v>
      </c>
      <c r="I11" s="17">
        <f t="shared" si="2"/>
        <v>2154937893</v>
      </c>
    </row>
    <row r="12">
      <c r="A12" s="7">
        <v>9.0</v>
      </c>
      <c r="B12" s="10"/>
      <c r="C12" s="13">
        <f t="shared" si="3"/>
        <v>21860619.72</v>
      </c>
      <c r="D12" s="21">
        <f t="shared" si="6"/>
        <v>335086894.7</v>
      </c>
      <c r="E12" s="26">
        <f t="shared" si="4"/>
        <v>0.06523865919</v>
      </c>
      <c r="F12" s="10">
        <f t="shared" si="7"/>
        <v>6.523865919</v>
      </c>
      <c r="G12" s="15">
        <f t="shared" si="1"/>
        <v>21860619.72</v>
      </c>
      <c r="H12" s="15">
        <f t="shared" si="5"/>
        <v>138888775.1</v>
      </c>
      <c r="I12" s="17">
        <f t="shared" si="2"/>
        <v>2490024788</v>
      </c>
    </row>
    <row r="13">
      <c r="A13" s="7">
        <v>10.0</v>
      </c>
      <c r="B13" s="10"/>
      <c r="C13" s="13">
        <f t="shared" si="3"/>
        <v>23642260.23</v>
      </c>
      <c r="D13" s="21">
        <f t="shared" si="6"/>
        <v>351841239.4</v>
      </c>
      <c r="E13" s="26">
        <f t="shared" si="4"/>
        <v>0.06719581897</v>
      </c>
      <c r="F13" s="10">
        <f t="shared" si="7"/>
        <v>6.719581897</v>
      </c>
      <c r="G13" s="15">
        <f t="shared" si="1"/>
        <v>23642260.23</v>
      </c>
      <c r="H13" s="15">
        <f t="shared" si="5"/>
        <v>162531035.3</v>
      </c>
      <c r="I13" s="17">
        <f t="shared" si="2"/>
        <v>2841866027</v>
      </c>
    </row>
    <row r="14">
      <c r="A14" s="7">
        <v>11.0</v>
      </c>
      <c r="B14" s="10"/>
      <c r="C14" s="13">
        <f t="shared" si="3"/>
        <v>25569104.44</v>
      </c>
      <c r="D14" s="21">
        <f t="shared" si="6"/>
        <v>369433301.4</v>
      </c>
      <c r="E14" s="26">
        <f t="shared" si="4"/>
        <v>0.06921169354</v>
      </c>
      <c r="F14" s="10">
        <f t="shared" si="7"/>
        <v>6.921169354</v>
      </c>
      <c r="G14" s="15">
        <f t="shared" si="1"/>
        <v>25569104.44</v>
      </c>
      <c r="H14" s="15">
        <f t="shared" si="5"/>
        <v>188100139.8</v>
      </c>
      <c r="I14" s="17">
        <f t="shared" si="2"/>
        <v>3211299328</v>
      </c>
    </row>
    <row r="15">
      <c r="A15" s="7">
        <v>12.0</v>
      </c>
      <c r="B15" s="10"/>
      <c r="C15" s="13">
        <f t="shared" si="3"/>
        <v>27652986.45</v>
      </c>
      <c r="D15" s="21">
        <f t="shared" si="6"/>
        <v>387904966.4</v>
      </c>
      <c r="E15" s="26">
        <f t="shared" si="4"/>
        <v>0.07128804434</v>
      </c>
      <c r="F15" s="10">
        <f t="shared" si="7"/>
        <v>7.128804434</v>
      </c>
      <c r="G15" s="15">
        <f t="shared" si="1"/>
        <v>27652986.45</v>
      </c>
      <c r="H15" s="15">
        <f t="shared" si="5"/>
        <v>215753126.2</v>
      </c>
      <c r="I15" s="17">
        <f t="shared" si="2"/>
        <v>3599204295</v>
      </c>
    </row>
    <row r="16">
      <c r="A16" s="7">
        <v>13.0</v>
      </c>
      <c r="B16" s="10"/>
      <c r="C16" s="13">
        <f t="shared" si="3"/>
        <v>29906704.84</v>
      </c>
      <c r="D16" s="21">
        <f t="shared" si="6"/>
        <v>407300214.7</v>
      </c>
      <c r="E16" s="26">
        <f t="shared" si="4"/>
        <v>0.07342668567</v>
      </c>
      <c r="F16" s="10">
        <f t="shared" si="7"/>
        <v>7.342668567</v>
      </c>
      <c r="G16" s="15">
        <f t="shared" si="1"/>
        <v>29906704.84</v>
      </c>
      <c r="H16" s="15">
        <f t="shared" si="5"/>
        <v>245659831.1</v>
      </c>
      <c r="I16" s="17">
        <f t="shared" si="2"/>
        <v>4006504510</v>
      </c>
    </row>
    <row r="17">
      <c r="A17" s="7">
        <v>14.0</v>
      </c>
      <c r="B17" s="10"/>
      <c r="C17" s="13">
        <f t="shared" si="3"/>
        <v>32344101.29</v>
      </c>
      <c r="D17" s="21">
        <f t="shared" si="6"/>
        <v>427665225.5</v>
      </c>
      <c r="E17" s="26">
        <f t="shared" si="4"/>
        <v>0.07562948624</v>
      </c>
      <c r="F17" s="10">
        <f t="shared" si="7"/>
        <v>7.562948624</v>
      </c>
      <c r="G17" s="15">
        <f t="shared" si="1"/>
        <v>32344101.29</v>
      </c>
      <c r="H17" s="15">
        <f t="shared" si="5"/>
        <v>278003932.4</v>
      </c>
      <c r="I17" s="17">
        <f t="shared" si="2"/>
        <v>4434169735</v>
      </c>
    </row>
    <row r="18">
      <c r="A18" s="7">
        <v>15.0</v>
      </c>
      <c r="B18" s="10"/>
      <c r="C18" s="13">
        <f t="shared" si="3"/>
        <v>34980145.54</v>
      </c>
      <c r="D18" s="21">
        <f t="shared" si="6"/>
        <v>449048486.8</v>
      </c>
      <c r="E18" s="26">
        <f t="shared" si="4"/>
        <v>0.07789837083</v>
      </c>
      <c r="F18" s="10">
        <f t="shared" si="7"/>
        <v>7.789837083</v>
      </c>
      <c r="G18" s="15">
        <f t="shared" si="1"/>
        <v>34980145.54</v>
      </c>
      <c r="H18" s="15">
        <f t="shared" si="5"/>
        <v>312984077.9</v>
      </c>
      <c r="I18" s="17">
        <f t="shared" si="2"/>
        <v>4883218222</v>
      </c>
    </row>
    <row r="19">
      <c r="A19" s="7">
        <v>16.0</v>
      </c>
      <c r="B19" s="10"/>
      <c r="C19" s="13">
        <f t="shared" si="3"/>
        <v>37831027.4</v>
      </c>
      <c r="D19" s="21">
        <f t="shared" si="6"/>
        <v>471500911.1</v>
      </c>
      <c r="E19" s="26">
        <f t="shared" si="4"/>
        <v>0.08023532195</v>
      </c>
      <c r="F19" s="10">
        <f t="shared" si="7"/>
        <v>8.023532195</v>
      </c>
      <c r="G19" s="15">
        <f t="shared" si="1"/>
        <v>37831027.4</v>
      </c>
      <c r="H19" s="15">
        <f t="shared" si="5"/>
        <v>350815105.3</v>
      </c>
      <c r="I19" s="17">
        <f t="shared" si="2"/>
        <v>5354719133</v>
      </c>
    </row>
    <row r="20">
      <c r="A20" s="7">
        <v>17.0</v>
      </c>
      <c r="B20" s="10"/>
      <c r="C20" s="13">
        <f t="shared" si="3"/>
        <v>40914256.14</v>
      </c>
      <c r="D20" s="21">
        <f t="shared" si="6"/>
        <v>495075956.6</v>
      </c>
      <c r="E20" s="26">
        <f t="shared" si="4"/>
        <v>0.08264238161</v>
      </c>
      <c r="F20" s="10">
        <f t="shared" si="7"/>
        <v>8.264238161</v>
      </c>
      <c r="G20" s="15">
        <f t="shared" si="1"/>
        <v>40914256.14</v>
      </c>
      <c r="H20" s="15">
        <f t="shared" si="5"/>
        <v>391729361.4</v>
      </c>
      <c r="I20" s="17">
        <f t="shared" si="2"/>
        <v>5849795090</v>
      </c>
    </row>
    <row r="21">
      <c r="A21" s="7">
        <v>18.0</v>
      </c>
      <c r="B21" s="10"/>
      <c r="C21" s="13">
        <f t="shared" si="3"/>
        <v>44248768.01</v>
      </c>
      <c r="D21" s="21">
        <f t="shared" si="6"/>
        <v>519829754.5</v>
      </c>
      <c r="E21" s="26">
        <f t="shared" si="4"/>
        <v>0.08512165306</v>
      </c>
      <c r="F21" s="10">
        <f t="shared" si="7"/>
        <v>8.512165306</v>
      </c>
      <c r="G21" s="15">
        <f t="shared" si="1"/>
        <v>44248768.01</v>
      </c>
      <c r="H21" s="15">
        <f t="shared" si="5"/>
        <v>435978129.4</v>
      </c>
      <c r="I21" s="17">
        <f t="shared" si="2"/>
        <v>6369624844</v>
      </c>
    </row>
    <row r="22">
      <c r="A22" s="7">
        <v>19.0</v>
      </c>
      <c r="B22" s="10"/>
      <c r="C22" s="13">
        <f t="shared" si="3"/>
        <v>47855042.6</v>
      </c>
      <c r="D22" s="21">
        <f t="shared" si="6"/>
        <v>545821242.2</v>
      </c>
      <c r="E22" s="26">
        <f t="shared" si="4"/>
        <v>0.08767530265</v>
      </c>
      <c r="F22" s="10">
        <f t="shared" si="7"/>
        <v>8.767530265</v>
      </c>
      <c r="G22" s="15">
        <f t="shared" si="1"/>
        <v>47855042.6</v>
      </c>
      <c r="H22" s="15">
        <f t="shared" si="5"/>
        <v>483833172.1</v>
      </c>
      <c r="I22" s="17">
        <f t="shared" si="2"/>
        <v>6915446086</v>
      </c>
    </row>
    <row r="23">
      <c r="A23" s="7">
        <v>20.0</v>
      </c>
      <c r="B23" s="10"/>
      <c r="C23" s="13">
        <f t="shared" si="3"/>
        <v>51755228.58</v>
      </c>
      <c r="D23" s="21">
        <f t="shared" si="6"/>
        <v>573112304.3</v>
      </c>
      <c r="E23" s="26">
        <f t="shared" si="4"/>
        <v>0.09030556173</v>
      </c>
      <c r="F23" s="10">
        <f t="shared" si="7"/>
        <v>9.030556173</v>
      </c>
      <c r="G23" s="15">
        <f t="shared" si="1"/>
        <v>51755228.58</v>
      </c>
      <c r="H23" s="15">
        <f t="shared" si="5"/>
        <v>535588400.6</v>
      </c>
      <c r="I23" s="17">
        <f t="shared" si="2"/>
        <v>7488558391</v>
      </c>
    </row>
    <row r="24">
      <c r="A24" s="7">
        <v>21.0</v>
      </c>
      <c r="B24" s="12"/>
      <c r="C24" s="13">
        <f t="shared" si="3"/>
        <v>55973279.71</v>
      </c>
      <c r="D24" s="21">
        <f t="shared" si="6"/>
        <v>601767919.5</v>
      </c>
      <c r="E24" s="26">
        <f t="shared" si="4"/>
        <v>0.09301472859</v>
      </c>
      <c r="F24" s="10">
        <f t="shared" si="7"/>
        <v>9.301472859</v>
      </c>
      <c r="G24" s="15">
        <f t="shared" si="1"/>
        <v>55973279.71</v>
      </c>
      <c r="H24" s="15">
        <f t="shared" si="5"/>
        <v>591561680.3</v>
      </c>
      <c r="I24" s="17">
        <f t="shared" si="2"/>
        <v>8090326310</v>
      </c>
    </row>
    <row r="25">
      <c r="A25" s="7">
        <v>22.0</v>
      </c>
      <c r="B25" s="12"/>
      <c r="C25" s="13">
        <f t="shared" si="3"/>
        <v>60535102</v>
      </c>
      <c r="D25" s="21">
        <f t="shared" si="6"/>
        <v>631856315.5</v>
      </c>
      <c r="E25" s="26">
        <f t="shared" si="4"/>
        <v>0.09580517044</v>
      </c>
      <c r="F25" s="10">
        <f t="shared" si="7"/>
        <v>9.580517044</v>
      </c>
      <c r="G25" s="15">
        <f t="shared" si="1"/>
        <v>60535102</v>
      </c>
      <c r="H25" s="15">
        <f t="shared" si="5"/>
        <v>652096782.3</v>
      </c>
      <c r="I25" s="17">
        <f t="shared" si="2"/>
        <v>8722182626</v>
      </c>
    </row>
    <row r="26">
      <c r="A26" s="7">
        <v>23.0</v>
      </c>
      <c r="B26" s="12"/>
      <c r="C26" s="13">
        <f t="shared" si="3"/>
        <v>65468712.82</v>
      </c>
      <c r="D26" s="21">
        <f t="shared" si="6"/>
        <v>663449131.3</v>
      </c>
      <c r="E26" s="26">
        <f t="shared" si="4"/>
        <v>0.09867932556</v>
      </c>
      <c r="F26" s="10">
        <f t="shared" si="7"/>
        <v>9.867932556</v>
      </c>
      <c r="G26" s="15">
        <f t="shared" si="1"/>
        <v>65468712.82</v>
      </c>
      <c r="H26" s="15">
        <f t="shared" si="5"/>
        <v>717565495.2</v>
      </c>
      <c r="I26" s="17">
        <f t="shared" si="2"/>
        <v>9385631757</v>
      </c>
    </row>
    <row r="27">
      <c r="A27" s="7">
        <v>24.0</v>
      </c>
      <c r="B27" s="12"/>
      <c r="C27" s="13">
        <f t="shared" si="3"/>
        <v>70804412.91</v>
      </c>
      <c r="D27" s="21">
        <f t="shared" si="6"/>
        <v>696621587.8</v>
      </c>
      <c r="E27" s="26">
        <f t="shared" si="4"/>
        <v>0.1016397053</v>
      </c>
      <c r="F27" s="10">
        <f t="shared" si="7"/>
        <v>10.16397053</v>
      </c>
      <c r="G27" s="15">
        <f t="shared" si="1"/>
        <v>70804412.91</v>
      </c>
      <c r="H27" s="15">
        <f t="shared" si="5"/>
        <v>788369908.1</v>
      </c>
      <c r="I27" s="17">
        <f t="shared" si="2"/>
        <v>10082253345</v>
      </c>
    </row>
    <row r="28">
      <c r="A28" s="7">
        <v>25.0</v>
      </c>
      <c r="B28" s="12"/>
      <c r="C28" s="13">
        <f t="shared" si="3"/>
        <v>76574972.56</v>
      </c>
      <c r="D28" s="21">
        <f t="shared" si="6"/>
        <v>731452667.2</v>
      </c>
      <c r="E28" s="26">
        <f t="shared" si="4"/>
        <v>0.1046888965</v>
      </c>
      <c r="F28" s="10">
        <f t="shared" si="7"/>
        <v>10.46888965</v>
      </c>
      <c r="G28" s="15">
        <f t="shared" si="1"/>
        <v>76574972.56</v>
      </c>
      <c r="H28" s="15">
        <f t="shared" si="5"/>
        <v>864944880.6</v>
      </c>
      <c r="I28" s="17">
        <f t="shared" si="2"/>
        <v>10813706012</v>
      </c>
    </row>
    <row r="29">
      <c r="A29" s="7">
        <v>26.0</v>
      </c>
      <c r="B29" s="12"/>
      <c r="C29" s="13">
        <f t="shared" si="3"/>
        <v>82815832.83</v>
      </c>
      <c r="D29" s="21">
        <f t="shared" si="6"/>
        <v>768025300.6</v>
      </c>
      <c r="E29" s="26">
        <f t="shared" si="4"/>
        <v>0.1078295634</v>
      </c>
      <c r="F29" s="10">
        <f t="shared" si="7"/>
        <v>10.78295634</v>
      </c>
      <c r="G29" s="15">
        <f t="shared" si="1"/>
        <v>82815832.83</v>
      </c>
      <c r="H29" s="15">
        <f t="shared" si="5"/>
        <v>947760713.5</v>
      </c>
      <c r="I29" s="17">
        <f t="shared" si="2"/>
        <v>11581731313</v>
      </c>
    </row>
    <row r="30">
      <c r="A30" s="7">
        <v>27.0</v>
      </c>
      <c r="B30" s="12"/>
      <c r="C30" s="13">
        <f t="shared" si="3"/>
        <v>89565323.2</v>
      </c>
      <c r="D30" s="21">
        <f t="shared" si="6"/>
        <v>806426565.6</v>
      </c>
      <c r="E30" s="26">
        <f t="shared" si="4"/>
        <v>0.1110644503</v>
      </c>
      <c r="F30" s="10">
        <f t="shared" si="7"/>
        <v>11.10644503</v>
      </c>
      <c r="G30" s="15">
        <f t="shared" si="1"/>
        <v>89565323.2</v>
      </c>
      <c r="H30" s="15">
        <f t="shared" si="5"/>
        <v>1037326037</v>
      </c>
      <c r="I30" s="41">
        <f t="shared" si="2"/>
        <v>12388157878</v>
      </c>
    </row>
    <row r="31">
      <c r="A31" s="7">
        <v>28.0</v>
      </c>
      <c r="B31" s="12"/>
      <c r="C31" s="13">
        <f t="shared" si="3"/>
        <v>96864897.04</v>
      </c>
      <c r="D31" s="21">
        <f t="shared" si="6"/>
        <v>846747893.9</v>
      </c>
      <c r="E31" s="26">
        <f t="shared" si="4"/>
        <v>0.1143963838</v>
      </c>
      <c r="F31" s="10">
        <f t="shared" si="7"/>
        <v>11.43963838</v>
      </c>
      <c r="G31" s="15">
        <f t="shared" si="1"/>
        <v>96864897.04</v>
      </c>
      <c r="H31" s="15">
        <f t="shared" si="5"/>
        <v>1134190934</v>
      </c>
      <c r="I31" s="41">
        <f t="shared" si="2"/>
        <v>13234905772</v>
      </c>
    </row>
    <row r="32">
      <c r="A32" s="7">
        <v>29.0</v>
      </c>
      <c r="B32" s="42"/>
      <c r="C32" s="13">
        <f t="shared" si="3"/>
        <v>104759386.2</v>
      </c>
      <c r="D32" s="21">
        <f t="shared" si="6"/>
        <v>889085288.6</v>
      </c>
      <c r="E32" s="26">
        <f t="shared" si="4"/>
        <v>0.1178282753</v>
      </c>
      <c r="F32" s="10">
        <f t="shared" si="7"/>
        <v>11.78282753</v>
      </c>
      <c r="G32" s="15">
        <f t="shared" si="1"/>
        <v>104759386.2</v>
      </c>
      <c r="H32" s="15">
        <f t="shared" si="5"/>
        <v>1238950320</v>
      </c>
      <c r="I32" s="41">
        <f t="shared" si="2"/>
        <v>14123991061</v>
      </c>
    </row>
    <row r="33">
      <c r="A33" s="7">
        <v>30.0</v>
      </c>
      <c r="B33" s="43"/>
      <c r="C33" s="13">
        <f t="shared" si="3"/>
        <v>113297276.1</v>
      </c>
      <c r="D33" s="21">
        <f t="shared" si="6"/>
        <v>933539553</v>
      </c>
      <c r="E33" s="26">
        <f t="shared" si="4"/>
        <v>0.1213631236</v>
      </c>
      <c r="F33" s="10">
        <f t="shared" si="7"/>
        <v>12.13631236</v>
      </c>
      <c r="G33" s="15">
        <f t="shared" si="1"/>
        <v>113297276.1</v>
      </c>
      <c r="H33" s="15">
        <f t="shared" si="5"/>
        <v>1352247596</v>
      </c>
      <c r="I33" s="41">
        <f t="shared" si="2"/>
        <v>15057530614</v>
      </c>
    </row>
    <row r="34">
      <c r="A34" s="1"/>
      <c r="B34" s="44"/>
      <c r="C34" s="44"/>
      <c r="D34" s="44"/>
    </row>
    <row r="35">
      <c r="A35" s="1"/>
      <c r="B35" s="45"/>
      <c r="C35" s="45"/>
      <c r="D35" s="45"/>
      <c r="E35" s="1"/>
      <c r="F35" s="1"/>
      <c r="G35" s="1"/>
      <c r="H35" s="1"/>
      <c r="I35" s="5"/>
      <c r="K35" s="5"/>
      <c r="L35" s="5"/>
      <c r="M35" s="5"/>
    </row>
    <row r="36">
      <c r="A36" s="1"/>
      <c r="B36" s="46"/>
      <c r="C36" s="47"/>
      <c r="D36" s="47"/>
      <c r="E36" s="48"/>
      <c r="F36" s="4" t="s">
        <v>14</v>
      </c>
      <c r="G36" s="50">
        <f t="array" ref="G36">NPV(0.074,G4:G33)+G3</f>
        <v>354119252.9</v>
      </c>
      <c r="H36" s="51"/>
      <c r="I36" s="41"/>
      <c r="J36" s="5"/>
      <c r="K36" s="5"/>
      <c r="L36" s="5"/>
      <c r="M36" s="52"/>
    </row>
    <row r="37">
      <c r="A37" s="1"/>
      <c r="B37" s="46"/>
      <c r="C37" s="53"/>
      <c r="D37" s="45"/>
      <c r="E37" s="5"/>
      <c r="F37" s="4" t="s">
        <v>25</v>
      </c>
      <c r="G37" s="4">
        <v>1.0</v>
      </c>
      <c r="H37" s="51"/>
      <c r="I37" s="41"/>
      <c r="J37" s="5"/>
      <c r="K37" s="5"/>
      <c r="L37" s="5"/>
      <c r="M37" s="52"/>
    </row>
    <row r="38">
      <c r="A38" s="1"/>
      <c r="B38" s="47"/>
      <c r="C38" s="53"/>
      <c r="D38" s="55"/>
      <c r="E38" s="5"/>
      <c r="F38" s="4" t="s">
        <v>26</v>
      </c>
      <c r="G38" s="54">
        <f>IRR(G3:G33,0.2)</f>
        <v>4.674017247</v>
      </c>
      <c r="H38" s="51"/>
      <c r="I38" s="41"/>
      <c r="J38" s="5"/>
      <c r="K38" s="5"/>
      <c r="L38" s="5"/>
      <c r="M38" s="56"/>
    </row>
    <row r="39">
      <c r="A39" s="1"/>
      <c r="B39" s="47"/>
      <c r="C39" s="53"/>
      <c r="D39" s="55"/>
      <c r="E39" s="5"/>
      <c r="F39" s="48"/>
      <c r="G39" s="51"/>
      <c r="H39" s="51"/>
      <c r="I39" s="41"/>
      <c r="J39" s="5"/>
      <c r="K39" s="5"/>
      <c r="L39" s="5"/>
      <c r="M39" s="56"/>
    </row>
    <row r="40">
      <c r="A40" s="1"/>
      <c r="B40" s="47"/>
      <c r="C40" s="53"/>
      <c r="D40" s="55"/>
      <c r="E40" s="5"/>
      <c r="F40" s="48"/>
      <c r="G40" s="51"/>
      <c r="H40" s="51"/>
      <c r="I40" s="41"/>
      <c r="J40" s="5"/>
      <c r="K40" s="5"/>
      <c r="L40" s="5"/>
      <c r="M40" s="56"/>
    </row>
    <row r="41">
      <c r="A41" s="1"/>
      <c r="B41" s="48"/>
      <c r="C41" s="57"/>
      <c r="D41" s="58"/>
      <c r="E41" s="5"/>
      <c r="F41" s="48"/>
      <c r="G41" s="51"/>
      <c r="H41" s="51"/>
      <c r="I41" s="41"/>
      <c r="J41" s="5"/>
      <c r="K41" s="5"/>
      <c r="L41" s="5"/>
      <c r="M41" s="56"/>
    </row>
    <row r="42">
      <c r="A42" s="1"/>
      <c r="B42" s="48"/>
      <c r="C42" s="57"/>
      <c r="D42" s="58"/>
      <c r="E42" s="5"/>
      <c r="F42" s="48"/>
      <c r="G42" s="51"/>
      <c r="H42" s="51"/>
      <c r="I42" s="41"/>
      <c r="J42" s="5"/>
      <c r="K42" s="5"/>
      <c r="L42" s="5"/>
      <c r="M42" s="56"/>
    </row>
    <row r="43">
      <c r="A43" s="1"/>
      <c r="B43" s="48"/>
      <c r="C43" s="57"/>
      <c r="D43" s="58"/>
      <c r="E43" s="5"/>
      <c r="F43" s="48"/>
      <c r="G43" s="51"/>
      <c r="H43" s="51"/>
      <c r="I43" s="41"/>
      <c r="J43" s="5"/>
      <c r="K43" s="5"/>
      <c r="L43" s="5"/>
      <c r="M43" s="56"/>
    </row>
    <row r="44">
      <c r="A44" s="1"/>
      <c r="B44" s="48"/>
      <c r="C44" s="57"/>
      <c r="D44" s="58"/>
      <c r="E44" s="5"/>
      <c r="F44" s="48"/>
      <c r="G44" s="51"/>
      <c r="H44" s="51"/>
      <c r="I44" s="41"/>
      <c r="J44" s="5"/>
      <c r="K44" s="5"/>
      <c r="L44" s="5"/>
      <c r="M44" s="56"/>
    </row>
    <row r="45">
      <c r="A45" s="1"/>
      <c r="B45" s="48"/>
      <c r="C45" s="57"/>
      <c r="D45" s="58"/>
      <c r="E45" s="5"/>
      <c r="F45" s="48"/>
      <c r="G45" s="51"/>
      <c r="H45" s="51"/>
      <c r="I45" s="41"/>
      <c r="J45" s="5"/>
      <c r="K45" s="5"/>
      <c r="L45" s="5"/>
      <c r="M45" s="56"/>
    </row>
    <row r="46">
      <c r="A46" s="1"/>
      <c r="B46" s="48"/>
      <c r="C46" s="57"/>
      <c r="D46" s="58"/>
      <c r="E46" s="5"/>
      <c r="F46" s="48"/>
      <c r="G46" s="51"/>
      <c r="H46" s="51"/>
      <c r="I46" s="41"/>
      <c r="J46" s="5"/>
      <c r="K46" s="5"/>
      <c r="L46" s="5"/>
      <c r="M46" s="56"/>
    </row>
    <row r="47">
      <c r="A47" s="1"/>
      <c r="B47" s="48"/>
      <c r="C47" s="57"/>
      <c r="D47" s="58"/>
      <c r="E47" s="5"/>
      <c r="F47" s="48"/>
      <c r="G47" s="51"/>
      <c r="H47" s="51"/>
      <c r="I47" s="41"/>
      <c r="J47" s="5"/>
      <c r="K47" s="5"/>
      <c r="L47" s="5"/>
      <c r="M47" s="56"/>
    </row>
    <row r="48">
      <c r="A48" s="1"/>
      <c r="B48" s="48"/>
      <c r="C48" s="57"/>
      <c r="D48" s="58"/>
      <c r="E48" s="5"/>
      <c r="F48" s="48"/>
      <c r="G48" s="51"/>
      <c r="H48" s="51"/>
      <c r="I48" s="41"/>
      <c r="J48" s="5"/>
      <c r="K48" s="5"/>
      <c r="L48" s="5"/>
      <c r="M48" s="56"/>
    </row>
    <row r="49">
      <c r="A49" s="1"/>
      <c r="B49" s="48"/>
      <c r="C49" s="57"/>
      <c r="D49" s="58"/>
      <c r="E49" s="5"/>
      <c r="F49" s="48"/>
      <c r="G49" s="51"/>
      <c r="H49" s="51"/>
      <c r="I49" s="41"/>
      <c r="J49" s="5"/>
      <c r="K49" s="5"/>
      <c r="L49" s="5"/>
      <c r="M49" s="56"/>
    </row>
    <row r="50">
      <c r="A50" s="1"/>
      <c r="B50" s="48"/>
      <c r="C50" s="57"/>
      <c r="D50" s="58"/>
      <c r="E50" s="5"/>
      <c r="F50" s="48"/>
      <c r="G50" s="51"/>
      <c r="H50" s="51"/>
      <c r="J50" s="5"/>
      <c r="K50" s="5"/>
      <c r="L50" s="5"/>
      <c r="M50" s="56"/>
    </row>
    <row r="51">
      <c r="A51" s="1"/>
      <c r="B51" s="48"/>
      <c r="C51" s="57"/>
      <c r="D51" s="58"/>
      <c r="E51" s="5"/>
      <c r="F51" s="48"/>
      <c r="G51" s="51"/>
      <c r="H51" s="51"/>
      <c r="J51" s="5"/>
      <c r="K51" s="5"/>
      <c r="L51" s="5"/>
      <c r="M51" s="56"/>
    </row>
    <row r="52">
      <c r="A52" s="1"/>
      <c r="B52" s="48"/>
      <c r="C52" s="57"/>
      <c r="D52" s="58"/>
      <c r="E52" s="5"/>
      <c r="F52" s="48"/>
      <c r="G52" s="51"/>
      <c r="H52" s="51"/>
      <c r="J52" s="5"/>
      <c r="K52" s="5"/>
      <c r="L52" s="5"/>
      <c r="M52" s="56"/>
    </row>
    <row r="53">
      <c r="A53" s="1"/>
      <c r="B53" s="48"/>
      <c r="C53" s="57"/>
      <c r="D53" s="58"/>
      <c r="E53" s="5"/>
      <c r="H53" s="51"/>
      <c r="J53" s="5"/>
      <c r="K53" s="5"/>
      <c r="L53" s="5"/>
      <c r="M53" s="56"/>
    </row>
    <row r="54">
      <c r="A54" s="1"/>
      <c r="B54" s="48"/>
      <c r="C54" s="57"/>
      <c r="D54" s="58"/>
      <c r="E54" s="5"/>
      <c r="H54" s="51"/>
      <c r="J54" s="5"/>
      <c r="K54" s="5"/>
      <c r="L54" s="5"/>
      <c r="M54" s="56"/>
    </row>
    <row r="55">
      <c r="A55" s="1"/>
      <c r="B55" s="48"/>
      <c r="C55" s="57"/>
      <c r="D55" s="58"/>
      <c r="E55" s="5"/>
      <c r="H55" s="51"/>
      <c r="J55" s="5"/>
      <c r="K55" s="5"/>
      <c r="L55" s="5"/>
      <c r="M55" s="56"/>
    </row>
    <row r="56">
      <c r="A56" s="1"/>
      <c r="B56" s="48"/>
      <c r="C56" s="57"/>
      <c r="D56" s="58"/>
      <c r="E56" s="5"/>
      <c r="F56" s="48"/>
      <c r="G56" s="51"/>
      <c r="H56" s="51"/>
      <c r="J56" s="5"/>
      <c r="K56" s="5"/>
      <c r="L56" s="5"/>
      <c r="M56" s="56"/>
    </row>
    <row r="57">
      <c r="F57" s="56"/>
      <c r="G57" s="56"/>
      <c r="J57" s="5"/>
      <c r="K57" s="5"/>
      <c r="L57" s="5"/>
      <c r="M57" s="56"/>
    </row>
    <row r="58">
      <c r="F58" s="56"/>
      <c r="G58" s="56"/>
      <c r="H58" s="56"/>
      <c r="J58" s="5"/>
      <c r="K58" s="5"/>
      <c r="L58" s="5"/>
      <c r="M58" s="56"/>
    </row>
    <row r="59">
      <c r="J59" s="5"/>
      <c r="K59" s="5"/>
      <c r="L59" s="5"/>
      <c r="M59" s="56"/>
    </row>
    <row r="60">
      <c r="J60" s="5"/>
      <c r="K60" s="5"/>
      <c r="L60" s="5"/>
      <c r="M60" s="56"/>
    </row>
    <row r="61">
      <c r="J61" s="5"/>
      <c r="K61" s="5"/>
      <c r="L61" s="5"/>
      <c r="M61" s="56"/>
    </row>
    <row r="62">
      <c r="J62" s="5"/>
      <c r="K62" s="5"/>
      <c r="L62" s="5"/>
      <c r="M62" s="56"/>
    </row>
    <row r="63">
      <c r="J63" s="5"/>
      <c r="K63" s="5"/>
      <c r="L63" s="5"/>
      <c r="M63" s="56"/>
    </row>
    <row r="64">
      <c r="J64" s="5"/>
      <c r="K64" s="5"/>
      <c r="L64" s="5"/>
      <c r="M64" s="56"/>
    </row>
    <row r="65">
      <c r="J65" s="5"/>
      <c r="K65" s="5"/>
      <c r="L65" s="5"/>
      <c r="M65" s="5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18.0"/>
    <col customWidth="1" min="4" max="4" width="20.43"/>
    <col customWidth="1" min="5" max="5" width="18.86"/>
    <col customWidth="1" min="6" max="6" width="18.71"/>
    <col customWidth="1" min="7" max="7" width="21.0"/>
    <col customWidth="1" min="8" max="8" width="16.57"/>
    <col customWidth="1" min="9" max="9" width="45.14"/>
    <col customWidth="1" min="10" max="10" width="20.57"/>
    <col customWidth="1" min="12" max="12" width="11.14"/>
    <col customWidth="1" min="13" max="13" width="16.43"/>
  </cols>
  <sheetData>
    <row r="1">
      <c r="A1" s="3"/>
      <c r="B1" s="1"/>
      <c r="C1" s="1"/>
      <c r="D1" s="1"/>
      <c r="E1" s="1"/>
      <c r="F1" s="1"/>
      <c r="G1" s="1"/>
    </row>
    <row r="2">
      <c r="A2" s="6" t="s">
        <v>0</v>
      </c>
      <c r="B2" s="6" t="s">
        <v>10</v>
      </c>
      <c r="C2" s="6" t="s">
        <v>2</v>
      </c>
      <c r="D2" s="6" t="s">
        <v>3</v>
      </c>
      <c r="E2" s="6" t="s">
        <v>11</v>
      </c>
      <c r="F2" s="6" t="s">
        <v>6</v>
      </c>
      <c r="G2" s="6" t="s">
        <v>7</v>
      </c>
      <c r="H2" s="8" t="s">
        <v>8</v>
      </c>
      <c r="I2" s="11" t="s">
        <v>9</v>
      </c>
    </row>
    <row r="3">
      <c r="A3" s="7">
        <v>0.0</v>
      </c>
      <c r="B3" s="13">
        <f>J8</f>
        <v>5688128616</v>
      </c>
      <c r="C3" s="10"/>
      <c r="D3" s="10"/>
      <c r="E3" s="10"/>
      <c r="F3" s="15">
        <f t="shared" ref="F3:F33" si="1">C3-B3</f>
        <v>-5688128616</v>
      </c>
      <c r="G3" s="15">
        <f>Sum(F$3:F3)</f>
        <v>-5688128616</v>
      </c>
      <c r="H3" s="17">
        <f t="shared" ref="H3:H33" si="2">Sum(D$3:D3)</f>
        <v>0</v>
      </c>
      <c r="I3" s="5" t="s">
        <v>16</v>
      </c>
      <c r="J3" s="19">
        <v>0.03</v>
      </c>
    </row>
    <row r="4">
      <c r="A4" s="7">
        <v>1.0</v>
      </c>
      <c r="B4" s="13">
        <v>1.061871384E9</v>
      </c>
      <c r="C4" s="13">
        <f t="shared" ref="C4:C23" si="3">D4*E4</f>
        <v>2250000000</v>
      </c>
      <c r="D4" s="21">
        <v>25000.0</v>
      </c>
      <c r="E4" s="7">
        <v>90000.0</v>
      </c>
      <c r="F4" s="15">
        <f t="shared" si="1"/>
        <v>1188128616</v>
      </c>
      <c r="G4" s="15">
        <f t="shared" ref="G4:G33" si="4">Sum($F$3:F4)</f>
        <v>-4500000000</v>
      </c>
      <c r="H4" s="17">
        <f t="shared" si="2"/>
        <v>25000</v>
      </c>
      <c r="I4" s="5" t="s">
        <v>17</v>
      </c>
      <c r="J4" s="19">
        <v>0.05</v>
      </c>
      <c r="L4" s="5">
        <v>2.7</v>
      </c>
      <c r="M4" s="5">
        <v>10000.0</v>
      </c>
    </row>
    <row r="5">
      <c r="A5" s="7">
        <v>2.0</v>
      </c>
      <c r="B5" s="25">
        <f t="shared" ref="B5:B33" si="5">$B$4*(1+$J$3)^A5</f>
        <v>1126539351</v>
      </c>
      <c r="C5" s="13">
        <f t="shared" si="3"/>
        <v>2431304667</v>
      </c>
      <c r="D5" s="21">
        <f t="shared" ref="D5:D33" si="6">Roundup($D$4*(1+$J$4)^A5)</f>
        <v>27563</v>
      </c>
      <c r="E5" s="10">
        <f t="shared" ref="E5:E33" si="7">$E$4*(1-0.01)^A5</f>
        <v>88209</v>
      </c>
      <c r="F5" s="15">
        <f t="shared" si="1"/>
        <v>1304765316</v>
      </c>
      <c r="G5" s="15">
        <f t="shared" si="4"/>
        <v>-3195234684</v>
      </c>
      <c r="H5" s="17">
        <f t="shared" si="2"/>
        <v>52563</v>
      </c>
      <c r="I5" s="5" t="s">
        <v>18</v>
      </c>
      <c r="J5" s="5">
        <v>25000.0</v>
      </c>
      <c r="L5">
        <f>M5/M4</f>
        <v>2.5</v>
      </c>
      <c r="M5" s="5">
        <v>25000.0</v>
      </c>
    </row>
    <row r="6">
      <c r="A6" s="7">
        <v>3.0</v>
      </c>
      <c r="B6" s="25">
        <f t="shared" si="5"/>
        <v>1160335532</v>
      </c>
      <c r="C6" s="13">
        <f t="shared" si="3"/>
        <v>2527328102</v>
      </c>
      <c r="D6" s="21">
        <f t="shared" si="6"/>
        <v>28941</v>
      </c>
      <c r="E6" s="10">
        <f t="shared" si="7"/>
        <v>87326.91</v>
      </c>
      <c r="F6" s="15">
        <f t="shared" si="1"/>
        <v>1366992570</v>
      </c>
      <c r="G6" s="15">
        <f t="shared" si="4"/>
        <v>-1828242114</v>
      </c>
      <c r="H6" s="17">
        <f t="shared" si="2"/>
        <v>81504</v>
      </c>
      <c r="I6" s="5" t="s">
        <v>19</v>
      </c>
      <c r="L6" s="5">
        <v>6.75E9</v>
      </c>
      <c r="M6" s="30">
        <f>B4</f>
        <v>1061871384</v>
      </c>
    </row>
    <row r="7">
      <c r="A7" s="7">
        <v>4.0</v>
      </c>
      <c r="B7" s="25">
        <f t="shared" si="5"/>
        <v>1195145598</v>
      </c>
      <c r="C7" s="13">
        <f t="shared" si="3"/>
        <v>2627153240</v>
      </c>
      <c r="D7" s="21">
        <f t="shared" si="6"/>
        <v>30388</v>
      </c>
      <c r="E7" s="10">
        <f t="shared" si="7"/>
        <v>86453.6409</v>
      </c>
      <c r="F7" s="15">
        <f t="shared" si="1"/>
        <v>1432007642</v>
      </c>
      <c r="G7" s="15">
        <f t="shared" si="4"/>
        <v>-396234471.9</v>
      </c>
      <c r="H7" s="17">
        <f t="shared" si="2"/>
        <v>111892</v>
      </c>
      <c r="I7" s="5" t="s">
        <v>20</v>
      </c>
    </row>
    <row r="8">
      <c r="A8" s="7">
        <v>5.0</v>
      </c>
      <c r="B8" s="25">
        <f t="shared" si="5"/>
        <v>1230999966</v>
      </c>
      <c r="C8" s="13">
        <f t="shared" si="3"/>
        <v>2730977146</v>
      </c>
      <c r="D8" s="21">
        <f t="shared" si="6"/>
        <v>31908</v>
      </c>
      <c r="E8" s="10">
        <f t="shared" si="7"/>
        <v>85589.10449</v>
      </c>
      <c r="F8" s="15">
        <f t="shared" si="1"/>
        <v>1499977180</v>
      </c>
      <c r="G8" s="15">
        <f t="shared" si="4"/>
        <v>1103742708</v>
      </c>
      <c r="H8" s="17">
        <f t="shared" si="2"/>
        <v>143800</v>
      </c>
      <c r="I8" s="5" t="s">
        <v>21</v>
      </c>
      <c r="J8" s="30">
        <f>L6-M6</f>
        <v>5688128616</v>
      </c>
    </row>
    <row r="9">
      <c r="A9" s="7">
        <v>6.0</v>
      </c>
      <c r="B9" s="25">
        <f t="shared" si="5"/>
        <v>1267929965</v>
      </c>
      <c r="C9" s="13">
        <f t="shared" si="3"/>
        <v>2838816850</v>
      </c>
      <c r="D9" s="21">
        <f t="shared" si="6"/>
        <v>33503</v>
      </c>
      <c r="E9" s="10">
        <f t="shared" si="7"/>
        <v>84733.21345</v>
      </c>
      <c r="F9" s="15">
        <f t="shared" si="1"/>
        <v>1570886885</v>
      </c>
      <c r="G9" s="15">
        <f t="shared" si="4"/>
        <v>2674629594</v>
      </c>
      <c r="H9" s="17">
        <f t="shared" si="2"/>
        <v>177303</v>
      </c>
    </row>
    <row r="10">
      <c r="A10" s="7">
        <v>7.0</v>
      </c>
      <c r="B10" s="25">
        <f t="shared" si="5"/>
        <v>1305967864</v>
      </c>
      <c r="C10" s="13">
        <f t="shared" si="3"/>
        <v>2950937533</v>
      </c>
      <c r="D10" s="21">
        <f t="shared" si="6"/>
        <v>35178</v>
      </c>
      <c r="E10" s="10">
        <f t="shared" si="7"/>
        <v>83885.88131</v>
      </c>
      <c r="F10" s="15">
        <f t="shared" si="1"/>
        <v>1644969669</v>
      </c>
      <c r="G10" s="15">
        <f t="shared" si="4"/>
        <v>4319599263</v>
      </c>
      <c r="H10" s="17">
        <f t="shared" si="2"/>
        <v>212481</v>
      </c>
    </row>
    <row r="11">
      <c r="A11" s="7">
        <v>8.0</v>
      </c>
      <c r="B11" s="25">
        <f t="shared" si="5"/>
        <v>1345146900</v>
      </c>
      <c r="C11" s="13">
        <f t="shared" si="3"/>
        <v>3067507870</v>
      </c>
      <c r="D11" s="21">
        <f t="shared" si="6"/>
        <v>36937</v>
      </c>
      <c r="E11" s="10">
        <f t="shared" si="7"/>
        <v>83047.0225</v>
      </c>
      <c r="F11" s="15">
        <f t="shared" si="1"/>
        <v>1722360970</v>
      </c>
      <c r="G11" s="15">
        <f t="shared" si="4"/>
        <v>6041960234</v>
      </c>
      <c r="H11" s="17">
        <f t="shared" si="2"/>
        <v>249418</v>
      </c>
    </row>
    <row r="12">
      <c r="A12" s="7">
        <v>9.0</v>
      </c>
      <c r="B12" s="25">
        <f t="shared" si="5"/>
        <v>1385501307</v>
      </c>
      <c r="C12" s="13">
        <f t="shared" si="3"/>
        <v>3188686763</v>
      </c>
      <c r="D12" s="21">
        <f t="shared" si="6"/>
        <v>38784</v>
      </c>
      <c r="E12" s="10">
        <f t="shared" si="7"/>
        <v>82216.55227</v>
      </c>
      <c r="F12" s="15">
        <f t="shared" si="1"/>
        <v>1803185457</v>
      </c>
      <c r="G12" s="15">
        <f t="shared" si="4"/>
        <v>7845145690</v>
      </c>
      <c r="H12" s="17">
        <f t="shared" si="2"/>
        <v>288202</v>
      </c>
    </row>
    <row r="13">
      <c r="A13" s="7">
        <v>10.0</v>
      </c>
      <c r="B13" s="25">
        <f t="shared" si="5"/>
        <v>1427066346</v>
      </c>
      <c r="C13" s="13">
        <f t="shared" si="3"/>
        <v>3314623612</v>
      </c>
      <c r="D13" s="21">
        <f t="shared" si="6"/>
        <v>40723</v>
      </c>
      <c r="E13" s="10">
        <f t="shared" si="7"/>
        <v>81394.38675</v>
      </c>
      <c r="F13" s="15">
        <f t="shared" si="1"/>
        <v>1887557266</v>
      </c>
      <c r="G13" s="15">
        <f t="shared" si="4"/>
        <v>9732702956</v>
      </c>
      <c r="H13" s="17">
        <f t="shared" si="2"/>
        <v>328925</v>
      </c>
    </row>
    <row r="14">
      <c r="A14" s="7">
        <v>11.0</v>
      </c>
      <c r="B14" s="25">
        <f t="shared" si="5"/>
        <v>1469878336</v>
      </c>
      <c r="C14" s="13">
        <f t="shared" si="3"/>
        <v>3445539157</v>
      </c>
      <c r="D14" s="21">
        <f t="shared" si="6"/>
        <v>42759</v>
      </c>
      <c r="E14" s="10">
        <f t="shared" si="7"/>
        <v>80580.44288</v>
      </c>
      <c r="F14" s="15">
        <f t="shared" si="1"/>
        <v>1975660821</v>
      </c>
      <c r="G14" s="15">
        <f t="shared" si="4"/>
        <v>11708363777</v>
      </c>
      <c r="H14" s="17">
        <f t="shared" si="2"/>
        <v>371684</v>
      </c>
    </row>
    <row r="15">
      <c r="A15" s="7">
        <v>12.0</v>
      </c>
      <c r="B15" s="25">
        <f t="shared" si="5"/>
        <v>1513974686</v>
      </c>
      <c r="C15" s="13">
        <f t="shared" si="3"/>
        <v>3581641943</v>
      </c>
      <c r="D15" s="21">
        <f t="shared" si="6"/>
        <v>44897</v>
      </c>
      <c r="E15" s="10">
        <f t="shared" si="7"/>
        <v>79774.63845</v>
      </c>
      <c r="F15" s="15">
        <f t="shared" si="1"/>
        <v>2067667257</v>
      </c>
      <c r="G15" s="15">
        <f t="shared" si="4"/>
        <v>13776031034</v>
      </c>
      <c r="H15" s="17">
        <f t="shared" si="2"/>
        <v>416581</v>
      </c>
    </row>
    <row r="16">
      <c r="A16" s="7">
        <v>13.0</v>
      </c>
      <c r="B16" s="25">
        <f t="shared" si="5"/>
        <v>1559393927</v>
      </c>
      <c r="C16" s="13">
        <f t="shared" si="3"/>
        <v>3723128646</v>
      </c>
      <c r="D16" s="21">
        <f t="shared" si="6"/>
        <v>47142</v>
      </c>
      <c r="E16" s="10">
        <f t="shared" si="7"/>
        <v>78976.89207</v>
      </c>
      <c r="F16" s="15">
        <f t="shared" si="1"/>
        <v>2163734719</v>
      </c>
      <c r="G16" s="15">
        <f t="shared" si="4"/>
        <v>15939765753</v>
      </c>
      <c r="H16" s="17">
        <f t="shared" si="2"/>
        <v>463723</v>
      </c>
    </row>
    <row r="17">
      <c r="A17" s="7">
        <v>14.0</v>
      </c>
      <c r="B17" s="25">
        <f t="shared" si="5"/>
        <v>1606175745</v>
      </c>
      <c r="C17" s="13">
        <f t="shared" si="3"/>
        <v>3870184409</v>
      </c>
      <c r="D17" s="21">
        <f t="shared" si="6"/>
        <v>49499</v>
      </c>
      <c r="E17" s="10">
        <f t="shared" si="7"/>
        <v>78187.12315</v>
      </c>
      <c r="F17" s="15">
        <f t="shared" si="1"/>
        <v>2264008664</v>
      </c>
      <c r="G17" s="15">
        <f t="shared" si="4"/>
        <v>18203774417</v>
      </c>
      <c r="H17" s="17">
        <f t="shared" si="2"/>
        <v>513222</v>
      </c>
    </row>
    <row r="18">
      <c r="A18" s="7">
        <v>15.0</v>
      </c>
      <c r="B18" s="25">
        <f t="shared" si="5"/>
        <v>1654361017</v>
      </c>
      <c r="C18" s="13">
        <f t="shared" si="3"/>
        <v>4023060563</v>
      </c>
      <c r="D18" s="21">
        <f t="shared" si="6"/>
        <v>51974</v>
      </c>
      <c r="E18" s="10">
        <f t="shared" si="7"/>
        <v>77405.25192</v>
      </c>
      <c r="F18" s="15">
        <f t="shared" si="1"/>
        <v>2368699546</v>
      </c>
      <c r="G18" s="15">
        <f t="shared" si="4"/>
        <v>20572473964</v>
      </c>
      <c r="H18" s="17">
        <f t="shared" si="2"/>
        <v>565196</v>
      </c>
    </row>
    <row r="19">
      <c r="A19" s="7">
        <v>16.0</v>
      </c>
      <c r="B19" s="25">
        <f t="shared" si="5"/>
        <v>1703991847</v>
      </c>
      <c r="C19" s="13">
        <f t="shared" si="3"/>
        <v>4181917814</v>
      </c>
      <c r="D19" s="21">
        <f t="shared" si="6"/>
        <v>54572</v>
      </c>
      <c r="E19" s="10">
        <f t="shared" si="7"/>
        <v>76631.1994</v>
      </c>
      <c r="F19" s="15">
        <f t="shared" si="1"/>
        <v>2477925966</v>
      </c>
      <c r="G19" s="15">
        <f t="shared" si="4"/>
        <v>23050399930</v>
      </c>
      <c r="H19" s="17">
        <f t="shared" si="2"/>
        <v>619768</v>
      </c>
    </row>
    <row r="20">
      <c r="A20" s="7">
        <v>17.0</v>
      </c>
      <c r="B20" s="25">
        <f t="shared" si="5"/>
        <v>1755111603</v>
      </c>
      <c r="C20" s="13">
        <f t="shared" si="3"/>
        <v>4347133913</v>
      </c>
      <c r="D20" s="21">
        <f t="shared" si="6"/>
        <v>57301</v>
      </c>
      <c r="E20" s="10">
        <f t="shared" si="7"/>
        <v>75864.8874</v>
      </c>
      <c r="F20" s="15">
        <f t="shared" si="1"/>
        <v>2592022310</v>
      </c>
      <c r="G20" s="15">
        <f t="shared" si="4"/>
        <v>25642422240</v>
      </c>
      <c r="H20" s="17">
        <f t="shared" si="2"/>
        <v>677069</v>
      </c>
    </row>
    <row r="21">
      <c r="A21" s="7">
        <v>18.0</v>
      </c>
      <c r="B21" s="25">
        <f t="shared" si="5"/>
        <v>1807764951</v>
      </c>
      <c r="C21" s="13">
        <f t="shared" si="3"/>
        <v>4518841947</v>
      </c>
      <c r="D21" s="21">
        <f t="shared" si="6"/>
        <v>60166</v>
      </c>
      <c r="E21" s="10">
        <f t="shared" si="7"/>
        <v>75106.23853</v>
      </c>
      <c r="F21" s="15">
        <f t="shared" si="1"/>
        <v>2711076997</v>
      </c>
      <c r="G21" s="15">
        <f t="shared" si="4"/>
        <v>28353499237</v>
      </c>
      <c r="H21" s="17">
        <f t="shared" si="2"/>
        <v>737235</v>
      </c>
    </row>
    <row r="22">
      <c r="A22" s="7">
        <v>19.0</v>
      </c>
      <c r="B22" s="25">
        <f t="shared" si="5"/>
        <v>1861997899</v>
      </c>
      <c r="C22" s="13">
        <f t="shared" si="3"/>
        <v>4697313898</v>
      </c>
      <c r="D22" s="21">
        <f t="shared" si="6"/>
        <v>63174</v>
      </c>
      <c r="E22" s="10">
        <f t="shared" si="7"/>
        <v>74355.17615</v>
      </c>
      <c r="F22" s="15">
        <f t="shared" si="1"/>
        <v>2835315998</v>
      </c>
      <c r="G22" s="15">
        <f t="shared" si="4"/>
        <v>31188815235</v>
      </c>
      <c r="H22" s="17">
        <f t="shared" si="2"/>
        <v>800409</v>
      </c>
    </row>
    <row r="23">
      <c r="A23" s="7">
        <v>20.0</v>
      </c>
      <c r="B23" s="25">
        <f t="shared" si="5"/>
        <v>1917857836</v>
      </c>
      <c r="C23" s="13">
        <f t="shared" si="3"/>
        <v>4882879880</v>
      </c>
      <c r="D23" s="21">
        <f t="shared" si="6"/>
        <v>66333</v>
      </c>
      <c r="E23" s="10">
        <f t="shared" si="7"/>
        <v>73611.62438</v>
      </c>
      <c r="F23" s="15">
        <f t="shared" si="1"/>
        <v>2965022044</v>
      </c>
      <c r="G23" s="15">
        <f t="shared" si="4"/>
        <v>34153837279</v>
      </c>
      <c r="H23" s="17">
        <f t="shared" si="2"/>
        <v>866742</v>
      </c>
    </row>
    <row r="24">
      <c r="A24" s="26">
        <v>21.0</v>
      </c>
      <c r="B24" s="25">
        <f t="shared" si="5"/>
        <v>1975393572</v>
      </c>
      <c r="C24" s="13">
        <v>5.688128616E9</v>
      </c>
      <c r="D24" s="21">
        <f t="shared" si="6"/>
        <v>69650</v>
      </c>
      <c r="E24" s="10">
        <f t="shared" si="7"/>
        <v>72875.50814</v>
      </c>
      <c r="F24" s="15">
        <f t="shared" si="1"/>
        <v>3712735044</v>
      </c>
      <c r="G24" s="15">
        <f t="shared" si="4"/>
        <v>37866572323</v>
      </c>
      <c r="H24" s="17">
        <f t="shared" si="2"/>
        <v>936392</v>
      </c>
    </row>
    <row r="25">
      <c r="A25" s="26">
        <v>22.0</v>
      </c>
      <c r="B25" s="25">
        <f t="shared" si="5"/>
        <v>2034655379</v>
      </c>
      <c r="C25" s="13">
        <f t="shared" ref="C25:C33" si="8">D25*E25</f>
        <v>5276236345</v>
      </c>
      <c r="D25" s="21">
        <f t="shared" si="6"/>
        <v>73132</v>
      </c>
      <c r="E25" s="10">
        <f t="shared" si="7"/>
        <v>72146.75306</v>
      </c>
      <c r="F25" s="15">
        <f t="shared" si="1"/>
        <v>3241580966</v>
      </c>
      <c r="G25" s="15">
        <f t="shared" si="4"/>
        <v>41108153289</v>
      </c>
      <c r="H25" s="17">
        <f t="shared" si="2"/>
        <v>1009524</v>
      </c>
    </row>
    <row r="26">
      <c r="A26" s="26">
        <v>23.0</v>
      </c>
      <c r="B26" s="25">
        <f t="shared" si="5"/>
        <v>2095695040</v>
      </c>
      <c r="C26" s="13">
        <f t="shared" si="8"/>
        <v>5484676250</v>
      </c>
      <c r="D26" s="21">
        <f t="shared" si="6"/>
        <v>76789</v>
      </c>
      <c r="E26" s="10">
        <f t="shared" si="7"/>
        <v>71425.28553</v>
      </c>
      <c r="F26" s="15">
        <f t="shared" si="1"/>
        <v>3388981210</v>
      </c>
      <c r="G26" s="15">
        <f t="shared" si="4"/>
        <v>44497134500</v>
      </c>
      <c r="H26" s="17">
        <f t="shared" si="2"/>
        <v>1086313</v>
      </c>
    </row>
    <row r="27">
      <c r="A27" s="26">
        <v>24.0</v>
      </c>
      <c r="B27" s="25">
        <f t="shared" si="5"/>
        <v>2158565891</v>
      </c>
      <c r="C27" s="13">
        <f t="shared" si="8"/>
        <v>5701289142</v>
      </c>
      <c r="D27" s="21">
        <f t="shared" si="6"/>
        <v>80628</v>
      </c>
      <c r="E27" s="10">
        <f t="shared" si="7"/>
        <v>70711.03267</v>
      </c>
      <c r="F27" s="15">
        <f t="shared" si="1"/>
        <v>3542723251</v>
      </c>
      <c r="G27" s="15">
        <f t="shared" si="4"/>
        <v>48039857751</v>
      </c>
      <c r="H27" s="17">
        <f t="shared" si="2"/>
        <v>1166941</v>
      </c>
    </row>
    <row r="28">
      <c r="A28" s="26">
        <v>25.0</v>
      </c>
      <c r="B28" s="25">
        <f t="shared" si="5"/>
        <v>2223322868</v>
      </c>
      <c r="C28" s="13">
        <f t="shared" si="8"/>
        <v>5926462062</v>
      </c>
      <c r="D28" s="21">
        <f t="shared" si="6"/>
        <v>84659</v>
      </c>
      <c r="E28" s="10">
        <f t="shared" si="7"/>
        <v>70003.92235</v>
      </c>
      <c r="F28" s="15">
        <f t="shared" si="1"/>
        <v>3703139194</v>
      </c>
      <c r="G28" s="15">
        <f t="shared" si="4"/>
        <v>51742996945</v>
      </c>
      <c r="H28" s="17">
        <f t="shared" si="2"/>
        <v>1251600</v>
      </c>
    </row>
    <row r="29">
      <c r="A29" s="26">
        <v>26.0</v>
      </c>
      <c r="B29" s="25">
        <f t="shared" si="5"/>
        <v>2290022554</v>
      </c>
      <c r="C29" s="13">
        <f t="shared" si="8"/>
        <v>6160560779</v>
      </c>
      <c r="D29" s="21">
        <f t="shared" si="6"/>
        <v>88892</v>
      </c>
      <c r="E29" s="10">
        <f t="shared" si="7"/>
        <v>69303.88312</v>
      </c>
      <c r="F29" s="15">
        <f t="shared" si="1"/>
        <v>3870538225</v>
      </c>
      <c r="G29" s="15">
        <f t="shared" si="4"/>
        <v>55613535169</v>
      </c>
      <c r="H29" s="17">
        <f t="shared" si="2"/>
        <v>1340492</v>
      </c>
    </row>
    <row r="30">
      <c r="A30" s="26">
        <v>27.0</v>
      </c>
      <c r="B30" s="25">
        <f t="shared" si="5"/>
        <v>2358723231</v>
      </c>
      <c r="C30" s="13">
        <f t="shared" si="8"/>
        <v>6403930374</v>
      </c>
      <c r="D30" s="21">
        <f t="shared" si="6"/>
        <v>93337</v>
      </c>
      <c r="E30" s="10">
        <f t="shared" si="7"/>
        <v>68610.84429</v>
      </c>
      <c r="F30" s="15">
        <f t="shared" si="1"/>
        <v>4045207143</v>
      </c>
      <c r="G30" s="15">
        <f t="shared" si="4"/>
        <v>59658742312</v>
      </c>
      <c r="H30" s="17">
        <f t="shared" si="2"/>
        <v>1433829</v>
      </c>
    </row>
    <row r="31">
      <c r="A31" s="26">
        <v>28.0</v>
      </c>
      <c r="B31" s="25">
        <f t="shared" si="5"/>
        <v>2429484928</v>
      </c>
      <c r="C31" s="13">
        <f t="shared" si="8"/>
        <v>6656895812</v>
      </c>
      <c r="D31" s="21">
        <f t="shared" si="6"/>
        <v>98004</v>
      </c>
      <c r="E31" s="10">
        <f t="shared" si="7"/>
        <v>67924.73585</v>
      </c>
      <c r="F31" s="15">
        <f t="shared" si="1"/>
        <v>4227410885</v>
      </c>
      <c r="G31" s="15">
        <f t="shared" si="4"/>
        <v>63886153197</v>
      </c>
      <c r="H31" s="17">
        <f t="shared" si="2"/>
        <v>1531833</v>
      </c>
    </row>
    <row r="32">
      <c r="A32" s="26">
        <v>29.0</v>
      </c>
      <c r="B32" s="25">
        <f t="shared" si="5"/>
        <v>2502369475</v>
      </c>
      <c r="C32" s="13">
        <f t="shared" si="8"/>
        <v>6919829748</v>
      </c>
      <c r="D32" s="21">
        <f t="shared" si="6"/>
        <v>102904</v>
      </c>
      <c r="E32" s="10">
        <f t="shared" si="7"/>
        <v>67245.48849</v>
      </c>
      <c r="F32" s="15">
        <f t="shared" si="1"/>
        <v>4417460272</v>
      </c>
      <c r="G32" s="15">
        <f t="shared" si="4"/>
        <v>68303613469</v>
      </c>
      <c r="H32" s="17">
        <f t="shared" si="2"/>
        <v>1634737</v>
      </c>
    </row>
    <row r="33">
      <c r="A33" s="26">
        <v>30.0</v>
      </c>
      <c r="B33" s="25">
        <f t="shared" si="5"/>
        <v>2577440560</v>
      </c>
      <c r="C33" s="13">
        <f t="shared" si="8"/>
        <v>7193149708</v>
      </c>
      <c r="D33" s="21">
        <f t="shared" si="6"/>
        <v>108049</v>
      </c>
      <c r="E33" s="10">
        <f t="shared" si="7"/>
        <v>66573.0336</v>
      </c>
      <c r="F33" s="15">
        <f t="shared" si="1"/>
        <v>4615709148</v>
      </c>
      <c r="G33" s="15">
        <f t="shared" si="4"/>
        <v>72919322618</v>
      </c>
      <c r="H33" s="17">
        <f t="shared" si="2"/>
        <v>1742786</v>
      </c>
    </row>
    <row r="34">
      <c r="C34" s="4" t="s">
        <v>14</v>
      </c>
      <c r="D34" s="50">
        <f t="array" ref="D34">NPV(0.074,F4:F23)+F3</f>
        <v>12677598095</v>
      </c>
    </row>
    <row r="35">
      <c r="C35" s="4" t="s">
        <v>25</v>
      </c>
      <c r="D35" s="4">
        <v>5.0</v>
      </c>
    </row>
    <row r="36">
      <c r="C36" s="4" t="s">
        <v>26</v>
      </c>
      <c r="D36" s="54">
        <f>IRR(F3:F23,0.2)</f>
        <v>0.2590519161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6" width="18.0"/>
    <col customWidth="1" min="7" max="7" width="20.43"/>
    <col customWidth="1" min="8" max="8" width="18.86"/>
    <col customWidth="1" min="9" max="9" width="18.71"/>
    <col customWidth="1" min="10" max="10" width="21.0"/>
    <col customWidth="1" min="11" max="11" width="16.57"/>
    <col customWidth="1" min="12" max="12" width="45.14"/>
    <col customWidth="1" min="13" max="13" width="20.57"/>
    <col customWidth="1" min="15" max="15" width="11.14"/>
    <col customWidth="1" min="16" max="16" width="16.43"/>
  </cols>
  <sheetData>
    <row r="1">
      <c r="A1" s="3"/>
      <c r="B1" s="1"/>
      <c r="C1" s="1"/>
      <c r="D1" s="1"/>
      <c r="E1" s="1"/>
      <c r="F1" s="1"/>
      <c r="G1" s="1"/>
      <c r="H1" s="1"/>
      <c r="I1" s="1"/>
      <c r="J1" s="1"/>
    </row>
    <row r="2">
      <c r="A2" s="6" t="s">
        <v>0</v>
      </c>
      <c r="B2" s="6" t="s">
        <v>10</v>
      </c>
      <c r="C2" s="6" t="s">
        <v>12</v>
      </c>
      <c r="D2" s="6" t="s">
        <v>13</v>
      </c>
      <c r="E2" s="6" t="s">
        <v>14</v>
      </c>
      <c r="F2" s="6" t="s">
        <v>2</v>
      </c>
      <c r="G2" s="6" t="s">
        <v>3</v>
      </c>
      <c r="H2" s="6" t="s">
        <v>15</v>
      </c>
      <c r="I2" s="6" t="s">
        <v>6</v>
      </c>
      <c r="J2" s="6" t="s">
        <v>7</v>
      </c>
      <c r="K2" s="8" t="s">
        <v>8</v>
      </c>
      <c r="L2" s="8" t="s">
        <v>9</v>
      </c>
      <c r="M2" s="12"/>
      <c r="P2" s="14"/>
    </row>
    <row r="3">
      <c r="A3" s="16">
        <v>0.0</v>
      </c>
      <c r="B3" s="18">
        <v>1.0E7</v>
      </c>
      <c r="C3" s="20"/>
      <c r="D3" s="20"/>
      <c r="E3" s="20"/>
      <c r="F3" s="20"/>
      <c r="G3" s="20"/>
      <c r="H3" s="20"/>
      <c r="I3" s="22">
        <f t="shared" ref="I3:I33" si="1">F3-B3</f>
        <v>-10000000</v>
      </c>
      <c r="J3" s="22">
        <f>Sum(I$3:I3)</f>
        <v>-10000000</v>
      </c>
      <c r="K3" s="24">
        <f t="shared" ref="K3:K33" si="2">Sum(G$3:G3)</f>
        <v>0</v>
      </c>
      <c r="L3" s="26" t="s">
        <v>16</v>
      </c>
      <c r="M3" s="27">
        <v>0.03</v>
      </c>
      <c r="P3" s="14"/>
      <c r="Q3" s="14"/>
      <c r="R3" s="14"/>
    </row>
    <row r="4">
      <c r="A4" s="16">
        <v>1.0</v>
      </c>
      <c r="B4" s="18">
        <v>100000.0</v>
      </c>
      <c r="C4" s="28">
        <v>9477151.35368063</v>
      </c>
      <c r="D4" s="29">
        <v>94116.3969483465</v>
      </c>
      <c r="E4" s="18"/>
      <c r="F4" s="18">
        <f t="shared" ref="F4:F33" si="3">G4*H4</f>
        <v>10838000</v>
      </c>
      <c r="G4" s="31">
        <v>2.1676E7</v>
      </c>
      <c r="H4" s="16">
        <v>0.5</v>
      </c>
      <c r="I4" s="22">
        <f t="shared" si="1"/>
        <v>10738000</v>
      </c>
      <c r="J4" s="22">
        <f t="shared" ref="J4:J33" si="4">Sum($I$3:I4)</f>
        <v>738000</v>
      </c>
      <c r="K4" s="24">
        <f t="shared" si="2"/>
        <v>21676000</v>
      </c>
      <c r="L4" s="26" t="s">
        <v>17</v>
      </c>
      <c r="M4" s="32">
        <v>0.074</v>
      </c>
      <c r="O4" s="5"/>
      <c r="P4" s="33"/>
      <c r="Q4" s="34"/>
      <c r="R4" s="34"/>
    </row>
    <row r="5">
      <c r="A5" s="16">
        <v>2.0</v>
      </c>
      <c r="B5" s="35">
        <f t="shared" ref="B5:B12" si="5">$B$4*(1+$M$3)^A5</f>
        <v>106090</v>
      </c>
      <c r="C5" s="36">
        <v>9183242.446379079</v>
      </c>
      <c r="D5" s="37">
        <v>90047.73661857225</v>
      </c>
      <c r="E5" s="18"/>
      <c r="F5" s="18">
        <f t="shared" si="3"/>
        <v>12252595.68</v>
      </c>
      <c r="G5" s="31">
        <f t="shared" ref="G5:G33" si="6">Roundup($G$4*(1+$M$4)^A5)</f>
        <v>25002746</v>
      </c>
      <c r="H5" s="20">
        <f t="shared" ref="H5:H33" si="7">$H$4*(1-0.01)^A5</f>
        <v>0.49005</v>
      </c>
      <c r="I5" s="22">
        <f t="shared" si="1"/>
        <v>12146505.68</v>
      </c>
      <c r="J5" s="22">
        <f t="shared" si="4"/>
        <v>12884505.68</v>
      </c>
      <c r="K5" s="24">
        <f t="shared" si="2"/>
        <v>46678746</v>
      </c>
      <c r="L5" s="26" t="s">
        <v>22</v>
      </c>
      <c r="M5" s="38" t="s">
        <v>23</v>
      </c>
      <c r="P5" s="33"/>
      <c r="Q5" s="34"/>
      <c r="R5" s="34"/>
    </row>
    <row r="6">
      <c r="A6" s="16">
        <v>3.0</v>
      </c>
      <c r="B6" s="35">
        <f t="shared" si="5"/>
        <v>109272.7</v>
      </c>
      <c r="C6" s="36">
        <v>1.07235011947745E7</v>
      </c>
      <c r="D6" s="37">
        <v>103265.2403748743</v>
      </c>
      <c r="E6" s="18"/>
      <c r="F6" s="18">
        <f t="shared" si="3"/>
        <v>13027694.78</v>
      </c>
      <c r="G6" s="31">
        <f t="shared" si="6"/>
        <v>26852949</v>
      </c>
      <c r="H6" s="20">
        <f t="shared" si="7"/>
        <v>0.4851495</v>
      </c>
      <c r="I6" s="22">
        <f t="shared" si="1"/>
        <v>12918422.08</v>
      </c>
      <c r="J6" s="22">
        <f t="shared" si="4"/>
        <v>25802927.76</v>
      </c>
      <c r="K6" s="24">
        <f t="shared" si="2"/>
        <v>73531695</v>
      </c>
      <c r="L6" s="26" t="s">
        <v>24</v>
      </c>
      <c r="M6" s="38">
        <v>0.0</v>
      </c>
      <c r="O6" s="5"/>
      <c r="P6" s="39"/>
      <c r="Q6" s="34"/>
      <c r="R6" s="34"/>
    </row>
    <row r="7">
      <c r="A7" s="16">
        <v>4.0</v>
      </c>
      <c r="B7" s="35">
        <f t="shared" si="5"/>
        <v>112550.881</v>
      </c>
      <c r="C7" s="36">
        <v>1.017864579523259E7</v>
      </c>
      <c r="D7" s="37">
        <v>104165.63957392021</v>
      </c>
      <c r="E7" s="18"/>
      <c r="F7" s="18">
        <f t="shared" si="3"/>
        <v>13851827.12</v>
      </c>
      <c r="G7" s="31">
        <f t="shared" si="6"/>
        <v>28840068</v>
      </c>
      <c r="H7" s="20">
        <f t="shared" si="7"/>
        <v>0.480298005</v>
      </c>
      <c r="I7" s="22">
        <f t="shared" si="1"/>
        <v>13739276.24</v>
      </c>
      <c r="J7" s="22">
        <f t="shared" si="4"/>
        <v>39542204</v>
      </c>
      <c r="K7" s="24">
        <f t="shared" si="2"/>
        <v>102371763</v>
      </c>
      <c r="M7" s="40"/>
      <c r="P7" s="39"/>
      <c r="Q7" s="34"/>
      <c r="R7" s="34"/>
    </row>
    <row r="8">
      <c r="A8" s="16">
        <v>5.0</v>
      </c>
      <c r="B8" s="35">
        <f t="shared" si="5"/>
        <v>115927.4074</v>
      </c>
      <c r="C8" s="36">
        <v>1.022989742407344E7</v>
      </c>
      <c r="D8" s="37">
        <v>92178.27230338783</v>
      </c>
      <c r="E8" s="18"/>
      <c r="F8" s="18">
        <f t="shared" si="3"/>
        <v>14728093.69</v>
      </c>
      <c r="G8" s="31">
        <f t="shared" si="6"/>
        <v>30974233</v>
      </c>
      <c r="H8" s="20">
        <f t="shared" si="7"/>
        <v>0.475495025</v>
      </c>
      <c r="I8" s="22">
        <f t="shared" si="1"/>
        <v>14612166.29</v>
      </c>
      <c r="J8" s="22">
        <f t="shared" si="4"/>
        <v>54154370.29</v>
      </c>
      <c r="K8" s="24">
        <f t="shared" si="2"/>
        <v>133345996</v>
      </c>
      <c r="P8" s="39"/>
      <c r="Q8" s="34"/>
      <c r="R8" s="34"/>
    </row>
    <row r="9">
      <c r="A9" s="16">
        <v>6.0</v>
      </c>
      <c r="B9" s="35">
        <f t="shared" si="5"/>
        <v>119405.2297</v>
      </c>
      <c r="C9" s="36">
        <v>9254352.389004914</v>
      </c>
      <c r="D9" s="37">
        <v>101581.75470838856</v>
      </c>
      <c r="E9" s="18"/>
      <c r="F9" s="18">
        <f t="shared" si="3"/>
        <v>15659792.79</v>
      </c>
      <c r="G9" s="31">
        <f t="shared" si="6"/>
        <v>33266326</v>
      </c>
      <c r="H9" s="20">
        <f t="shared" si="7"/>
        <v>0.4707400747</v>
      </c>
      <c r="I9" s="22">
        <f t="shared" si="1"/>
        <v>15540387.56</v>
      </c>
      <c r="J9" s="22">
        <f t="shared" si="4"/>
        <v>69694757.84</v>
      </c>
      <c r="K9" s="24">
        <f t="shared" si="2"/>
        <v>166612322</v>
      </c>
      <c r="P9" s="39"/>
      <c r="Q9" s="34"/>
      <c r="R9" s="34"/>
    </row>
    <row r="10">
      <c r="A10" s="16">
        <v>7.0</v>
      </c>
      <c r="B10" s="35">
        <f t="shared" si="5"/>
        <v>122987.3865</v>
      </c>
      <c r="C10" s="36">
        <v>8502032.666280152</v>
      </c>
      <c r="D10" s="37">
        <v>102840.12941210919</v>
      </c>
      <c r="E10" s="18"/>
      <c r="F10" s="18">
        <f t="shared" si="3"/>
        <v>16650431.22</v>
      </c>
      <c r="G10" s="31">
        <f t="shared" si="6"/>
        <v>35728034</v>
      </c>
      <c r="H10" s="20">
        <f t="shared" si="7"/>
        <v>0.466032674</v>
      </c>
      <c r="I10" s="22">
        <f t="shared" si="1"/>
        <v>16527443.83</v>
      </c>
      <c r="J10" s="22">
        <f t="shared" si="4"/>
        <v>86222201.68</v>
      </c>
      <c r="K10" s="24">
        <f t="shared" si="2"/>
        <v>202340356</v>
      </c>
      <c r="P10" s="39"/>
      <c r="Q10" s="34"/>
      <c r="R10" s="34"/>
    </row>
    <row r="11">
      <c r="A11" s="16">
        <v>8.0</v>
      </c>
      <c r="B11" s="35">
        <f t="shared" si="5"/>
        <v>126677.0081</v>
      </c>
      <c r="C11" s="36">
        <v>9552457.300691267</v>
      </c>
      <c r="D11" s="37">
        <v>110028.9432099328</v>
      </c>
      <c r="E11" s="18"/>
      <c r="F11" s="18">
        <f t="shared" si="3"/>
        <v>17703737.26</v>
      </c>
      <c r="G11" s="31">
        <f t="shared" si="6"/>
        <v>38371908</v>
      </c>
      <c r="H11" s="20">
        <f t="shared" si="7"/>
        <v>0.4613723472</v>
      </c>
      <c r="I11" s="22">
        <f t="shared" si="1"/>
        <v>17577060.25</v>
      </c>
      <c r="J11" s="22">
        <f t="shared" si="4"/>
        <v>103799261.9</v>
      </c>
      <c r="K11" s="24">
        <f t="shared" si="2"/>
        <v>240712264</v>
      </c>
      <c r="P11" s="39"/>
      <c r="Q11" s="34"/>
      <c r="R11" s="34"/>
    </row>
    <row r="12">
      <c r="A12" s="16">
        <v>9.0</v>
      </c>
      <c r="B12" s="35">
        <f t="shared" si="5"/>
        <v>130477.3184</v>
      </c>
      <c r="C12" s="36">
        <v>1.0238017530884983E7</v>
      </c>
      <c r="D12" s="37">
        <v>109058.70101652417</v>
      </c>
      <c r="E12" s="18"/>
      <c r="F12" s="18">
        <f t="shared" si="3"/>
        <v>18823676.05</v>
      </c>
      <c r="G12" s="31">
        <f t="shared" si="6"/>
        <v>41211430</v>
      </c>
      <c r="H12" s="20">
        <f t="shared" si="7"/>
        <v>0.4567586237</v>
      </c>
      <c r="I12" s="22">
        <f t="shared" si="1"/>
        <v>18693198.73</v>
      </c>
      <c r="J12" s="22">
        <f t="shared" si="4"/>
        <v>122492460.7</v>
      </c>
      <c r="K12" s="24">
        <f t="shared" si="2"/>
        <v>281923694</v>
      </c>
      <c r="P12" s="39"/>
      <c r="Q12" s="34"/>
      <c r="R12" s="34"/>
    </row>
    <row r="13">
      <c r="A13" s="16">
        <v>10.0</v>
      </c>
      <c r="B13" s="35">
        <f>($B$4*(1+$M$3)^A13)+B3</f>
        <v>10134391.64</v>
      </c>
      <c r="C13" s="36">
        <v>1.0309713142910488E7</v>
      </c>
      <c r="D13" s="37">
        <v>86986.39440665848</v>
      </c>
      <c r="E13" s="18"/>
      <c r="F13" s="18">
        <f t="shared" si="3"/>
        <v>20014461.43</v>
      </c>
      <c r="G13" s="31">
        <f t="shared" si="6"/>
        <v>44261075</v>
      </c>
      <c r="H13" s="20">
        <f t="shared" si="7"/>
        <v>0.4521910375</v>
      </c>
      <c r="I13" s="22">
        <f t="shared" si="1"/>
        <v>9880069.787</v>
      </c>
      <c r="J13" s="22">
        <f t="shared" si="4"/>
        <v>132372530.4</v>
      </c>
      <c r="K13" s="24">
        <f t="shared" si="2"/>
        <v>326184769</v>
      </c>
      <c r="P13" s="39"/>
      <c r="Q13" s="34"/>
      <c r="R13" s="34"/>
    </row>
    <row r="14">
      <c r="A14" s="16">
        <v>11.0</v>
      </c>
      <c r="B14" s="35">
        <f t="shared" ref="B14:B22" si="8">$B$4*(1+$M$3)^A14</f>
        <v>138423.3871</v>
      </c>
      <c r="C14" s="36">
        <v>8770320.3982157</v>
      </c>
      <c r="D14" s="37">
        <v>88909.32114158999</v>
      </c>
      <c r="E14" s="18"/>
      <c r="F14" s="18">
        <f t="shared" si="3"/>
        <v>21280576.46</v>
      </c>
      <c r="G14" s="31">
        <f t="shared" si="6"/>
        <v>47536395</v>
      </c>
      <c r="H14" s="20">
        <f t="shared" si="7"/>
        <v>0.4476691271</v>
      </c>
      <c r="I14" s="22">
        <f t="shared" si="1"/>
        <v>21142153.07</v>
      </c>
      <c r="J14" s="22">
        <f t="shared" si="4"/>
        <v>153514683.5</v>
      </c>
      <c r="K14" s="24">
        <f t="shared" si="2"/>
        <v>373721164</v>
      </c>
      <c r="P14" s="39"/>
      <c r="Q14" s="34"/>
      <c r="R14" s="34"/>
    </row>
    <row r="15">
      <c r="A15" s="16">
        <v>12.0</v>
      </c>
      <c r="B15" s="35">
        <f t="shared" si="8"/>
        <v>142576.0887</v>
      </c>
      <c r="C15" s="36">
        <v>1.0151852653681023E7</v>
      </c>
      <c r="D15" s="37">
        <v>113267.73053937036</v>
      </c>
      <c r="E15" s="18"/>
      <c r="F15" s="18">
        <f t="shared" si="3"/>
        <v>22626785.62</v>
      </c>
      <c r="G15" s="31">
        <f t="shared" si="6"/>
        <v>51054088</v>
      </c>
      <c r="H15" s="20">
        <f t="shared" si="7"/>
        <v>0.4431924359</v>
      </c>
      <c r="I15" s="22">
        <f t="shared" si="1"/>
        <v>22484209.53</v>
      </c>
      <c r="J15" s="22">
        <f t="shared" si="4"/>
        <v>175998893.1</v>
      </c>
      <c r="K15" s="24">
        <f t="shared" si="2"/>
        <v>424775252</v>
      </c>
      <c r="P15" s="39"/>
      <c r="Q15" s="34"/>
      <c r="R15" s="34"/>
    </row>
    <row r="16">
      <c r="A16" s="16">
        <v>13.0</v>
      </c>
      <c r="B16" s="35">
        <f t="shared" si="8"/>
        <v>146853.3713</v>
      </c>
      <c r="C16" s="36">
        <v>7952969.10869162</v>
      </c>
      <c r="D16" s="37">
        <v>109153.97192436452</v>
      </c>
      <c r="E16" s="18"/>
      <c r="F16" s="18">
        <f t="shared" si="3"/>
        <v>24058156.29</v>
      </c>
      <c r="G16" s="31">
        <f t="shared" si="6"/>
        <v>54832091</v>
      </c>
      <c r="H16" s="20">
        <f t="shared" si="7"/>
        <v>0.4387605115</v>
      </c>
      <c r="I16" s="22">
        <f t="shared" si="1"/>
        <v>23911302.92</v>
      </c>
      <c r="J16" s="22">
        <f t="shared" si="4"/>
        <v>199910196</v>
      </c>
      <c r="K16" s="24">
        <f t="shared" si="2"/>
        <v>479607343</v>
      </c>
      <c r="P16" s="39"/>
      <c r="Q16" s="34"/>
      <c r="R16" s="34"/>
    </row>
    <row r="17">
      <c r="A17" s="16">
        <v>14.0</v>
      </c>
      <c r="B17" s="35">
        <f t="shared" si="8"/>
        <v>151258.9725</v>
      </c>
      <c r="C17" s="36">
        <v>9614358.050531587</v>
      </c>
      <c r="D17" s="37">
        <v>89681.26773891084</v>
      </c>
      <c r="E17" s="18"/>
      <c r="F17" s="18">
        <f t="shared" si="3"/>
        <v>25580074.94</v>
      </c>
      <c r="G17" s="31">
        <f t="shared" si="6"/>
        <v>58889665</v>
      </c>
      <c r="H17" s="20">
        <f t="shared" si="7"/>
        <v>0.4343729064</v>
      </c>
      <c r="I17" s="22">
        <f t="shared" si="1"/>
        <v>25428815.97</v>
      </c>
      <c r="J17" s="22">
        <f t="shared" si="4"/>
        <v>225339011.9</v>
      </c>
      <c r="K17" s="24">
        <f t="shared" si="2"/>
        <v>538497008</v>
      </c>
      <c r="P17" s="39"/>
      <c r="Q17" s="34"/>
      <c r="R17" s="34"/>
    </row>
    <row r="18">
      <c r="A18" s="16">
        <v>15.0</v>
      </c>
      <c r="B18" s="35">
        <f t="shared" si="8"/>
        <v>155796.7417</v>
      </c>
      <c r="C18" s="36">
        <v>8623519.966326779</v>
      </c>
      <c r="D18" s="37">
        <v>98095.55923750083</v>
      </c>
      <c r="E18" s="18"/>
      <c r="F18" s="18">
        <f t="shared" si="3"/>
        <v>27198270.39</v>
      </c>
      <c r="G18" s="31">
        <f t="shared" si="6"/>
        <v>63247500</v>
      </c>
      <c r="H18" s="20">
        <f t="shared" si="7"/>
        <v>0.4300291773</v>
      </c>
      <c r="I18" s="22">
        <f t="shared" si="1"/>
        <v>27042473.65</v>
      </c>
      <c r="J18" s="22">
        <f t="shared" si="4"/>
        <v>252381485.6</v>
      </c>
      <c r="K18" s="24">
        <f t="shared" si="2"/>
        <v>601744508</v>
      </c>
      <c r="P18" s="39"/>
      <c r="Q18" s="34"/>
      <c r="R18" s="34"/>
    </row>
    <row r="19">
      <c r="A19" s="16">
        <v>16.0</v>
      </c>
      <c r="B19" s="35">
        <f t="shared" si="8"/>
        <v>160470.6439</v>
      </c>
      <c r="C19" s="36">
        <v>9965603.071595188</v>
      </c>
      <c r="D19" s="37">
        <v>101271.24292972377</v>
      </c>
      <c r="E19" s="18"/>
      <c r="F19" s="18">
        <f t="shared" si="3"/>
        <v>28918832.98</v>
      </c>
      <c r="G19" s="31">
        <f t="shared" si="6"/>
        <v>67927815</v>
      </c>
      <c r="H19" s="20">
        <f t="shared" si="7"/>
        <v>0.4257288855</v>
      </c>
      <c r="I19" s="22">
        <f t="shared" si="1"/>
        <v>28758362.33</v>
      </c>
      <c r="J19" s="22">
        <f t="shared" si="4"/>
        <v>281139847.9</v>
      </c>
      <c r="K19" s="24">
        <f t="shared" si="2"/>
        <v>669672323</v>
      </c>
      <c r="P19" s="39"/>
      <c r="Q19" s="34"/>
      <c r="R19" s="34"/>
    </row>
    <row r="20">
      <c r="A20" s="16">
        <v>17.0</v>
      </c>
      <c r="B20" s="35">
        <f t="shared" si="8"/>
        <v>165284.7632</v>
      </c>
      <c r="C20" s="36">
        <v>9142644.606312623</v>
      </c>
      <c r="D20" s="37">
        <v>96847.73069681422</v>
      </c>
      <c r="E20" s="18"/>
      <c r="F20" s="18">
        <f t="shared" si="3"/>
        <v>30748238.64</v>
      </c>
      <c r="G20" s="31">
        <f t="shared" si="6"/>
        <v>72954474</v>
      </c>
      <c r="H20" s="20">
        <f t="shared" si="7"/>
        <v>0.4214715967</v>
      </c>
      <c r="I20" s="22">
        <f t="shared" si="1"/>
        <v>30582953.88</v>
      </c>
      <c r="J20" s="22">
        <f t="shared" si="4"/>
        <v>311722801.8</v>
      </c>
      <c r="K20" s="24">
        <f t="shared" si="2"/>
        <v>742626797</v>
      </c>
      <c r="P20" s="39"/>
      <c r="Q20" s="34"/>
      <c r="R20" s="34"/>
    </row>
    <row r="21">
      <c r="A21" s="16">
        <v>18.0</v>
      </c>
      <c r="B21" s="35">
        <f t="shared" si="8"/>
        <v>170243.3061</v>
      </c>
      <c r="C21" s="36">
        <v>9850949.50140799</v>
      </c>
      <c r="D21" s="37">
        <v>103753.5016631913</v>
      </c>
      <c r="E21" s="18"/>
      <c r="F21" s="18">
        <f t="shared" si="3"/>
        <v>32693372.19</v>
      </c>
      <c r="G21" s="31">
        <f t="shared" si="6"/>
        <v>78353105</v>
      </c>
      <c r="H21" s="20">
        <f t="shared" si="7"/>
        <v>0.4172568807</v>
      </c>
      <c r="I21" s="22">
        <f t="shared" si="1"/>
        <v>32523128.88</v>
      </c>
      <c r="J21" s="22">
        <f t="shared" si="4"/>
        <v>344245930.7</v>
      </c>
      <c r="K21" s="24">
        <f t="shared" si="2"/>
        <v>820979902</v>
      </c>
      <c r="P21" s="39"/>
      <c r="Q21" s="34"/>
      <c r="R21" s="34"/>
    </row>
    <row r="22">
      <c r="A22" s="16">
        <v>19.0</v>
      </c>
      <c r="B22" s="35">
        <f t="shared" si="8"/>
        <v>175350.6053</v>
      </c>
      <c r="C22" s="36">
        <v>1.0333572748450162E7</v>
      </c>
      <c r="D22" s="37">
        <v>106223.06410942758</v>
      </c>
      <c r="E22" s="18"/>
      <c r="F22" s="18">
        <f t="shared" si="3"/>
        <v>34761554.59</v>
      </c>
      <c r="G22" s="31">
        <f t="shared" si="6"/>
        <v>84151234</v>
      </c>
      <c r="H22" s="20">
        <f t="shared" si="7"/>
        <v>0.4130843119</v>
      </c>
      <c r="I22" s="22">
        <f t="shared" si="1"/>
        <v>34586203.99</v>
      </c>
      <c r="J22" s="22">
        <f t="shared" si="4"/>
        <v>378832134.7</v>
      </c>
      <c r="K22" s="24">
        <f t="shared" si="2"/>
        <v>905131136</v>
      </c>
      <c r="P22" s="39"/>
      <c r="Q22" s="34"/>
      <c r="R22" s="34"/>
    </row>
    <row r="23">
      <c r="A23" s="16">
        <v>20.0</v>
      </c>
      <c r="B23" s="35">
        <f>($B$4*(1+$M$3)^A23)+B3</f>
        <v>10180611.12</v>
      </c>
      <c r="C23" s="36">
        <v>9782644.28028508</v>
      </c>
      <c r="D23" s="37">
        <v>119557.73903435728</v>
      </c>
      <c r="E23" s="18"/>
      <c r="F23" s="18">
        <f t="shared" si="3"/>
        <v>36960570.82</v>
      </c>
      <c r="G23" s="31">
        <f t="shared" si="6"/>
        <v>90378426</v>
      </c>
      <c r="H23" s="20">
        <f t="shared" si="7"/>
        <v>0.4089534688</v>
      </c>
      <c r="I23" s="22">
        <f t="shared" si="1"/>
        <v>26779959.69</v>
      </c>
      <c r="J23" s="22">
        <f t="shared" si="4"/>
        <v>405612094.4</v>
      </c>
      <c r="K23" s="24">
        <f t="shared" si="2"/>
        <v>995509562</v>
      </c>
      <c r="P23" s="39"/>
      <c r="Q23" s="34"/>
      <c r="R23" s="34"/>
    </row>
    <row r="24">
      <c r="A24" s="49">
        <v>21.0</v>
      </c>
      <c r="B24" s="35">
        <f t="shared" ref="B24:B33" si="9">$B$4*(1+$M$3)^A24</f>
        <v>186029.4572</v>
      </c>
      <c r="C24" s="36">
        <v>9182953.8749666</v>
      </c>
      <c r="D24" s="37">
        <v>97846.15200817338</v>
      </c>
      <c r="E24" s="18"/>
      <c r="F24" s="18">
        <f t="shared" si="3"/>
        <v>39298696.32</v>
      </c>
      <c r="G24" s="31">
        <f t="shared" si="6"/>
        <v>97066429</v>
      </c>
      <c r="H24" s="20">
        <f t="shared" si="7"/>
        <v>0.4048639341</v>
      </c>
      <c r="I24" s="22">
        <f t="shared" si="1"/>
        <v>39112666.86</v>
      </c>
      <c r="J24" s="22">
        <f t="shared" si="4"/>
        <v>444724761.2</v>
      </c>
      <c r="K24" s="24">
        <f t="shared" si="2"/>
        <v>1092575991</v>
      </c>
      <c r="P24" s="39"/>
      <c r="Q24" s="34"/>
      <c r="R24" s="34"/>
    </row>
    <row r="25">
      <c r="A25" s="49">
        <v>22.0</v>
      </c>
      <c r="B25" s="35">
        <f t="shared" si="9"/>
        <v>191610.3409</v>
      </c>
      <c r="C25" s="36">
        <v>9758172.49593661</v>
      </c>
      <c r="D25" s="37">
        <v>81391.61203999264</v>
      </c>
      <c r="E25" s="18"/>
      <c r="F25" s="18">
        <f t="shared" si="3"/>
        <v>41784731.95</v>
      </c>
      <c r="G25" s="31">
        <f t="shared" si="6"/>
        <v>104249345</v>
      </c>
      <c r="H25" s="20">
        <f t="shared" si="7"/>
        <v>0.4008152948</v>
      </c>
      <c r="I25" s="22">
        <f t="shared" si="1"/>
        <v>41593121.6</v>
      </c>
      <c r="J25" s="22">
        <f t="shared" si="4"/>
        <v>486317882.8</v>
      </c>
      <c r="K25" s="24">
        <f t="shared" si="2"/>
        <v>1196825336</v>
      </c>
      <c r="P25" s="39"/>
      <c r="Q25" s="34"/>
      <c r="R25" s="34"/>
    </row>
    <row r="26">
      <c r="A26" s="49">
        <v>23.0</v>
      </c>
      <c r="B26" s="35">
        <f t="shared" si="9"/>
        <v>197358.6511</v>
      </c>
      <c r="C26" s="36">
        <v>8487968.402862193</v>
      </c>
      <c r="D26" s="37">
        <v>88315.12597747802</v>
      </c>
      <c r="E26" s="18"/>
      <c r="F26" s="18">
        <f t="shared" si="3"/>
        <v>44428033.88</v>
      </c>
      <c r="G26" s="31">
        <f t="shared" si="6"/>
        <v>111963796</v>
      </c>
      <c r="H26" s="20">
        <f t="shared" si="7"/>
        <v>0.3968071418</v>
      </c>
      <c r="I26" s="22">
        <f t="shared" si="1"/>
        <v>44230675.23</v>
      </c>
      <c r="J26" s="22">
        <f t="shared" si="4"/>
        <v>530548558.1</v>
      </c>
      <c r="K26" s="24">
        <f t="shared" si="2"/>
        <v>1308789132</v>
      </c>
      <c r="P26" s="39"/>
      <c r="Q26" s="34"/>
      <c r="R26" s="34"/>
    </row>
    <row r="27">
      <c r="A27" s="49">
        <v>24.0</v>
      </c>
      <c r="B27" s="35">
        <f t="shared" si="9"/>
        <v>203279.4106</v>
      </c>
      <c r="C27" s="36">
        <v>8639650.226805883</v>
      </c>
      <c r="D27" s="37">
        <v>111810.72297450033</v>
      </c>
      <c r="E27" s="18"/>
      <c r="F27" s="18">
        <f t="shared" si="3"/>
        <v>47238551.34</v>
      </c>
      <c r="G27" s="31">
        <f t="shared" si="6"/>
        <v>120249117</v>
      </c>
      <c r="H27" s="20">
        <f t="shared" si="7"/>
        <v>0.3928390704</v>
      </c>
      <c r="I27" s="22">
        <f t="shared" si="1"/>
        <v>47035271.93</v>
      </c>
      <c r="J27" s="22">
        <f t="shared" si="4"/>
        <v>577583830</v>
      </c>
      <c r="K27" s="24">
        <f t="shared" si="2"/>
        <v>1429038249</v>
      </c>
      <c r="P27" s="39"/>
      <c r="Q27" s="34"/>
      <c r="R27" s="34"/>
    </row>
    <row r="28">
      <c r="A28" s="49">
        <v>25.0</v>
      </c>
      <c r="B28" s="35">
        <f t="shared" si="9"/>
        <v>209377.793</v>
      </c>
      <c r="C28" s="36">
        <v>1.1631098935799047E7</v>
      </c>
      <c r="D28" s="37">
        <v>112054.35581982732</v>
      </c>
      <c r="E28" s="18"/>
      <c r="F28" s="18">
        <f t="shared" si="3"/>
        <v>50226862.23</v>
      </c>
      <c r="G28" s="31">
        <f t="shared" si="6"/>
        <v>129147552</v>
      </c>
      <c r="H28" s="20">
        <f t="shared" si="7"/>
        <v>0.3889106797</v>
      </c>
      <c r="I28" s="22">
        <f t="shared" si="1"/>
        <v>50017484.44</v>
      </c>
      <c r="J28" s="22">
        <f t="shared" si="4"/>
        <v>627601314.4</v>
      </c>
      <c r="K28" s="24">
        <f t="shared" si="2"/>
        <v>1558185801</v>
      </c>
      <c r="P28" s="39"/>
      <c r="Q28" s="34"/>
      <c r="R28" s="34"/>
    </row>
    <row r="29">
      <c r="A29" s="49">
        <v>26.0</v>
      </c>
      <c r="B29" s="35">
        <f t="shared" si="9"/>
        <v>215659.1268</v>
      </c>
      <c r="C29" s="36">
        <v>1.0028323336643817E7</v>
      </c>
      <c r="D29" s="37">
        <v>105591.86495868342</v>
      </c>
      <c r="E29" s="18"/>
      <c r="F29" s="18">
        <f t="shared" si="3"/>
        <v>53404213.59</v>
      </c>
      <c r="G29" s="31">
        <f t="shared" si="6"/>
        <v>138704471</v>
      </c>
      <c r="H29" s="20">
        <f t="shared" si="7"/>
        <v>0.3850215729</v>
      </c>
      <c r="I29" s="22">
        <f t="shared" si="1"/>
        <v>53188554.47</v>
      </c>
      <c r="J29" s="22">
        <f t="shared" si="4"/>
        <v>680789868.9</v>
      </c>
      <c r="K29" s="24">
        <f t="shared" si="2"/>
        <v>1696890272</v>
      </c>
      <c r="P29" s="39"/>
      <c r="Q29" s="34"/>
      <c r="R29" s="34"/>
    </row>
    <row r="30">
      <c r="A30" s="49">
        <v>27.0</v>
      </c>
      <c r="B30" s="35">
        <f t="shared" si="9"/>
        <v>222128.9006</v>
      </c>
      <c r="C30" s="36">
        <v>1.0179468919537263E7</v>
      </c>
      <c r="D30" s="37">
        <v>90636.73097972514</v>
      </c>
      <c r="E30" s="18"/>
      <c r="F30" s="18">
        <f t="shared" si="3"/>
        <v>56782563.82</v>
      </c>
      <c r="G30" s="31">
        <f t="shared" si="6"/>
        <v>148968601</v>
      </c>
      <c r="H30" s="20">
        <f t="shared" si="7"/>
        <v>0.3811713572</v>
      </c>
      <c r="I30" s="22">
        <f t="shared" si="1"/>
        <v>56560434.92</v>
      </c>
      <c r="J30" s="22">
        <f t="shared" si="4"/>
        <v>737350303.8</v>
      </c>
      <c r="K30" s="24">
        <f t="shared" si="2"/>
        <v>1845858873</v>
      </c>
      <c r="P30" s="39"/>
      <c r="Q30" s="34"/>
      <c r="R30" s="34"/>
    </row>
    <row r="31">
      <c r="A31" s="49">
        <v>28.0</v>
      </c>
      <c r="B31" s="35">
        <f t="shared" si="9"/>
        <v>228792.7676</v>
      </c>
      <c r="C31" s="36">
        <v>1.0709293633935997E7</v>
      </c>
      <c r="D31" s="37">
        <v>104819.7804017942</v>
      </c>
      <c r="E31" s="18"/>
      <c r="F31" s="18">
        <f t="shared" si="3"/>
        <v>60374629.01</v>
      </c>
      <c r="G31" s="31">
        <f t="shared" si="6"/>
        <v>159992278</v>
      </c>
      <c r="H31" s="20">
        <f t="shared" si="7"/>
        <v>0.3773596436</v>
      </c>
      <c r="I31" s="22">
        <f t="shared" si="1"/>
        <v>60145836.24</v>
      </c>
      <c r="J31" s="22">
        <f t="shared" si="4"/>
        <v>797496140</v>
      </c>
      <c r="K31" s="24">
        <f t="shared" si="2"/>
        <v>2005851151</v>
      </c>
      <c r="P31" s="39"/>
      <c r="Q31" s="34"/>
      <c r="R31" s="34"/>
    </row>
    <row r="32">
      <c r="A32" s="49">
        <v>29.0</v>
      </c>
      <c r="B32" s="35">
        <f t="shared" si="9"/>
        <v>235656.5506</v>
      </c>
      <c r="C32" s="36">
        <v>1.0003264332797866E7</v>
      </c>
      <c r="D32" s="37">
        <v>100327.28374445885</v>
      </c>
      <c r="E32" s="18"/>
      <c r="F32" s="18">
        <f t="shared" si="3"/>
        <v>64193927.82</v>
      </c>
      <c r="G32" s="31">
        <f t="shared" si="6"/>
        <v>171831706</v>
      </c>
      <c r="H32" s="20">
        <f t="shared" si="7"/>
        <v>0.3735860472</v>
      </c>
      <c r="I32" s="22">
        <f t="shared" si="1"/>
        <v>63958271.27</v>
      </c>
      <c r="J32" s="22">
        <f t="shared" si="4"/>
        <v>861454411.3</v>
      </c>
      <c r="K32" s="24">
        <f t="shared" si="2"/>
        <v>2177682857</v>
      </c>
      <c r="P32" s="39"/>
      <c r="Q32" s="34"/>
      <c r="R32" s="34"/>
    </row>
    <row r="33">
      <c r="A33" s="49">
        <v>30.0</v>
      </c>
      <c r="B33" s="35">
        <f t="shared" si="9"/>
        <v>242726.2471</v>
      </c>
      <c r="C33" s="36">
        <v>1.0362960379112015E7</v>
      </c>
      <c r="D33" s="37">
        <v>99566.56798044874</v>
      </c>
      <c r="E33" s="18"/>
      <c r="F33" s="18">
        <f t="shared" si="3"/>
        <v>68254835.98</v>
      </c>
      <c r="G33" s="31">
        <f t="shared" si="6"/>
        <v>184547253</v>
      </c>
      <c r="H33" s="20">
        <f t="shared" si="7"/>
        <v>0.3698501867</v>
      </c>
      <c r="I33" s="22">
        <f t="shared" si="1"/>
        <v>68012109.73</v>
      </c>
      <c r="J33" s="22">
        <f t="shared" si="4"/>
        <v>929466521</v>
      </c>
      <c r="K33" s="24">
        <f t="shared" si="2"/>
        <v>2362230110</v>
      </c>
      <c r="P33" s="39"/>
      <c r="Q33" s="34"/>
      <c r="R33" s="34"/>
    </row>
    <row r="34">
      <c r="C34" s="56"/>
      <c r="D34" s="56"/>
      <c r="E34" s="56"/>
      <c r="H34" s="56" t="s">
        <v>14</v>
      </c>
      <c r="I34" s="59">
        <f t="array" ref="I34">NPV(7.4%,I4:I33)+I3</f>
        <v>259686836.3</v>
      </c>
    </row>
    <row r="35">
      <c r="C35" s="56"/>
      <c r="D35" s="56"/>
      <c r="E35" s="56"/>
      <c r="H35" s="56" t="s">
        <v>25</v>
      </c>
      <c r="I35" s="60">
        <v>1.0</v>
      </c>
      <c r="J35" s="5" t="s">
        <v>27</v>
      </c>
    </row>
    <row r="36">
      <c r="C36" s="56"/>
      <c r="D36" s="56"/>
      <c r="E36" s="56"/>
      <c r="H36" s="56" t="s">
        <v>26</v>
      </c>
      <c r="I36" s="61">
        <f>IRR(I3:I33,3%)</f>
        <v>1.170324496</v>
      </c>
    </row>
  </sheetData>
  <mergeCells count="1">
    <mergeCell ref="P2:R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  <col customWidth="1" min="3" max="5" width="18.0"/>
    <col customWidth="1" min="6" max="6" width="16.43"/>
    <col customWidth="1" min="7" max="7" width="20.43"/>
    <col customWidth="1" min="8" max="8" width="13.0"/>
    <col customWidth="1" min="9" max="9" width="17.0"/>
    <col customWidth="1" min="10" max="10" width="21.0"/>
    <col customWidth="1" min="11" max="11" width="15.57"/>
    <col customWidth="1" min="12" max="12" width="42.0"/>
    <col customWidth="1" min="13" max="13" width="16.43"/>
    <col customWidth="1" min="15" max="15" width="11.43"/>
    <col customWidth="1" min="16" max="16" width="16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2" t="s">
        <v>0</v>
      </c>
      <c r="B2" s="2" t="s">
        <v>31</v>
      </c>
      <c r="C2" s="2" t="s">
        <v>12</v>
      </c>
      <c r="D2" s="2" t="s">
        <v>13</v>
      </c>
      <c r="E2" s="2" t="s">
        <v>14</v>
      </c>
      <c r="F2" s="2" t="s">
        <v>2</v>
      </c>
      <c r="G2" s="2" t="s">
        <v>3</v>
      </c>
      <c r="H2" s="2" t="s">
        <v>11</v>
      </c>
      <c r="I2" s="2" t="s">
        <v>6</v>
      </c>
      <c r="J2" s="2" t="s">
        <v>7</v>
      </c>
      <c r="K2" s="4" t="s">
        <v>8</v>
      </c>
      <c r="L2" s="26" t="s">
        <v>9</v>
      </c>
      <c r="M2" s="12"/>
    </row>
    <row r="3">
      <c r="A3" s="7">
        <v>0.0</v>
      </c>
      <c r="B3" s="73">
        <v>6.041363934E8</v>
      </c>
      <c r="C3" s="13">
        <v>6.044093181E8</v>
      </c>
      <c r="D3" s="13">
        <v>62268.70812</v>
      </c>
      <c r="E3" s="13"/>
      <c r="F3" s="10"/>
      <c r="G3" s="10"/>
      <c r="H3" s="10"/>
      <c r="I3" s="15">
        <f t="shared" ref="I3:I33" si="1">F3-B3</f>
        <v>-604136393.4</v>
      </c>
      <c r="J3" s="15">
        <f>Sum(I$3:I3)</f>
        <v>-604136393.4</v>
      </c>
      <c r="K3" s="17">
        <f t="shared" ref="K3:K33" si="2">Sum(G$3:G3)</f>
        <v>0</v>
      </c>
      <c r="L3" s="26" t="s">
        <v>16</v>
      </c>
      <c r="M3" s="76">
        <v>0.03</v>
      </c>
    </row>
    <row r="4">
      <c r="A4" s="7">
        <v>1.0</v>
      </c>
      <c r="B4" s="73">
        <v>51864.5817</v>
      </c>
      <c r="C4" s="13">
        <v>6.043990277E8</v>
      </c>
      <c r="D4" s="13">
        <v>43662.42761</v>
      </c>
      <c r="E4" s="13"/>
      <c r="F4" s="13">
        <f t="shared" ref="F4:F33" si="3">G4*H4</f>
        <v>650280000</v>
      </c>
      <c r="G4" s="78">
        <v>2.1676E7</v>
      </c>
      <c r="H4" s="79">
        <v>30.0</v>
      </c>
      <c r="I4" s="15">
        <f t="shared" si="1"/>
        <v>650228135.4</v>
      </c>
      <c r="J4" s="15">
        <f t="shared" ref="J4:J33" si="4">Sum($I$3:I4)</f>
        <v>46091742.02</v>
      </c>
      <c r="K4" s="17">
        <f t="shared" si="2"/>
        <v>21676000</v>
      </c>
      <c r="L4" s="26" t="s">
        <v>17</v>
      </c>
      <c r="M4" s="76">
        <v>-0.03</v>
      </c>
      <c r="O4" s="5"/>
      <c r="P4" s="5"/>
    </row>
    <row r="5">
      <c r="A5" s="7">
        <v>2.0</v>
      </c>
      <c r="B5" s="73">
        <f t="shared" ref="B5:B7" si="5">$B$4*(1+$M$3)^A5</f>
        <v>55023.13473</v>
      </c>
      <c r="C5" s="15">
        <v>6.049233965E8</v>
      </c>
      <c r="D5" s="15">
        <v>42629.77968</v>
      </c>
      <c r="E5" s="10"/>
      <c r="F5" s="13">
        <f t="shared" si="3"/>
        <v>602098052.8</v>
      </c>
      <c r="G5" s="21">
        <f t="shared" ref="G5:G33" si="6">Roundup($G$4*(1+$M$4)^A5)</f>
        <v>20394949</v>
      </c>
      <c r="H5" s="88">
        <f>$H$4*(1-0.008)^A5</f>
        <v>29.52192</v>
      </c>
      <c r="I5" s="15">
        <f t="shared" si="1"/>
        <v>602043029.6</v>
      </c>
      <c r="J5" s="15">
        <f t="shared" si="4"/>
        <v>648134771.7</v>
      </c>
      <c r="K5" s="17">
        <f t="shared" si="2"/>
        <v>42070949</v>
      </c>
      <c r="L5" s="26"/>
      <c r="M5" s="26"/>
      <c r="P5" s="5"/>
    </row>
    <row r="6">
      <c r="A6" s="7">
        <v>3.0</v>
      </c>
      <c r="B6" s="73">
        <f t="shared" si="5"/>
        <v>56673.82877</v>
      </c>
      <c r="C6" s="15">
        <v>6.035362916E8</v>
      </c>
      <c r="D6" s="15">
        <v>43982.28206</v>
      </c>
      <c r="E6" s="10"/>
      <c r="F6" s="13">
        <f t="shared" si="3"/>
        <v>575865664.4</v>
      </c>
      <c r="G6" s="21">
        <f t="shared" si="6"/>
        <v>19783100</v>
      </c>
      <c r="H6" s="88">
        <f t="shared" ref="H6:H33" si="7">$H$4*(1-0.01)^A6</f>
        <v>29.10897</v>
      </c>
      <c r="I6" s="15">
        <f t="shared" si="1"/>
        <v>575808990.6</v>
      </c>
      <c r="J6" s="15">
        <f t="shared" si="4"/>
        <v>1223943762</v>
      </c>
      <c r="K6" s="17">
        <f t="shared" si="2"/>
        <v>61854049</v>
      </c>
      <c r="L6" s="26" t="s">
        <v>48</v>
      </c>
      <c r="M6" s="12"/>
      <c r="O6" s="5"/>
    </row>
    <row r="7">
      <c r="A7" s="7">
        <v>4.0</v>
      </c>
      <c r="B7" s="73">
        <f t="shared" si="5"/>
        <v>58374.04363</v>
      </c>
      <c r="C7" s="15">
        <v>6.045794685E8</v>
      </c>
      <c r="D7" s="15">
        <v>46632.75915</v>
      </c>
      <c r="E7" s="10"/>
      <c r="F7" s="13">
        <f t="shared" si="3"/>
        <v>553003797.5</v>
      </c>
      <c r="G7" s="21">
        <f t="shared" si="6"/>
        <v>19189607</v>
      </c>
      <c r="H7" s="88">
        <f t="shared" si="7"/>
        <v>28.8178803</v>
      </c>
      <c r="I7" s="15">
        <f t="shared" si="1"/>
        <v>552945423.5</v>
      </c>
      <c r="J7" s="15">
        <f t="shared" si="4"/>
        <v>1776889186</v>
      </c>
      <c r="K7" s="17">
        <f t="shared" si="2"/>
        <v>81043656</v>
      </c>
      <c r="L7" s="26" t="s">
        <v>49</v>
      </c>
      <c r="M7" s="12"/>
    </row>
    <row r="8">
      <c r="A8" s="7">
        <v>5.0</v>
      </c>
      <c r="B8" s="73">
        <f>B3+($B$4*(1+$M$3)^A8)</f>
        <v>604196518.7</v>
      </c>
      <c r="C8" s="13">
        <v>6.046958865E8</v>
      </c>
      <c r="D8" s="13">
        <v>41491.51603</v>
      </c>
      <c r="E8" s="13"/>
      <c r="F8" s="13">
        <f t="shared" si="3"/>
        <v>531049552.8</v>
      </c>
      <c r="G8" s="21">
        <f t="shared" si="6"/>
        <v>18613919</v>
      </c>
      <c r="H8" s="88">
        <f t="shared" si="7"/>
        <v>28.5297015</v>
      </c>
      <c r="I8" s="15">
        <f t="shared" si="1"/>
        <v>-73146965.91</v>
      </c>
      <c r="J8" s="15">
        <f t="shared" si="4"/>
        <v>1703742220</v>
      </c>
      <c r="K8" s="17">
        <f t="shared" si="2"/>
        <v>99657575</v>
      </c>
      <c r="L8" s="26" t="s">
        <v>21</v>
      </c>
      <c r="M8" s="13">
        <v>5.85252E8</v>
      </c>
    </row>
    <row r="9">
      <c r="A9" s="7">
        <v>6.0</v>
      </c>
      <c r="B9" s="73">
        <f t="shared" ref="B9:B12" si="8">$B$4*(1+$M$3)^A9</f>
        <v>61929.02289</v>
      </c>
      <c r="C9" s="13">
        <v>6.045175328E8</v>
      </c>
      <c r="D9" s="13">
        <v>48704.08405</v>
      </c>
      <c r="E9" s="13"/>
      <c r="F9" s="13">
        <f t="shared" si="3"/>
        <v>509966901.6</v>
      </c>
      <c r="G9" s="21">
        <f t="shared" si="6"/>
        <v>18055502</v>
      </c>
      <c r="H9" s="88">
        <f t="shared" si="7"/>
        <v>28.24440448</v>
      </c>
      <c r="I9" s="15">
        <f t="shared" si="1"/>
        <v>509904972.6</v>
      </c>
      <c r="J9" s="15">
        <f t="shared" si="4"/>
        <v>2213647192</v>
      </c>
      <c r="K9" s="17">
        <f t="shared" si="2"/>
        <v>117713077</v>
      </c>
    </row>
    <row r="10">
      <c r="A10" s="7">
        <v>7.0</v>
      </c>
      <c r="B10" s="73">
        <f t="shared" si="8"/>
        <v>63786.89357</v>
      </c>
      <c r="C10" s="15">
        <v>6.047078424E8</v>
      </c>
      <c r="D10" s="15">
        <v>67107.71527</v>
      </c>
      <c r="E10" s="10"/>
      <c r="F10" s="13">
        <f t="shared" si="3"/>
        <v>489721217.3</v>
      </c>
      <c r="G10" s="21">
        <f t="shared" si="6"/>
        <v>17513837</v>
      </c>
      <c r="H10" s="88">
        <f t="shared" si="7"/>
        <v>27.96196044</v>
      </c>
      <c r="I10" s="15">
        <f t="shared" si="1"/>
        <v>489657430.4</v>
      </c>
      <c r="J10" s="15">
        <f t="shared" si="4"/>
        <v>2703304623</v>
      </c>
      <c r="K10" s="17">
        <f t="shared" si="2"/>
        <v>135226914</v>
      </c>
    </row>
    <row r="11">
      <c r="A11" s="7">
        <v>8.0</v>
      </c>
      <c r="B11" s="73">
        <f t="shared" si="8"/>
        <v>65700.50038</v>
      </c>
      <c r="C11" s="15">
        <v>6.04505566E8</v>
      </c>
      <c r="D11" s="15">
        <v>66626.96238</v>
      </c>
      <c r="E11" s="10"/>
      <c r="F11" s="13">
        <f t="shared" si="3"/>
        <v>470279288</v>
      </c>
      <c r="G11" s="21">
        <f t="shared" si="6"/>
        <v>16988422</v>
      </c>
      <c r="H11" s="88">
        <f t="shared" si="7"/>
        <v>27.68234083</v>
      </c>
      <c r="I11" s="15">
        <f t="shared" si="1"/>
        <v>470213587.5</v>
      </c>
      <c r="J11" s="15">
        <f t="shared" si="4"/>
        <v>3173518210</v>
      </c>
      <c r="K11" s="17">
        <f t="shared" si="2"/>
        <v>152215336</v>
      </c>
    </row>
    <row r="12">
      <c r="A12" s="7">
        <v>9.0</v>
      </c>
      <c r="B12" s="73">
        <f t="shared" si="8"/>
        <v>67671.51539</v>
      </c>
      <c r="C12" s="15">
        <v>6.053541611E8</v>
      </c>
      <c r="D12" s="15">
        <v>57456.93075</v>
      </c>
      <c r="E12" s="10"/>
      <c r="F12" s="13">
        <f t="shared" si="3"/>
        <v>451609191</v>
      </c>
      <c r="G12" s="21">
        <f t="shared" si="6"/>
        <v>16478769</v>
      </c>
      <c r="H12" s="88">
        <f t="shared" si="7"/>
        <v>27.40551742</v>
      </c>
      <c r="I12" s="15">
        <f t="shared" si="1"/>
        <v>451541519.4</v>
      </c>
      <c r="J12" s="15">
        <f t="shared" si="4"/>
        <v>3625059730</v>
      </c>
      <c r="K12" s="17">
        <f t="shared" si="2"/>
        <v>168694105</v>
      </c>
    </row>
    <row r="13">
      <c r="A13" s="7">
        <v>10.0</v>
      </c>
      <c r="B13" s="73">
        <f>($B$4*(1+$M$3)^A13)+B3</f>
        <v>604206095.1</v>
      </c>
      <c r="C13" s="13">
        <v>6.050834454E8</v>
      </c>
      <c r="D13" s="13">
        <v>48174.38534</v>
      </c>
      <c r="E13" s="13"/>
      <c r="F13" s="13">
        <f t="shared" si="3"/>
        <v>433680308</v>
      </c>
      <c r="G13" s="21">
        <f t="shared" si="6"/>
        <v>15984406</v>
      </c>
      <c r="H13" s="88">
        <f t="shared" si="7"/>
        <v>27.13146225</v>
      </c>
      <c r="I13" s="15">
        <f t="shared" si="1"/>
        <v>-170525787.1</v>
      </c>
      <c r="J13" s="15">
        <f t="shared" si="4"/>
        <v>3454533943</v>
      </c>
      <c r="K13" s="17">
        <f t="shared" si="2"/>
        <v>184678511</v>
      </c>
    </row>
    <row r="14">
      <c r="A14" s="7">
        <v>11.0</v>
      </c>
      <c r="B14" s="73">
        <f t="shared" ref="B14:B17" si="9">$B$4*(1+$M$3)^A14</f>
        <v>71792.71068</v>
      </c>
      <c r="C14" s="13">
        <v>6.048993509E8</v>
      </c>
      <c r="D14" s="13">
        <v>54719.14611</v>
      </c>
      <c r="E14" s="13"/>
      <c r="F14" s="13">
        <f t="shared" si="3"/>
        <v>416463204.6</v>
      </c>
      <c r="G14" s="21">
        <f t="shared" si="6"/>
        <v>15504874</v>
      </c>
      <c r="H14" s="88">
        <f t="shared" si="7"/>
        <v>26.86014763</v>
      </c>
      <c r="I14" s="15">
        <f t="shared" si="1"/>
        <v>416391411.9</v>
      </c>
      <c r="J14" s="15">
        <f t="shared" si="4"/>
        <v>3870925355</v>
      </c>
      <c r="K14" s="17">
        <f t="shared" si="2"/>
        <v>200183385</v>
      </c>
    </row>
    <row r="15">
      <c r="A15" s="7">
        <v>12.0</v>
      </c>
      <c r="B15" s="73">
        <f t="shared" si="9"/>
        <v>73946.492</v>
      </c>
      <c r="C15" s="15">
        <v>6.050834945E8</v>
      </c>
      <c r="D15" s="15">
        <v>33406.83604</v>
      </c>
      <c r="E15" s="10"/>
      <c r="F15" s="13">
        <f t="shared" si="3"/>
        <v>399929621.2</v>
      </c>
      <c r="G15" s="21">
        <f t="shared" si="6"/>
        <v>15039728</v>
      </c>
      <c r="H15" s="88">
        <f t="shared" si="7"/>
        <v>26.59154615</v>
      </c>
      <c r="I15" s="15">
        <f t="shared" si="1"/>
        <v>399855674.7</v>
      </c>
      <c r="J15" s="15">
        <f t="shared" si="4"/>
        <v>4270781029</v>
      </c>
      <c r="K15" s="17">
        <f t="shared" si="2"/>
        <v>215223113</v>
      </c>
    </row>
    <row r="16">
      <c r="A16" s="7">
        <v>13.0</v>
      </c>
      <c r="B16" s="73">
        <f t="shared" si="9"/>
        <v>76164.88676</v>
      </c>
      <c r="C16" s="15">
        <v>6.047119944E8</v>
      </c>
      <c r="D16" s="15">
        <v>37578.46244</v>
      </c>
      <c r="E16" s="10"/>
      <c r="F16" s="13">
        <f t="shared" si="3"/>
        <v>384052411</v>
      </c>
      <c r="G16" s="21">
        <f t="shared" si="6"/>
        <v>14588536</v>
      </c>
      <c r="H16" s="88">
        <f t="shared" si="7"/>
        <v>26.32563069</v>
      </c>
      <c r="I16" s="15">
        <f t="shared" si="1"/>
        <v>383976246.2</v>
      </c>
      <c r="J16" s="15">
        <f t="shared" si="4"/>
        <v>4654757275</v>
      </c>
      <c r="K16" s="17">
        <f t="shared" si="2"/>
        <v>229811649</v>
      </c>
    </row>
    <row r="17">
      <c r="A17" s="7">
        <v>14.0</v>
      </c>
      <c r="B17" s="73">
        <f t="shared" si="9"/>
        <v>78449.83336</v>
      </c>
      <c r="C17" s="15">
        <v>6.062986475E8</v>
      </c>
      <c r="D17" s="15">
        <v>37510.99442</v>
      </c>
      <c r="E17" s="10"/>
      <c r="F17" s="13">
        <f t="shared" si="3"/>
        <v>368805532.4</v>
      </c>
      <c r="G17" s="21">
        <f t="shared" si="6"/>
        <v>14150880</v>
      </c>
      <c r="H17" s="88">
        <f t="shared" si="7"/>
        <v>26.06237438</v>
      </c>
      <c r="I17" s="15">
        <f t="shared" si="1"/>
        <v>368727082.6</v>
      </c>
      <c r="J17" s="15">
        <f t="shared" si="4"/>
        <v>5023484358</v>
      </c>
      <c r="K17" s="17">
        <f t="shared" si="2"/>
        <v>243962529</v>
      </c>
    </row>
    <row r="18">
      <c r="A18" s="7">
        <v>15.0</v>
      </c>
      <c r="B18" s="73">
        <f>($B$4*(1+$M$3)^A18)+B3</f>
        <v>604217196.7</v>
      </c>
      <c r="C18" s="13">
        <v>6.03414479E8</v>
      </c>
      <c r="D18" s="13">
        <v>51769.11395</v>
      </c>
      <c r="E18" s="13"/>
      <c r="F18" s="13">
        <f t="shared" si="3"/>
        <v>354163937.3</v>
      </c>
      <c r="G18" s="21">
        <f t="shared" si="6"/>
        <v>13726353</v>
      </c>
      <c r="H18" s="88">
        <f t="shared" si="7"/>
        <v>25.80175064</v>
      </c>
      <c r="I18" s="15">
        <f t="shared" si="1"/>
        <v>-250053259.4</v>
      </c>
      <c r="J18" s="15">
        <f t="shared" si="4"/>
        <v>4773431099</v>
      </c>
      <c r="K18" s="17">
        <f t="shared" si="2"/>
        <v>257688882</v>
      </c>
    </row>
    <row r="19">
      <c r="A19" s="7">
        <v>16.0</v>
      </c>
      <c r="B19" s="73">
        <f t="shared" ref="B19:B22" si="10">$B$4*(1+$M$3)^A19</f>
        <v>83227.42822</v>
      </c>
      <c r="C19" s="13">
        <v>6.04475386E8</v>
      </c>
      <c r="D19" s="13">
        <v>58093.82908</v>
      </c>
      <c r="E19" s="13"/>
      <c r="F19" s="13">
        <f t="shared" si="3"/>
        <v>340103644.1</v>
      </c>
      <c r="G19" s="21">
        <f t="shared" si="6"/>
        <v>13314563</v>
      </c>
      <c r="H19" s="88">
        <f t="shared" si="7"/>
        <v>25.54373313</v>
      </c>
      <c r="I19" s="15">
        <f t="shared" si="1"/>
        <v>340020416.6</v>
      </c>
      <c r="J19" s="15">
        <f t="shared" si="4"/>
        <v>5113451515</v>
      </c>
      <c r="K19" s="17">
        <f t="shared" si="2"/>
        <v>271003445</v>
      </c>
    </row>
    <row r="20">
      <c r="A20" s="7">
        <v>17.0</v>
      </c>
      <c r="B20" s="73">
        <f t="shared" si="10"/>
        <v>85724.25106</v>
      </c>
      <c r="C20" s="15">
        <v>6.054171576E8</v>
      </c>
      <c r="D20" s="15">
        <v>53173.53387</v>
      </c>
      <c r="E20" s="10"/>
      <c r="F20" s="13">
        <f t="shared" si="3"/>
        <v>326601526.6</v>
      </c>
      <c r="G20" s="21">
        <f t="shared" si="6"/>
        <v>12915126</v>
      </c>
      <c r="H20" s="88">
        <f t="shared" si="7"/>
        <v>25.2882958</v>
      </c>
      <c r="I20" s="15">
        <f t="shared" si="1"/>
        <v>326515802.4</v>
      </c>
      <c r="J20" s="15">
        <f t="shared" si="4"/>
        <v>5439967318</v>
      </c>
      <c r="K20" s="17">
        <f t="shared" si="2"/>
        <v>283918571</v>
      </c>
    </row>
    <row r="21">
      <c r="A21" s="7">
        <v>18.0</v>
      </c>
      <c r="B21" s="73">
        <f t="shared" si="10"/>
        <v>88295.97859</v>
      </c>
      <c r="C21" s="15">
        <v>6.045407013E8</v>
      </c>
      <c r="D21" s="15">
        <v>47899.63273</v>
      </c>
      <c r="E21" s="10"/>
      <c r="F21" s="13">
        <f t="shared" si="3"/>
        <v>313635440.5</v>
      </c>
      <c r="G21" s="21">
        <f t="shared" si="6"/>
        <v>12527672</v>
      </c>
      <c r="H21" s="88">
        <f t="shared" si="7"/>
        <v>25.03541284</v>
      </c>
      <c r="I21" s="15">
        <f t="shared" si="1"/>
        <v>313547144.5</v>
      </c>
      <c r="J21" s="15">
        <f t="shared" si="4"/>
        <v>5753514462</v>
      </c>
      <c r="K21" s="17">
        <f t="shared" si="2"/>
        <v>296446243</v>
      </c>
    </row>
    <row r="22">
      <c r="A22" s="7">
        <v>19.0</v>
      </c>
      <c r="B22" s="73">
        <f t="shared" si="10"/>
        <v>90944.85795</v>
      </c>
      <c r="C22" s="15">
        <v>6.044283417E8</v>
      </c>
      <c r="D22" s="15">
        <v>63279.27304</v>
      </c>
      <c r="E22" s="10"/>
      <c r="F22" s="13">
        <f t="shared" si="3"/>
        <v>301184117.5</v>
      </c>
      <c r="G22" s="21">
        <f t="shared" si="6"/>
        <v>12151842</v>
      </c>
      <c r="H22" s="88">
        <f t="shared" si="7"/>
        <v>24.78505872</v>
      </c>
      <c r="I22" s="15">
        <f t="shared" si="1"/>
        <v>301093172.6</v>
      </c>
      <c r="J22" s="15">
        <f t="shared" si="4"/>
        <v>6054607635</v>
      </c>
      <c r="K22" s="17">
        <f t="shared" si="2"/>
        <v>308598085</v>
      </c>
    </row>
    <row r="23">
      <c r="A23" s="7">
        <v>20.0</v>
      </c>
      <c r="B23" s="73">
        <f>B3+($B$4*(1+$M$3)^A23)</f>
        <v>604230066.6</v>
      </c>
      <c r="C23" s="13">
        <v>6.059179943E8</v>
      </c>
      <c r="D23" s="13">
        <v>56632.80139</v>
      </c>
      <c r="E23" s="13"/>
      <c r="F23" s="13">
        <f t="shared" si="3"/>
        <v>289227114.4</v>
      </c>
      <c r="G23" s="21">
        <f t="shared" si="6"/>
        <v>11787287</v>
      </c>
      <c r="H23" s="88">
        <f t="shared" si="7"/>
        <v>24.53720813</v>
      </c>
      <c r="I23" s="15">
        <f t="shared" si="1"/>
        <v>-315002952.2</v>
      </c>
      <c r="J23" s="15">
        <f t="shared" si="4"/>
        <v>5739604682</v>
      </c>
      <c r="K23" s="17">
        <f t="shared" si="2"/>
        <v>320385372</v>
      </c>
    </row>
    <row r="24">
      <c r="A24" s="7">
        <v>21.0</v>
      </c>
      <c r="B24" s="73">
        <f t="shared" ref="B24:B27" si="11">$B$4*(1+$M$3)^A24</f>
        <v>96483.3998</v>
      </c>
      <c r="C24" s="13">
        <v>6.038481896E8</v>
      </c>
      <c r="D24" s="13">
        <v>53044.55924</v>
      </c>
      <c r="E24" s="13"/>
      <c r="F24" s="13">
        <f t="shared" si="3"/>
        <v>277744788.5</v>
      </c>
      <c r="G24" s="21">
        <f t="shared" si="6"/>
        <v>11433668</v>
      </c>
      <c r="H24" s="88">
        <f t="shared" si="7"/>
        <v>24.29183605</v>
      </c>
      <c r="I24" s="15">
        <f t="shared" si="1"/>
        <v>277648305.1</v>
      </c>
      <c r="J24" s="15">
        <f t="shared" si="4"/>
        <v>6017252988</v>
      </c>
      <c r="K24" s="17">
        <f t="shared" si="2"/>
        <v>331819040</v>
      </c>
    </row>
    <row r="25">
      <c r="A25" s="7">
        <v>22.0</v>
      </c>
      <c r="B25" s="73">
        <f t="shared" si="11"/>
        <v>99377.90179</v>
      </c>
      <c r="C25" s="15">
        <v>6.042398905E8</v>
      </c>
      <c r="D25" s="15">
        <v>73959.8586</v>
      </c>
      <c r="E25" s="10"/>
      <c r="F25" s="13">
        <f t="shared" si="3"/>
        <v>266718321.3</v>
      </c>
      <c r="G25" s="21">
        <f t="shared" si="6"/>
        <v>11090658</v>
      </c>
      <c r="H25" s="88">
        <f t="shared" si="7"/>
        <v>24.04891769</v>
      </c>
      <c r="I25" s="15">
        <f t="shared" si="1"/>
        <v>266618943.4</v>
      </c>
      <c r="J25" s="15">
        <f t="shared" si="4"/>
        <v>6283871931</v>
      </c>
      <c r="K25" s="17">
        <f t="shared" si="2"/>
        <v>342909698</v>
      </c>
    </row>
    <row r="26">
      <c r="A26" s="7">
        <v>23.0</v>
      </c>
      <c r="B26" s="73">
        <f t="shared" si="11"/>
        <v>102359.2388</v>
      </c>
      <c r="C26" s="15">
        <v>6.044757243E8</v>
      </c>
      <c r="D26" s="15">
        <v>53499.99889</v>
      </c>
      <c r="E26" s="10"/>
      <c r="F26" s="13">
        <f t="shared" si="3"/>
        <v>256129597.8</v>
      </c>
      <c r="G26" s="21">
        <f t="shared" si="6"/>
        <v>10757938</v>
      </c>
      <c r="H26" s="88">
        <f t="shared" si="7"/>
        <v>23.80842851</v>
      </c>
      <c r="I26" s="15">
        <f t="shared" si="1"/>
        <v>256027238.5</v>
      </c>
      <c r="J26" s="15">
        <f t="shared" si="4"/>
        <v>6539899170</v>
      </c>
      <c r="K26" s="17">
        <f t="shared" si="2"/>
        <v>353667636</v>
      </c>
    </row>
    <row r="27">
      <c r="A27" s="7">
        <v>24.0</v>
      </c>
      <c r="B27" s="73">
        <f t="shared" si="11"/>
        <v>105430.016</v>
      </c>
      <c r="C27" s="15">
        <v>6.049823496E8</v>
      </c>
      <c r="D27" s="15">
        <v>33545.86172</v>
      </c>
      <c r="E27" s="10"/>
      <c r="F27" s="13">
        <f t="shared" si="3"/>
        <v>245961256</v>
      </c>
      <c r="G27" s="21">
        <f t="shared" si="6"/>
        <v>10435200</v>
      </c>
      <c r="H27" s="88">
        <f t="shared" si="7"/>
        <v>23.57034422</v>
      </c>
      <c r="I27" s="15">
        <f t="shared" si="1"/>
        <v>245855826</v>
      </c>
      <c r="J27" s="15">
        <f t="shared" si="4"/>
        <v>6785754996</v>
      </c>
      <c r="K27" s="17">
        <f t="shared" si="2"/>
        <v>364102836</v>
      </c>
    </row>
    <row r="28">
      <c r="A28" s="7">
        <v>25.0</v>
      </c>
      <c r="B28" s="73">
        <f>($B$4*(1+$M$3)^A28)+B3</f>
        <v>604244986.3</v>
      </c>
      <c r="C28" s="13">
        <v>6.055647275E8</v>
      </c>
      <c r="D28" s="13">
        <v>41108.38778</v>
      </c>
      <c r="E28" s="13"/>
      <c r="F28" s="13">
        <f t="shared" si="3"/>
        <v>236196594.2</v>
      </c>
      <c r="G28" s="21">
        <f t="shared" si="6"/>
        <v>10122144</v>
      </c>
      <c r="H28" s="88">
        <f t="shared" si="7"/>
        <v>23.33464078</v>
      </c>
      <c r="I28" s="15">
        <f t="shared" si="1"/>
        <v>-368048392.1</v>
      </c>
      <c r="J28" s="15">
        <f t="shared" si="4"/>
        <v>6417706603</v>
      </c>
      <c r="K28" s="17">
        <f t="shared" si="2"/>
        <v>374224980</v>
      </c>
    </row>
    <row r="29">
      <c r="A29" s="7">
        <v>26.0</v>
      </c>
      <c r="B29" s="73">
        <f t="shared" ref="B29:B32" si="12">$B$4*(1+$M$3)^A29</f>
        <v>111850.704</v>
      </c>
      <c r="C29" s="13">
        <v>6.047449784E8</v>
      </c>
      <c r="D29" s="13">
        <v>44146.63623</v>
      </c>
      <c r="E29" s="13"/>
      <c r="F29" s="13">
        <f t="shared" si="3"/>
        <v>226819596.8</v>
      </c>
      <c r="G29" s="21">
        <f t="shared" si="6"/>
        <v>9818480</v>
      </c>
      <c r="H29" s="88">
        <f t="shared" si="7"/>
        <v>23.10129437</v>
      </c>
      <c r="I29" s="15">
        <f t="shared" si="1"/>
        <v>226707746.1</v>
      </c>
      <c r="J29" s="15">
        <f t="shared" si="4"/>
        <v>6644414349</v>
      </c>
      <c r="K29" s="17">
        <f t="shared" si="2"/>
        <v>384043460</v>
      </c>
    </row>
    <row r="30">
      <c r="A30" s="7">
        <v>27.0</v>
      </c>
      <c r="B30" s="73">
        <f t="shared" si="12"/>
        <v>115206.2251</v>
      </c>
      <c r="C30" s="15">
        <v>6.045830277E8</v>
      </c>
      <c r="D30" s="15">
        <v>45396.06472</v>
      </c>
      <c r="E30" s="10"/>
      <c r="F30" s="13">
        <f t="shared" si="3"/>
        <v>217814867.9</v>
      </c>
      <c r="G30" s="21">
        <f t="shared" si="6"/>
        <v>9523926</v>
      </c>
      <c r="H30" s="88">
        <f t="shared" si="7"/>
        <v>22.87028143</v>
      </c>
      <c r="I30" s="15">
        <f t="shared" si="1"/>
        <v>217699661.7</v>
      </c>
      <c r="J30" s="15">
        <f t="shared" si="4"/>
        <v>6862114011</v>
      </c>
      <c r="K30" s="17">
        <f t="shared" si="2"/>
        <v>393567386</v>
      </c>
    </row>
    <row r="31">
      <c r="A31" s="7">
        <v>28.0</v>
      </c>
      <c r="B31" s="73">
        <f t="shared" si="12"/>
        <v>118662.4119</v>
      </c>
      <c r="C31" s="15">
        <v>6.055745527E8</v>
      </c>
      <c r="D31" s="15">
        <v>55155.78335</v>
      </c>
      <c r="E31" s="10"/>
      <c r="F31" s="13">
        <f t="shared" si="3"/>
        <v>209167612.7</v>
      </c>
      <c r="G31" s="21">
        <f t="shared" si="6"/>
        <v>9238208</v>
      </c>
      <c r="H31" s="88">
        <f t="shared" si="7"/>
        <v>22.64157862</v>
      </c>
      <c r="I31" s="15">
        <f t="shared" si="1"/>
        <v>209048950.3</v>
      </c>
      <c r="J31" s="15">
        <f t="shared" si="4"/>
        <v>7071162962</v>
      </c>
      <c r="K31" s="17">
        <f t="shared" si="2"/>
        <v>402805594</v>
      </c>
    </row>
    <row r="32">
      <c r="A32" s="7">
        <v>29.0</v>
      </c>
      <c r="B32" s="73">
        <f t="shared" si="12"/>
        <v>122222.2842</v>
      </c>
      <c r="C32" s="15">
        <v>6.068690986E8</v>
      </c>
      <c r="D32" s="15">
        <v>47154.97678</v>
      </c>
      <c r="E32" s="10"/>
      <c r="F32" s="13">
        <f t="shared" si="3"/>
        <v>200863663.9</v>
      </c>
      <c r="G32" s="21">
        <f t="shared" si="6"/>
        <v>8961062</v>
      </c>
      <c r="H32" s="88">
        <f t="shared" si="7"/>
        <v>22.41516283</v>
      </c>
      <c r="I32" s="15">
        <f t="shared" si="1"/>
        <v>200741441.6</v>
      </c>
      <c r="J32" s="15">
        <f t="shared" si="4"/>
        <v>7271904403</v>
      </c>
      <c r="K32" s="17">
        <f t="shared" si="2"/>
        <v>411766656</v>
      </c>
    </row>
    <row r="33">
      <c r="A33" s="7">
        <v>30.0</v>
      </c>
      <c r="B33" s="73">
        <f>($B$4*(1+$M$3)^A33)+B8</f>
        <v>604322407.6</v>
      </c>
      <c r="C33" s="13">
        <v>6.041363934E8</v>
      </c>
      <c r="D33" s="13">
        <v>51864.58171</v>
      </c>
      <c r="E33" s="13"/>
      <c r="F33" s="13">
        <f t="shared" si="3"/>
        <v>192889373.3</v>
      </c>
      <c r="G33" s="21">
        <f t="shared" si="6"/>
        <v>8692230</v>
      </c>
      <c r="H33" s="88">
        <f t="shared" si="7"/>
        <v>22.1910112</v>
      </c>
      <c r="I33" s="15">
        <f t="shared" si="1"/>
        <v>-411433034.3</v>
      </c>
      <c r="J33" s="15">
        <f t="shared" si="4"/>
        <v>6860471369</v>
      </c>
      <c r="K33" s="17">
        <f t="shared" si="2"/>
        <v>420458886</v>
      </c>
    </row>
    <row r="35">
      <c r="H35" s="56" t="s">
        <v>14</v>
      </c>
      <c r="I35" s="59">
        <f t="array" ref="I35">NPV(0.074,I4:I33)+I3</f>
        <v>3479046438</v>
      </c>
    </row>
    <row r="36">
      <c r="H36" s="56" t="s">
        <v>25</v>
      </c>
      <c r="I36" s="56">
        <v>1.0</v>
      </c>
    </row>
    <row r="37">
      <c r="H37" s="56" t="s">
        <v>26</v>
      </c>
      <c r="I37" s="61">
        <f>IRR(I3:I33,0.2)</f>
        <v>0.9824202168</v>
      </c>
    </row>
    <row r="40">
      <c r="B40" s="5"/>
      <c r="C40" s="5"/>
      <c r="D40" s="5"/>
      <c r="E4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17.43"/>
    <col customWidth="1" min="3" max="3" width="21.14"/>
    <col customWidth="1" min="4" max="4" width="7.86"/>
    <col customWidth="1" min="5" max="5" width="17.43"/>
    <col customWidth="1" min="6" max="6" width="16.14"/>
    <col customWidth="1" min="7" max="8" width="20.71"/>
    <col customWidth="1" min="9" max="9" width="18.71"/>
    <col customWidth="1" min="10" max="10" width="20.71"/>
    <col customWidth="1" min="11" max="11" width="26.57"/>
    <col customWidth="1" min="12" max="12" width="19.43"/>
    <col customWidth="1" min="13" max="13" width="9.14"/>
    <col customWidth="1" min="14" max="14" width="7.29"/>
  </cols>
  <sheetData>
    <row r="2">
      <c r="A2" s="62" t="s">
        <v>28</v>
      </c>
      <c r="B2" s="63" t="s">
        <v>29</v>
      </c>
      <c r="D2" s="64" t="s">
        <v>0</v>
      </c>
      <c r="E2" s="64" t="s">
        <v>1</v>
      </c>
      <c r="F2" s="65" t="s">
        <v>13</v>
      </c>
      <c r="G2" s="65" t="s">
        <v>14</v>
      </c>
      <c r="H2" s="64" t="s">
        <v>2</v>
      </c>
      <c r="I2" s="64"/>
      <c r="J2" s="64" t="s">
        <v>6</v>
      </c>
      <c r="K2" s="64" t="s">
        <v>7</v>
      </c>
      <c r="L2" s="66" t="s">
        <v>8</v>
      </c>
      <c r="M2" s="67"/>
    </row>
    <row r="3">
      <c r="A3" s="68" t="s">
        <v>30</v>
      </c>
      <c r="B3" s="69">
        <v>2250000.0</v>
      </c>
      <c r="D3" s="67">
        <v>0.0</v>
      </c>
      <c r="E3" s="70">
        <f>Sum(B3:B6)</f>
        <v>14250000</v>
      </c>
      <c r="F3" s="71">
        <v>2541020.725670616</v>
      </c>
      <c r="G3" s="72"/>
      <c r="H3" s="63"/>
      <c r="I3" s="12"/>
      <c r="J3" s="70">
        <f t="shared" ref="J3:J33" si="1">H3-E3</f>
        <v>-14250000</v>
      </c>
      <c r="K3" s="70">
        <f t="shared" ref="K3:K4" si="2">Sum(J$3:J3)</f>
        <v>-14250000</v>
      </c>
      <c r="L3" s="12"/>
    </row>
    <row r="4">
      <c r="A4" s="68" t="s">
        <v>32</v>
      </c>
      <c r="B4" s="69">
        <v>1000000.0</v>
      </c>
      <c r="D4" s="67">
        <v>1.0</v>
      </c>
      <c r="E4" s="63"/>
      <c r="F4" s="74">
        <v>2444899.809897445</v>
      </c>
      <c r="G4" s="75"/>
      <c r="H4" s="77">
        <f>B12/2</f>
        <v>2427500000</v>
      </c>
      <c r="I4" s="12"/>
      <c r="J4" s="77">
        <f t="shared" si="1"/>
        <v>2427500000</v>
      </c>
      <c r="K4" s="70">
        <f t="shared" si="2"/>
        <v>2413250000</v>
      </c>
      <c r="L4" s="12"/>
    </row>
    <row r="5">
      <c r="A5" s="68" t="s">
        <v>34</v>
      </c>
      <c r="B5" s="69">
        <v>8400000.0</v>
      </c>
      <c r="D5" s="67">
        <v>2.0</v>
      </c>
      <c r="E5" s="12"/>
      <c r="F5" s="74">
        <v>1841579.663756258</v>
      </c>
      <c r="G5" s="75"/>
      <c r="H5" s="12"/>
      <c r="I5" s="12"/>
      <c r="J5" s="63">
        <f t="shared" si="1"/>
        <v>0</v>
      </c>
      <c r="K5" s="12"/>
      <c r="L5" s="12"/>
    </row>
    <row r="6">
      <c r="A6" s="68" t="s">
        <v>35</v>
      </c>
      <c r="B6" s="69">
        <v>2600000.0</v>
      </c>
      <c r="D6" s="67">
        <v>3.0</v>
      </c>
      <c r="E6" s="12"/>
      <c r="F6" s="74">
        <v>3241915.126379216</v>
      </c>
      <c r="G6" s="75"/>
      <c r="H6" s="12"/>
      <c r="I6" s="12"/>
      <c r="J6" s="63">
        <f t="shared" si="1"/>
        <v>0</v>
      </c>
      <c r="K6" s="12"/>
      <c r="L6" s="12"/>
    </row>
    <row r="7">
      <c r="A7" s="68" t="s">
        <v>36</v>
      </c>
      <c r="B7" s="69">
        <f>sum(B3:B6)</f>
        <v>14250000</v>
      </c>
      <c r="D7" s="67">
        <v>4.0</v>
      </c>
      <c r="E7" s="12"/>
      <c r="F7" s="74">
        <v>2289505.161670381</v>
      </c>
      <c r="G7" s="75"/>
      <c r="H7" s="12"/>
      <c r="I7" s="12"/>
      <c r="J7" s="63">
        <f t="shared" si="1"/>
        <v>0</v>
      </c>
      <c r="K7" s="12"/>
      <c r="L7" s="12"/>
    </row>
    <row r="8">
      <c r="A8" s="62" t="s">
        <v>37</v>
      </c>
      <c r="B8" s="81"/>
      <c r="D8" s="67">
        <v>5.0</v>
      </c>
      <c r="E8" s="12"/>
      <c r="F8" s="74">
        <v>2083807.2685635786</v>
      </c>
      <c r="G8" s="75"/>
      <c r="H8" s="12"/>
      <c r="I8" s="12"/>
      <c r="J8" s="63">
        <f t="shared" si="1"/>
        <v>0</v>
      </c>
      <c r="K8" s="12"/>
      <c r="L8" s="12"/>
    </row>
    <row r="9">
      <c r="A9" s="68" t="s">
        <v>39</v>
      </c>
      <c r="B9" s="83">
        <v>0.074</v>
      </c>
      <c r="D9" s="67">
        <v>6.0</v>
      </c>
      <c r="E9" s="12"/>
      <c r="F9" s="74">
        <v>2765074.2987485738</v>
      </c>
      <c r="G9" s="75"/>
      <c r="H9" s="12"/>
      <c r="I9" s="12"/>
      <c r="J9" s="63">
        <f t="shared" si="1"/>
        <v>0</v>
      </c>
      <c r="K9" s="12"/>
      <c r="L9" s="12"/>
    </row>
    <row r="10">
      <c r="A10" s="68" t="s">
        <v>40</v>
      </c>
      <c r="B10" s="83">
        <v>0.03</v>
      </c>
      <c r="D10" s="67">
        <v>7.0</v>
      </c>
      <c r="E10" s="12"/>
      <c r="F10" s="74">
        <v>2151037.864458331</v>
      </c>
      <c r="G10" s="75"/>
      <c r="H10" s="12"/>
      <c r="I10" s="12"/>
      <c r="J10" s="63">
        <f t="shared" si="1"/>
        <v>0</v>
      </c>
      <c r="K10" s="12"/>
      <c r="L10" s="12"/>
    </row>
    <row r="11">
      <c r="D11" s="67">
        <v>8.0</v>
      </c>
      <c r="E11" s="12"/>
      <c r="F11" s="74">
        <v>2185216.4390246356</v>
      </c>
      <c r="G11" s="75"/>
      <c r="H11" s="12"/>
      <c r="I11" s="12"/>
      <c r="J11" s="63">
        <f t="shared" si="1"/>
        <v>0</v>
      </c>
      <c r="K11" s="12"/>
      <c r="L11" s="12"/>
    </row>
    <row r="12">
      <c r="A12" s="67" t="s">
        <v>41</v>
      </c>
      <c r="B12" s="85">
        <v>4.855E9</v>
      </c>
      <c r="D12" s="67">
        <v>9.0</v>
      </c>
      <c r="E12" s="12"/>
      <c r="F12" s="74">
        <v>2377347.478300592</v>
      </c>
      <c r="G12" s="75"/>
      <c r="H12" s="12"/>
      <c r="I12" s="12"/>
      <c r="J12" s="63">
        <f t="shared" si="1"/>
        <v>0</v>
      </c>
      <c r="K12" s="12"/>
      <c r="L12" s="12"/>
    </row>
    <row r="13">
      <c r="D13" s="67">
        <v>10.0</v>
      </c>
      <c r="E13" s="12"/>
      <c r="F13" s="74">
        <v>2950954.474782733</v>
      </c>
      <c r="G13" s="75"/>
      <c r="H13" s="12"/>
      <c r="I13" s="12"/>
      <c r="J13" s="63">
        <f t="shared" si="1"/>
        <v>0</v>
      </c>
      <c r="K13" s="12"/>
      <c r="L13" s="12"/>
    </row>
    <row r="14">
      <c r="D14" s="67">
        <v>11.0</v>
      </c>
      <c r="E14" s="12"/>
      <c r="F14" s="74">
        <v>2785202.6888393885</v>
      </c>
      <c r="G14" s="75"/>
      <c r="H14" s="12"/>
      <c r="I14" s="12"/>
      <c r="J14" s="63">
        <f t="shared" si="1"/>
        <v>0</v>
      </c>
      <c r="K14" s="12"/>
      <c r="L14" s="12"/>
    </row>
    <row r="15">
      <c r="D15" s="67">
        <v>12.0</v>
      </c>
      <c r="E15" s="12"/>
      <c r="F15" s="74">
        <v>1497040.9615941178</v>
      </c>
      <c r="G15" s="75"/>
      <c r="H15" s="12"/>
      <c r="I15" s="12"/>
      <c r="J15" s="63">
        <f t="shared" si="1"/>
        <v>0</v>
      </c>
      <c r="K15" s="12"/>
      <c r="L15" s="12"/>
    </row>
    <row r="16">
      <c r="D16" s="67">
        <v>13.0</v>
      </c>
      <c r="E16" s="12"/>
      <c r="F16" s="74">
        <v>2626023.5580524625</v>
      </c>
      <c r="G16" s="75"/>
      <c r="H16" s="12"/>
      <c r="I16" s="12"/>
      <c r="J16" s="63">
        <f t="shared" si="1"/>
        <v>0</v>
      </c>
      <c r="K16" s="12"/>
      <c r="L16" s="12"/>
    </row>
    <row r="17">
      <c r="D17" s="67">
        <v>14.0</v>
      </c>
      <c r="E17" s="12"/>
      <c r="F17" s="74">
        <v>1688067.1024639197</v>
      </c>
      <c r="G17" s="75"/>
      <c r="H17" s="12"/>
      <c r="I17" s="12"/>
      <c r="J17" s="63">
        <f t="shared" si="1"/>
        <v>0</v>
      </c>
      <c r="K17" s="12"/>
      <c r="L17" s="12"/>
    </row>
    <row r="18">
      <c r="D18" s="67">
        <v>15.0</v>
      </c>
      <c r="E18" s="12"/>
      <c r="F18" s="74">
        <v>2506888.9200844793</v>
      </c>
      <c r="G18" s="75"/>
      <c r="H18" s="12"/>
      <c r="I18" s="12"/>
      <c r="J18" s="63">
        <f t="shared" si="1"/>
        <v>0</v>
      </c>
      <c r="K18" s="12"/>
      <c r="L18" s="12"/>
    </row>
    <row r="19">
      <c r="D19" s="67">
        <v>16.0</v>
      </c>
      <c r="E19" s="12"/>
      <c r="F19" s="74">
        <v>1938563.0785781555</v>
      </c>
      <c r="G19" s="75"/>
      <c r="H19" s="12"/>
      <c r="I19" s="12"/>
      <c r="J19" s="63">
        <f t="shared" si="1"/>
        <v>0</v>
      </c>
      <c r="K19" s="12"/>
      <c r="L19" s="12"/>
    </row>
    <row r="20">
      <c r="D20" s="67">
        <v>17.0</v>
      </c>
      <c r="E20" s="12"/>
      <c r="F20" s="74">
        <v>2759672.4349612333</v>
      </c>
      <c r="G20" s="75"/>
      <c r="H20" s="12"/>
      <c r="I20" s="12"/>
      <c r="J20" s="63">
        <f t="shared" si="1"/>
        <v>0</v>
      </c>
      <c r="K20" s="12"/>
      <c r="L20" s="12"/>
    </row>
    <row r="21">
      <c r="D21" s="67">
        <v>18.0</v>
      </c>
      <c r="E21" s="12"/>
      <c r="F21" s="74">
        <v>1808768.1802790822</v>
      </c>
      <c r="G21" s="75"/>
      <c r="H21" s="12"/>
      <c r="I21" s="12"/>
      <c r="J21" s="63">
        <f t="shared" si="1"/>
        <v>0</v>
      </c>
      <c r="K21" s="12"/>
      <c r="L21" s="12"/>
    </row>
    <row r="22">
      <c r="D22" s="67">
        <v>19.0</v>
      </c>
      <c r="E22" s="12"/>
      <c r="F22" s="74">
        <v>2794893.911522223</v>
      </c>
      <c r="G22" s="75"/>
      <c r="H22" s="12"/>
      <c r="I22" s="12"/>
      <c r="J22" s="63">
        <f t="shared" si="1"/>
        <v>0</v>
      </c>
      <c r="K22" s="12"/>
      <c r="L22" s="12"/>
    </row>
    <row r="23">
      <c r="D23" s="67">
        <v>20.0</v>
      </c>
      <c r="E23" s="12"/>
      <c r="F23" s="74">
        <v>2738345.9951775954</v>
      </c>
      <c r="G23" s="75"/>
      <c r="H23" s="12"/>
      <c r="I23" s="12"/>
      <c r="J23" s="63">
        <f t="shared" si="1"/>
        <v>0</v>
      </c>
      <c r="K23" s="12"/>
      <c r="L23" s="12"/>
    </row>
    <row r="24">
      <c r="D24" s="67">
        <v>21.0</v>
      </c>
      <c r="E24" s="26"/>
      <c r="F24" s="74">
        <v>2429524.443831553</v>
      </c>
      <c r="G24" s="75"/>
      <c r="H24" s="12"/>
      <c r="I24" s="12"/>
      <c r="J24" s="63">
        <f t="shared" si="1"/>
        <v>0</v>
      </c>
      <c r="K24" s="12"/>
      <c r="L24" s="12"/>
    </row>
    <row r="25">
      <c r="D25" s="67">
        <v>22.0</v>
      </c>
      <c r="E25" s="12"/>
      <c r="F25" s="74">
        <v>2602756.2297715875</v>
      </c>
      <c r="G25" s="75"/>
      <c r="H25" s="12"/>
      <c r="I25" s="66"/>
      <c r="J25" s="63">
        <f t="shared" si="1"/>
        <v>0</v>
      </c>
      <c r="K25" s="12"/>
      <c r="L25" s="12"/>
    </row>
    <row r="26">
      <c r="D26" s="67">
        <v>23.0</v>
      </c>
      <c r="E26" s="12"/>
      <c r="F26" s="74">
        <v>1991232.2769341662</v>
      </c>
      <c r="G26" s="75"/>
      <c r="H26" s="12"/>
      <c r="I26" s="66"/>
      <c r="J26" s="63">
        <f t="shared" si="1"/>
        <v>0</v>
      </c>
      <c r="K26" s="12"/>
      <c r="L26" s="12"/>
    </row>
    <row r="27">
      <c r="D27" s="67">
        <v>24.0</v>
      </c>
      <c r="E27" s="12"/>
      <c r="F27" s="74">
        <v>2396997.939464103</v>
      </c>
      <c r="G27" s="75"/>
      <c r="H27" s="12"/>
      <c r="I27" s="66"/>
      <c r="J27" s="63">
        <f t="shared" si="1"/>
        <v>0</v>
      </c>
      <c r="K27" s="12"/>
      <c r="L27" s="12"/>
    </row>
    <row r="28">
      <c r="C28" s="93"/>
      <c r="D28" s="67">
        <v>25.0</v>
      </c>
      <c r="E28" s="12"/>
      <c r="F28" s="74">
        <v>2179217.3135843086</v>
      </c>
      <c r="G28" s="75"/>
      <c r="H28" s="12"/>
      <c r="I28" s="12"/>
      <c r="J28" s="63">
        <f t="shared" si="1"/>
        <v>0</v>
      </c>
      <c r="K28" s="12"/>
      <c r="L28" s="12"/>
    </row>
    <row r="29">
      <c r="D29" s="67">
        <v>26.0</v>
      </c>
      <c r="E29" s="12"/>
      <c r="F29" s="74">
        <v>1925503.3353880527</v>
      </c>
      <c r="G29" s="75"/>
      <c r="H29" s="12"/>
      <c r="I29" s="12"/>
      <c r="J29" s="63">
        <f t="shared" si="1"/>
        <v>0</v>
      </c>
      <c r="K29" s="12"/>
      <c r="L29" s="12"/>
    </row>
    <row r="30">
      <c r="D30" s="67">
        <v>27.0</v>
      </c>
      <c r="E30" s="12"/>
      <c r="F30" s="74">
        <v>1697389.7385848076</v>
      </c>
      <c r="G30" s="75"/>
      <c r="H30" s="12"/>
      <c r="I30" s="12"/>
      <c r="J30" s="63">
        <f t="shared" si="1"/>
        <v>0</v>
      </c>
      <c r="K30" s="12"/>
      <c r="L30" s="12"/>
    </row>
    <row r="31">
      <c r="D31" s="67">
        <v>28.0</v>
      </c>
      <c r="E31" s="12"/>
      <c r="F31" s="74">
        <v>2635299.4138847836</v>
      </c>
      <c r="G31" s="75"/>
      <c r="H31" s="12"/>
      <c r="I31" s="12"/>
      <c r="J31" s="63">
        <f t="shared" si="1"/>
        <v>0</v>
      </c>
      <c r="K31" s="12"/>
      <c r="L31" s="12"/>
    </row>
    <row r="32">
      <c r="D32" s="67">
        <v>29.0</v>
      </c>
      <c r="E32" s="12"/>
      <c r="F32" s="74">
        <v>1682957.278160715</v>
      </c>
      <c r="G32" s="75"/>
      <c r="H32" s="12"/>
      <c r="I32" s="12"/>
      <c r="J32" s="63">
        <f t="shared" si="1"/>
        <v>0</v>
      </c>
      <c r="K32" s="12"/>
      <c r="L32" s="12"/>
    </row>
    <row r="33">
      <c r="D33" s="67">
        <v>30.0</v>
      </c>
      <c r="E33" s="12"/>
      <c r="F33" s="63">
        <v>2182868.5617973115</v>
      </c>
      <c r="G33" s="12"/>
      <c r="H33" s="12"/>
      <c r="I33" s="12"/>
      <c r="J33" s="63">
        <f t="shared" si="1"/>
        <v>0</v>
      </c>
      <c r="K33" s="12"/>
      <c r="L33" s="12"/>
    </row>
    <row r="34">
      <c r="D34" s="96"/>
      <c r="J34" s="97"/>
    </row>
    <row r="35">
      <c r="D35" s="96"/>
      <c r="I35" s="56" t="s">
        <v>14</v>
      </c>
      <c r="J35" s="99">
        <f t="array" ref="J35">npv(0.074,J3:J33)</f>
        <v>2091240303</v>
      </c>
    </row>
    <row r="36">
      <c r="D36" s="96"/>
      <c r="I36" s="56" t="s">
        <v>51</v>
      </c>
      <c r="J36" s="61">
        <f>IRR(J3:J33,0.2)</f>
        <v>169.3508772</v>
      </c>
    </row>
    <row r="37">
      <c r="I37" s="56" t="s">
        <v>52</v>
      </c>
      <c r="J37" s="56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37.71"/>
    <col customWidth="1" min="4" max="4" width="16.14"/>
    <col customWidth="1" min="7" max="8" width="19.86"/>
    <col customWidth="1" min="9" max="9" width="21.71"/>
    <col customWidth="1" min="11" max="11" width="19.86"/>
    <col customWidth="1" min="12" max="12" width="17.71"/>
    <col customWidth="1" min="13" max="13" width="22.43"/>
    <col customWidth="1" min="15" max="15" width="34.86"/>
    <col customWidth="1" min="20" max="20" width="23.86"/>
  </cols>
  <sheetData>
    <row r="1">
      <c r="A1" s="80" t="s">
        <v>33</v>
      </c>
      <c r="B1" s="80" t="s">
        <v>38</v>
      </c>
      <c r="C1" s="82"/>
      <c r="D1" s="82"/>
      <c r="E1" s="82"/>
      <c r="F1" s="82"/>
      <c r="G1" s="82"/>
      <c r="H1" s="82"/>
      <c r="I1" s="82"/>
      <c r="J1" s="82"/>
      <c r="K1" s="82"/>
      <c r="L1" s="82"/>
      <c r="N1" s="82"/>
    </row>
    <row r="2">
      <c r="A2" s="84" t="s">
        <v>0</v>
      </c>
      <c r="B2" s="84" t="s">
        <v>42</v>
      </c>
      <c r="C2" s="84" t="s">
        <v>43</v>
      </c>
      <c r="D2" s="84" t="s">
        <v>28</v>
      </c>
      <c r="E2" s="84" t="s">
        <v>14</v>
      </c>
      <c r="F2" s="84" t="s">
        <v>2</v>
      </c>
      <c r="G2" s="84" t="s">
        <v>3</v>
      </c>
      <c r="H2" s="84" t="s">
        <v>44</v>
      </c>
      <c r="I2" s="84" t="s">
        <v>45</v>
      </c>
      <c r="J2" s="84" t="s">
        <v>6</v>
      </c>
      <c r="K2" s="84" t="s">
        <v>46</v>
      </c>
      <c r="L2" s="84" t="s">
        <v>47</v>
      </c>
      <c r="M2" s="86"/>
      <c r="N2" s="87"/>
      <c r="O2" s="89" t="s">
        <v>16</v>
      </c>
      <c r="P2" s="90">
        <v>0.03</v>
      </c>
      <c r="Q2" s="82"/>
      <c r="T2" s="84" t="s">
        <v>50</v>
      </c>
      <c r="U2" s="91"/>
      <c r="V2" s="91"/>
    </row>
    <row r="3">
      <c r="A3" s="92">
        <v>0.0</v>
      </c>
      <c r="B3" s="94">
        <f>P5</f>
        <v>10140000</v>
      </c>
      <c r="C3" s="95"/>
      <c r="D3" s="95"/>
      <c r="E3" s="95"/>
      <c r="F3" s="95">
        <f t="shared" ref="F3:F33" si="1">G3*H3</f>
        <v>0</v>
      </c>
      <c r="G3" s="89">
        <v>2.1676E7</v>
      </c>
      <c r="H3" s="92">
        <v>0.0</v>
      </c>
      <c r="I3" s="98">
        <v>68.0</v>
      </c>
      <c r="J3" s="95">
        <f t="shared" ref="J3:J33" si="2">F3-B3</f>
        <v>-10140000</v>
      </c>
      <c r="K3" s="100">
        <f t="shared" ref="K3:K33" si="3">Sum(J$3:J3)</f>
        <v>-10140000</v>
      </c>
      <c r="L3" s="91"/>
      <c r="M3" s="101"/>
      <c r="N3" s="87"/>
      <c r="O3" s="89" t="s">
        <v>17</v>
      </c>
      <c r="P3" s="90">
        <v>0.05</v>
      </c>
      <c r="Q3" s="102"/>
      <c r="T3" s="89" t="s">
        <v>53</v>
      </c>
      <c r="U3" s="91"/>
      <c r="V3" s="98">
        <v>100000.0</v>
      </c>
    </row>
    <row r="4">
      <c r="A4" s="92">
        <v>1.0</v>
      </c>
      <c r="B4" s="95">
        <f>V24</f>
        <v>15045787</v>
      </c>
      <c r="C4" s="95">
        <v>8240831.0</v>
      </c>
      <c r="D4" s="95">
        <v>2.137053E7</v>
      </c>
      <c r="E4" s="95"/>
      <c r="F4" s="95">
        <f t="shared" si="1"/>
        <v>30953328</v>
      </c>
      <c r="G4" s="103">
        <f t="shared" ref="G4:G33" si="4">$G$3*(1+$P$3)^A4</f>
        <v>22759800</v>
      </c>
      <c r="H4" s="104">
        <f t="shared" ref="H4:H33" si="5">I3-I4</f>
        <v>1.36</v>
      </c>
      <c r="I4" s="98">
        <f t="shared" ref="I4:I33" si="6">$I$3*(1-0.02)^A4</f>
        <v>66.64</v>
      </c>
      <c r="J4" s="95">
        <f t="shared" si="2"/>
        <v>15907541</v>
      </c>
      <c r="K4" s="100">
        <f t="shared" si="3"/>
        <v>5767541</v>
      </c>
      <c r="L4" s="103">
        <v>2.1676E7</v>
      </c>
      <c r="M4" s="101"/>
      <c r="N4" s="86"/>
      <c r="O4" s="86" t="s">
        <v>54</v>
      </c>
      <c r="Q4" s="102"/>
      <c r="T4" s="89" t="s">
        <v>55</v>
      </c>
      <c r="U4" s="89">
        <v>20.0</v>
      </c>
      <c r="V4" s="98">
        <v>5000.0</v>
      </c>
    </row>
    <row r="5">
      <c r="A5" s="92">
        <v>2.0</v>
      </c>
      <c r="B5" s="95">
        <f t="shared" ref="B5:B33" si="7">$B$4*(1+$P$2)^A4</f>
        <v>15497160.61</v>
      </c>
      <c r="C5" s="95">
        <v>8218909.0</v>
      </c>
      <c r="D5" s="95">
        <v>1.4984252E7</v>
      </c>
      <c r="E5" s="95"/>
      <c r="F5" s="95">
        <f t="shared" si="1"/>
        <v>31850974.51</v>
      </c>
      <c r="G5" s="103">
        <f t="shared" si="4"/>
        <v>23897790</v>
      </c>
      <c r="H5" s="104">
        <f t="shared" si="5"/>
        <v>1.3328</v>
      </c>
      <c r="I5" s="98">
        <f t="shared" si="6"/>
        <v>65.3072</v>
      </c>
      <c r="J5" s="95">
        <f t="shared" si="2"/>
        <v>16353813.9</v>
      </c>
      <c r="K5" s="100">
        <f t="shared" si="3"/>
        <v>22121354.9</v>
      </c>
      <c r="L5" s="103">
        <f t="shared" ref="L5:L33" si="8">sum($G$3:G4)</f>
        <v>44435800</v>
      </c>
      <c r="M5" s="101"/>
      <c r="N5" s="102"/>
      <c r="O5" s="89" t="s">
        <v>56</v>
      </c>
      <c r="P5" s="94">
        <f>V8</f>
        <v>10140000</v>
      </c>
      <c r="Q5" s="102"/>
      <c r="T5" s="105" t="s">
        <v>57</v>
      </c>
      <c r="U5" s="91"/>
      <c r="V5" s="98">
        <f>V6*U6</f>
        <v>40000</v>
      </c>
    </row>
    <row r="6">
      <c r="A6" s="92">
        <v>3.0</v>
      </c>
      <c r="B6" s="95">
        <f t="shared" si="7"/>
        <v>15962075.43</v>
      </c>
      <c r="C6" s="95">
        <v>1.3533812E7</v>
      </c>
      <c r="D6" s="95">
        <v>1.0163102E7</v>
      </c>
      <c r="E6" s="95"/>
      <c r="F6" s="95">
        <f t="shared" si="1"/>
        <v>32774652.77</v>
      </c>
      <c r="G6" s="103">
        <f t="shared" si="4"/>
        <v>25092679.5</v>
      </c>
      <c r="H6" s="104">
        <f t="shared" si="5"/>
        <v>1.306144</v>
      </c>
      <c r="I6" s="98">
        <f t="shared" si="6"/>
        <v>64.001056</v>
      </c>
      <c r="J6" s="95">
        <f t="shared" si="2"/>
        <v>16812577.34</v>
      </c>
      <c r="K6" s="100">
        <f t="shared" si="3"/>
        <v>38933932.25</v>
      </c>
      <c r="L6" s="103">
        <f t="shared" si="8"/>
        <v>68333590</v>
      </c>
      <c r="M6" s="101"/>
      <c r="N6" s="101"/>
      <c r="O6" s="89" t="s">
        <v>58</v>
      </c>
      <c r="P6" s="95">
        <f>V24</f>
        <v>15045787</v>
      </c>
      <c r="Q6" s="102"/>
      <c r="T6" s="89" t="s">
        <v>55</v>
      </c>
      <c r="U6" s="89">
        <v>20.0</v>
      </c>
      <c r="V6" s="98">
        <v>2000.0</v>
      </c>
    </row>
    <row r="7">
      <c r="A7" s="92">
        <v>4.0</v>
      </c>
      <c r="B7" s="95">
        <f t="shared" si="7"/>
        <v>16440937.69</v>
      </c>
      <c r="C7" s="95">
        <v>1.0624617E7</v>
      </c>
      <c r="D7" s="95">
        <v>1.5025877E7</v>
      </c>
      <c r="E7" s="95"/>
      <c r="F7" s="95">
        <f t="shared" si="1"/>
        <v>33725117.7</v>
      </c>
      <c r="G7" s="103">
        <f t="shared" si="4"/>
        <v>26347313.48</v>
      </c>
      <c r="H7" s="104">
        <f t="shared" si="5"/>
        <v>1.28002112</v>
      </c>
      <c r="I7" s="98">
        <f t="shared" si="6"/>
        <v>62.72103488</v>
      </c>
      <c r="J7" s="95">
        <f t="shared" si="2"/>
        <v>17284180.01</v>
      </c>
      <c r="K7" s="100">
        <f t="shared" si="3"/>
        <v>56218112.26</v>
      </c>
      <c r="L7" s="103">
        <f t="shared" si="8"/>
        <v>93426269.5</v>
      </c>
      <c r="M7" s="101"/>
      <c r="N7" s="82"/>
      <c r="O7" s="106"/>
      <c r="P7" s="82"/>
      <c r="Q7" s="102"/>
      <c r="T7" s="105" t="s">
        <v>33</v>
      </c>
      <c r="U7" s="91"/>
      <c r="V7" s="98">
        <v>1.0E7</v>
      </c>
    </row>
    <row r="8">
      <c r="A8" s="92">
        <v>5.0</v>
      </c>
      <c r="B8" s="95">
        <f t="shared" si="7"/>
        <v>16934165.82</v>
      </c>
      <c r="C8" s="95">
        <v>1.164845E7</v>
      </c>
      <c r="D8" s="95">
        <v>1.5118032E7</v>
      </c>
      <c r="E8" s="95"/>
      <c r="F8" s="95">
        <f t="shared" si="1"/>
        <v>34703146.12</v>
      </c>
      <c r="G8" s="103">
        <f t="shared" si="4"/>
        <v>27664679.15</v>
      </c>
      <c r="H8" s="104">
        <f t="shared" si="5"/>
        <v>1.254420698</v>
      </c>
      <c r="I8" s="98">
        <f t="shared" si="6"/>
        <v>61.46661418</v>
      </c>
      <c r="J8" s="95">
        <f t="shared" si="2"/>
        <v>17768980.29</v>
      </c>
      <c r="K8" s="100">
        <f t="shared" si="3"/>
        <v>73987092.55</v>
      </c>
      <c r="L8" s="103">
        <f t="shared" si="8"/>
        <v>119773583</v>
      </c>
      <c r="M8" s="101"/>
      <c r="N8" s="82"/>
      <c r="O8" s="106"/>
      <c r="P8" s="82"/>
      <c r="Q8" s="102"/>
      <c r="T8" s="89" t="s">
        <v>59</v>
      </c>
      <c r="U8" s="91"/>
      <c r="V8" s="98">
        <f>V7+V5+V3</f>
        <v>10140000</v>
      </c>
    </row>
    <row r="9">
      <c r="A9" s="92">
        <v>6.0</v>
      </c>
      <c r="B9" s="95">
        <f t="shared" si="7"/>
        <v>17442190.8</v>
      </c>
      <c r="C9" s="95">
        <v>1.2313844E7</v>
      </c>
      <c r="D9" s="95">
        <v>1.7966118E7</v>
      </c>
      <c r="E9" s="95"/>
      <c r="F9" s="95">
        <f t="shared" si="1"/>
        <v>35709537.35</v>
      </c>
      <c r="G9" s="103">
        <f t="shared" si="4"/>
        <v>29047913.11</v>
      </c>
      <c r="H9" s="104">
        <f t="shared" si="5"/>
        <v>1.229332284</v>
      </c>
      <c r="I9" s="98">
        <f t="shared" si="6"/>
        <v>60.2372819</v>
      </c>
      <c r="J9" s="95">
        <f t="shared" si="2"/>
        <v>18267346.56</v>
      </c>
      <c r="K9" s="100">
        <f t="shared" si="3"/>
        <v>92254439.11</v>
      </c>
      <c r="L9" s="103">
        <f t="shared" si="8"/>
        <v>147438262.1</v>
      </c>
      <c r="M9" s="101"/>
      <c r="N9" s="82"/>
      <c r="O9" s="106"/>
      <c r="P9" s="82"/>
      <c r="Q9" s="102"/>
      <c r="T9" s="105" t="s">
        <v>60</v>
      </c>
      <c r="U9" s="91"/>
      <c r="V9" s="98">
        <f>V8/1000000</f>
        <v>10.14</v>
      </c>
    </row>
    <row r="10">
      <c r="A10" s="92">
        <v>7.0</v>
      </c>
      <c r="B10" s="95">
        <f t="shared" si="7"/>
        <v>17965456.52</v>
      </c>
      <c r="C10" s="95">
        <v>7529926.0</v>
      </c>
      <c r="D10" s="95">
        <v>1.4325826E7</v>
      </c>
      <c r="E10" s="95"/>
      <c r="F10" s="95">
        <f t="shared" si="1"/>
        <v>36745113.94</v>
      </c>
      <c r="G10" s="103">
        <f t="shared" si="4"/>
        <v>30500308.76</v>
      </c>
      <c r="H10" s="104">
        <f t="shared" si="5"/>
        <v>1.204745638</v>
      </c>
      <c r="I10" s="98">
        <f t="shared" si="6"/>
        <v>59.03253626</v>
      </c>
      <c r="J10" s="95">
        <f t="shared" si="2"/>
        <v>18779657.42</v>
      </c>
      <c r="K10" s="100">
        <f t="shared" si="3"/>
        <v>111034096.5</v>
      </c>
      <c r="L10" s="103">
        <f t="shared" si="8"/>
        <v>176486175.2</v>
      </c>
      <c r="M10" s="101"/>
      <c r="N10" s="82"/>
      <c r="O10" s="82"/>
      <c r="P10" s="82"/>
      <c r="Q10" s="82"/>
      <c r="T10" s="91"/>
      <c r="U10" s="91"/>
      <c r="V10" s="91"/>
    </row>
    <row r="11">
      <c r="A11" s="92">
        <v>8.0</v>
      </c>
      <c r="B11" s="95">
        <f t="shared" si="7"/>
        <v>18504420.22</v>
      </c>
      <c r="C11" s="95">
        <v>6228630.0</v>
      </c>
      <c r="D11" s="95">
        <v>1.6191689E7</v>
      </c>
      <c r="E11" s="95"/>
      <c r="F11" s="95">
        <f t="shared" si="1"/>
        <v>37810722.24</v>
      </c>
      <c r="G11" s="103">
        <f t="shared" si="4"/>
        <v>32025324.2</v>
      </c>
      <c r="H11" s="104">
        <f t="shared" si="5"/>
        <v>1.180650725</v>
      </c>
      <c r="I11" s="98">
        <f t="shared" si="6"/>
        <v>57.85188554</v>
      </c>
      <c r="J11" s="95">
        <f t="shared" si="2"/>
        <v>19306302.03</v>
      </c>
      <c r="K11" s="100">
        <f t="shared" si="3"/>
        <v>130340398.6</v>
      </c>
      <c r="L11" s="103">
        <f t="shared" si="8"/>
        <v>206986484</v>
      </c>
      <c r="M11" s="101"/>
      <c r="N11" s="82"/>
      <c r="O11" s="86"/>
      <c r="P11" s="82"/>
      <c r="Q11" s="82"/>
      <c r="T11" s="84" t="s">
        <v>61</v>
      </c>
      <c r="U11" s="91"/>
      <c r="V11" s="91"/>
    </row>
    <row r="12">
      <c r="A12" s="92">
        <v>9.0</v>
      </c>
      <c r="B12" s="95">
        <f t="shared" si="7"/>
        <v>19059552.82</v>
      </c>
      <c r="C12" s="95">
        <v>1.0555501E7</v>
      </c>
      <c r="D12" s="95">
        <v>2.4943459E7</v>
      </c>
      <c r="E12" s="95"/>
      <c r="F12" s="95">
        <f t="shared" si="1"/>
        <v>38907233.19</v>
      </c>
      <c r="G12" s="103">
        <f t="shared" si="4"/>
        <v>33626590.41</v>
      </c>
      <c r="H12" s="104">
        <f t="shared" si="5"/>
        <v>1.157037711</v>
      </c>
      <c r="I12" s="98">
        <f t="shared" si="6"/>
        <v>56.69484782</v>
      </c>
      <c r="J12" s="95">
        <f t="shared" si="2"/>
        <v>19847680.36</v>
      </c>
      <c r="K12" s="100">
        <f t="shared" si="3"/>
        <v>150188078.9</v>
      </c>
      <c r="L12" s="103">
        <f t="shared" si="8"/>
        <v>239011808.2</v>
      </c>
      <c r="M12" s="101"/>
      <c r="N12" s="82"/>
      <c r="O12" s="86"/>
      <c r="P12" s="82"/>
      <c r="Q12" s="107"/>
      <c r="T12" s="89" t="s">
        <v>62</v>
      </c>
      <c r="U12" s="91"/>
      <c r="V12" s="108">
        <v>4335200.0</v>
      </c>
    </row>
    <row r="13">
      <c r="A13" s="92">
        <v>10.0</v>
      </c>
      <c r="B13" s="95">
        <f t="shared" si="7"/>
        <v>19631339.41</v>
      </c>
      <c r="C13" s="95">
        <v>6003672.0</v>
      </c>
      <c r="D13" s="95">
        <v>1.5766635E7</v>
      </c>
      <c r="E13" s="95"/>
      <c r="F13" s="95">
        <f t="shared" si="1"/>
        <v>40035542.95</v>
      </c>
      <c r="G13" s="103">
        <f t="shared" si="4"/>
        <v>35307919.93</v>
      </c>
      <c r="H13" s="104">
        <f t="shared" si="5"/>
        <v>1.133896956</v>
      </c>
      <c r="I13" s="98">
        <f t="shared" si="6"/>
        <v>55.56095087</v>
      </c>
      <c r="J13" s="95">
        <f t="shared" si="2"/>
        <v>20404203.54</v>
      </c>
      <c r="K13" s="100">
        <f t="shared" si="3"/>
        <v>170592282.5</v>
      </c>
      <c r="L13" s="103">
        <f t="shared" si="8"/>
        <v>272638398.6</v>
      </c>
      <c r="M13" s="101"/>
      <c r="N13" s="82"/>
      <c r="O13" s="86"/>
      <c r="P13" s="82"/>
      <c r="Q13" s="86"/>
      <c r="T13" s="89" t="s">
        <v>63</v>
      </c>
      <c r="U13" s="91"/>
      <c r="V13" s="89">
        <v>3.0</v>
      </c>
    </row>
    <row r="14">
      <c r="A14" s="92">
        <v>11.0</v>
      </c>
      <c r="B14" s="95">
        <f t="shared" si="7"/>
        <v>20220279.59</v>
      </c>
      <c r="C14" s="95">
        <v>9575816.0</v>
      </c>
      <c r="D14" s="95">
        <v>1.8227503E7</v>
      </c>
      <c r="E14" s="95"/>
      <c r="F14" s="95">
        <f t="shared" si="1"/>
        <v>41196573.69</v>
      </c>
      <c r="G14" s="103">
        <f t="shared" si="4"/>
        <v>37073315.93</v>
      </c>
      <c r="H14" s="104">
        <f t="shared" si="5"/>
        <v>1.111219017</v>
      </c>
      <c r="I14" s="98">
        <f t="shared" si="6"/>
        <v>54.44973185</v>
      </c>
      <c r="J14" s="95">
        <f t="shared" si="2"/>
        <v>20976294.1</v>
      </c>
      <c r="K14" s="100">
        <f t="shared" si="3"/>
        <v>191568576.6</v>
      </c>
      <c r="L14" s="103">
        <f t="shared" si="8"/>
        <v>307946318.5</v>
      </c>
      <c r="M14" s="101"/>
      <c r="N14" s="82"/>
      <c r="O14" s="86"/>
      <c r="P14" s="82"/>
      <c r="Q14" s="107"/>
      <c r="T14" s="89" t="s">
        <v>64</v>
      </c>
      <c r="U14" s="91"/>
      <c r="V14" s="108">
        <v>1445066.67</v>
      </c>
    </row>
    <row r="15">
      <c r="A15" s="92">
        <v>12.0</v>
      </c>
      <c r="B15" s="95">
        <f t="shared" si="7"/>
        <v>20826887.98</v>
      </c>
      <c r="C15" s="95">
        <v>6627477.0</v>
      </c>
      <c r="D15" s="95">
        <v>2.2537322E7</v>
      </c>
      <c r="E15" s="95"/>
      <c r="F15" s="95">
        <f t="shared" si="1"/>
        <v>42391274.33</v>
      </c>
      <c r="G15" s="103">
        <f t="shared" si="4"/>
        <v>38926981.72</v>
      </c>
      <c r="H15" s="104">
        <f t="shared" si="5"/>
        <v>1.088994637</v>
      </c>
      <c r="I15" s="98">
        <f t="shared" si="6"/>
        <v>53.36073721</v>
      </c>
      <c r="J15" s="95">
        <f t="shared" si="2"/>
        <v>21564386.35</v>
      </c>
      <c r="K15" s="100">
        <f t="shared" si="3"/>
        <v>213132962.9</v>
      </c>
      <c r="L15" s="103">
        <f t="shared" si="8"/>
        <v>345019634.5</v>
      </c>
      <c r="M15" s="101"/>
      <c r="N15" s="82"/>
      <c r="O15" s="86"/>
      <c r="P15" s="82"/>
      <c r="Q15" s="102"/>
      <c r="T15" s="89" t="s">
        <v>65</v>
      </c>
      <c r="U15" s="91"/>
      <c r="V15" s="98">
        <v>2.5</v>
      </c>
    </row>
    <row r="16">
      <c r="A16" s="92">
        <v>13.0</v>
      </c>
      <c r="B16" s="95">
        <f t="shared" si="7"/>
        <v>21451694.62</v>
      </c>
      <c r="C16" s="95">
        <v>1.2880949E7</v>
      </c>
      <c r="D16" s="95">
        <v>2.0458992E7</v>
      </c>
      <c r="E16" s="95"/>
      <c r="F16" s="95">
        <f t="shared" si="1"/>
        <v>43620621.29</v>
      </c>
      <c r="G16" s="103">
        <f t="shared" si="4"/>
        <v>40873330.81</v>
      </c>
      <c r="H16" s="104">
        <f t="shared" si="5"/>
        <v>1.067214744</v>
      </c>
      <c r="I16" s="98">
        <f t="shared" si="6"/>
        <v>52.29352247</v>
      </c>
      <c r="J16" s="95">
        <f t="shared" si="2"/>
        <v>22168926.67</v>
      </c>
      <c r="K16" s="100">
        <f t="shared" si="3"/>
        <v>235301889.6</v>
      </c>
      <c r="L16" s="103">
        <f t="shared" si="8"/>
        <v>383946616.2</v>
      </c>
      <c r="M16" s="101"/>
      <c r="N16" s="82"/>
      <c r="O16" s="86"/>
      <c r="P16" s="82"/>
      <c r="Q16" s="102"/>
      <c r="T16" s="89" t="s">
        <v>66</v>
      </c>
      <c r="U16" s="91"/>
      <c r="V16" s="98">
        <v>3612666.67</v>
      </c>
    </row>
    <row r="17">
      <c r="A17" s="92">
        <v>14.0</v>
      </c>
      <c r="B17" s="95">
        <f t="shared" si="7"/>
        <v>22095245.45</v>
      </c>
      <c r="C17" s="95">
        <v>1.3526755E7</v>
      </c>
      <c r="D17" s="95">
        <v>1.3879542E7</v>
      </c>
      <c r="E17" s="95"/>
      <c r="F17" s="95">
        <f t="shared" si="1"/>
        <v>44885619.3</v>
      </c>
      <c r="G17" s="103">
        <f t="shared" si="4"/>
        <v>42916997.35</v>
      </c>
      <c r="H17" s="104">
        <f t="shared" si="5"/>
        <v>1.045870449</v>
      </c>
      <c r="I17" s="98">
        <f t="shared" si="6"/>
        <v>51.24765202</v>
      </c>
      <c r="J17" s="95">
        <f t="shared" si="2"/>
        <v>22790373.85</v>
      </c>
      <c r="K17" s="100">
        <f t="shared" si="3"/>
        <v>258092263.4</v>
      </c>
      <c r="L17" s="103">
        <f t="shared" si="8"/>
        <v>424819947</v>
      </c>
      <c r="M17" s="101"/>
      <c r="N17" s="82"/>
      <c r="O17" s="82"/>
      <c r="P17" s="82"/>
      <c r="Q17" s="82"/>
      <c r="T17" s="91"/>
      <c r="U17" s="91"/>
      <c r="V17" s="91"/>
    </row>
    <row r="18">
      <c r="A18" s="92">
        <v>15.0</v>
      </c>
      <c r="B18" s="95">
        <f t="shared" si="7"/>
        <v>22758102.82</v>
      </c>
      <c r="C18" s="95">
        <v>6945646.0</v>
      </c>
      <c r="D18" s="95">
        <v>1.7811239E7</v>
      </c>
      <c r="E18" s="95"/>
      <c r="F18" s="95">
        <f t="shared" si="1"/>
        <v>46187302.26</v>
      </c>
      <c r="G18" s="103">
        <f t="shared" si="4"/>
        <v>45062847.22</v>
      </c>
      <c r="H18" s="104">
        <f t="shared" si="5"/>
        <v>1.02495304</v>
      </c>
      <c r="I18" s="98">
        <f t="shared" si="6"/>
        <v>50.22269898</v>
      </c>
      <c r="J18" s="95">
        <f t="shared" si="2"/>
        <v>23429199.45</v>
      </c>
      <c r="K18" s="100">
        <f t="shared" si="3"/>
        <v>281521462.9</v>
      </c>
      <c r="L18" s="103">
        <f t="shared" si="8"/>
        <v>467736944.3</v>
      </c>
      <c r="M18" s="101"/>
      <c r="N18" s="82"/>
      <c r="O18" s="86"/>
      <c r="P18" s="82"/>
      <c r="Q18" s="102"/>
      <c r="T18" s="89" t="s">
        <v>67</v>
      </c>
      <c r="U18" s="91"/>
      <c r="V18" s="98">
        <v>33120.0</v>
      </c>
    </row>
    <row r="19">
      <c r="A19" s="92">
        <v>16.0</v>
      </c>
      <c r="B19" s="95">
        <f t="shared" si="7"/>
        <v>23440845.9</v>
      </c>
      <c r="C19" s="95">
        <v>9502656.0</v>
      </c>
      <c r="D19" s="95">
        <v>1.4867177E7</v>
      </c>
      <c r="E19" s="95"/>
      <c r="F19" s="95">
        <f t="shared" si="1"/>
        <v>47526734.03</v>
      </c>
      <c r="G19" s="103">
        <f t="shared" si="4"/>
        <v>47315989.58</v>
      </c>
      <c r="H19" s="104">
        <f t="shared" si="5"/>
        <v>1.00445398</v>
      </c>
      <c r="I19" s="98">
        <f t="shared" si="6"/>
        <v>49.218245</v>
      </c>
      <c r="J19" s="95">
        <f t="shared" si="2"/>
        <v>24085888.13</v>
      </c>
      <c r="K19" s="100">
        <f t="shared" si="3"/>
        <v>305607351</v>
      </c>
      <c r="L19" s="103">
        <f t="shared" si="8"/>
        <v>512799791.6</v>
      </c>
      <c r="M19" s="101"/>
      <c r="N19" s="82"/>
      <c r="O19" s="86"/>
      <c r="P19" s="82"/>
      <c r="Q19" s="102"/>
      <c r="T19" s="89" t="s">
        <v>68</v>
      </c>
      <c r="U19" s="91"/>
      <c r="V19" s="98">
        <v>1.0E7</v>
      </c>
    </row>
    <row r="20">
      <c r="A20" s="92">
        <v>17.0</v>
      </c>
      <c r="B20" s="95">
        <f t="shared" si="7"/>
        <v>24144071.28</v>
      </c>
      <c r="C20" s="95">
        <v>1.1284281E7</v>
      </c>
      <c r="D20" s="95">
        <v>1.5364599E7</v>
      </c>
      <c r="E20" s="95"/>
      <c r="F20" s="95">
        <f t="shared" si="1"/>
        <v>48905009.32</v>
      </c>
      <c r="G20" s="103">
        <f t="shared" si="4"/>
        <v>49681789.06</v>
      </c>
      <c r="H20" s="104">
        <f t="shared" si="5"/>
        <v>0.9843649</v>
      </c>
      <c r="I20" s="98">
        <f t="shared" si="6"/>
        <v>48.2338801</v>
      </c>
      <c r="J20" s="95">
        <f t="shared" si="2"/>
        <v>24760938.04</v>
      </c>
      <c r="K20" s="100">
        <f t="shared" si="3"/>
        <v>330368289</v>
      </c>
      <c r="L20" s="103">
        <f t="shared" si="8"/>
        <v>560115781.1</v>
      </c>
      <c r="M20" s="101"/>
      <c r="N20" s="82"/>
      <c r="O20" s="82"/>
      <c r="P20" s="82"/>
      <c r="Q20" s="82"/>
      <c r="T20" s="91"/>
      <c r="U20" s="91"/>
      <c r="V20" s="91"/>
    </row>
    <row r="21">
      <c r="A21" s="92">
        <v>18.0</v>
      </c>
      <c r="B21" s="95">
        <f t="shared" si="7"/>
        <v>24868393.42</v>
      </c>
      <c r="C21" s="95">
        <v>9459106.0</v>
      </c>
      <c r="D21" s="95">
        <v>2.0057892E7</v>
      </c>
      <c r="E21" s="95"/>
      <c r="F21" s="95">
        <f t="shared" si="1"/>
        <v>50323254.59</v>
      </c>
      <c r="G21" s="103">
        <f t="shared" si="4"/>
        <v>52165878.51</v>
      </c>
      <c r="H21" s="104">
        <f t="shared" si="5"/>
        <v>0.964677602</v>
      </c>
      <c r="I21" s="98">
        <f t="shared" si="6"/>
        <v>47.2692025</v>
      </c>
      <c r="J21" s="95">
        <f t="shared" si="2"/>
        <v>25454861.17</v>
      </c>
      <c r="K21" s="100">
        <f t="shared" si="3"/>
        <v>355823150.2</v>
      </c>
      <c r="L21" s="103">
        <f t="shared" si="8"/>
        <v>609797570.2</v>
      </c>
      <c r="M21" s="101"/>
      <c r="N21" s="82"/>
      <c r="O21" s="86"/>
      <c r="P21" s="82"/>
      <c r="Q21" s="102"/>
      <c r="T21" s="89" t="s">
        <v>69</v>
      </c>
      <c r="U21" s="91"/>
      <c r="V21" s="98">
        <v>1400000.0</v>
      </c>
    </row>
    <row r="22">
      <c r="A22" s="92">
        <v>19.0</v>
      </c>
      <c r="B22" s="95">
        <f t="shared" si="7"/>
        <v>25614445.22</v>
      </c>
      <c r="C22" s="95">
        <v>1.1301784E7</v>
      </c>
      <c r="D22" s="95">
        <v>1.8070236E7</v>
      </c>
      <c r="E22" s="95"/>
      <c r="F22" s="95">
        <f t="shared" si="1"/>
        <v>51782628.97</v>
      </c>
      <c r="G22" s="103">
        <f t="shared" si="4"/>
        <v>54774172.43</v>
      </c>
      <c r="H22" s="104">
        <f t="shared" si="5"/>
        <v>0.94538405</v>
      </c>
      <c r="I22" s="98">
        <f t="shared" si="6"/>
        <v>46.32381845</v>
      </c>
      <c r="J22" s="95">
        <f t="shared" si="2"/>
        <v>26168183.75</v>
      </c>
      <c r="K22" s="100">
        <f t="shared" si="3"/>
        <v>381991334</v>
      </c>
      <c r="L22" s="103">
        <f t="shared" si="8"/>
        <v>661963448.7</v>
      </c>
      <c r="M22" s="101"/>
      <c r="N22" s="82"/>
      <c r="O22" s="86"/>
      <c r="P22" s="86"/>
      <c r="Q22" s="102"/>
      <c r="T22" s="89" t="s">
        <v>55</v>
      </c>
      <c r="U22" s="89">
        <v>20.0</v>
      </c>
      <c r="V22" s="98">
        <v>70000.0</v>
      </c>
    </row>
    <row r="23">
      <c r="A23" s="92">
        <v>20.0</v>
      </c>
      <c r="B23" s="95">
        <f t="shared" si="7"/>
        <v>26382878.58</v>
      </c>
      <c r="C23" s="95">
        <v>4183699.0</v>
      </c>
      <c r="D23" s="95">
        <v>1.6824592E7</v>
      </c>
      <c r="E23" s="95"/>
      <c r="F23" s="95">
        <f t="shared" si="1"/>
        <v>53284325.21</v>
      </c>
      <c r="G23" s="103">
        <f t="shared" si="4"/>
        <v>57512881.06</v>
      </c>
      <c r="H23" s="104">
        <f t="shared" si="5"/>
        <v>0.926476369</v>
      </c>
      <c r="I23" s="98">
        <f t="shared" si="6"/>
        <v>45.39734208</v>
      </c>
      <c r="J23" s="95">
        <f t="shared" si="2"/>
        <v>26901446.63</v>
      </c>
      <c r="K23" s="100">
        <f t="shared" si="3"/>
        <v>408892780.6</v>
      </c>
      <c r="L23" s="103">
        <f t="shared" si="8"/>
        <v>716737621.1</v>
      </c>
      <c r="M23" s="101"/>
      <c r="N23" s="82"/>
      <c r="O23" s="82"/>
      <c r="P23" s="82"/>
      <c r="Q23" s="82"/>
      <c r="T23" s="91"/>
      <c r="U23" s="91"/>
      <c r="V23" s="91"/>
    </row>
    <row r="24">
      <c r="A24" s="92">
        <v>21.0</v>
      </c>
      <c r="B24" s="95">
        <f t="shared" si="7"/>
        <v>27174364.94</v>
      </c>
      <c r="C24" s="95">
        <v>1.1364501E7</v>
      </c>
      <c r="D24" s="95">
        <v>1.6645541E7</v>
      </c>
      <c r="E24" s="95"/>
      <c r="F24" s="95">
        <f t="shared" si="1"/>
        <v>54829570.64</v>
      </c>
      <c r="G24" s="103">
        <f t="shared" si="4"/>
        <v>60388525.11</v>
      </c>
      <c r="H24" s="104">
        <f t="shared" si="5"/>
        <v>0.9079468416</v>
      </c>
      <c r="I24" s="98">
        <f t="shared" si="6"/>
        <v>44.48939524</v>
      </c>
      <c r="J24" s="95">
        <f t="shared" si="2"/>
        <v>27655205.71</v>
      </c>
      <c r="K24" s="100">
        <f t="shared" si="3"/>
        <v>436547986.3</v>
      </c>
      <c r="L24" s="103">
        <f t="shared" si="8"/>
        <v>774250502.2</v>
      </c>
      <c r="M24" s="101"/>
      <c r="N24" s="82"/>
      <c r="O24" s="86"/>
      <c r="P24" s="82"/>
      <c r="Q24" s="109"/>
      <c r="T24" s="89" t="s">
        <v>70</v>
      </c>
      <c r="U24" s="91"/>
      <c r="V24" s="94">
        <v>1.5045787E7</v>
      </c>
    </row>
    <row r="25">
      <c r="A25" s="92">
        <v>22.0</v>
      </c>
      <c r="B25" s="95">
        <f t="shared" si="7"/>
        <v>27989595.88</v>
      </c>
      <c r="C25" s="95">
        <v>1.5904157E7</v>
      </c>
      <c r="D25" s="95">
        <v>1.4803213E7</v>
      </c>
      <c r="E25" s="95"/>
      <c r="F25" s="95">
        <f t="shared" si="1"/>
        <v>56419628.19</v>
      </c>
      <c r="G25" s="103">
        <f t="shared" si="4"/>
        <v>63407951.37</v>
      </c>
      <c r="H25" s="104">
        <f t="shared" si="5"/>
        <v>0.8897879048</v>
      </c>
      <c r="I25" s="98">
        <f t="shared" si="6"/>
        <v>43.59960733</v>
      </c>
      <c r="J25" s="95">
        <f t="shared" si="2"/>
        <v>28430032.31</v>
      </c>
      <c r="K25" s="100">
        <f t="shared" si="3"/>
        <v>464978018.6</v>
      </c>
      <c r="L25" s="103">
        <f t="shared" si="8"/>
        <v>834639027.3</v>
      </c>
      <c r="M25" s="101"/>
      <c r="N25" s="82"/>
      <c r="O25" s="86"/>
      <c r="P25" s="82"/>
      <c r="Q25" s="102"/>
      <c r="T25" s="89" t="s">
        <v>71</v>
      </c>
      <c r="U25" s="91"/>
      <c r="V25" s="98">
        <v>15.05</v>
      </c>
    </row>
    <row r="26">
      <c r="A26" s="92">
        <v>23.0</v>
      </c>
      <c r="B26" s="95">
        <f t="shared" si="7"/>
        <v>28829283.76</v>
      </c>
      <c r="C26" s="95">
        <v>1.6444374E7</v>
      </c>
      <c r="D26" s="95">
        <v>1.5730107E7</v>
      </c>
      <c r="E26" s="95"/>
      <c r="F26" s="95">
        <f t="shared" si="1"/>
        <v>58055797.41</v>
      </c>
      <c r="G26" s="103">
        <f t="shared" si="4"/>
        <v>66578348.93</v>
      </c>
      <c r="H26" s="104">
        <f t="shared" si="5"/>
        <v>0.8719921467</v>
      </c>
      <c r="I26" s="98">
        <f t="shared" si="6"/>
        <v>42.72761519</v>
      </c>
      <c r="J26" s="95">
        <f t="shared" si="2"/>
        <v>29226513.65</v>
      </c>
      <c r="K26" s="100">
        <f t="shared" si="3"/>
        <v>494204532.3</v>
      </c>
      <c r="L26" s="103">
        <f t="shared" si="8"/>
        <v>898046978.7</v>
      </c>
      <c r="M26" s="101"/>
      <c r="N26" s="82"/>
    </row>
    <row r="27">
      <c r="A27" s="92">
        <v>24.0</v>
      </c>
      <c r="B27" s="95">
        <f t="shared" si="7"/>
        <v>29694162.27</v>
      </c>
      <c r="C27" s="95">
        <v>9717925.0</v>
      </c>
      <c r="D27" s="95">
        <v>1.5684313E7</v>
      </c>
      <c r="E27" s="95"/>
      <c r="F27" s="95">
        <f t="shared" si="1"/>
        <v>59739415.53</v>
      </c>
      <c r="G27" s="103">
        <f t="shared" si="4"/>
        <v>69907266.38</v>
      </c>
      <c r="H27" s="104">
        <f t="shared" si="5"/>
        <v>0.8545523037</v>
      </c>
      <c r="I27" s="98">
        <f t="shared" si="6"/>
        <v>41.87306288</v>
      </c>
      <c r="J27" s="95">
        <f t="shared" si="2"/>
        <v>30045253.26</v>
      </c>
      <c r="K27" s="100">
        <f t="shared" si="3"/>
        <v>524249785.5</v>
      </c>
      <c r="L27" s="103">
        <f t="shared" si="8"/>
        <v>964625327.6</v>
      </c>
      <c r="M27" s="101"/>
      <c r="N27" s="82"/>
    </row>
    <row r="28">
      <c r="A28" s="92">
        <v>25.0</v>
      </c>
      <c r="B28" s="95">
        <f t="shared" si="7"/>
        <v>30584987.14</v>
      </c>
      <c r="C28" s="95">
        <v>1.0903343E7</v>
      </c>
      <c r="D28" s="95">
        <v>1.1453072E7</v>
      </c>
      <c r="E28" s="95"/>
      <c r="F28" s="95">
        <f t="shared" si="1"/>
        <v>61471858.58</v>
      </c>
      <c r="G28" s="103">
        <f t="shared" si="4"/>
        <v>73402629.7</v>
      </c>
      <c r="H28" s="104">
        <f t="shared" si="5"/>
        <v>0.8374612577</v>
      </c>
      <c r="I28" s="98">
        <f t="shared" si="6"/>
        <v>41.03560162</v>
      </c>
      <c r="J28" s="95">
        <f t="shared" si="2"/>
        <v>30886871.44</v>
      </c>
      <c r="K28" s="100">
        <f t="shared" si="3"/>
        <v>555136657</v>
      </c>
      <c r="L28" s="103">
        <f t="shared" si="8"/>
        <v>1034532594</v>
      </c>
      <c r="M28" s="101"/>
      <c r="N28" s="82"/>
    </row>
    <row r="29">
      <c r="A29" s="92">
        <v>26.0</v>
      </c>
      <c r="B29" s="95">
        <f t="shared" si="7"/>
        <v>31502536.75</v>
      </c>
      <c r="C29" s="95">
        <v>1.1880558E7</v>
      </c>
      <c r="D29" s="95">
        <v>2.0453974E7</v>
      </c>
      <c r="E29" s="95"/>
      <c r="F29" s="95">
        <f t="shared" si="1"/>
        <v>63254542.48</v>
      </c>
      <c r="G29" s="103">
        <f t="shared" si="4"/>
        <v>77072761.18</v>
      </c>
      <c r="H29" s="104">
        <f t="shared" si="5"/>
        <v>0.8207120325</v>
      </c>
      <c r="I29" s="98">
        <f t="shared" si="6"/>
        <v>40.21488959</v>
      </c>
      <c r="J29" s="95">
        <f t="shared" si="2"/>
        <v>31752005.73</v>
      </c>
      <c r="K29" s="100">
        <f t="shared" si="3"/>
        <v>586888662.7</v>
      </c>
      <c r="L29" s="103">
        <f t="shared" si="8"/>
        <v>1107935224</v>
      </c>
      <c r="M29" s="101"/>
      <c r="N29" s="82"/>
    </row>
    <row r="30">
      <c r="A30" s="92">
        <v>27.0</v>
      </c>
      <c r="B30" s="95">
        <f t="shared" si="7"/>
        <v>32447612.86</v>
      </c>
      <c r="C30" s="95">
        <v>1.5677889E7</v>
      </c>
      <c r="D30" s="95">
        <v>5006933.0</v>
      </c>
      <c r="E30" s="95"/>
      <c r="F30" s="95">
        <f t="shared" si="1"/>
        <v>65088924.21</v>
      </c>
      <c r="G30" s="103">
        <f t="shared" si="4"/>
        <v>80926399.24</v>
      </c>
      <c r="H30" s="104">
        <f t="shared" si="5"/>
        <v>0.8042977918</v>
      </c>
      <c r="I30" s="98">
        <f t="shared" si="6"/>
        <v>39.4105918</v>
      </c>
      <c r="J30" s="95">
        <f t="shared" si="2"/>
        <v>32641311.36</v>
      </c>
      <c r="K30" s="100">
        <f t="shared" si="3"/>
        <v>619529974</v>
      </c>
      <c r="L30" s="103">
        <f t="shared" si="8"/>
        <v>1185007985</v>
      </c>
      <c r="M30" s="101"/>
      <c r="N30" s="82"/>
    </row>
    <row r="31">
      <c r="A31" s="92">
        <v>28.0</v>
      </c>
      <c r="B31" s="95">
        <f t="shared" si="7"/>
        <v>33421041.24</v>
      </c>
      <c r="C31" s="95">
        <v>1.3523525E7</v>
      </c>
      <c r="D31" s="95">
        <v>1.5609796E7</v>
      </c>
      <c r="E31" s="95"/>
      <c r="F31" s="95">
        <f t="shared" si="1"/>
        <v>66976503.02</v>
      </c>
      <c r="G31" s="103">
        <f t="shared" si="4"/>
        <v>84972719.21</v>
      </c>
      <c r="H31" s="104">
        <f t="shared" si="5"/>
        <v>0.788211836</v>
      </c>
      <c r="I31" s="98">
        <f t="shared" si="6"/>
        <v>38.62237996</v>
      </c>
      <c r="J31" s="95">
        <f t="shared" si="2"/>
        <v>33555461.77</v>
      </c>
      <c r="K31" s="100">
        <f t="shared" si="3"/>
        <v>653085435.8</v>
      </c>
      <c r="L31" s="103">
        <f t="shared" si="8"/>
        <v>1265934384</v>
      </c>
      <c r="M31" s="101"/>
      <c r="N31" s="82"/>
    </row>
    <row r="32">
      <c r="A32" s="92">
        <v>29.0</v>
      </c>
      <c r="B32" s="95">
        <f t="shared" si="7"/>
        <v>34423672.48</v>
      </c>
      <c r="C32" s="95">
        <v>1.1518494E7</v>
      </c>
      <c r="D32" s="95">
        <v>1.7090743E7</v>
      </c>
      <c r="E32" s="95"/>
      <c r="F32" s="95">
        <f t="shared" si="1"/>
        <v>68918821.6</v>
      </c>
      <c r="G32" s="103">
        <f t="shared" si="4"/>
        <v>89221355.17</v>
      </c>
      <c r="H32" s="104">
        <f t="shared" si="5"/>
        <v>0.7724475993</v>
      </c>
      <c r="I32" s="98">
        <f t="shared" si="6"/>
        <v>37.84993237</v>
      </c>
      <c r="J32" s="95">
        <f t="shared" si="2"/>
        <v>34495149.12</v>
      </c>
      <c r="K32" s="100">
        <f t="shared" si="3"/>
        <v>687580584.9</v>
      </c>
      <c r="L32" s="103">
        <f t="shared" si="8"/>
        <v>1350907103</v>
      </c>
      <c r="M32" s="101"/>
      <c r="N32" s="82"/>
    </row>
    <row r="33">
      <c r="A33" s="92">
        <v>30.0</v>
      </c>
      <c r="B33" s="95">
        <f t="shared" si="7"/>
        <v>35456382.65</v>
      </c>
      <c r="C33" s="95">
        <v>8126539.0</v>
      </c>
      <c r="D33" s="95">
        <v>2.2211098E7</v>
      </c>
      <c r="E33" s="95"/>
      <c r="F33" s="95">
        <f t="shared" si="1"/>
        <v>70917467.43</v>
      </c>
      <c r="G33" s="103">
        <f t="shared" si="4"/>
        <v>93682422.92</v>
      </c>
      <c r="H33" s="104">
        <f t="shared" si="5"/>
        <v>0.7569986473</v>
      </c>
      <c r="I33" s="98">
        <f t="shared" si="6"/>
        <v>37.09293372</v>
      </c>
      <c r="J33" s="95">
        <f t="shared" si="2"/>
        <v>35461084.77</v>
      </c>
      <c r="K33" s="100">
        <f t="shared" si="3"/>
        <v>723041669.7</v>
      </c>
      <c r="L33" s="103">
        <f t="shared" si="8"/>
        <v>1440128458</v>
      </c>
      <c r="M33" s="101"/>
      <c r="N33" s="82"/>
    </row>
    <row r="34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</row>
    <row r="35">
      <c r="A35" s="82"/>
      <c r="B35" s="82"/>
      <c r="C35" s="82"/>
      <c r="D35" s="82"/>
      <c r="E35" s="82"/>
      <c r="F35" s="82"/>
      <c r="G35" s="82"/>
      <c r="H35" s="110"/>
      <c r="I35" s="111" t="s">
        <v>14</v>
      </c>
      <c r="J35" s="112">
        <f t="array" ref="J35">NPV(0.074,J4:J33) + J3</f>
        <v>242779424.7</v>
      </c>
      <c r="K35" s="82"/>
      <c r="L35" s="82"/>
      <c r="M35" s="86"/>
      <c r="N35" s="82"/>
    </row>
    <row r="36">
      <c r="A36" s="82"/>
      <c r="B36" s="82"/>
      <c r="C36" s="82"/>
      <c r="D36" s="82"/>
      <c r="E36" s="82"/>
      <c r="F36" s="82"/>
      <c r="G36" s="82"/>
      <c r="H36" s="110"/>
      <c r="I36" s="84" t="s">
        <v>25</v>
      </c>
      <c r="J36" s="113">
        <v>1.0</v>
      </c>
      <c r="K36" s="82"/>
      <c r="L36" s="82"/>
      <c r="M36" s="82"/>
      <c r="N36" s="82"/>
    </row>
    <row r="37">
      <c r="A37" s="82"/>
      <c r="B37" s="82"/>
      <c r="C37" s="82"/>
      <c r="D37" s="82"/>
      <c r="E37" s="82"/>
      <c r="F37" s="82"/>
      <c r="G37" s="82"/>
      <c r="H37" s="110"/>
      <c r="I37" s="84" t="s">
        <v>26</v>
      </c>
      <c r="J37" s="114">
        <f>IRR(J3:J33,0.02)</f>
        <v>1.596844023</v>
      </c>
      <c r="K37" s="82"/>
      <c r="L37" s="82"/>
      <c r="M37" s="82"/>
      <c r="N37" s="82"/>
    </row>
  </sheetData>
  <mergeCells count="1">
    <mergeCell ref="O4:P4"/>
  </mergeCells>
  <drawing r:id="rId1"/>
</worksheet>
</file>