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https://d.docs.live.net/a9556d642f0375f5/ISE 140 Project/"/>
    </mc:Choice>
  </mc:AlternateContent>
  <xr:revisionPtr revIDLastSave="829" documentId="FC9A127A99143F314EA1CC1AC022E38E5E2E72B3" xr6:coauthVersionLast="24" xr6:coauthVersionMax="24" xr10:uidLastSave="{3C7CAD9C-7373-47F8-81CB-3DC7E83E11F6}"/>
  <bookViews>
    <workbookView xWindow="0" yWindow="456" windowWidth="25596" windowHeight="14736" activeTab="2" xr2:uid="{00000000-000D-0000-FFFF-FFFF00000000}"/>
  </bookViews>
  <sheets>
    <sheet name="Forecast Summary" sheetId="1" r:id="rId1"/>
    <sheet name="Determining Forecast Method" sheetId="2" r:id="rId2"/>
    <sheet name="Aggregate Planning" sheetId="5" r:id="rId3"/>
    <sheet name="Calculation Cost" sheetId="7" r:id="rId4"/>
    <sheet name="MPS" sheetId="6" r:id="rId5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4" i="5" l="1"/>
  <c r="C94" i="5"/>
  <c r="D94" i="5"/>
  <c r="E94" i="5"/>
  <c r="F94" i="5"/>
  <c r="B94" i="5"/>
  <c r="Q94" i="5"/>
  <c r="L94" i="5"/>
  <c r="M94" i="5"/>
  <c r="N94" i="5"/>
  <c r="O94" i="5"/>
  <c r="K94" i="5"/>
  <c r="Q76" i="5"/>
  <c r="L76" i="5"/>
  <c r="M76" i="5"/>
  <c r="N76" i="5"/>
  <c r="O76" i="5"/>
  <c r="K76" i="5"/>
  <c r="H76" i="5"/>
  <c r="C76" i="5"/>
  <c r="D76" i="5"/>
  <c r="E76" i="5"/>
  <c r="F76" i="5"/>
  <c r="B76" i="5"/>
  <c r="B24" i="5"/>
  <c r="Q58" i="5"/>
  <c r="L58" i="5"/>
  <c r="M58" i="5"/>
  <c r="N58" i="5"/>
  <c r="O58" i="5"/>
  <c r="P58" i="5"/>
  <c r="K58" i="5"/>
  <c r="H58" i="5"/>
  <c r="C58" i="5"/>
  <c r="D58" i="5"/>
  <c r="E58" i="5"/>
  <c r="F58" i="5"/>
  <c r="B58" i="5"/>
  <c r="Q40" i="5"/>
  <c r="L40" i="5"/>
  <c r="M40" i="5"/>
  <c r="N40" i="5"/>
  <c r="O40" i="5"/>
  <c r="K40" i="5"/>
  <c r="H40" i="5"/>
  <c r="C40" i="5"/>
  <c r="D40" i="5"/>
  <c r="E40" i="5"/>
  <c r="F40" i="5"/>
  <c r="B40" i="5"/>
  <c r="P13" i="5"/>
  <c r="Q13" i="5"/>
  <c r="L13" i="5"/>
  <c r="M13" i="5"/>
  <c r="N13" i="5"/>
  <c r="O13" i="5"/>
  <c r="K13" i="5"/>
  <c r="G13" i="5"/>
  <c r="H13" i="5"/>
  <c r="C13" i="5"/>
  <c r="D13" i="5"/>
  <c r="E13" i="5"/>
  <c r="F13" i="5"/>
  <c r="B13" i="5"/>
  <c r="G12" i="5"/>
  <c r="H12" i="5"/>
  <c r="Q23" i="2"/>
  <c r="Q24" i="2"/>
  <c r="Q25" i="2"/>
  <c r="Q26" i="2"/>
  <c r="Q27" i="2"/>
  <c r="Q28" i="2"/>
  <c r="Q29" i="2"/>
  <c r="Q30" i="2"/>
  <c r="Q31" i="2"/>
  <c r="Q22" i="2"/>
  <c r="AA33" i="2"/>
  <c r="AA23" i="2"/>
  <c r="AA24" i="2"/>
  <c r="AA25" i="2"/>
  <c r="AA26" i="2"/>
  <c r="AA27" i="2"/>
  <c r="AA28" i="2"/>
  <c r="AA29" i="2"/>
  <c r="AA30" i="2"/>
  <c r="AA31" i="2"/>
  <c r="AA22" i="2"/>
  <c r="V33" i="2"/>
  <c r="C5" i="2"/>
  <c r="C22" i="2"/>
  <c r="E22" i="2"/>
  <c r="C6" i="2"/>
  <c r="C23" i="2"/>
  <c r="E23" i="2"/>
  <c r="C7" i="2"/>
  <c r="C24" i="2"/>
  <c r="E24" i="2"/>
  <c r="C8" i="2"/>
  <c r="C25" i="2"/>
  <c r="E25" i="2"/>
  <c r="C9" i="2"/>
  <c r="C26" i="2"/>
  <c r="E26" i="2"/>
  <c r="C10" i="2"/>
  <c r="C27" i="2"/>
  <c r="E27" i="2"/>
  <c r="C11" i="2"/>
  <c r="C28" i="2"/>
  <c r="E28" i="2"/>
  <c r="C12" i="2"/>
  <c r="C29" i="2"/>
  <c r="E29" i="2"/>
  <c r="C13" i="2"/>
  <c r="C30" i="2"/>
  <c r="E30" i="2"/>
  <c r="C14" i="2"/>
  <c r="C31" i="2"/>
  <c r="E31" i="2"/>
  <c r="E33" i="2"/>
  <c r="V23" i="2"/>
  <c r="V24" i="2"/>
  <c r="V25" i="2"/>
  <c r="V26" i="2"/>
  <c r="V27" i="2"/>
  <c r="V28" i="2"/>
  <c r="V29" i="2"/>
  <c r="V30" i="2"/>
  <c r="V31" i="2"/>
  <c r="V22" i="2"/>
  <c r="Z5" i="2"/>
  <c r="L33" i="2"/>
  <c r="L23" i="2"/>
  <c r="L24" i="2"/>
  <c r="L25" i="2"/>
  <c r="L26" i="2"/>
  <c r="L27" i="2"/>
  <c r="L28" i="2"/>
  <c r="L29" i="2"/>
  <c r="L30" i="2"/>
  <c r="L31" i="2"/>
  <c r="L22" i="2"/>
  <c r="P94" i="5"/>
  <c r="Q98" i="5"/>
  <c r="G94" i="5"/>
  <c r="H98" i="5"/>
  <c r="P76" i="5"/>
  <c r="Q80" i="5"/>
  <c r="H80" i="5"/>
  <c r="P7" i="5"/>
  <c r="Q7" i="5"/>
  <c r="P12" i="5"/>
  <c r="Q12" i="5"/>
  <c r="Q17" i="5"/>
  <c r="G7" i="5"/>
  <c r="H7" i="5"/>
  <c r="H17" i="5"/>
  <c r="Q62" i="5"/>
  <c r="G58" i="5"/>
  <c r="H62" i="5"/>
  <c r="P40" i="5"/>
  <c r="Q44" i="5"/>
  <c r="G40" i="5"/>
  <c r="H44" i="5"/>
  <c r="P91" i="5"/>
  <c r="K88" i="5"/>
  <c r="K90" i="5"/>
  <c r="L88" i="5"/>
  <c r="L90" i="5"/>
  <c r="M88" i="5"/>
  <c r="M90" i="5"/>
  <c r="N88" i="5"/>
  <c r="N90" i="5"/>
  <c r="O88" i="5"/>
  <c r="O90" i="5"/>
  <c r="P90" i="5"/>
  <c r="P93" i="5"/>
  <c r="Q93" i="5"/>
  <c r="B90" i="5"/>
  <c r="B93" i="5"/>
  <c r="C91" i="5"/>
  <c r="C90" i="5"/>
  <c r="C93" i="5"/>
  <c r="D91" i="5"/>
  <c r="D90" i="5"/>
  <c r="D93" i="5"/>
  <c r="E91" i="5"/>
  <c r="E90" i="5"/>
  <c r="E93" i="5"/>
  <c r="F91" i="5"/>
  <c r="F90" i="5"/>
  <c r="F93" i="5"/>
  <c r="G93" i="5"/>
  <c r="H93" i="5"/>
  <c r="K72" i="5"/>
  <c r="K75" i="5"/>
  <c r="L72" i="5"/>
  <c r="L75" i="5"/>
  <c r="M72" i="5"/>
  <c r="M75" i="5"/>
  <c r="N72" i="5"/>
  <c r="N75" i="5"/>
  <c r="O72" i="5"/>
  <c r="O75" i="5"/>
  <c r="P75" i="5"/>
  <c r="Q75" i="5"/>
  <c r="B72" i="5"/>
  <c r="B75" i="5"/>
  <c r="C73" i="5"/>
  <c r="C72" i="5"/>
  <c r="C75" i="5"/>
  <c r="D73" i="5"/>
  <c r="D72" i="5"/>
  <c r="D75" i="5"/>
  <c r="E73" i="5"/>
  <c r="E72" i="5"/>
  <c r="E75" i="5"/>
  <c r="F73" i="5"/>
  <c r="F72" i="5"/>
  <c r="F75" i="5"/>
  <c r="G75" i="5"/>
  <c r="H75" i="5"/>
  <c r="K54" i="5"/>
  <c r="K57" i="5"/>
  <c r="L54" i="5"/>
  <c r="L57" i="5"/>
  <c r="M54" i="5"/>
  <c r="M57" i="5"/>
  <c r="N54" i="5"/>
  <c r="N57" i="5"/>
  <c r="O54" i="5"/>
  <c r="O57" i="5"/>
  <c r="P57" i="5"/>
  <c r="Q57" i="5"/>
  <c r="B54" i="5"/>
  <c r="B57" i="5"/>
  <c r="C55" i="5"/>
  <c r="C54" i="5"/>
  <c r="C57" i="5"/>
  <c r="D55" i="5"/>
  <c r="D54" i="5"/>
  <c r="D57" i="5"/>
  <c r="E55" i="5"/>
  <c r="E54" i="5"/>
  <c r="E57" i="5"/>
  <c r="F55" i="5"/>
  <c r="F54" i="5"/>
  <c r="F57" i="5"/>
  <c r="G57" i="5"/>
  <c r="H57" i="5"/>
  <c r="K36" i="5"/>
  <c r="K39" i="5"/>
  <c r="L36" i="5"/>
  <c r="L39" i="5"/>
  <c r="M36" i="5"/>
  <c r="M39" i="5"/>
  <c r="N36" i="5"/>
  <c r="N39" i="5"/>
  <c r="O36" i="5"/>
  <c r="O39" i="5"/>
  <c r="P39" i="5"/>
  <c r="Q39" i="5"/>
  <c r="G35" i="5"/>
  <c r="B45" i="5"/>
  <c r="C45" i="5"/>
  <c r="B34" i="5"/>
  <c r="B36" i="5"/>
  <c r="B39" i="5"/>
  <c r="C37" i="5"/>
  <c r="C34" i="5"/>
  <c r="C36" i="5"/>
  <c r="C39" i="5"/>
  <c r="D37" i="5"/>
  <c r="D34" i="5"/>
  <c r="D36" i="5"/>
  <c r="D39" i="5"/>
  <c r="E37" i="5"/>
  <c r="E34" i="5"/>
  <c r="E36" i="5"/>
  <c r="E39" i="5"/>
  <c r="F37" i="5"/>
  <c r="F34" i="5"/>
  <c r="F36" i="5"/>
  <c r="F39" i="5"/>
  <c r="G39" i="5"/>
  <c r="H39" i="5"/>
  <c r="K9" i="5"/>
  <c r="K12" i="5"/>
  <c r="L9" i="5"/>
  <c r="L12" i="5"/>
  <c r="M9" i="5"/>
  <c r="M12" i="5"/>
  <c r="N9" i="5"/>
  <c r="N12" i="5"/>
  <c r="O7" i="5"/>
  <c r="O9" i="5"/>
  <c r="O12" i="5"/>
  <c r="K74" i="5"/>
  <c r="P74" i="5"/>
  <c r="Q74" i="5"/>
  <c r="K56" i="5"/>
  <c r="P56" i="5"/>
  <c r="Q56" i="5"/>
  <c r="K38" i="5"/>
  <c r="L38" i="5"/>
  <c r="M38" i="5"/>
  <c r="N38" i="5"/>
  <c r="O38" i="5"/>
  <c r="P38" i="5"/>
  <c r="Q38" i="5"/>
  <c r="G89" i="5"/>
  <c r="T89" i="5"/>
  <c r="T91" i="5"/>
  <c r="V73" i="5"/>
  <c r="V74" i="5"/>
  <c r="V75" i="5"/>
  <c r="V76" i="5"/>
  <c r="V77" i="5"/>
  <c r="V55" i="5"/>
  <c r="V56" i="5"/>
  <c r="V57" i="5"/>
  <c r="V58" i="5"/>
  <c r="V59" i="5"/>
  <c r="G53" i="5"/>
  <c r="T53" i="5"/>
  <c r="T55" i="5"/>
  <c r="V37" i="5"/>
  <c r="V38" i="5"/>
  <c r="V39" i="5"/>
  <c r="V40" i="5"/>
  <c r="V41" i="5"/>
  <c r="G36" i="5"/>
  <c r="T33" i="5"/>
  <c r="T35" i="5"/>
  <c r="T37" i="5"/>
  <c r="G8" i="5"/>
  <c r="T6" i="5"/>
  <c r="T8" i="5"/>
  <c r="T10" i="5"/>
  <c r="G60" i="5"/>
  <c r="H60" i="5"/>
  <c r="B95" i="5"/>
  <c r="G95" i="5"/>
  <c r="H95" i="5"/>
  <c r="B77" i="5"/>
  <c r="C77" i="5"/>
  <c r="D77" i="5"/>
  <c r="E77" i="5"/>
  <c r="F77" i="5"/>
  <c r="G77" i="5"/>
  <c r="H77" i="5"/>
  <c r="B59" i="5"/>
  <c r="C59" i="5"/>
  <c r="D59" i="5"/>
  <c r="E59" i="5"/>
  <c r="F59" i="5"/>
  <c r="G59" i="5"/>
  <c r="H59" i="5"/>
  <c r="G34" i="5"/>
  <c r="G41" i="5"/>
  <c r="H41" i="5"/>
  <c r="P89" i="5"/>
  <c r="P88" i="5"/>
  <c r="Q88" i="5"/>
  <c r="G88" i="5"/>
  <c r="H88" i="5"/>
  <c r="P70" i="5"/>
  <c r="Q70" i="5"/>
  <c r="G70" i="5"/>
  <c r="H70" i="5"/>
  <c r="P52" i="5"/>
  <c r="Q52" i="5"/>
  <c r="G52" i="5"/>
  <c r="H52" i="5"/>
  <c r="P34" i="5"/>
  <c r="Q34" i="5"/>
  <c r="H34" i="5"/>
  <c r="B7" i="5"/>
  <c r="C7" i="5"/>
  <c r="D7" i="5"/>
  <c r="E7" i="5"/>
  <c r="F7" i="5"/>
  <c r="B9" i="5"/>
  <c r="B12" i="5"/>
  <c r="C10" i="5"/>
  <c r="C9" i="5"/>
  <c r="C12" i="5"/>
  <c r="D10" i="5"/>
  <c r="D9" i="5"/>
  <c r="D12" i="5"/>
  <c r="E10" i="5"/>
  <c r="E9" i="5"/>
  <c r="E12" i="5"/>
  <c r="F10" i="5"/>
  <c r="F9" i="5"/>
  <c r="F12" i="5"/>
  <c r="O10" i="7"/>
  <c r="J19" i="7"/>
  <c r="K19" i="7"/>
  <c r="J9" i="7"/>
  <c r="J11" i="7"/>
  <c r="K9" i="7"/>
  <c r="K11" i="7"/>
  <c r="L9" i="7"/>
  <c r="L11" i="7"/>
  <c r="M9" i="7"/>
  <c r="M11" i="7"/>
  <c r="N9" i="7"/>
  <c r="N11" i="7"/>
  <c r="O11" i="7"/>
  <c r="J30" i="7"/>
  <c r="J32" i="7"/>
  <c r="K30" i="7"/>
  <c r="K32" i="7"/>
  <c r="L30" i="7"/>
  <c r="L32" i="7"/>
  <c r="M30" i="7"/>
  <c r="M32" i="7"/>
  <c r="N30" i="7"/>
  <c r="N32" i="7"/>
  <c r="O32" i="7"/>
  <c r="J51" i="7"/>
  <c r="J53" i="7"/>
  <c r="K51" i="7"/>
  <c r="K53" i="7"/>
  <c r="L51" i="7"/>
  <c r="L53" i="7"/>
  <c r="M51" i="7"/>
  <c r="M53" i="7"/>
  <c r="N51" i="7"/>
  <c r="N53" i="7"/>
  <c r="O53" i="7"/>
  <c r="J72" i="7"/>
  <c r="J74" i="7"/>
  <c r="K72" i="7"/>
  <c r="K74" i="7"/>
  <c r="L72" i="7"/>
  <c r="L74" i="7"/>
  <c r="M72" i="7"/>
  <c r="M74" i="7"/>
  <c r="N72" i="7"/>
  <c r="N74" i="7"/>
  <c r="O74" i="7"/>
  <c r="J93" i="7"/>
  <c r="J95" i="7"/>
  <c r="K93" i="7"/>
  <c r="K95" i="7"/>
  <c r="L93" i="7"/>
  <c r="L95" i="7"/>
  <c r="M93" i="7"/>
  <c r="M95" i="7"/>
  <c r="N93" i="7"/>
  <c r="N95" i="7"/>
  <c r="O95" i="7"/>
  <c r="O94" i="7"/>
  <c r="J103" i="7"/>
  <c r="J104" i="7"/>
  <c r="K104" i="7"/>
  <c r="J105" i="7"/>
  <c r="J99" i="7"/>
  <c r="J101" i="7"/>
  <c r="K91" i="7"/>
  <c r="K99" i="7"/>
  <c r="K101" i="7"/>
  <c r="L91" i="7"/>
  <c r="L99" i="7"/>
  <c r="L101" i="7"/>
  <c r="M91" i="7"/>
  <c r="M99" i="7"/>
  <c r="M101" i="7"/>
  <c r="N91" i="7"/>
  <c r="N99" i="7"/>
  <c r="N101" i="7"/>
  <c r="O101" i="7"/>
  <c r="Q101" i="7"/>
  <c r="J92" i="7"/>
  <c r="J100" i="7"/>
  <c r="K92" i="7"/>
  <c r="K100" i="7"/>
  <c r="L92" i="7"/>
  <c r="L100" i="7"/>
  <c r="M92" i="7"/>
  <c r="M100" i="7"/>
  <c r="N92" i="7"/>
  <c r="N100" i="7"/>
  <c r="O100" i="7"/>
  <c r="Q100" i="7"/>
  <c r="O99" i="7"/>
  <c r="Q99" i="7"/>
  <c r="Q98" i="7"/>
  <c r="O98" i="7"/>
  <c r="J97" i="7"/>
  <c r="O97" i="7"/>
  <c r="O93" i="7"/>
  <c r="Q93" i="7"/>
  <c r="O92" i="7"/>
  <c r="O73" i="7"/>
  <c r="J82" i="7"/>
  <c r="J83" i="7"/>
  <c r="K83" i="7"/>
  <c r="J84" i="7"/>
  <c r="J78" i="7"/>
  <c r="J80" i="7"/>
  <c r="K70" i="7"/>
  <c r="K78" i="7"/>
  <c r="K80" i="7"/>
  <c r="L70" i="7"/>
  <c r="L78" i="7"/>
  <c r="L80" i="7"/>
  <c r="M70" i="7"/>
  <c r="M78" i="7"/>
  <c r="M80" i="7"/>
  <c r="N70" i="7"/>
  <c r="N78" i="7"/>
  <c r="N80" i="7"/>
  <c r="O80" i="7"/>
  <c r="Q80" i="7"/>
  <c r="J71" i="7"/>
  <c r="J79" i="7"/>
  <c r="K71" i="7"/>
  <c r="K79" i="7"/>
  <c r="L71" i="7"/>
  <c r="L79" i="7"/>
  <c r="M71" i="7"/>
  <c r="M79" i="7"/>
  <c r="N71" i="7"/>
  <c r="N79" i="7"/>
  <c r="O79" i="7"/>
  <c r="Q79" i="7"/>
  <c r="O78" i="7"/>
  <c r="Q78" i="7"/>
  <c r="Q77" i="7"/>
  <c r="O77" i="7"/>
  <c r="J76" i="7"/>
  <c r="O76" i="7"/>
  <c r="O72" i="7"/>
  <c r="Q72" i="7"/>
  <c r="O71" i="7"/>
  <c r="O52" i="7"/>
  <c r="J61" i="7"/>
  <c r="J62" i="7"/>
  <c r="K62" i="7"/>
  <c r="J63" i="7"/>
  <c r="J57" i="7"/>
  <c r="J59" i="7"/>
  <c r="K49" i="7"/>
  <c r="K57" i="7"/>
  <c r="K59" i="7"/>
  <c r="L49" i="7"/>
  <c r="L57" i="7"/>
  <c r="L59" i="7"/>
  <c r="M49" i="7"/>
  <c r="M57" i="7"/>
  <c r="M59" i="7"/>
  <c r="N49" i="7"/>
  <c r="N57" i="7"/>
  <c r="N59" i="7"/>
  <c r="O59" i="7"/>
  <c r="Q59" i="7"/>
  <c r="J50" i="7"/>
  <c r="J58" i="7"/>
  <c r="K50" i="7"/>
  <c r="K58" i="7"/>
  <c r="L50" i="7"/>
  <c r="L58" i="7"/>
  <c r="M50" i="7"/>
  <c r="M58" i="7"/>
  <c r="N50" i="7"/>
  <c r="N58" i="7"/>
  <c r="O58" i="7"/>
  <c r="Q58" i="7"/>
  <c r="O57" i="7"/>
  <c r="Q57" i="7"/>
  <c r="Q56" i="7"/>
  <c r="O56" i="7"/>
  <c r="J55" i="7"/>
  <c r="O55" i="7"/>
  <c r="O51" i="7"/>
  <c r="Q51" i="7"/>
  <c r="O50" i="7"/>
  <c r="O31" i="7"/>
  <c r="J40" i="7"/>
  <c r="J41" i="7"/>
  <c r="K41" i="7"/>
  <c r="J42" i="7"/>
  <c r="J36" i="7"/>
  <c r="J38" i="7"/>
  <c r="K28" i="7"/>
  <c r="K36" i="7"/>
  <c r="K38" i="7"/>
  <c r="L28" i="7"/>
  <c r="L36" i="7"/>
  <c r="L38" i="7"/>
  <c r="M28" i="7"/>
  <c r="M36" i="7"/>
  <c r="M38" i="7"/>
  <c r="N28" i="7"/>
  <c r="N36" i="7"/>
  <c r="N38" i="7"/>
  <c r="O38" i="7"/>
  <c r="Q38" i="7"/>
  <c r="J29" i="7"/>
  <c r="J37" i="7"/>
  <c r="K29" i="7"/>
  <c r="K37" i="7"/>
  <c r="L29" i="7"/>
  <c r="L37" i="7"/>
  <c r="M29" i="7"/>
  <c r="M37" i="7"/>
  <c r="N29" i="7"/>
  <c r="N37" i="7"/>
  <c r="O37" i="7"/>
  <c r="Q37" i="7"/>
  <c r="O36" i="7"/>
  <c r="Q36" i="7"/>
  <c r="Q35" i="7"/>
  <c r="O35" i="7"/>
  <c r="J34" i="7"/>
  <c r="O34" i="7"/>
  <c r="O30" i="7"/>
  <c r="Q30" i="7"/>
  <c r="O29" i="7"/>
  <c r="J20" i="7"/>
  <c r="K20" i="7"/>
  <c r="B7" i="7"/>
  <c r="B9" i="7"/>
  <c r="J21" i="7"/>
  <c r="J15" i="7"/>
  <c r="J17" i="7"/>
  <c r="K7" i="7"/>
  <c r="K15" i="7"/>
  <c r="K17" i="7"/>
  <c r="L7" i="7"/>
  <c r="L15" i="7"/>
  <c r="L17" i="7"/>
  <c r="M7" i="7"/>
  <c r="M15" i="7"/>
  <c r="M17" i="7"/>
  <c r="N7" i="7"/>
  <c r="N15" i="7"/>
  <c r="N17" i="7"/>
  <c r="O17" i="7"/>
  <c r="Q17" i="7"/>
  <c r="J8" i="7"/>
  <c r="J16" i="7"/>
  <c r="K8" i="7"/>
  <c r="K16" i="7"/>
  <c r="L8" i="7"/>
  <c r="L16" i="7"/>
  <c r="M8" i="7"/>
  <c r="M16" i="7"/>
  <c r="N8" i="7"/>
  <c r="N16" i="7"/>
  <c r="O16" i="7"/>
  <c r="Q16" i="7"/>
  <c r="O15" i="7"/>
  <c r="Q15" i="7"/>
  <c r="Q14" i="7"/>
  <c r="O14" i="7"/>
  <c r="J13" i="7"/>
  <c r="O13" i="7"/>
  <c r="O9" i="7"/>
  <c r="Q9" i="7"/>
  <c r="O8" i="7"/>
  <c r="N93" i="5"/>
  <c r="L92" i="5"/>
  <c r="M92" i="5"/>
  <c r="N92" i="5"/>
  <c r="O92" i="5"/>
  <c r="K92" i="5"/>
  <c r="L93" i="5"/>
  <c r="M93" i="5"/>
  <c r="O93" i="5"/>
  <c r="K93" i="5"/>
  <c r="M11" i="5"/>
  <c r="N11" i="5"/>
  <c r="O11" i="5"/>
  <c r="L11" i="5"/>
  <c r="B12" i="7"/>
  <c r="B14" i="5"/>
  <c r="C6" i="5"/>
  <c r="C14" i="5"/>
  <c r="D6" i="5"/>
  <c r="G6" i="5"/>
  <c r="G9" i="5"/>
  <c r="G10" i="5"/>
  <c r="G11" i="5"/>
  <c r="D14" i="5"/>
  <c r="E14" i="5"/>
  <c r="F14" i="5"/>
  <c r="G14" i="5"/>
  <c r="G15" i="5"/>
  <c r="B16" i="5"/>
  <c r="C16" i="5"/>
  <c r="D16" i="5"/>
  <c r="E16" i="5"/>
  <c r="F16" i="5"/>
  <c r="G16" i="5"/>
  <c r="B19" i="5"/>
  <c r="B46" i="5"/>
  <c r="C46" i="5"/>
  <c r="B41" i="5"/>
  <c r="C33" i="5"/>
  <c r="C41" i="5"/>
  <c r="D33" i="5"/>
  <c r="G33" i="5"/>
  <c r="G43" i="5"/>
  <c r="F41" i="5"/>
  <c r="F43" i="5"/>
  <c r="E41" i="5"/>
  <c r="E43" i="5"/>
  <c r="D41" i="5"/>
  <c r="D43" i="5"/>
  <c r="C43" i="5"/>
  <c r="B43" i="5"/>
  <c r="G42" i="5"/>
  <c r="G38" i="5"/>
  <c r="G37" i="5"/>
  <c r="G54" i="5"/>
  <c r="G55" i="5"/>
  <c r="G56" i="5"/>
  <c r="T51" i="5"/>
  <c r="G29" i="7"/>
  <c r="B39" i="7"/>
  <c r="C39" i="7"/>
  <c r="B28" i="7"/>
  <c r="B30" i="7"/>
  <c r="C31" i="7"/>
  <c r="C28" i="7"/>
  <c r="C30" i="7"/>
  <c r="C33" i="7"/>
  <c r="D31" i="7"/>
  <c r="D28" i="7"/>
  <c r="D30" i="7"/>
  <c r="D33" i="7"/>
  <c r="E31" i="7"/>
  <c r="E28" i="7"/>
  <c r="E30" i="7"/>
  <c r="E33" i="7"/>
  <c r="F31" i="7"/>
  <c r="F28" i="7"/>
  <c r="F30" i="7"/>
  <c r="F33" i="7"/>
  <c r="B33" i="7"/>
  <c r="C7" i="7"/>
  <c r="C9" i="7"/>
  <c r="D7" i="7"/>
  <c r="D9" i="7"/>
  <c r="E7" i="7"/>
  <c r="E9" i="7"/>
  <c r="F7" i="7"/>
  <c r="F9" i="7"/>
  <c r="B40" i="7"/>
  <c r="C40" i="7"/>
  <c r="B35" i="7"/>
  <c r="C27" i="7"/>
  <c r="C35" i="7"/>
  <c r="D27" i="7"/>
  <c r="G27" i="7"/>
  <c r="G28" i="7"/>
  <c r="G35" i="7"/>
  <c r="G37" i="7"/>
  <c r="F35" i="7"/>
  <c r="F37" i="7"/>
  <c r="E35" i="7"/>
  <c r="E37" i="7"/>
  <c r="D35" i="7"/>
  <c r="D37" i="7"/>
  <c r="C37" i="7"/>
  <c r="B37" i="7"/>
  <c r="G36" i="7"/>
  <c r="B34" i="7"/>
  <c r="C34" i="7"/>
  <c r="D34" i="7"/>
  <c r="E34" i="7"/>
  <c r="F34" i="7"/>
  <c r="G34" i="7"/>
  <c r="G33" i="7"/>
  <c r="G32" i="7"/>
  <c r="G31" i="7"/>
  <c r="G30" i="7"/>
  <c r="G8" i="7"/>
  <c r="B18" i="7"/>
  <c r="B14" i="7"/>
  <c r="C6" i="7"/>
  <c r="C14" i="7"/>
  <c r="D6" i="7"/>
  <c r="G6" i="7"/>
  <c r="G7" i="7"/>
  <c r="G14" i="7"/>
  <c r="G16" i="7"/>
  <c r="F14" i="7"/>
  <c r="F16" i="7"/>
  <c r="E14" i="7"/>
  <c r="E16" i="7"/>
  <c r="D14" i="7"/>
  <c r="D16" i="7"/>
  <c r="C16" i="7"/>
  <c r="B16" i="7"/>
  <c r="G15" i="7"/>
  <c r="B13" i="7"/>
  <c r="C13" i="7"/>
  <c r="D13" i="7"/>
  <c r="E13" i="7"/>
  <c r="F13" i="7"/>
  <c r="G13" i="7"/>
  <c r="G12" i="7"/>
  <c r="G11" i="7"/>
  <c r="G10" i="7"/>
  <c r="G9" i="7"/>
  <c r="B99" i="5"/>
  <c r="G71" i="5"/>
  <c r="B81" i="5"/>
  <c r="B63" i="5"/>
  <c r="D61" i="5"/>
  <c r="E61" i="5"/>
  <c r="F61" i="5"/>
  <c r="G61" i="5"/>
  <c r="C61" i="5"/>
  <c r="B61" i="5"/>
  <c r="D79" i="5"/>
  <c r="E79" i="5"/>
  <c r="F79" i="5"/>
  <c r="G69" i="5"/>
  <c r="G79" i="5"/>
  <c r="C79" i="5"/>
  <c r="B79" i="5"/>
  <c r="T40" i="5"/>
  <c r="T58" i="5"/>
  <c r="T73" i="5"/>
  <c r="T69" i="5"/>
  <c r="T94" i="5"/>
  <c r="T87" i="5"/>
  <c r="P35" i="5"/>
  <c r="P36" i="5"/>
  <c r="P37" i="5"/>
  <c r="P41" i="5"/>
  <c r="P42" i="5"/>
  <c r="P43" i="5"/>
  <c r="P33" i="5"/>
  <c r="P53" i="5"/>
  <c r="P54" i="5"/>
  <c r="P55" i="5"/>
  <c r="P59" i="5"/>
  <c r="P60" i="5"/>
  <c r="P61" i="5"/>
  <c r="P51" i="5"/>
  <c r="G72" i="5"/>
  <c r="G73" i="5"/>
  <c r="G74" i="5"/>
  <c r="G78" i="5"/>
  <c r="P92" i="5"/>
  <c r="P95" i="5"/>
  <c r="P96" i="5"/>
  <c r="P97" i="5"/>
  <c r="P87" i="5"/>
  <c r="G90" i="5"/>
  <c r="G91" i="5"/>
  <c r="G92" i="5"/>
  <c r="G97" i="5"/>
  <c r="G87" i="5"/>
  <c r="P8" i="5"/>
  <c r="P9" i="5"/>
  <c r="P10" i="5"/>
  <c r="P11" i="5"/>
  <c r="P14" i="5"/>
  <c r="P15" i="5"/>
  <c r="P16" i="5"/>
  <c r="P6" i="5"/>
  <c r="P71" i="5"/>
  <c r="P72" i="5"/>
  <c r="P73" i="5"/>
  <c r="P77" i="5"/>
  <c r="P78" i="5"/>
  <c r="P79" i="5"/>
  <c r="P69" i="5"/>
  <c r="T71" i="5"/>
  <c r="Q33" i="2"/>
  <c r="I17" i="2"/>
  <c r="C67" i="2"/>
  <c r="D67" i="2"/>
  <c r="E67" i="2"/>
  <c r="F67" i="2"/>
  <c r="G67" i="2"/>
  <c r="H67" i="2"/>
  <c r="I67" i="2"/>
  <c r="J67" i="2"/>
  <c r="B67" i="2"/>
  <c r="K67" i="2"/>
  <c r="L67" i="2"/>
  <c r="Z22" i="2"/>
  <c r="Z6" i="2"/>
  <c r="Z23" i="2"/>
  <c r="Z7" i="2"/>
  <c r="Z24" i="2"/>
  <c r="Z8" i="2"/>
  <c r="Z25" i="2"/>
  <c r="Z9" i="2"/>
  <c r="Z26" i="2"/>
  <c r="Z10" i="2"/>
  <c r="Z27" i="2"/>
  <c r="Z11" i="2"/>
  <c r="Z28" i="2"/>
  <c r="Z12" i="2"/>
  <c r="Z29" i="2"/>
  <c r="Z13" i="2"/>
  <c r="Z30" i="2"/>
  <c r="Z14" i="2"/>
  <c r="Z31" i="2"/>
  <c r="G76" i="5"/>
</calcChain>
</file>

<file path=xl/sharedStrings.xml><?xml version="1.0" encoding="utf-8"?>
<sst xmlns="http://schemas.openxmlformats.org/spreadsheetml/2006/main" count="434" uniqueCount="95">
  <si>
    <t>Method of Forecasting</t>
  </si>
  <si>
    <t>Exponential Smoothing</t>
  </si>
  <si>
    <t>Seasonal without Trend</t>
  </si>
  <si>
    <t>Seasonal With Trend</t>
  </si>
  <si>
    <t>Linear Regression</t>
  </si>
  <si>
    <t>History Horizon</t>
  </si>
  <si>
    <t>Product 1</t>
  </si>
  <si>
    <t>Product 2</t>
  </si>
  <si>
    <t>Product 3</t>
  </si>
  <si>
    <t>Product 4</t>
  </si>
  <si>
    <t>Product 5</t>
  </si>
  <si>
    <t>Determining Forecast Methods</t>
  </si>
  <si>
    <t>Forecasted Values</t>
  </si>
  <si>
    <t>Week 21- 25</t>
  </si>
  <si>
    <t>Week 21-25</t>
  </si>
  <si>
    <t>MAD Tolerance</t>
  </si>
  <si>
    <t xml:space="preserve">Alpha </t>
  </si>
  <si>
    <t>B10</t>
  </si>
  <si>
    <t>Sr.no.</t>
  </si>
  <si>
    <t>Product 1 - Actual Demand</t>
  </si>
  <si>
    <t>MAD</t>
  </si>
  <si>
    <t>Product 2 - Actual Demand</t>
  </si>
  <si>
    <t>Product 3 - Actual Demand</t>
  </si>
  <si>
    <t>Forecasted Value</t>
  </si>
  <si>
    <t>Product 4 - Actual Demand</t>
  </si>
  <si>
    <t>Product 5 - Actual Demand</t>
  </si>
  <si>
    <t>Total MAD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</si>
  <si>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</si>
  <si>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</si>
  <si>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</si>
  <si>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</si>
  <si>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</si>
  <si>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</si>
  <si>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</si>
  <si>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</si>
  <si>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</si>
  <si>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Season 1</t>
  </si>
  <si>
    <t>Season 2</t>
  </si>
  <si>
    <t>LEVEL PLAN</t>
  </si>
  <si>
    <t>CHASE PLAN</t>
  </si>
  <si>
    <t>COMPUTATIONS</t>
  </si>
  <si>
    <t>Level</t>
  </si>
  <si>
    <t>Chase</t>
  </si>
  <si>
    <t>Period</t>
  </si>
  <si>
    <t>Total</t>
  </si>
  <si>
    <t>Cost</t>
  </si>
  <si>
    <t>Beginning Inventory</t>
  </si>
  <si>
    <t>Total Demand</t>
  </si>
  <si>
    <t>Production</t>
  </si>
  <si>
    <t>Demand</t>
  </si>
  <si>
    <t>Demand over 5 periods</t>
  </si>
  <si>
    <t>Workers Needed</t>
  </si>
  <si>
    <t>Workers Available</t>
  </si>
  <si>
    <t>Workers needed at 30 units</t>
  </si>
  <si>
    <t>Workers Hired</t>
  </si>
  <si>
    <t>* Round to whole number</t>
  </si>
  <si>
    <t>Workers Fired</t>
  </si>
  <si>
    <t>Under time</t>
  </si>
  <si>
    <t>Undertime per worker</t>
  </si>
  <si>
    <t>End Inventory</t>
  </si>
  <si>
    <t>Backlog</t>
  </si>
  <si>
    <t>Average Inventory</t>
  </si>
  <si>
    <t xml:space="preserve">Total Cost </t>
  </si>
  <si>
    <t>Total Cost</t>
  </si>
  <si>
    <t>Level Production Value</t>
  </si>
  <si>
    <t>Number of products produced by 1 worker per week</t>
  </si>
  <si>
    <t>Undertime cost $/min</t>
  </si>
  <si>
    <t>dollars per hour</t>
  </si>
  <si>
    <t>Hiring Cost $/person</t>
  </si>
  <si>
    <t>Layoff cost $/person </t>
  </si>
  <si>
    <t>Regular Cost per Unit</t>
  </si>
  <si>
    <t>Holding Cost $/unit/week</t>
  </si>
  <si>
    <t>Backorder $/unit/week</t>
  </si>
  <si>
    <t>CALCULATION COST</t>
  </si>
  <si>
    <t>LEVEL POLICY</t>
  </si>
  <si>
    <t>PERIOD</t>
  </si>
  <si>
    <t>TOTAL</t>
  </si>
  <si>
    <t>COST PER UNIT</t>
  </si>
  <si>
    <t>COST</t>
  </si>
  <si>
    <t>Beginning Inv</t>
  </si>
  <si>
    <t>Production available</t>
  </si>
  <si>
    <t>Production needed</t>
  </si>
  <si>
    <t>Workers available</t>
  </si>
  <si>
    <t>Worker Fired</t>
  </si>
  <si>
    <t>Workers hired</t>
  </si>
  <si>
    <t>Ending Inv</t>
  </si>
  <si>
    <t>Undertime</t>
  </si>
  <si>
    <t>Average Inv</t>
  </si>
  <si>
    <t>Production Needed</t>
  </si>
  <si>
    <t>Workers</t>
  </si>
  <si>
    <t>Production Available</t>
  </si>
  <si>
    <t>Rate of Production per product</t>
  </si>
  <si>
    <t>units/hour</t>
  </si>
  <si>
    <t>units</t>
  </si>
  <si>
    <t>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</si>
</sst>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20"/>
      <color theme="1"/>
      <name val="Times New Roman"/>
      <family val="1"/>
    </font>
    <font>
      <b/>
      <sz val="11"/>
      <color theme="1"/>
      <name val="Times New Roman"/>
    </font>
    <font>
      <b/>
      <u/>
      <sz val="11"/>
      <color theme="1"/>
      <name val="Times New Roman"/>
    </font>
    <font>
      <sz val="11"/>
      <color theme="1"/>
      <name val="Times New Roman"/>
    </font>
    <font>
      <b/>
      <sz val="12"/>
      <color theme="1"/>
      <name val="Times New Roman"/>
    </font>
    <font>
      <sz val="12"/>
      <color theme="1"/>
      <name val="Times New Roman"/>
    </font>
    <font>
      <b/>
      <sz val="12"/>
      <name val="Times New Roman"/>
    </font>
    <font>
      <b/>
      <sz val="11"/>
      <name val="Times New Roman"/>
    </font>
    <font>
      <sz val="12"/>
      <name val="Times New Roman"/>
    </font>
    <font>
      <b/>
      <u/>
      <sz val="12"/>
      <color theme="1"/>
      <name val="Times New Roman"/>
    </font>
    <font>
      <b/>
      <sz val="16"/>
      <color theme="1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EBF1DD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FFFFF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2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Fill="1"/>
    <xf numFmtId="2" fontId="3" fillId="0" borderId="0" xfId="0" applyNumberFormat="1" applyFont="1" applyAlignment="1">
      <alignment horizont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5" fillId="0" borderId="0" xfId="0" applyFont="1" applyAlignment="1">
      <alignment vertical="center"/>
    </xf>
    <xf numFmtId="0" fontId="5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4" fillId="3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4" fillId="2" borderId="0" xfId="0" applyFont="1" applyFill="1"/>
    <xf numFmtId="0" fontId="3" fillId="0" borderId="0" xfId="0" applyFont="1" applyAlignment="1">
      <alignment horizontal="right"/>
    </xf>
    <xf numFmtId="0" fontId="4" fillId="3" borderId="0" xfId="0" applyFont="1" applyFill="1"/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4" borderId="0" xfId="0" applyFont="1" applyFill="1"/>
    <xf numFmtId="0" fontId="4" fillId="4" borderId="0" xfId="0" applyFont="1" applyFill="1"/>
    <xf numFmtId="0" fontId="2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3" fillId="5" borderId="0" xfId="0" applyFont="1" applyFill="1"/>
    <xf numFmtId="0" fontId="4" fillId="5" borderId="0" xfId="0" applyFont="1" applyFill="1"/>
    <xf numFmtId="0" fontId="2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3" fillId="6" borderId="0" xfId="0" applyFont="1" applyFill="1"/>
    <xf numFmtId="0" fontId="4" fillId="6" borderId="0" xfId="0" applyFont="1" applyFill="1"/>
    <xf numFmtId="0" fontId="6" fillId="2" borderId="1" xfId="0" applyFont="1" applyFill="1" applyBorder="1"/>
    <xf numFmtId="0" fontId="7" fillId="2" borderId="1" xfId="0" applyFont="1" applyFill="1" applyBorder="1"/>
    <xf numFmtId="0" fontId="8" fillId="0" borderId="1" xfId="0" applyFont="1" applyBorder="1"/>
    <xf numFmtId="0" fontId="9" fillId="5" borderId="0" xfId="0" applyFont="1" applyFill="1"/>
    <xf numFmtId="0" fontId="8" fillId="5" borderId="0" xfId="0" applyFont="1" applyFill="1"/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/>
    <xf numFmtId="0" fontId="10" fillId="0" borderId="1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8" fillId="3" borderId="0" xfId="0" applyFont="1" applyFill="1"/>
    <xf numFmtId="0" fontId="8" fillId="4" borderId="0" xfId="0" applyFont="1" applyFill="1"/>
    <xf numFmtId="0" fontId="8" fillId="6" borderId="0" xfId="0" applyFont="1" applyFill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5" borderId="0" xfId="0" applyFont="1" applyFill="1"/>
    <xf numFmtId="0" fontId="9" fillId="0" borderId="2" xfId="0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12" fillId="0" borderId="14" xfId="0" applyFont="1" applyFill="1" applyBorder="1" applyAlignment="1">
      <alignment vertical="center"/>
    </xf>
    <xf numFmtId="0" fontId="13" fillId="0" borderId="15" xfId="0" applyFont="1" applyFill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0" fontId="12" fillId="0" borderId="18" xfId="0" applyFont="1" applyFill="1" applyBorder="1" applyAlignment="1">
      <alignment vertical="center"/>
    </xf>
    <xf numFmtId="0" fontId="13" fillId="0" borderId="19" xfId="0" applyFont="1" applyFill="1" applyBorder="1" applyAlignment="1">
      <alignment vertical="center"/>
    </xf>
    <xf numFmtId="0" fontId="12" fillId="0" borderId="20" xfId="0" applyFont="1" applyFill="1" applyBorder="1"/>
    <xf numFmtId="0" fontId="12" fillId="0" borderId="21" xfId="0" applyFont="1" applyFill="1" applyBorder="1" applyAlignment="1">
      <alignment vertical="center"/>
    </xf>
    <xf numFmtId="0" fontId="13" fillId="0" borderId="22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0" borderId="23" xfId="0" applyFont="1" applyFill="1" applyBorder="1" applyAlignment="1">
      <alignment vertical="center"/>
    </xf>
    <xf numFmtId="0" fontId="12" fillId="0" borderId="24" xfId="0" applyFont="1" applyFill="1" applyBorder="1" applyAlignment="1">
      <alignment vertical="center"/>
    </xf>
    <xf numFmtId="0" fontId="13" fillId="0" borderId="25" xfId="0" applyFont="1" applyFill="1" applyBorder="1" applyAlignment="1">
      <alignment vertical="center"/>
    </xf>
    <xf numFmtId="0" fontId="12" fillId="0" borderId="26" xfId="0" applyFont="1" applyFill="1" applyBorder="1"/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3" fillId="0" borderId="0" xfId="0" applyFont="1" applyFill="1"/>
    <xf numFmtId="0" fontId="13" fillId="0" borderId="1" xfId="0" applyFont="1" applyFill="1" applyBorder="1"/>
    <xf numFmtId="0" fontId="13" fillId="0" borderId="23" xfId="0" applyFont="1" applyFill="1" applyBorder="1"/>
    <xf numFmtId="0" fontId="12" fillId="0" borderId="27" xfId="0" applyFont="1" applyFill="1" applyBorder="1" applyAlignment="1">
      <alignment vertical="center"/>
    </xf>
    <xf numFmtId="0" fontId="13" fillId="0" borderId="28" xfId="0" applyFont="1" applyFill="1" applyBorder="1" applyAlignment="1">
      <alignment vertical="center"/>
    </xf>
    <xf numFmtId="0" fontId="13" fillId="0" borderId="29" xfId="0" applyFont="1" applyFill="1" applyBorder="1" applyAlignment="1">
      <alignment vertical="center"/>
    </xf>
    <xf numFmtId="0" fontId="13" fillId="0" borderId="30" xfId="0" applyFont="1" applyFill="1" applyBorder="1" applyAlignment="1">
      <alignment vertical="center"/>
    </xf>
    <xf numFmtId="0" fontId="12" fillId="0" borderId="31" xfId="0" applyFont="1" applyFill="1" applyBorder="1" applyAlignment="1">
      <alignment vertical="center"/>
    </xf>
    <xf numFmtId="0" fontId="13" fillId="0" borderId="32" xfId="0" applyFont="1" applyFill="1" applyBorder="1" applyAlignment="1">
      <alignment vertical="center"/>
    </xf>
    <xf numFmtId="0" fontId="12" fillId="0" borderId="33" xfId="0" applyFont="1" applyFill="1" applyBorder="1"/>
    <xf numFmtId="0" fontId="12" fillId="0" borderId="0" xfId="0" applyFont="1" applyFill="1" applyBorder="1" applyAlignment="1">
      <alignment vertical="center"/>
    </xf>
    <xf numFmtId="0" fontId="11" fillId="0" borderId="0" xfId="0" applyFont="1" applyFill="1"/>
    <xf numFmtId="0" fontId="9" fillId="0" borderId="0" xfId="0" applyFont="1" applyAlignment="1">
      <alignment vertical="center"/>
    </xf>
    <xf numFmtId="0" fontId="9" fillId="2" borderId="0" xfId="0" applyFont="1" applyFill="1"/>
    <xf numFmtId="0" fontId="8" fillId="2" borderId="0" xfId="0" applyFont="1" applyFill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6" borderId="0" xfId="0" applyFont="1" applyFill="1"/>
    <xf numFmtId="0" fontId="9" fillId="0" borderId="35" xfId="0" applyFont="1" applyBorder="1" applyAlignment="1">
      <alignment vertical="center"/>
    </xf>
    <xf numFmtId="0" fontId="10" fillId="0" borderId="35" xfId="0" applyFont="1" applyBorder="1" applyAlignment="1">
      <alignment vertical="center"/>
    </xf>
    <xf numFmtId="0" fontId="8" fillId="0" borderId="35" xfId="0" applyFont="1" applyBorder="1"/>
    <xf numFmtId="0" fontId="8" fillId="0" borderId="0" xfId="0" applyFont="1" applyAlignment="1"/>
    <xf numFmtId="0" fontId="6" fillId="5" borderId="1" xfId="0" applyFont="1" applyFill="1" applyBorder="1"/>
    <xf numFmtId="0" fontId="7" fillId="5" borderId="1" xfId="0" applyFont="1" applyFill="1" applyBorder="1"/>
    <xf numFmtId="0" fontId="8" fillId="0" borderId="0" xfId="0" applyFont="1" applyFill="1"/>
    <xf numFmtId="0" fontId="6" fillId="3" borderId="1" xfId="0" applyFont="1" applyFill="1" applyBorder="1"/>
    <xf numFmtId="0" fontId="7" fillId="3" borderId="1" xfId="0" applyFont="1" applyFill="1" applyBorder="1"/>
    <xf numFmtId="0" fontId="6" fillId="4" borderId="1" xfId="0" applyFont="1" applyFill="1" applyBorder="1"/>
    <xf numFmtId="0" fontId="7" fillId="4" borderId="1" xfId="0" applyFont="1" applyFill="1" applyBorder="1"/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6" fillId="6" borderId="1" xfId="0" applyFont="1" applyFill="1" applyBorder="1"/>
    <xf numFmtId="0" fontId="7" fillId="6" borderId="1" xfId="0" applyFont="1" applyFill="1" applyBorder="1"/>
    <xf numFmtId="0" fontId="9" fillId="5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1" fillId="7" borderId="0" xfId="0" applyFont="1" applyFill="1" applyAlignment="1">
      <alignment horizontal="center"/>
    </xf>
    <xf numFmtId="0" fontId="3" fillId="7" borderId="0" xfId="0" applyFont="1" applyFill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4" fillId="0" borderId="1" xfId="0" applyFont="1" applyBorder="1"/>
    <xf numFmtId="0" fontId="4" fillId="0" borderId="35" xfId="0" applyFont="1" applyBorder="1"/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5" borderId="34" xfId="0" applyFont="1" applyFill="1" applyBorder="1" applyAlignment="1">
      <alignment horizontal="center"/>
    </xf>
    <xf numFmtId="0" fontId="15" fillId="6" borderId="34" xfId="0" applyFont="1" applyFill="1" applyBorder="1" applyAlignment="1">
      <alignment horizontal="center"/>
    </xf>
    <xf numFmtId="0" fontId="15" fillId="2" borderId="34" xfId="0" applyFont="1" applyFill="1" applyBorder="1" applyAlignment="1">
      <alignment horizontal="center"/>
    </xf>
    <xf numFmtId="0" fontId="15" fillId="3" borderId="34" xfId="0" applyFont="1" applyFill="1" applyBorder="1" applyAlignment="1">
      <alignment horizontal="center"/>
    </xf>
    <xf numFmtId="0" fontId="15" fillId="4" borderId="34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/>
    </xf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Summary'!$A$2</c:f>
              <c:strCache>
                <c:ptCount val="1"/>
                <c:pt idx="0">
                  <c:v>History Horizon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Summary'!$A$3:$A$22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4-4820-8450-BE6F011EF704}"/>
            </c:ext>
          </c:extLst>
        </c:ser>
        <c:ser>
          <c:idx val="1"/>
          <c:order val="1"/>
          <c:tx>
            <c:strRef>
              <c:f>'Forecast Summary'!$B$2</c:f>
              <c:strCache>
                <c:ptCount val="1"/>
                <c:pt idx="0">
                  <c:v>Product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'Forecast Summary'!$B$3:$B$22</c:f>
              <c:numCache>
                <c:formatCode>General</c:formatCode>
                <c:ptCount val="20"/>
                <c:pt idx="0">
                  <c:v>140</c:v>
                </c:pt>
                <c:pt idx="1">
                  <c:v>155</c:v>
                </c:pt>
                <c:pt idx="2">
                  <c:v>145</c:v>
                </c:pt>
                <c:pt idx="3">
                  <c:v>152</c:v>
                </c:pt>
                <c:pt idx="4">
                  <c:v>155</c:v>
                </c:pt>
                <c:pt idx="5">
                  <c:v>145</c:v>
                </c:pt>
                <c:pt idx="6">
                  <c:v>147</c:v>
                </c:pt>
                <c:pt idx="7">
                  <c:v>135</c:v>
                </c:pt>
                <c:pt idx="8">
                  <c:v>137</c:v>
                </c:pt>
                <c:pt idx="9">
                  <c:v>140</c:v>
                </c:pt>
                <c:pt idx="10">
                  <c:v>120</c:v>
                </c:pt>
                <c:pt idx="11">
                  <c:v>150</c:v>
                </c:pt>
                <c:pt idx="12">
                  <c:v>161</c:v>
                </c:pt>
                <c:pt idx="13">
                  <c:v>143</c:v>
                </c:pt>
                <c:pt idx="14">
                  <c:v>149</c:v>
                </c:pt>
                <c:pt idx="15">
                  <c:v>140</c:v>
                </c:pt>
                <c:pt idx="16">
                  <c:v>142</c:v>
                </c:pt>
                <c:pt idx="17">
                  <c:v>157</c:v>
                </c:pt>
                <c:pt idx="18">
                  <c:v>148</c:v>
                </c:pt>
                <c:pt idx="1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4-4820-8450-BE6F011EF704}"/>
            </c:ext>
          </c:extLst>
        </c:ser>
        <c:ser>
          <c:idx val="2"/>
          <c:order val="2"/>
          <c:tx>
            <c:strRef>
              <c:f>'Forecast Summary'!$C$2</c:f>
              <c:strCache>
                <c:ptCount val="1"/>
                <c:pt idx="0">
                  <c:v>Product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'Forecast Summary'!$C$3:$C$22</c:f>
              <c:numCache>
                <c:formatCode>General</c:formatCode>
                <c:ptCount val="20"/>
                <c:pt idx="0">
                  <c:v>145</c:v>
                </c:pt>
                <c:pt idx="1">
                  <c:v>164</c:v>
                </c:pt>
                <c:pt idx="2">
                  <c:v>178</c:v>
                </c:pt>
                <c:pt idx="3">
                  <c:v>200</c:v>
                </c:pt>
                <c:pt idx="4">
                  <c:v>215</c:v>
                </c:pt>
                <c:pt idx="5">
                  <c:v>205</c:v>
                </c:pt>
                <c:pt idx="6">
                  <c:v>170</c:v>
                </c:pt>
                <c:pt idx="7">
                  <c:v>142</c:v>
                </c:pt>
                <c:pt idx="8">
                  <c:v>119</c:v>
                </c:pt>
                <c:pt idx="9">
                  <c:v>147</c:v>
                </c:pt>
                <c:pt idx="10">
                  <c:v>162</c:v>
                </c:pt>
                <c:pt idx="11">
                  <c:v>180</c:v>
                </c:pt>
                <c:pt idx="12">
                  <c:v>199</c:v>
                </c:pt>
                <c:pt idx="13">
                  <c:v>220</c:v>
                </c:pt>
                <c:pt idx="14">
                  <c:v>208</c:v>
                </c:pt>
                <c:pt idx="15">
                  <c:v>175</c:v>
                </c:pt>
                <c:pt idx="16">
                  <c:v>140</c:v>
                </c:pt>
                <c:pt idx="17">
                  <c:v>121</c:v>
                </c:pt>
                <c:pt idx="18">
                  <c:v>146</c:v>
                </c:pt>
                <c:pt idx="1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4-4820-8450-BE6F011EF704}"/>
            </c:ext>
          </c:extLst>
        </c:ser>
        <c:ser>
          <c:idx val="3"/>
          <c:order val="3"/>
          <c:tx>
            <c:strRef>
              <c:f>'Forecast Summary'!$D$2</c:f>
              <c:strCache>
                <c:ptCount val="1"/>
                <c:pt idx="0">
                  <c:v>Product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'Forecast Summary'!$D$3:$D$22</c:f>
              <c:numCache>
                <c:formatCode>General</c:formatCode>
                <c:ptCount val="20"/>
                <c:pt idx="0">
                  <c:v>100</c:v>
                </c:pt>
                <c:pt idx="1">
                  <c:v>82</c:v>
                </c:pt>
                <c:pt idx="2">
                  <c:v>70</c:v>
                </c:pt>
                <c:pt idx="3">
                  <c:v>55</c:v>
                </c:pt>
                <c:pt idx="4">
                  <c:v>110</c:v>
                </c:pt>
                <c:pt idx="5">
                  <c:v>85</c:v>
                </c:pt>
                <c:pt idx="6">
                  <c:v>74</c:v>
                </c:pt>
                <c:pt idx="7">
                  <c:v>62</c:v>
                </c:pt>
                <c:pt idx="8">
                  <c:v>115</c:v>
                </c:pt>
                <c:pt idx="9">
                  <c:v>88</c:v>
                </c:pt>
                <c:pt idx="10">
                  <c:v>78</c:v>
                </c:pt>
                <c:pt idx="11">
                  <c:v>67</c:v>
                </c:pt>
                <c:pt idx="12">
                  <c:v>121</c:v>
                </c:pt>
                <c:pt idx="13">
                  <c:v>93</c:v>
                </c:pt>
                <c:pt idx="14">
                  <c:v>84</c:v>
                </c:pt>
                <c:pt idx="15">
                  <c:v>71</c:v>
                </c:pt>
                <c:pt idx="16">
                  <c:v>128</c:v>
                </c:pt>
                <c:pt idx="17">
                  <c:v>99</c:v>
                </c:pt>
                <c:pt idx="18">
                  <c:v>89</c:v>
                </c:pt>
                <c:pt idx="1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4-4820-8450-BE6F011EF704}"/>
            </c:ext>
          </c:extLst>
        </c:ser>
        <c:ser>
          <c:idx val="4"/>
          <c:order val="4"/>
          <c:tx>
            <c:strRef>
              <c:f>'Forecast Summary'!$E$2</c:f>
              <c:strCache>
                <c:ptCount val="1"/>
                <c:pt idx="0">
                  <c:v>Product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'Forecast Summary'!$E$3:$E$22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  <c:pt idx="4">
                  <c:v>32</c:v>
                </c:pt>
                <c:pt idx="5">
                  <c:v>35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47</c:v>
                </c:pt>
                <c:pt idx="10">
                  <c:v>53</c:v>
                </c:pt>
                <c:pt idx="11">
                  <c:v>55</c:v>
                </c:pt>
                <c:pt idx="12">
                  <c:v>58</c:v>
                </c:pt>
                <c:pt idx="13">
                  <c:v>60</c:v>
                </c:pt>
                <c:pt idx="14">
                  <c:v>64</c:v>
                </c:pt>
                <c:pt idx="15">
                  <c:v>66</c:v>
                </c:pt>
                <c:pt idx="16">
                  <c:v>69</c:v>
                </c:pt>
                <c:pt idx="17">
                  <c:v>72</c:v>
                </c:pt>
                <c:pt idx="18">
                  <c:v>75</c:v>
                </c:pt>
                <c:pt idx="1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84-4820-8450-BE6F011EF704}"/>
            </c:ext>
          </c:extLst>
        </c:ser>
        <c:ser>
          <c:idx val="5"/>
          <c:order val="5"/>
          <c:tx>
            <c:strRef>
              <c:f>'Forecast Summary'!$F$2</c:f>
              <c:strCache>
                <c:ptCount val="1"/>
                <c:pt idx="0">
                  <c:v>Product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'Forecast Summary'!$F$3:$F$22</c:f>
              <c:numCache>
                <c:formatCode>General</c:formatCode>
                <c:ptCount val="20"/>
                <c:pt idx="0">
                  <c:v>55</c:v>
                </c:pt>
                <c:pt idx="1">
                  <c:v>46</c:v>
                </c:pt>
                <c:pt idx="2">
                  <c:v>58</c:v>
                </c:pt>
                <c:pt idx="3">
                  <c:v>37</c:v>
                </c:pt>
                <c:pt idx="4">
                  <c:v>32</c:v>
                </c:pt>
                <c:pt idx="5">
                  <c:v>48</c:v>
                </c:pt>
                <c:pt idx="6">
                  <c:v>67</c:v>
                </c:pt>
                <c:pt idx="7">
                  <c:v>68</c:v>
                </c:pt>
                <c:pt idx="8">
                  <c:v>52</c:v>
                </c:pt>
                <c:pt idx="9">
                  <c:v>42</c:v>
                </c:pt>
                <c:pt idx="10">
                  <c:v>32</c:v>
                </c:pt>
                <c:pt idx="11">
                  <c:v>43</c:v>
                </c:pt>
                <c:pt idx="12">
                  <c:v>37</c:v>
                </c:pt>
                <c:pt idx="13">
                  <c:v>61</c:v>
                </c:pt>
                <c:pt idx="14">
                  <c:v>45</c:v>
                </c:pt>
                <c:pt idx="15">
                  <c:v>48</c:v>
                </c:pt>
                <c:pt idx="16">
                  <c:v>53</c:v>
                </c:pt>
                <c:pt idx="17">
                  <c:v>38</c:v>
                </c:pt>
                <c:pt idx="18">
                  <c:v>57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84-4820-8450-BE6F011EF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93456"/>
        <c:axId val="513890176"/>
      </c:lineChart>
      <c:catAx>
        <c:axId val="51389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0176"/>
        <c:crosses val="autoZero"/>
        <c:auto val="1"/>
        <c:lblAlgn val="ctr"/>
        <c:lblOffset val="100"/>
        <c:noMultiLvlLbl val="0"/>
      </c:catAx>
      <c:valAx>
        <c:axId val="5138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'Determining Forecast Method'!$T$21</c:f>
              <c:strCache>
                <c:ptCount val="1"/>
                <c:pt idx="0">
                  <c:v>Product 4 - Actual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'Determining Forecast Method'!$T$22:$T$31</c:f>
              <c:numCache>
                <c:formatCode>General</c:formatCode>
                <c:ptCount val="10"/>
                <c:pt idx="0">
                  <c:v>53</c:v>
                </c:pt>
                <c:pt idx="1">
                  <c:v>55</c:v>
                </c:pt>
                <c:pt idx="2">
                  <c:v>58</c:v>
                </c:pt>
                <c:pt idx="3">
                  <c:v>60</c:v>
                </c:pt>
                <c:pt idx="4">
                  <c:v>64</c:v>
                </c:pt>
                <c:pt idx="5">
                  <c:v>66</c:v>
                </c:pt>
                <c:pt idx="6">
                  <c:v>69</c:v>
                </c:pt>
                <c:pt idx="7">
                  <c:v>72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9-4363-8B10-8FACE4D78A48}"/>
            </c:ext>
          </c:extLst>
        </c:ser>
        <c:ser>
          <c:idx val="1"/>
          <c:order val="1"/>
          <c:tx>
            <c:strRef>
              <c:f>'Determining Forecast Method'!$U$21</c:f>
              <c:strCache>
                <c:ptCount val="1"/>
                <c:pt idx="0">
                  <c:v>Forecasted Values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'Determining Forecast Method'!$U$22:$U$31</c:f>
              <c:numCache>
                <c:formatCode>General</c:formatCode>
                <c:ptCount val="10"/>
                <c:pt idx="0">
                  <c:v>50.466666670000002</c:v>
                </c:pt>
                <c:pt idx="1">
                  <c:v>53.660606059999999</c:v>
                </c:pt>
                <c:pt idx="2">
                  <c:v>56.854545450000003</c:v>
                </c:pt>
                <c:pt idx="3">
                  <c:v>60.048484850000001</c:v>
                </c:pt>
                <c:pt idx="4">
                  <c:v>63.242424239999998</c:v>
                </c:pt>
                <c:pt idx="5">
                  <c:v>66.436363639999996</c:v>
                </c:pt>
                <c:pt idx="6">
                  <c:v>69.630303029999993</c:v>
                </c:pt>
                <c:pt idx="7">
                  <c:v>72.824242420000004</c:v>
                </c:pt>
                <c:pt idx="8">
                  <c:v>76.018181819999995</c:v>
                </c:pt>
                <c:pt idx="9">
                  <c:v>79.212121210000006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9-4363-8B10-8FACE4D78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99688"/>
        <c:axId val="22494504"/>
      </c:lineChart>
      <c:catAx>
        <c:axId val="22499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4504"/>
        <c:crosses val="autoZero"/>
        <c:auto val="1"/>
        <c:lblAlgn val="ctr"/>
        <c:lblOffset val="100"/>
        <c:noMultiLvlLbl val="0"/>
      </c:catAx>
      <c:valAx>
        <c:axId val="2249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'Determining Forecast Method'!$Y$21</c:f>
              <c:strCache>
                <c:ptCount val="1"/>
                <c:pt idx="0">
                  <c:v>Product 5 - Actual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'Determining Forecast Method'!$Y$22:$Y$31</c:f>
              <c:numCache>
                <c:formatCode>General</c:formatCode>
                <c:ptCount val="10"/>
                <c:pt idx="0">
                  <c:v>32</c:v>
                </c:pt>
                <c:pt idx="1">
                  <c:v>43</c:v>
                </c:pt>
                <c:pt idx="2">
                  <c:v>37</c:v>
                </c:pt>
                <c:pt idx="3">
                  <c:v>61</c:v>
                </c:pt>
                <c:pt idx="4">
                  <c:v>45</c:v>
                </c:pt>
                <c:pt idx="5">
                  <c:v>48</c:v>
                </c:pt>
                <c:pt idx="6">
                  <c:v>53</c:v>
                </c:pt>
                <c:pt idx="7">
                  <c:v>38</c:v>
                </c:pt>
                <c:pt idx="8">
                  <c:v>57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5-4E4E-8EC7-36B6D4682293}"/>
            </c:ext>
          </c:extLst>
        </c:ser>
        <c:ser>
          <c:idx val="1"/>
          <c:order val="1"/>
          <c:tx>
            <c:strRef>
              <c:f>'Determining Forecast Method'!$Z$21</c:f>
              <c:strCache>
                <c:ptCount val="1"/>
                <c:pt idx="0">
                  <c:v>Forecasted Values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'Determining Forecast Method'!$Z$22:$Z$31</c:f>
              <c:numCache>
                <c:formatCode>General</c:formatCode>
                <c:ptCount val="10"/>
                <c:pt idx="0">
                  <c:v>51.5</c:v>
                </c:pt>
                <c:pt idx="1">
                  <c:v>49.849999999999994</c:v>
                </c:pt>
                <c:pt idx="2">
                  <c:v>52.294999999999995</c:v>
                </c:pt>
                <c:pt idx="3">
                  <c:v>47.706499999999998</c:v>
                </c:pt>
                <c:pt idx="4">
                  <c:v>42.994549999999997</c:v>
                </c:pt>
                <c:pt idx="5">
                  <c:v>44.496184999999997</c:v>
                </c:pt>
                <c:pt idx="6">
                  <c:v>51.247329499999992</c:v>
                </c:pt>
                <c:pt idx="7">
                  <c:v>56.273130649999992</c:v>
                </c:pt>
                <c:pt idx="8">
                  <c:v>54.991191454999992</c:v>
                </c:pt>
                <c:pt idx="9">
                  <c:v>51.09383401849999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5-4E4E-8EC7-36B6D4682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532872"/>
        <c:axId val="1999538488"/>
      </c:lineChart>
      <c:catAx>
        <c:axId val="1999532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38488"/>
        <c:crosses val="autoZero"/>
        <c:auto val="1"/>
        <c:lblAlgn val="ctr"/>
        <c:lblOffset val="100"/>
        <c:noMultiLvlLbl val="0"/>
      </c:catAx>
      <c:valAx>
        <c:axId val="199953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3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'Determining Forecast Method'!$O$21</c:f>
              <c:strCache>
                <c:ptCount val="1"/>
                <c:pt idx="0">
                  <c:v>Product 3 - Actual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'Determining Forecast Method'!$O$22:$O$31</c:f>
              <c:numCache>
                <c:formatCode>General</c:formatCode>
                <c:ptCount val="10"/>
                <c:pt idx="0">
                  <c:v>78</c:v>
                </c:pt>
                <c:pt idx="1">
                  <c:v>67</c:v>
                </c:pt>
                <c:pt idx="2">
                  <c:v>121</c:v>
                </c:pt>
                <c:pt idx="3">
                  <c:v>93</c:v>
                </c:pt>
                <c:pt idx="4">
                  <c:v>84</c:v>
                </c:pt>
                <c:pt idx="5">
                  <c:v>71</c:v>
                </c:pt>
                <c:pt idx="6">
                  <c:v>128</c:v>
                </c:pt>
                <c:pt idx="7">
                  <c:v>99</c:v>
                </c:pt>
                <c:pt idx="8">
                  <c:v>89</c:v>
                </c:pt>
                <c:pt idx="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2-42F6-AD00-75D91D1C102E}"/>
            </c:ext>
          </c:extLst>
        </c:ser>
        <c:ser>
          <c:idx val="1"/>
          <c:order val="1"/>
          <c:tx>
            <c:strRef>
              <c:f>'Determining Forecast Method'!$P$21</c:f>
              <c:strCache>
                <c:ptCount val="1"/>
                <c:pt idx="0">
                  <c:v>Forecasted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'Determining Forecast Method'!$P$22:$P$31</c:f>
              <c:numCache>
                <c:formatCode>0.00</c:formatCode>
                <c:ptCount val="10"/>
                <c:pt idx="0">
                  <c:v>73.204192050000003</c:v>
                </c:pt>
                <c:pt idx="1">
                  <c:v>60.22012376</c:v>
                </c:pt>
                <c:pt idx="2">
                  <c:v>110.71262110000001</c:v>
                </c:pt>
                <c:pt idx="3">
                  <c:v>88.901804530000007</c:v>
                </c:pt>
                <c:pt idx="4">
                  <c:v>76.855725449999994</c:v>
                </c:pt>
                <c:pt idx="5">
                  <c:v>63.186994650000003</c:v>
                </c:pt>
                <c:pt idx="6">
                  <c:v>116.10074659999999</c:v>
                </c:pt>
                <c:pt idx="7">
                  <c:v>93.176439239999993</c:v>
                </c:pt>
                <c:pt idx="8">
                  <c:v>80.507258859999993</c:v>
                </c:pt>
                <c:pt idx="9">
                  <c:v>66.153865550000006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2-42F6-AD00-75D91D1C1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190695"/>
        <c:axId val="1752196311"/>
      </c:lineChart>
      <c:catAx>
        <c:axId val="1752190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96311"/>
        <c:crosses val="autoZero"/>
        <c:auto val="1"/>
        <c:lblAlgn val="ctr"/>
        <c:lblOffset val="100"/>
        <c:noMultiLvlLbl val="0"/>
      </c:catAx>
      <c:valAx>
        <c:axId val="1752196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90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'Determining Forecast Method'!$I$21</c:f>
              <c:strCache>
                <c:ptCount val="1"/>
                <c:pt idx="0">
                  <c:v>Product 2 - Actual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'Determining Forecast Method'!$I$22:$I$31</c:f>
              <c:numCache>
                <c:formatCode>General</c:formatCode>
                <c:ptCount val="10"/>
                <c:pt idx="0">
                  <c:v>162</c:v>
                </c:pt>
                <c:pt idx="1">
                  <c:v>180</c:v>
                </c:pt>
                <c:pt idx="2">
                  <c:v>199</c:v>
                </c:pt>
                <c:pt idx="3">
                  <c:v>220</c:v>
                </c:pt>
                <c:pt idx="4">
                  <c:v>208</c:v>
                </c:pt>
                <c:pt idx="5">
                  <c:v>175</c:v>
                </c:pt>
                <c:pt idx="6">
                  <c:v>140</c:v>
                </c:pt>
                <c:pt idx="7">
                  <c:v>121</c:v>
                </c:pt>
                <c:pt idx="8">
                  <c:v>146</c:v>
                </c:pt>
                <c:pt idx="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8-4AFB-98F8-D3409BD8AD40}"/>
            </c:ext>
          </c:extLst>
        </c:ser>
        <c:ser>
          <c:idx val="1"/>
          <c:order val="1"/>
          <c:tx>
            <c:strRef>
              <c:f>'Determining Forecast Method'!$J$21</c:f>
              <c:strCache>
                <c:ptCount val="1"/>
                <c:pt idx="0">
                  <c:v>Forecasted Values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'Determining Forecast Method'!$J$22:$J$31</c:f>
              <c:numCache>
                <c:formatCode>General</c:formatCode>
                <c:ptCount val="10"/>
                <c:pt idx="0">
                  <c:v>163.96597869999999</c:v>
                </c:pt>
                <c:pt idx="1">
                  <c:v>177.96307440000001</c:v>
                </c:pt>
                <c:pt idx="2">
                  <c:v>199.95851060000001</c:v>
                </c:pt>
                <c:pt idx="3">
                  <c:v>214.95539890000001</c:v>
                </c:pt>
                <c:pt idx="4">
                  <c:v>204.9574734</c:v>
                </c:pt>
                <c:pt idx="5">
                  <c:v>169.96473399999999</c:v>
                </c:pt>
                <c:pt idx="6">
                  <c:v>141.97054249999999</c:v>
                </c:pt>
                <c:pt idx="7">
                  <c:v>118.9753138</c:v>
                </c:pt>
                <c:pt idx="8">
                  <c:v>145.28897370000001</c:v>
                </c:pt>
                <c:pt idx="9">
                  <c:v>163.96597869999999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8-4AFB-98F8-D3409BD8A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528"/>
        <c:axId val="4320120"/>
      </c:lineChart>
      <c:catAx>
        <c:axId val="4317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120"/>
        <c:crosses val="autoZero"/>
        <c:auto val="1"/>
        <c:lblAlgn val="ctr"/>
        <c:lblOffset val="100"/>
        <c:noMultiLvlLbl val="0"/>
      </c:catAx>
      <c:valAx>
        <c:axId val="43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'Determining Forecast Method'!$B$21</c:f>
              <c:strCache>
                <c:ptCount val="1"/>
                <c:pt idx="0">
                  <c:v>Product 1 - Actual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'Determining Forecast Method'!$B$22:$B$31</c:f>
              <c:numCache>
                <c:formatCode>General</c:formatCode>
                <c:ptCount val="10"/>
                <c:pt idx="0">
                  <c:v>120</c:v>
                </c:pt>
                <c:pt idx="1">
                  <c:v>150</c:v>
                </c:pt>
                <c:pt idx="2">
                  <c:v>161</c:v>
                </c:pt>
                <c:pt idx="3">
                  <c:v>143</c:v>
                </c:pt>
                <c:pt idx="4">
                  <c:v>149</c:v>
                </c:pt>
                <c:pt idx="5">
                  <c:v>140</c:v>
                </c:pt>
                <c:pt idx="6">
                  <c:v>142</c:v>
                </c:pt>
                <c:pt idx="7">
                  <c:v>157</c:v>
                </c:pt>
                <c:pt idx="8">
                  <c:v>148</c:v>
                </c:pt>
                <c:pt idx="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B-454B-B9C3-15AA5E83EB75}"/>
            </c:ext>
          </c:extLst>
        </c:ser>
        <c:ser>
          <c:idx val="1"/>
          <c:order val="1"/>
          <c:tx>
            <c:strRef>
              <c:f>'Determining Forecast Method'!$C$21</c:f>
              <c:strCache>
                <c:ptCount val="1"/>
                <c:pt idx="0">
                  <c:v>Forecasted Values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'Determining Forecast Method'!$C$22:$C$31</c:f>
              <c:numCache>
                <c:formatCode>General</c:formatCode>
                <c:ptCount val="10"/>
                <c:pt idx="0">
                  <c:v>139</c:v>
                </c:pt>
                <c:pt idx="1">
                  <c:v>151.79999999999998</c:v>
                </c:pt>
                <c:pt idx="2">
                  <c:v>146.35999999999999</c:v>
                </c:pt>
                <c:pt idx="3">
                  <c:v>150.87200000000001</c:v>
                </c:pt>
                <c:pt idx="4">
                  <c:v>154.17439999999999</c:v>
                </c:pt>
                <c:pt idx="5">
                  <c:v>146.83488</c:v>
                </c:pt>
                <c:pt idx="6">
                  <c:v>146.96697599999999</c:v>
                </c:pt>
                <c:pt idx="7">
                  <c:v>137.39339519999999</c:v>
                </c:pt>
                <c:pt idx="8">
                  <c:v>137.07867904</c:v>
                </c:pt>
                <c:pt idx="9">
                  <c:v>139.41573580799999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B-454B-B9C3-15AA5E83E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480472"/>
        <c:axId val="1527492568"/>
      </c:lineChart>
      <c:catAx>
        <c:axId val="152748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92568"/>
        <c:crosses val="autoZero"/>
        <c:auto val="1"/>
        <c:lblAlgn val="ctr"/>
        <c:lblOffset val="100"/>
        <c:noMultiLvlLbl val="0"/>
      </c:catAx>
      <c:valAx>
        <c:axId val="15274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8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555172</xdr:colOff>
      <xdr:row>3</xdr:row>
      <xdr:rowOff>108856</xdr:rowOff>
    </xdr:from>
    <xdr:to>
      <xdr:col>19</xdr:col>
      <xdr:colOff>10885</xdr:colOff>
      <xdr:row>21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B7430A-6BB1-41DA-87EC-CEE866DC4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34</xdr:row>
      <xdr:rowOff>76200</xdr:rowOff>
    </xdr:from>
    <xdr:to>
      <xdr:col>21</xdr:col>
      <xdr:colOff>1143000</xdr:colOff>
      <xdr:row>48</xdr:row>
      <xdr:rowOff>66675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7EEED0F-561A-4F84-AC32-169019E398F1}"/>
            </a:ext>
            <a:ext uri="{147F2762-F138-4A5C-976F-8EAC2B608ADB}">
              <a16:predDERef xmlns:a16="http://schemas.microsoft.com/office/drawing/2014/main" pred="{12ABCAF7-2041-47DF-BA8B-6A1CC72B4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428625</xdr:colOff>
      <xdr:row>34</xdr:row>
      <xdr:rowOff>104775</xdr:rowOff>
    </xdr:from>
    <xdr:to>
      <xdr:col>27</xdr:col>
      <xdr:colOff>161925</xdr:colOff>
      <xdr:row>48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8497D-5B5A-4D4B-BE06-245DE9E1676B}"/>
            </a:ext>
            <a:ext uri="{147F2762-F138-4A5C-976F-8EAC2B608ADB}">
              <a16:predDERef xmlns:a16="http://schemas.microsoft.com/office/drawing/2014/main" pred="{17EEED0F-561A-4F84-AC32-169019E39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34</xdr:row>
      <xdr:rowOff>161925</xdr:rowOff>
    </xdr:from>
    <xdr:to>
      <xdr:col>17</xdr:col>
      <xdr:colOff>142875</xdr:colOff>
      <xdr:row>48</xdr:row>
      <xdr:rowOff>152400</xdr:rowOff>
    </xdr:to>
    <xdr:graphicFrame macro="">
      <xdr:nvGraphicFramePr>
        <xdr:cNvPr id="8" name="Chart 5">
          <a:extLst>
            <a:ext uri="{FF2B5EF4-FFF2-40B4-BE49-F238E27FC236}">
              <a16:creationId xmlns:a16="http://schemas.microsoft.com/office/drawing/2014/main" id="{0D7769C3-E6D0-487C-BE24-C5F27C3C8348}"/>
            </a:ext>
            <a:ext uri="{147F2762-F138-4A5C-976F-8EAC2B608ADB}">
              <a16:predDERef xmlns:a16="http://schemas.microsoft.com/office/drawing/2014/main" pred="{6BF8497D-5B5A-4D4B-BE06-245DE9E16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152400</xdr:colOff>
      <xdr:row>34</xdr:row>
      <xdr:rowOff>133350</xdr:rowOff>
    </xdr:from>
    <xdr:to>
      <xdr:col>11</xdr:col>
      <xdr:colOff>180975</xdr:colOff>
      <xdr:row>48</xdr:row>
      <xdr:rowOff>123825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2C6CBC96-715C-477D-ABC3-2F24D632C9A3}"/>
            </a:ext>
            <a:ext uri="{147F2762-F138-4A5C-976F-8EAC2B608ADB}">
              <a16:predDERef xmlns:a16="http://schemas.microsoft.com/office/drawing/2014/main" pred="{0D7769C3-E6D0-487C-BE24-C5F27C3C8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34</xdr:row>
      <xdr:rowOff>152400</xdr:rowOff>
    </xdr:from>
    <xdr:to>
      <xdr:col>4</xdr:col>
      <xdr:colOff>200025</xdr:colOff>
      <xdr:row>48</xdr:row>
      <xdr:rowOff>142875</xdr:rowOff>
    </xdr:to>
    <xdr:graphicFrame macro="">
      <xdr:nvGraphicFramePr>
        <xdr:cNvPr id="11" name="Chart 5">
          <a:extLst>
            <a:ext uri="{FF2B5EF4-FFF2-40B4-BE49-F238E27FC236}">
              <a16:creationId xmlns:a16="http://schemas.microsoft.com/office/drawing/2014/main" id="{49282DAD-B394-4ECA-BEBB-6350A859A6AC}"/>
            </a:ext>
            <a:ext uri="{147F2762-F138-4A5C-976F-8EAC2B608ADB}">
              <a16:predDERef xmlns:a16="http://schemas.microsoft.com/office/drawing/2014/main" pred="{2C6CBC96-715C-477D-ABC3-2F24D632C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zoomScale="70" zoomScaleNormal="70" zoomScalePageLayoutView="70" workbookViewId="0">
      <selection activeCell="D28" sqref="D28"/>
    </sheetView>
  </sheetViews>
  <sheetFormatPr defaultColWidth="9.109375" defaultRowHeight="15.6" x14ac:dyDescent="0.3"/>
  <cols>
    <col min="1" max="1" width="23.109375" style="1" bestFit="1" customWidth="1"/>
    <col min="2" max="2" width="23.33203125" style="1" bestFit="1" customWidth="1"/>
    <col min="3" max="3" width="23.6640625" style="1" bestFit="1" customWidth="1"/>
    <col min="4" max="4" width="23.5546875" style="1" customWidth="1"/>
    <col min="5" max="5" width="19" style="1" bestFit="1" customWidth="1"/>
    <col min="6" max="6" width="23.33203125" style="1" bestFit="1" customWidth="1"/>
    <col min="7" max="22" width="9.109375" style="1"/>
    <col min="23" max="23" width="10.33203125" style="1" bestFit="1" customWidth="1"/>
    <col min="24" max="16384" width="9.109375" style="1"/>
  </cols>
  <sheetData>
    <row r="1" spans="1:27" x14ac:dyDescent="0.3">
      <c r="A1" s="119" t="s">
        <v>0</v>
      </c>
      <c r="B1" s="30" t="s">
        <v>1</v>
      </c>
      <c r="C1" s="10" t="s">
        <v>2</v>
      </c>
      <c r="D1" s="19" t="s">
        <v>3</v>
      </c>
      <c r="E1" s="26" t="s">
        <v>4</v>
      </c>
      <c r="F1" s="34" t="s">
        <v>1</v>
      </c>
      <c r="I1" s="133"/>
      <c r="J1" s="133"/>
      <c r="K1" s="133"/>
      <c r="L1" s="133"/>
      <c r="M1" s="133"/>
    </row>
    <row r="2" spans="1:27" x14ac:dyDescent="0.3">
      <c r="A2" s="120" t="s">
        <v>5</v>
      </c>
      <c r="B2" s="121" t="s">
        <v>6</v>
      </c>
      <c r="C2" s="122" t="s">
        <v>7</v>
      </c>
      <c r="D2" s="123" t="s">
        <v>8</v>
      </c>
      <c r="E2" s="124" t="s">
        <v>9</v>
      </c>
      <c r="F2" s="125" t="s">
        <v>10</v>
      </c>
      <c r="H2" s="119"/>
      <c r="I2" s="119"/>
      <c r="J2" s="119"/>
      <c r="K2" s="119"/>
      <c r="L2" s="119"/>
      <c r="M2" s="119"/>
      <c r="O2" s="119"/>
      <c r="P2" s="119"/>
      <c r="Q2" s="119"/>
      <c r="R2" s="119"/>
      <c r="S2" s="119"/>
      <c r="T2" s="119"/>
      <c r="V2" s="119"/>
      <c r="W2" s="119"/>
      <c r="X2" s="119"/>
      <c r="Y2" s="119"/>
      <c r="Z2" s="119"/>
      <c r="AA2" s="119"/>
    </row>
    <row r="3" spans="1:27" x14ac:dyDescent="0.3">
      <c r="A3" s="126">
        <v>1</v>
      </c>
      <c r="B3" s="126">
        <v>140</v>
      </c>
      <c r="C3" s="126">
        <v>145</v>
      </c>
      <c r="D3" s="126">
        <v>100</v>
      </c>
      <c r="E3" s="126">
        <v>18</v>
      </c>
      <c r="F3" s="126">
        <v>55</v>
      </c>
    </row>
    <row r="4" spans="1:27" x14ac:dyDescent="0.3">
      <c r="A4" s="126">
        <v>2</v>
      </c>
      <c r="B4" s="126">
        <v>155</v>
      </c>
      <c r="C4" s="126">
        <v>164</v>
      </c>
      <c r="D4" s="126">
        <v>82</v>
      </c>
      <c r="E4" s="126">
        <v>22</v>
      </c>
      <c r="F4" s="126">
        <v>46</v>
      </c>
    </row>
    <row r="5" spans="1:27" x14ac:dyDescent="0.3">
      <c r="A5" s="126">
        <v>3</v>
      </c>
      <c r="B5" s="126">
        <v>145</v>
      </c>
      <c r="C5" s="126">
        <v>178</v>
      </c>
      <c r="D5" s="126">
        <v>70</v>
      </c>
      <c r="E5" s="126">
        <v>25</v>
      </c>
      <c r="F5" s="126">
        <v>58</v>
      </c>
    </row>
    <row r="6" spans="1:27" x14ac:dyDescent="0.3">
      <c r="A6" s="126">
        <v>4</v>
      </c>
      <c r="B6" s="126">
        <v>152</v>
      </c>
      <c r="C6" s="126">
        <v>200</v>
      </c>
      <c r="D6" s="126">
        <v>55</v>
      </c>
      <c r="E6" s="126">
        <v>27</v>
      </c>
      <c r="F6" s="126">
        <v>37</v>
      </c>
    </row>
    <row r="7" spans="1:27" x14ac:dyDescent="0.3">
      <c r="A7" s="126">
        <v>5</v>
      </c>
      <c r="B7" s="126">
        <v>155</v>
      </c>
      <c r="C7" s="126">
        <v>215</v>
      </c>
      <c r="D7" s="126">
        <v>110</v>
      </c>
      <c r="E7" s="126">
        <v>32</v>
      </c>
      <c r="F7" s="126">
        <v>32</v>
      </c>
    </row>
    <row r="8" spans="1:27" x14ac:dyDescent="0.3">
      <c r="A8" s="126">
        <v>6</v>
      </c>
      <c r="B8" s="126">
        <v>145</v>
      </c>
      <c r="C8" s="126">
        <v>205</v>
      </c>
      <c r="D8" s="126">
        <v>85</v>
      </c>
      <c r="E8" s="126">
        <v>35</v>
      </c>
      <c r="F8" s="126">
        <v>48</v>
      </c>
    </row>
    <row r="9" spans="1:27" x14ac:dyDescent="0.3">
      <c r="A9" s="126">
        <v>7</v>
      </c>
      <c r="B9" s="126">
        <v>147</v>
      </c>
      <c r="C9" s="126">
        <v>170</v>
      </c>
      <c r="D9" s="126">
        <v>74</v>
      </c>
      <c r="E9" s="126">
        <v>39</v>
      </c>
      <c r="F9" s="126">
        <v>67</v>
      </c>
    </row>
    <row r="10" spans="1:27" x14ac:dyDescent="0.3">
      <c r="A10" s="126">
        <v>8</v>
      </c>
      <c r="B10" s="126">
        <v>135</v>
      </c>
      <c r="C10" s="126">
        <v>142</v>
      </c>
      <c r="D10" s="126">
        <v>62</v>
      </c>
      <c r="E10" s="126">
        <v>41</v>
      </c>
      <c r="F10" s="126">
        <v>68</v>
      </c>
    </row>
    <row r="11" spans="1:27" x14ac:dyDescent="0.3">
      <c r="A11" s="126">
        <v>9</v>
      </c>
      <c r="B11" s="126">
        <v>137</v>
      </c>
      <c r="C11" s="126">
        <v>119</v>
      </c>
      <c r="D11" s="126">
        <v>115</v>
      </c>
      <c r="E11" s="126">
        <v>43</v>
      </c>
      <c r="F11" s="126">
        <v>52</v>
      </c>
    </row>
    <row r="12" spans="1:27" x14ac:dyDescent="0.3">
      <c r="A12" s="126">
        <v>10</v>
      </c>
      <c r="B12" s="126">
        <v>140</v>
      </c>
      <c r="C12" s="126">
        <v>147</v>
      </c>
      <c r="D12" s="126">
        <v>88</v>
      </c>
      <c r="E12" s="126">
        <v>47</v>
      </c>
      <c r="F12" s="126">
        <v>42</v>
      </c>
    </row>
    <row r="13" spans="1:27" x14ac:dyDescent="0.3">
      <c r="A13" s="126">
        <v>11</v>
      </c>
      <c r="B13" s="127">
        <v>120</v>
      </c>
      <c r="C13" s="127">
        <v>162</v>
      </c>
      <c r="D13" s="126">
        <v>78</v>
      </c>
      <c r="E13" s="126">
        <v>53</v>
      </c>
      <c r="F13" s="126">
        <v>32</v>
      </c>
    </row>
    <row r="14" spans="1:27" x14ac:dyDescent="0.3">
      <c r="A14" s="126">
        <v>12</v>
      </c>
      <c r="B14" s="127">
        <v>150</v>
      </c>
      <c r="C14" s="127">
        <v>180</v>
      </c>
      <c r="D14" s="126">
        <v>67</v>
      </c>
      <c r="E14" s="126">
        <v>55</v>
      </c>
      <c r="F14" s="126">
        <v>43</v>
      </c>
    </row>
    <row r="15" spans="1:27" x14ac:dyDescent="0.3">
      <c r="A15" s="126">
        <v>13</v>
      </c>
      <c r="B15" s="127">
        <v>161</v>
      </c>
      <c r="C15" s="127">
        <v>199</v>
      </c>
      <c r="D15" s="126">
        <v>121</v>
      </c>
      <c r="E15" s="126">
        <v>58</v>
      </c>
      <c r="F15" s="126">
        <v>37</v>
      </c>
    </row>
    <row r="16" spans="1:27" x14ac:dyDescent="0.3">
      <c r="A16" s="126">
        <v>14</v>
      </c>
      <c r="B16" s="127">
        <v>143</v>
      </c>
      <c r="C16" s="127">
        <v>220</v>
      </c>
      <c r="D16" s="126">
        <v>93</v>
      </c>
      <c r="E16" s="126">
        <v>60</v>
      </c>
      <c r="F16" s="126">
        <v>61</v>
      </c>
    </row>
    <row r="17" spans="1:6" x14ac:dyDescent="0.3">
      <c r="A17" s="126">
        <v>15</v>
      </c>
      <c r="B17" s="127">
        <v>149</v>
      </c>
      <c r="C17" s="127">
        <v>208</v>
      </c>
      <c r="D17" s="126">
        <v>84</v>
      </c>
      <c r="E17" s="126">
        <v>64</v>
      </c>
      <c r="F17" s="126">
        <v>45</v>
      </c>
    </row>
    <row r="18" spans="1:6" x14ac:dyDescent="0.3">
      <c r="A18" s="126">
        <v>16</v>
      </c>
      <c r="B18" s="127">
        <v>140</v>
      </c>
      <c r="C18" s="127">
        <v>175</v>
      </c>
      <c r="D18" s="126">
        <v>71</v>
      </c>
      <c r="E18" s="126">
        <v>66</v>
      </c>
      <c r="F18" s="126">
        <v>48</v>
      </c>
    </row>
    <row r="19" spans="1:6" x14ac:dyDescent="0.3">
      <c r="A19" s="126">
        <v>17</v>
      </c>
      <c r="B19" s="127">
        <v>142</v>
      </c>
      <c r="C19" s="127">
        <v>140</v>
      </c>
      <c r="D19" s="126">
        <v>128</v>
      </c>
      <c r="E19" s="126">
        <v>69</v>
      </c>
      <c r="F19" s="126">
        <v>53</v>
      </c>
    </row>
    <row r="20" spans="1:6" x14ac:dyDescent="0.3">
      <c r="A20" s="126">
        <v>18</v>
      </c>
      <c r="B20" s="127">
        <v>157</v>
      </c>
      <c r="C20" s="127">
        <v>121</v>
      </c>
      <c r="D20" s="126">
        <v>99</v>
      </c>
      <c r="E20" s="126">
        <v>72</v>
      </c>
      <c r="F20" s="126">
        <v>38</v>
      </c>
    </row>
    <row r="21" spans="1:6" x14ac:dyDescent="0.3">
      <c r="A21" s="126">
        <v>19</v>
      </c>
      <c r="B21" s="127">
        <v>148</v>
      </c>
      <c r="C21" s="127">
        <v>146</v>
      </c>
      <c r="D21" s="126">
        <v>89</v>
      </c>
      <c r="E21" s="126">
        <v>75</v>
      </c>
      <c r="F21" s="126">
        <v>57</v>
      </c>
    </row>
    <row r="22" spans="1:6" x14ac:dyDescent="0.3">
      <c r="A22" s="126">
        <v>20</v>
      </c>
      <c r="B22" s="127">
        <v>144</v>
      </c>
      <c r="C22" s="127">
        <v>160</v>
      </c>
      <c r="D22" s="126">
        <v>77</v>
      </c>
      <c r="E22" s="126">
        <v>79</v>
      </c>
      <c r="F22" s="126">
        <v>40</v>
      </c>
    </row>
  </sheetData>
  <mergeCells count="1">
    <mergeCell ref="I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7"/>
  <sheetViews>
    <sheetView zoomScale="55" zoomScaleNormal="55" zoomScalePageLayoutView="55" workbookViewId="0">
      <selection activeCell="L17" sqref="L17"/>
    </sheetView>
  </sheetViews>
  <sheetFormatPr defaultColWidth="8.88671875" defaultRowHeight="13.8" x14ac:dyDescent="0.25"/>
  <cols>
    <col min="1" max="1" width="18.88671875" style="3" customWidth="1"/>
    <col min="2" max="2" width="18" style="3" customWidth="1"/>
    <col min="3" max="3" width="22.109375" style="3" customWidth="1"/>
    <col min="4" max="4" width="12.44140625" style="3" bestFit="1" customWidth="1"/>
    <col min="5" max="5" width="12.5546875" style="3" bestFit="1" customWidth="1"/>
    <col min="6" max="6" width="9.109375" style="3" customWidth="1"/>
    <col min="7" max="7" width="9.109375" style="3" bestFit="1" customWidth="1"/>
    <col min="8" max="8" width="18.109375" style="3" customWidth="1"/>
    <col min="9" max="9" width="17.109375" style="3" customWidth="1"/>
    <col min="10" max="10" width="23.109375" style="3" bestFit="1" customWidth="1"/>
    <col min="11" max="11" width="12.88671875" style="3" customWidth="1"/>
    <col min="12" max="13" width="17.88671875" style="3" customWidth="1"/>
    <col min="14" max="14" width="20.88671875" style="3" bestFit="1" customWidth="1"/>
    <col min="15" max="15" width="32.88671875" style="3" bestFit="1" customWidth="1"/>
    <col min="16" max="16" width="23.109375" style="3" bestFit="1" customWidth="1"/>
    <col min="17" max="18" width="18.109375" style="3" customWidth="1"/>
    <col min="19" max="19" width="20" style="3" customWidth="1"/>
    <col min="20" max="20" width="18" style="3" customWidth="1"/>
    <col min="21" max="21" width="20.33203125" style="3" customWidth="1"/>
    <col min="22" max="23" width="17.88671875" style="3" customWidth="1"/>
    <col min="24" max="24" width="18.5546875" style="3" customWidth="1"/>
    <col min="25" max="25" width="32.88671875" style="3" bestFit="1" customWidth="1"/>
    <col min="26" max="26" width="20.33203125" style="3" customWidth="1"/>
    <col min="27" max="27" width="12.33203125" style="3" customWidth="1"/>
    <col min="28" max="29" width="9.109375" style="3" bestFit="1" customWidth="1"/>
    <col min="30" max="33" width="8.88671875" style="3"/>
    <col min="34" max="34" width="9.109375" style="3" bestFit="1" customWidth="1"/>
    <col min="35" max="16384" width="8.88671875" style="3"/>
  </cols>
  <sheetData>
    <row r="1" spans="1:33" ht="48.75" customHeight="1" x14ac:dyDescent="0.25">
      <c r="A1" s="12" t="s">
        <v>11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33" ht="20.25" customHeight="1" x14ac:dyDescent="0.25">
      <c r="A2" s="9"/>
      <c r="B2" s="9"/>
      <c r="C2" s="9"/>
      <c r="D2" s="9"/>
      <c r="E2" s="9"/>
      <c r="F2" s="13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33" ht="15.6" x14ac:dyDescent="0.3">
      <c r="A3" s="30" t="s">
        <v>5</v>
      </c>
      <c r="B3" s="30" t="s">
        <v>6</v>
      </c>
      <c r="C3" s="31" t="s">
        <v>12</v>
      </c>
      <c r="D3" s="32"/>
      <c r="E3" s="32" t="s">
        <v>13</v>
      </c>
      <c r="F3" s="7"/>
      <c r="H3" s="10" t="s">
        <v>5</v>
      </c>
      <c r="I3" s="10" t="s">
        <v>7</v>
      </c>
      <c r="J3" s="23" t="s">
        <v>12</v>
      </c>
      <c r="K3" s="11"/>
      <c r="L3" s="11" t="s">
        <v>14</v>
      </c>
      <c r="M3" s="7"/>
      <c r="N3" s="19" t="s">
        <v>5</v>
      </c>
      <c r="O3" s="19" t="s">
        <v>8</v>
      </c>
      <c r="P3" s="25" t="s">
        <v>12</v>
      </c>
      <c r="Q3" s="20" t="s">
        <v>14</v>
      </c>
      <c r="R3" s="7"/>
      <c r="S3" s="26" t="s">
        <v>5</v>
      </c>
      <c r="T3" s="26" t="s">
        <v>9</v>
      </c>
      <c r="U3" s="27" t="s">
        <v>12</v>
      </c>
      <c r="V3" s="28" t="s">
        <v>14</v>
      </c>
      <c r="X3" s="34" t="s">
        <v>5</v>
      </c>
      <c r="Y3" s="34" t="s">
        <v>10</v>
      </c>
      <c r="Z3" s="35" t="s">
        <v>12</v>
      </c>
      <c r="AA3" s="36" t="s">
        <v>14</v>
      </c>
    </row>
    <row r="4" spans="1:33" ht="15.6" x14ac:dyDescent="0.3">
      <c r="A4" s="14">
        <v>1</v>
      </c>
      <c r="B4" s="14">
        <v>140</v>
      </c>
      <c r="C4" s="7">
        <v>135</v>
      </c>
      <c r="D4" s="7"/>
      <c r="E4" s="7">
        <v>144</v>
      </c>
      <c r="F4" s="7"/>
      <c r="H4" s="15">
        <v>1</v>
      </c>
      <c r="I4" s="14">
        <v>145</v>
      </c>
      <c r="J4" s="7">
        <v>163.96597869999999</v>
      </c>
      <c r="K4" s="7"/>
      <c r="L4" s="7">
        <v>177.96307400000001</v>
      </c>
      <c r="M4" s="7"/>
      <c r="N4" s="6">
        <v>1</v>
      </c>
      <c r="O4" s="1">
        <v>100</v>
      </c>
      <c r="P4" s="2">
        <v>73.204192050000003</v>
      </c>
      <c r="Q4" s="3">
        <v>121.48887206491582</v>
      </c>
      <c r="R4" s="7"/>
      <c r="S4" s="6">
        <v>1</v>
      </c>
      <c r="T4" s="1">
        <v>18</v>
      </c>
      <c r="U4" s="24">
        <v>50.466666670000002</v>
      </c>
      <c r="V4" s="3">
        <v>82.40606060606062</v>
      </c>
      <c r="X4" s="6">
        <v>1</v>
      </c>
      <c r="Y4" s="1">
        <v>55</v>
      </c>
      <c r="Z4" s="3">
        <v>50</v>
      </c>
      <c r="AA4" s="3">
        <v>47.562192379969538</v>
      </c>
      <c r="AG4" s="1"/>
    </row>
    <row r="5" spans="1:33" ht="15.6" x14ac:dyDescent="0.3">
      <c r="A5" s="14">
        <v>2</v>
      </c>
      <c r="B5" s="14">
        <v>155</v>
      </c>
      <c r="C5" s="7">
        <f>($C$17*B4)+((1-$C$17)*C4)</f>
        <v>139</v>
      </c>
      <c r="D5" s="7"/>
      <c r="E5" s="7">
        <v>143</v>
      </c>
      <c r="F5" s="7"/>
      <c r="H5" s="15">
        <v>2</v>
      </c>
      <c r="I5" s="14">
        <v>164</v>
      </c>
      <c r="J5" s="7">
        <v>177.96307440000001</v>
      </c>
      <c r="K5" s="7"/>
      <c r="L5" s="7">
        <v>199.95851099999999</v>
      </c>
      <c r="M5" s="7"/>
      <c r="N5" s="6">
        <v>2</v>
      </c>
      <c r="O5" s="1">
        <v>82</v>
      </c>
      <c r="P5" s="2">
        <v>60.22012376</v>
      </c>
      <c r="Q5" s="3">
        <v>97.451073958608703</v>
      </c>
      <c r="R5" s="7"/>
      <c r="S5" s="6">
        <v>2</v>
      </c>
      <c r="T5" s="1">
        <v>22</v>
      </c>
      <c r="U5" s="24">
        <v>53.660606059999999</v>
      </c>
      <c r="V5" s="3">
        <v>85.600000000000009</v>
      </c>
      <c r="X5" s="6">
        <v>2</v>
      </c>
      <c r="Y5" s="1">
        <v>46</v>
      </c>
      <c r="Z5" s="3">
        <f>($Y$17*Y4)+((1-$Y$17)*Z4)</f>
        <v>51.5</v>
      </c>
      <c r="AA5" s="3">
        <v>49.737315427981727</v>
      </c>
      <c r="AG5" s="1"/>
    </row>
    <row r="6" spans="1:33" ht="15.6" x14ac:dyDescent="0.3">
      <c r="A6" s="14">
        <v>3</v>
      </c>
      <c r="B6" s="14">
        <v>145</v>
      </c>
      <c r="C6" s="7">
        <f t="shared" ref="C6:C14" si="0">($C$17*B5)+((1-$C$17)*C5)</f>
        <v>151.79999999999998</v>
      </c>
      <c r="D6" s="7"/>
      <c r="E6" s="7">
        <v>150</v>
      </c>
      <c r="F6" s="7"/>
      <c r="H6" s="15">
        <v>3</v>
      </c>
      <c r="I6" s="14">
        <v>178</v>
      </c>
      <c r="J6" s="7">
        <v>199.95851060000001</v>
      </c>
      <c r="K6" s="7"/>
      <c r="L6" s="7">
        <v>214.955399</v>
      </c>
      <c r="M6" s="7"/>
      <c r="N6" s="6">
        <v>3</v>
      </c>
      <c r="O6" s="1">
        <v>70</v>
      </c>
      <c r="P6" s="2">
        <v>110.71262110000001</v>
      </c>
      <c r="Q6" s="3">
        <v>84.158792268099759</v>
      </c>
      <c r="R6" s="7"/>
      <c r="S6" s="6">
        <v>3</v>
      </c>
      <c r="T6" s="1">
        <v>25</v>
      </c>
      <c r="U6" s="24">
        <v>56.854545450000003</v>
      </c>
      <c r="V6" s="3">
        <v>88.793939393939411</v>
      </c>
      <c r="X6" s="6">
        <v>3</v>
      </c>
      <c r="Y6" s="1">
        <v>58</v>
      </c>
      <c r="Z6" s="3">
        <f t="shared" ref="Z6:Z14" si="1">($Y$17*Y5)+((1-$Y$17)*Z5)</f>
        <v>49.849999999999994</v>
      </c>
      <c r="AA6" s="3">
        <v>45.042389256789036</v>
      </c>
      <c r="AG6" s="1"/>
    </row>
    <row r="7" spans="1:33" ht="15.6" x14ac:dyDescent="0.3">
      <c r="A7" s="14">
        <v>4</v>
      </c>
      <c r="B7" s="14">
        <v>152</v>
      </c>
      <c r="C7" s="7">
        <f t="shared" si="0"/>
        <v>146.35999999999999</v>
      </c>
      <c r="D7" s="7"/>
      <c r="E7" s="7">
        <v>149</v>
      </c>
      <c r="F7" s="7"/>
      <c r="H7" s="15">
        <v>4</v>
      </c>
      <c r="I7" s="14">
        <v>200</v>
      </c>
      <c r="J7" s="7">
        <v>214.95539890000001</v>
      </c>
      <c r="K7" s="7"/>
      <c r="L7" s="7">
        <v>204.95747299999999</v>
      </c>
      <c r="M7" s="7"/>
      <c r="N7" s="6">
        <v>4</v>
      </c>
      <c r="O7" s="1">
        <v>55</v>
      </c>
      <c r="P7" s="2">
        <v>88.901804530000007</v>
      </c>
      <c r="Q7" s="3">
        <v>69.120736441204372</v>
      </c>
      <c r="R7" s="7"/>
      <c r="S7" s="6">
        <v>4</v>
      </c>
      <c r="T7" s="1">
        <v>27</v>
      </c>
      <c r="U7" s="24">
        <v>60.048484850000001</v>
      </c>
      <c r="V7" s="3">
        <v>91.987878787878799</v>
      </c>
      <c r="X7" s="6">
        <v>4</v>
      </c>
      <c r="Y7" s="1">
        <v>37</v>
      </c>
      <c r="Z7" s="3">
        <f t="shared" si="1"/>
        <v>52.294999999999995</v>
      </c>
      <c r="AA7" s="3">
        <v>49.82543355407342</v>
      </c>
      <c r="AG7" s="1"/>
    </row>
    <row r="8" spans="1:33" ht="15.6" x14ac:dyDescent="0.3">
      <c r="A8" s="14">
        <v>5</v>
      </c>
      <c r="B8" s="14">
        <v>155</v>
      </c>
      <c r="C8" s="7">
        <f t="shared" si="0"/>
        <v>150.87200000000001</v>
      </c>
      <c r="D8" s="7"/>
      <c r="E8" s="7">
        <v>146</v>
      </c>
      <c r="F8" s="7"/>
      <c r="H8" s="15">
        <v>5</v>
      </c>
      <c r="I8" s="14">
        <v>215</v>
      </c>
      <c r="J8" s="7">
        <v>204.9574734</v>
      </c>
      <c r="K8" s="7"/>
      <c r="L8" s="7">
        <v>169.96473399999999</v>
      </c>
      <c r="M8" s="7"/>
      <c r="N8" s="6">
        <v>5</v>
      </c>
      <c r="O8" s="1">
        <v>110</v>
      </c>
      <c r="P8" s="2">
        <v>76.855725449999994</v>
      </c>
      <c r="Q8" s="3">
        <v>126.87699757018413</v>
      </c>
      <c r="R8" s="7"/>
      <c r="S8" s="6">
        <v>5</v>
      </c>
      <c r="T8" s="1">
        <v>32</v>
      </c>
      <c r="U8" s="24">
        <v>63.242424239999998</v>
      </c>
      <c r="V8" s="3">
        <v>95.181818181818201</v>
      </c>
      <c r="X8" s="6">
        <v>5</v>
      </c>
      <c r="Y8" s="1">
        <v>32</v>
      </c>
      <c r="Z8" s="3">
        <f t="shared" si="1"/>
        <v>47.706499999999998</v>
      </c>
      <c r="AA8" s="3">
        <v>45.895260132444051</v>
      </c>
      <c r="AG8" s="1"/>
    </row>
    <row r="9" spans="1:33" ht="15.6" x14ac:dyDescent="0.3">
      <c r="A9" s="14">
        <v>6</v>
      </c>
      <c r="B9" s="14">
        <v>145</v>
      </c>
      <c r="C9" s="7">
        <f t="shared" si="0"/>
        <v>154.17439999999999</v>
      </c>
      <c r="D9" s="7"/>
      <c r="E9" s="7"/>
      <c r="F9" s="7"/>
      <c r="H9" s="15">
        <v>6</v>
      </c>
      <c r="I9" s="14">
        <v>205</v>
      </c>
      <c r="J9" s="7">
        <v>169.96473399999999</v>
      </c>
      <c r="K9" s="7"/>
      <c r="L9" s="7"/>
      <c r="M9" s="7"/>
      <c r="N9" s="6">
        <v>6</v>
      </c>
      <c r="O9" s="1">
        <v>85</v>
      </c>
      <c r="P9" s="2">
        <v>63.186994650000003</v>
      </c>
      <c r="R9" s="7"/>
      <c r="S9" s="6">
        <v>6</v>
      </c>
      <c r="T9" s="1">
        <v>35</v>
      </c>
      <c r="U9" s="24">
        <v>66.436363639999996</v>
      </c>
      <c r="X9" s="6">
        <v>6</v>
      </c>
      <c r="Y9" s="1">
        <v>48</v>
      </c>
      <c r="Z9" s="3">
        <f t="shared" si="1"/>
        <v>42.994549999999997</v>
      </c>
      <c r="AG9" s="1"/>
    </row>
    <row r="10" spans="1:33" ht="15.6" x14ac:dyDescent="0.3">
      <c r="A10" s="14">
        <v>7</v>
      </c>
      <c r="B10" s="14">
        <v>147</v>
      </c>
      <c r="C10" s="7">
        <f>($C$17*B9)+((1-$C$17)*C9)</f>
        <v>146.83488</v>
      </c>
      <c r="D10" s="7"/>
      <c r="E10" s="7"/>
      <c r="F10" s="7"/>
      <c r="H10" s="15">
        <v>7</v>
      </c>
      <c r="I10" s="14">
        <v>170</v>
      </c>
      <c r="J10" s="7">
        <v>141.97054249999999</v>
      </c>
      <c r="K10" s="7"/>
      <c r="L10" s="7"/>
      <c r="M10" s="7"/>
      <c r="N10" s="6">
        <v>7</v>
      </c>
      <c r="O10" s="1">
        <v>74</v>
      </c>
      <c r="P10" s="2">
        <v>116.10074659999999</v>
      </c>
      <c r="R10" s="7"/>
      <c r="S10" s="6">
        <v>7</v>
      </c>
      <c r="T10" s="1">
        <v>39</v>
      </c>
      <c r="U10" s="24">
        <v>69.630303029999993</v>
      </c>
      <c r="X10" s="6">
        <v>7</v>
      </c>
      <c r="Y10" s="1">
        <v>67</v>
      </c>
      <c r="Z10" s="3">
        <f t="shared" si="1"/>
        <v>44.496184999999997</v>
      </c>
      <c r="AG10" s="1"/>
    </row>
    <row r="11" spans="1:33" ht="15.6" x14ac:dyDescent="0.3">
      <c r="A11" s="14">
        <v>8</v>
      </c>
      <c r="B11" s="14">
        <v>135</v>
      </c>
      <c r="C11" s="7">
        <f t="shared" si="0"/>
        <v>146.96697599999999</v>
      </c>
      <c r="D11" s="7"/>
      <c r="E11" s="7"/>
      <c r="F11" s="7"/>
      <c r="H11" s="15">
        <v>8</v>
      </c>
      <c r="I11" s="14">
        <v>142</v>
      </c>
      <c r="J11" s="7">
        <v>118.9753138</v>
      </c>
      <c r="K11" s="7"/>
      <c r="L11" s="7"/>
      <c r="M11" s="7"/>
      <c r="N11" s="6">
        <v>8</v>
      </c>
      <c r="O11" s="1">
        <v>62</v>
      </c>
      <c r="P11" s="2">
        <v>93.176439239999993</v>
      </c>
      <c r="R11" s="7"/>
      <c r="S11" s="6">
        <v>8</v>
      </c>
      <c r="T11" s="1">
        <v>41</v>
      </c>
      <c r="U11" s="24">
        <v>72.824242420000004</v>
      </c>
      <c r="X11" s="6">
        <v>8</v>
      </c>
      <c r="Y11" s="1">
        <v>68</v>
      </c>
      <c r="Z11" s="3">
        <f t="shared" si="1"/>
        <v>51.247329499999992</v>
      </c>
      <c r="AG11" s="1"/>
    </row>
    <row r="12" spans="1:33" ht="15.6" x14ac:dyDescent="0.3">
      <c r="A12" s="14">
        <v>9</v>
      </c>
      <c r="B12" s="14">
        <v>137</v>
      </c>
      <c r="C12" s="7">
        <f t="shared" si="0"/>
        <v>137.39339519999999</v>
      </c>
      <c r="D12" s="7"/>
      <c r="E12" s="7"/>
      <c r="F12" s="7"/>
      <c r="H12" s="15">
        <v>9</v>
      </c>
      <c r="I12" s="14">
        <v>119</v>
      </c>
      <c r="J12" s="7">
        <v>145.28897370000001</v>
      </c>
      <c r="K12" s="7"/>
      <c r="L12" s="7"/>
      <c r="M12" s="7"/>
      <c r="N12" s="6">
        <v>9</v>
      </c>
      <c r="O12" s="1">
        <v>115</v>
      </c>
      <c r="P12" s="2">
        <v>80.507258859999993</v>
      </c>
      <c r="R12" s="7"/>
      <c r="S12" s="6">
        <v>9</v>
      </c>
      <c r="T12" s="1">
        <v>43</v>
      </c>
      <c r="U12" s="24">
        <v>76.018181819999995</v>
      </c>
      <c r="X12" s="6">
        <v>9</v>
      </c>
      <c r="Y12" s="1">
        <v>52</v>
      </c>
      <c r="Z12" s="3">
        <f t="shared" si="1"/>
        <v>56.273130649999992</v>
      </c>
      <c r="AG12" s="1"/>
    </row>
    <row r="13" spans="1:33" ht="15.6" x14ac:dyDescent="0.3">
      <c r="A13" s="14">
        <v>10</v>
      </c>
      <c r="B13" s="14">
        <v>140</v>
      </c>
      <c r="C13" s="7">
        <f t="shared" si="0"/>
        <v>137.07867904</v>
      </c>
      <c r="D13" s="7"/>
      <c r="E13" s="7"/>
      <c r="F13" s="7"/>
      <c r="H13" s="15">
        <v>10</v>
      </c>
      <c r="I13" s="14">
        <v>147</v>
      </c>
      <c r="J13" s="7">
        <v>163.96597869999999</v>
      </c>
      <c r="K13" s="7"/>
      <c r="L13" s="7"/>
      <c r="M13" s="7"/>
      <c r="N13" s="6">
        <v>10</v>
      </c>
      <c r="O13" s="1">
        <v>88</v>
      </c>
      <c r="P13" s="2">
        <v>66.153865550000006</v>
      </c>
      <c r="R13" s="7"/>
      <c r="S13" s="6">
        <v>10</v>
      </c>
      <c r="T13" s="1">
        <v>47</v>
      </c>
      <c r="U13" s="24">
        <v>79.212121210000006</v>
      </c>
      <c r="X13" s="6">
        <v>10</v>
      </c>
      <c r="Y13" s="1">
        <v>42</v>
      </c>
      <c r="Z13" s="3">
        <f t="shared" si="1"/>
        <v>54.991191454999992</v>
      </c>
      <c r="AG13" s="1"/>
    </row>
    <row r="14" spans="1:33" ht="15.6" x14ac:dyDescent="0.3">
      <c r="A14" s="7"/>
      <c r="B14" s="7"/>
      <c r="C14" s="7">
        <f t="shared" si="0"/>
        <v>139.41573580799999</v>
      </c>
      <c r="D14" s="7"/>
      <c r="E14" s="7"/>
      <c r="F14" s="7"/>
      <c r="H14" s="7"/>
      <c r="I14" s="7"/>
      <c r="J14" s="7"/>
      <c r="K14" s="7"/>
      <c r="L14" s="7"/>
      <c r="M14" s="7"/>
      <c r="R14" s="7"/>
      <c r="T14" s="117"/>
      <c r="U14" s="118"/>
      <c r="Z14" s="3">
        <f t="shared" si="1"/>
        <v>51.09383401849999</v>
      </c>
    </row>
    <row r="15" spans="1:33" ht="15.6" x14ac:dyDescent="0.3">
      <c r="A15" s="17" t="s">
        <v>15</v>
      </c>
      <c r="B15" s="14">
        <v>10</v>
      </c>
      <c r="C15" s="7"/>
      <c r="D15" s="7"/>
      <c r="E15" s="7"/>
      <c r="F15" s="7"/>
      <c r="H15" s="17" t="s">
        <v>15</v>
      </c>
      <c r="I15" s="14">
        <v>10</v>
      </c>
      <c r="J15" s="7"/>
      <c r="K15" s="7"/>
      <c r="L15" s="7"/>
      <c r="M15" s="7"/>
      <c r="R15" s="7"/>
      <c r="T15" s="117"/>
      <c r="U15" s="118"/>
    </row>
    <row r="16" spans="1:33" ht="15.6" x14ac:dyDescent="0.3">
      <c r="A16" s="14"/>
      <c r="B16" s="14"/>
      <c r="C16" s="14"/>
      <c r="D16" s="14"/>
      <c r="E16" s="14"/>
      <c r="F16" s="14"/>
      <c r="G16" s="1"/>
      <c r="H16" s="7"/>
      <c r="I16" s="7"/>
      <c r="J16" s="7"/>
      <c r="K16" s="7"/>
      <c r="L16" s="7"/>
      <c r="M16" s="7"/>
      <c r="P16" s="1"/>
      <c r="R16" s="7"/>
    </row>
    <row r="17" spans="1:27" ht="15.6" x14ac:dyDescent="0.3">
      <c r="A17" s="14" t="s">
        <v>16</v>
      </c>
      <c r="B17" s="7"/>
      <c r="C17" s="14">
        <v>0.8</v>
      </c>
      <c r="D17" s="14"/>
      <c r="E17" s="14"/>
      <c r="F17" s="14"/>
      <c r="G17" s="1"/>
      <c r="H17" s="7" t="s">
        <v>17</v>
      </c>
      <c r="I17" s="7">
        <f>AVERAGE(I4:I13)</f>
        <v>168.5</v>
      </c>
      <c r="J17" s="14"/>
      <c r="K17" s="14"/>
      <c r="L17" s="14"/>
      <c r="M17" s="14"/>
      <c r="N17" s="1"/>
      <c r="O17" s="1"/>
      <c r="P17" s="1"/>
      <c r="R17" s="7"/>
      <c r="Y17" s="3">
        <v>0.3</v>
      </c>
    </row>
    <row r="18" spans="1:27" ht="15.6" x14ac:dyDescent="0.3">
      <c r="A18" s="14"/>
      <c r="B18" s="14"/>
      <c r="C18" s="14"/>
      <c r="D18" s="14"/>
      <c r="E18" s="14"/>
      <c r="F18" s="14"/>
      <c r="G18" s="1"/>
      <c r="H18" s="14"/>
      <c r="I18" s="14"/>
      <c r="J18" s="14"/>
      <c r="K18" s="14"/>
      <c r="L18" s="14"/>
      <c r="M18" s="14"/>
      <c r="N18" s="1"/>
      <c r="O18" s="1"/>
      <c r="P18" s="1"/>
      <c r="R18" s="7"/>
      <c r="Y18" s="3">
        <v>0</v>
      </c>
    </row>
    <row r="19" spans="1:27" ht="15.6" x14ac:dyDescent="0.3">
      <c r="A19" s="14"/>
      <c r="B19" s="14"/>
      <c r="C19" s="14"/>
      <c r="D19" s="14"/>
      <c r="E19" s="14"/>
      <c r="F19" s="14"/>
      <c r="G19" s="1"/>
      <c r="H19" s="14"/>
      <c r="I19" s="14"/>
      <c r="J19" s="14"/>
      <c r="K19" s="14"/>
      <c r="L19" s="14"/>
      <c r="M19" s="14"/>
      <c r="N19" s="1"/>
      <c r="O19" s="1"/>
      <c r="P19" s="1"/>
      <c r="R19" s="7"/>
    </row>
    <row r="20" spans="1:27" x14ac:dyDescent="0.25">
      <c r="A20" s="7"/>
      <c r="B20" s="7"/>
      <c r="C20" s="7"/>
      <c r="D20" s="7"/>
      <c r="E20" s="7"/>
      <c r="F20" s="7"/>
      <c r="H20" s="7"/>
      <c r="I20" s="7"/>
      <c r="J20" s="7"/>
      <c r="K20" s="7"/>
      <c r="L20" s="7"/>
      <c r="M20" s="7"/>
      <c r="R20" s="7"/>
    </row>
    <row r="21" spans="1:27" x14ac:dyDescent="0.25">
      <c r="A21" s="31" t="s">
        <v>18</v>
      </c>
      <c r="B21" s="33" t="s">
        <v>19</v>
      </c>
      <c r="C21" s="33" t="s">
        <v>12</v>
      </c>
      <c r="D21" s="33"/>
      <c r="E21" s="33" t="s">
        <v>20</v>
      </c>
      <c r="F21" s="7"/>
      <c r="H21" s="16" t="s">
        <v>18</v>
      </c>
      <c r="I21" s="23" t="s">
        <v>21</v>
      </c>
      <c r="J21" s="23" t="s">
        <v>12</v>
      </c>
      <c r="K21" s="23"/>
      <c r="L21" s="23" t="s">
        <v>20</v>
      </c>
      <c r="M21" s="7"/>
      <c r="N21" s="21" t="s">
        <v>18</v>
      </c>
      <c r="O21" s="21" t="s">
        <v>22</v>
      </c>
      <c r="P21" s="21" t="s">
        <v>23</v>
      </c>
      <c r="Q21" s="21" t="s">
        <v>20</v>
      </c>
      <c r="R21" s="7"/>
      <c r="S21" s="27" t="s">
        <v>18</v>
      </c>
      <c r="T21" s="27" t="s">
        <v>24</v>
      </c>
      <c r="U21" s="27" t="s">
        <v>12</v>
      </c>
      <c r="V21" s="27" t="s">
        <v>20</v>
      </c>
      <c r="W21" s="4"/>
      <c r="X21" s="35" t="s">
        <v>18</v>
      </c>
      <c r="Y21" s="35" t="s">
        <v>25</v>
      </c>
      <c r="Z21" s="35" t="s">
        <v>12</v>
      </c>
      <c r="AA21" s="35" t="s">
        <v>20</v>
      </c>
    </row>
    <row r="22" spans="1:27" ht="15.6" x14ac:dyDescent="0.3">
      <c r="A22" s="14">
        <v>11</v>
      </c>
      <c r="B22" s="14">
        <v>120</v>
      </c>
      <c r="C22" s="18">
        <f t="shared" ref="C22:C31" si="2">C5</f>
        <v>139</v>
      </c>
      <c r="D22" s="15"/>
      <c r="E22" s="18">
        <f>ABS(C22-B22)</f>
        <v>19</v>
      </c>
      <c r="F22" s="15"/>
      <c r="H22" s="14">
        <v>11</v>
      </c>
      <c r="I22" s="14">
        <v>162</v>
      </c>
      <c r="J22" s="7">
        <v>163.96597869999999</v>
      </c>
      <c r="K22" s="14"/>
      <c r="L22" s="15">
        <f>ABS(J22-I22)</f>
        <v>1.9659786999999938</v>
      </c>
      <c r="M22" s="15"/>
      <c r="N22" s="14">
        <v>11</v>
      </c>
      <c r="O22" s="1">
        <v>78</v>
      </c>
      <c r="P22" s="2">
        <v>73.204192050000003</v>
      </c>
      <c r="Q22" s="8">
        <f>ABS(O22-P22)</f>
        <v>4.7958079499999968</v>
      </c>
      <c r="R22" s="22"/>
      <c r="S22" s="14">
        <v>11</v>
      </c>
      <c r="T22" s="1">
        <v>53</v>
      </c>
      <c r="U22" s="24">
        <v>50.466666670000002</v>
      </c>
      <c r="V22" s="24">
        <f>ABS(T22-U22)</f>
        <v>2.5333333299999978</v>
      </c>
      <c r="W22" s="24"/>
      <c r="X22" s="14">
        <v>11</v>
      </c>
      <c r="Y22" s="1">
        <v>32</v>
      </c>
      <c r="Z22" s="24">
        <f>Z5</f>
        <v>51.5</v>
      </c>
      <c r="AA22" s="24">
        <f>ABS(Z22-Y22)</f>
        <v>19.5</v>
      </c>
    </row>
    <row r="23" spans="1:27" ht="15.6" x14ac:dyDescent="0.3">
      <c r="A23" s="14">
        <v>12</v>
      </c>
      <c r="B23" s="14">
        <v>150</v>
      </c>
      <c r="C23" s="18">
        <f t="shared" si="2"/>
        <v>151.79999999999998</v>
      </c>
      <c r="D23" s="15"/>
      <c r="E23" s="18">
        <f t="shared" ref="E23:E31" si="3">ABS(C23-B23)</f>
        <v>1.7999999999999829</v>
      </c>
      <c r="F23" s="15"/>
      <c r="H23" s="14">
        <v>12</v>
      </c>
      <c r="I23" s="14">
        <v>180</v>
      </c>
      <c r="J23" s="7">
        <v>177.96307440000001</v>
      </c>
      <c r="K23" s="14"/>
      <c r="L23" s="15">
        <f t="shared" ref="L23:L31" si="4">ABS(J23-I23)</f>
        <v>2.0369255999999893</v>
      </c>
      <c r="M23" s="15"/>
      <c r="N23" s="14">
        <v>12</v>
      </c>
      <c r="O23" s="1">
        <v>67</v>
      </c>
      <c r="P23" s="2">
        <v>60.22012376</v>
      </c>
      <c r="Q23" s="8">
        <f t="shared" ref="Q23:Q31" si="5">ABS(O23-P23)</f>
        <v>6.7798762400000001</v>
      </c>
      <c r="R23" s="22"/>
      <c r="S23" s="14">
        <v>12</v>
      </c>
      <c r="T23" s="1">
        <v>55</v>
      </c>
      <c r="U23" s="24">
        <v>53.660606059999999</v>
      </c>
      <c r="V23" s="24">
        <f t="shared" ref="V23:V31" si="6">ABS(T23-U23)</f>
        <v>1.3393939400000008</v>
      </c>
      <c r="W23" s="24"/>
      <c r="X23" s="14">
        <v>12</v>
      </c>
      <c r="Y23" s="1">
        <v>43</v>
      </c>
      <c r="Z23" s="24">
        <f t="shared" ref="Z23:Z31" si="7">Z6</f>
        <v>49.849999999999994</v>
      </c>
      <c r="AA23" s="24">
        <f t="shared" ref="AA23:AA31" si="8">ABS(Z23-Y23)</f>
        <v>6.8499999999999943</v>
      </c>
    </row>
    <row r="24" spans="1:27" ht="15.6" x14ac:dyDescent="0.3">
      <c r="A24" s="14">
        <v>13</v>
      </c>
      <c r="B24" s="14">
        <v>161</v>
      </c>
      <c r="C24" s="18">
        <f t="shared" si="2"/>
        <v>146.35999999999999</v>
      </c>
      <c r="D24" s="15"/>
      <c r="E24" s="18">
        <f t="shared" si="3"/>
        <v>14.640000000000015</v>
      </c>
      <c r="F24" s="15"/>
      <c r="H24" s="14">
        <v>13</v>
      </c>
      <c r="I24" s="14">
        <v>199</v>
      </c>
      <c r="J24" s="7">
        <v>199.95851060000001</v>
      </c>
      <c r="K24" s="14"/>
      <c r="L24" s="15">
        <f t="shared" si="4"/>
        <v>0.95851060000001098</v>
      </c>
      <c r="M24" s="15"/>
      <c r="N24" s="14">
        <v>13</v>
      </c>
      <c r="O24" s="1">
        <v>121</v>
      </c>
      <c r="P24" s="2">
        <v>110.71262110000001</v>
      </c>
      <c r="Q24" s="8">
        <f t="shared" si="5"/>
        <v>10.287378899999993</v>
      </c>
      <c r="R24" s="22"/>
      <c r="S24" s="14">
        <v>13</v>
      </c>
      <c r="T24" s="1">
        <v>58</v>
      </c>
      <c r="U24" s="24">
        <v>56.854545450000003</v>
      </c>
      <c r="V24" s="24">
        <f t="shared" si="6"/>
        <v>1.1454545499999966</v>
      </c>
      <c r="W24" s="24"/>
      <c r="X24" s="14">
        <v>13</v>
      </c>
      <c r="Y24" s="1">
        <v>37</v>
      </c>
      <c r="Z24" s="24">
        <f t="shared" si="7"/>
        <v>52.294999999999995</v>
      </c>
      <c r="AA24" s="24">
        <f t="shared" si="8"/>
        <v>15.294999999999995</v>
      </c>
    </row>
    <row r="25" spans="1:27" ht="15.6" x14ac:dyDescent="0.3">
      <c r="A25" s="14">
        <v>14</v>
      </c>
      <c r="B25" s="14">
        <v>143</v>
      </c>
      <c r="C25" s="18">
        <f t="shared" si="2"/>
        <v>150.87200000000001</v>
      </c>
      <c r="D25" s="15"/>
      <c r="E25" s="18">
        <f t="shared" si="3"/>
        <v>7.8720000000000141</v>
      </c>
      <c r="F25" s="15"/>
      <c r="H25" s="14">
        <v>14</v>
      </c>
      <c r="I25" s="14">
        <v>220</v>
      </c>
      <c r="J25" s="7">
        <v>214.95539890000001</v>
      </c>
      <c r="K25" s="14"/>
      <c r="L25" s="15">
        <f t="shared" si="4"/>
        <v>5.0446010999999942</v>
      </c>
      <c r="M25" s="15"/>
      <c r="N25" s="14">
        <v>14</v>
      </c>
      <c r="O25" s="1">
        <v>93</v>
      </c>
      <c r="P25" s="2">
        <v>88.901804530000007</v>
      </c>
      <c r="Q25" s="8">
        <f t="shared" si="5"/>
        <v>4.0981954699999932</v>
      </c>
      <c r="R25" s="22"/>
      <c r="S25" s="14">
        <v>14</v>
      </c>
      <c r="T25" s="1">
        <v>60</v>
      </c>
      <c r="U25" s="24">
        <v>60.048484850000001</v>
      </c>
      <c r="V25" s="24">
        <f t="shared" si="6"/>
        <v>4.8484850000001245E-2</v>
      </c>
      <c r="W25" s="24"/>
      <c r="X25" s="14">
        <v>14</v>
      </c>
      <c r="Y25" s="1">
        <v>61</v>
      </c>
      <c r="Z25" s="24">
        <f t="shared" si="7"/>
        <v>47.706499999999998</v>
      </c>
      <c r="AA25" s="24">
        <f t="shared" si="8"/>
        <v>13.293500000000002</v>
      </c>
    </row>
    <row r="26" spans="1:27" ht="15.6" x14ac:dyDescent="0.3">
      <c r="A26" s="14">
        <v>15</v>
      </c>
      <c r="B26" s="14">
        <v>149</v>
      </c>
      <c r="C26" s="18">
        <f t="shared" si="2"/>
        <v>154.17439999999999</v>
      </c>
      <c r="D26" s="15"/>
      <c r="E26" s="18">
        <f t="shared" si="3"/>
        <v>5.1743999999999915</v>
      </c>
      <c r="F26" s="15"/>
      <c r="H26" s="14">
        <v>15</v>
      </c>
      <c r="I26" s="14">
        <v>208</v>
      </c>
      <c r="J26" s="7">
        <v>204.9574734</v>
      </c>
      <c r="K26" s="14"/>
      <c r="L26" s="15">
        <f t="shared" si="4"/>
        <v>3.0425266000000022</v>
      </c>
      <c r="M26" s="15"/>
      <c r="N26" s="14">
        <v>15</v>
      </c>
      <c r="O26" s="1">
        <v>84</v>
      </c>
      <c r="P26" s="2">
        <v>76.855725449999994</v>
      </c>
      <c r="Q26" s="8">
        <f t="shared" si="5"/>
        <v>7.1442745500000058</v>
      </c>
      <c r="R26" s="22"/>
      <c r="S26" s="14">
        <v>15</v>
      </c>
      <c r="T26" s="1">
        <v>64</v>
      </c>
      <c r="U26" s="24">
        <v>63.242424239999998</v>
      </c>
      <c r="V26" s="24">
        <f t="shared" si="6"/>
        <v>0.75757576000000171</v>
      </c>
      <c r="W26" s="24"/>
      <c r="X26" s="14">
        <v>15</v>
      </c>
      <c r="Y26" s="1">
        <v>45</v>
      </c>
      <c r="Z26" s="24">
        <f t="shared" si="7"/>
        <v>42.994549999999997</v>
      </c>
      <c r="AA26" s="24">
        <f t="shared" si="8"/>
        <v>2.0054500000000033</v>
      </c>
    </row>
    <row r="27" spans="1:27" ht="15.6" x14ac:dyDescent="0.3">
      <c r="A27" s="14">
        <v>16</v>
      </c>
      <c r="B27" s="14">
        <v>140</v>
      </c>
      <c r="C27" s="18">
        <f t="shared" si="2"/>
        <v>146.83488</v>
      </c>
      <c r="D27" s="15"/>
      <c r="E27" s="18">
        <f t="shared" si="3"/>
        <v>6.8348799999999983</v>
      </c>
      <c r="F27" s="15"/>
      <c r="H27" s="14">
        <v>16</v>
      </c>
      <c r="I27" s="14">
        <v>175</v>
      </c>
      <c r="J27" s="7">
        <v>169.96473399999999</v>
      </c>
      <c r="K27" s="14"/>
      <c r="L27" s="15">
        <f t="shared" si="4"/>
        <v>5.0352660000000071</v>
      </c>
      <c r="M27" s="15"/>
      <c r="N27" s="14">
        <v>16</v>
      </c>
      <c r="O27" s="1">
        <v>71</v>
      </c>
      <c r="P27" s="2">
        <v>63.186994650000003</v>
      </c>
      <c r="Q27" s="8">
        <f t="shared" si="5"/>
        <v>7.8130053499999974</v>
      </c>
      <c r="R27" s="22"/>
      <c r="S27" s="14">
        <v>16</v>
      </c>
      <c r="T27" s="1">
        <v>66</v>
      </c>
      <c r="U27" s="24">
        <v>66.436363639999996</v>
      </c>
      <c r="V27" s="24">
        <f t="shared" si="6"/>
        <v>0.43636363999999617</v>
      </c>
      <c r="W27" s="24"/>
      <c r="X27" s="14">
        <v>16</v>
      </c>
      <c r="Y27" s="1">
        <v>48</v>
      </c>
      <c r="Z27" s="24">
        <f t="shared" si="7"/>
        <v>44.496184999999997</v>
      </c>
      <c r="AA27" s="24">
        <f t="shared" si="8"/>
        <v>3.503815000000003</v>
      </c>
    </row>
    <row r="28" spans="1:27" ht="15.6" x14ac:dyDescent="0.3">
      <c r="A28" s="14">
        <v>17</v>
      </c>
      <c r="B28" s="14">
        <v>142</v>
      </c>
      <c r="C28" s="18">
        <f t="shared" si="2"/>
        <v>146.96697599999999</v>
      </c>
      <c r="D28" s="15"/>
      <c r="E28" s="18">
        <f t="shared" si="3"/>
        <v>4.9669759999999883</v>
      </c>
      <c r="F28" s="15"/>
      <c r="H28" s="14">
        <v>17</v>
      </c>
      <c r="I28" s="14">
        <v>140</v>
      </c>
      <c r="J28" s="7">
        <v>141.97054249999999</v>
      </c>
      <c r="K28" s="14"/>
      <c r="L28" s="15">
        <f t="shared" si="4"/>
        <v>1.9705424999999934</v>
      </c>
      <c r="M28" s="15"/>
      <c r="N28" s="14">
        <v>17</v>
      </c>
      <c r="O28" s="1">
        <v>128</v>
      </c>
      <c r="P28" s="2">
        <v>116.10074659999999</v>
      </c>
      <c r="Q28" s="8">
        <f t="shared" si="5"/>
        <v>11.899253400000006</v>
      </c>
      <c r="R28" s="22"/>
      <c r="S28" s="14">
        <v>17</v>
      </c>
      <c r="T28" s="1">
        <v>69</v>
      </c>
      <c r="U28" s="24">
        <v>69.630303029999993</v>
      </c>
      <c r="V28" s="24">
        <f t="shared" si="6"/>
        <v>0.63030302999999321</v>
      </c>
      <c r="W28" s="24"/>
      <c r="X28" s="14">
        <v>17</v>
      </c>
      <c r="Y28" s="1">
        <v>53</v>
      </c>
      <c r="Z28" s="24">
        <f t="shared" si="7"/>
        <v>51.247329499999992</v>
      </c>
      <c r="AA28" s="24">
        <f t="shared" si="8"/>
        <v>1.7526705000000078</v>
      </c>
    </row>
    <row r="29" spans="1:27" ht="15.6" x14ac:dyDescent="0.3">
      <c r="A29" s="14">
        <v>18</v>
      </c>
      <c r="B29" s="14">
        <v>157</v>
      </c>
      <c r="C29" s="18">
        <f t="shared" si="2"/>
        <v>137.39339519999999</v>
      </c>
      <c r="D29" s="15"/>
      <c r="E29" s="18">
        <f t="shared" si="3"/>
        <v>19.606604800000014</v>
      </c>
      <c r="F29" s="15"/>
      <c r="H29" s="14">
        <v>18</v>
      </c>
      <c r="I29" s="14">
        <v>121</v>
      </c>
      <c r="J29" s="7">
        <v>118.9753138</v>
      </c>
      <c r="K29" s="14"/>
      <c r="L29" s="15">
        <f t="shared" si="4"/>
        <v>2.024686200000005</v>
      </c>
      <c r="M29" s="15"/>
      <c r="N29" s="14">
        <v>18</v>
      </c>
      <c r="O29" s="1">
        <v>99</v>
      </c>
      <c r="P29" s="2">
        <v>93.176439239999993</v>
      </c>
      <c r="Q29" s="8">
        <f t="shared" si="5"/>
        <v>5.8235607600000066</v>
      </c>
      <c r="R29" s="22"/>
      <c r="S29" s="14">
        <v>18</v>
      </c>
      <c r="T29" s="1">
        <v>72</v>
      </c>
      <c r="U29" s="24">
        <v>72.824242420000004</v>
      </c>
      <c r="V29" s="24">
        <f t="shared" si="6"/>
        <v>0.82424242000000447</v>
      </c>
      <c r="W29" s="24"/>
      <c r="X29" s="14">
        <v>18</v>
      </c>
      <c r="Y29" s="1">
        <v>38</v>
      </c>
      <c r="Z29" s="24">
        <f t="shared" si="7"/>
        <v>56.273130649999992</v>
      </c>
      <c r="AA29" s="24">
        <f t="shared" si="8"/>
        <v>18.273130649999992</v>
      </c>
    </row>
    <row r="30" spans="1:27" ht="15.6" x14ac:dyDescent="0.3">
      <c r="A30" s="14">
        <v>19</v>
      </c>
      <c r="B30" s="14">
        <v>148</v>
      </c>
      <c r="C30" s="18">
        <f t="shared" si="2"/>
        <v>137.07867904</v>
      </c>
      <c r="D30" s="15"/>
      <c r="E30" s="18">
        <f t="shared" si="3"/>
        <v>10.921320960000003</v>
      </c>
      <c r="F30" s="15"/>
      <c r="H30" s="14">
        <v>19</v>
      </c>
      <c r="I30" s="14">
        <v>146</v>
      </c>
      <c r="J30" s="7">
        <v>145.28897370000001</v>
      </c>
      <c r="K30" s="14"/>
      <c r="L30" s="15">
        <f t="shared" si="4"/>
        <v>0.71102629999998612</v>
      </c>
      <c r="M30" s="15"/>
      <c r="N30" s="14">
        <v>19</v>
      </c>
      <c r="O30" s="1">
        <v>89</v>
      </c>
      <c r="P30" s="2">
        <v>80.507258859999993</v>
      </c>
      <c r="Q30" s="8">
        <f t="shared" si="5"/>
        <v>8.4927411400000068</v>
      </c>
      <c r="R30" s="22"/>
      <c r="S30" s="14">
        <v>19</v>
      </c>
      <c r="T30" s="1">
        <v>75</v>
      </c>
      <c r="U30" s="24">
        <v>76.018181819999995</v>
      </c>
      <c r="V30" s="24">
        <f t="shared" si="6"/>
        <v>1.0181818199999952</v>
      </c>
      <c r="W30" s="24"/>
      <c r="X30" s="14">
        <v>19</v>
      </c>
      <c r="Y30" s="1">
        <v>57</v>
      </c>
      <c r="Z30" s="24">
        <f t="shared" si="7"/>
        <v>54.991191454999992</v>
      </c>
      <c r="AA30" s="24">
        <f t="shared" si="8"/>
        <v>2.0088085450000079</v>
      </c>
    </row>
    <row r="31" spans="1:27" ht="15.6" x14ac:dyDescent="0.3">
      <c r="A31" s="14">
        <v>20</v>
      </c>
      <c r="B31" s="14">
        <v>144</v>
      </c>
      <c r="C31" s="18">
        <f t="shared" si="2"/>
        <v>139.41573580799999</v>
      </c>
      <c r="D31" s="15"/>
      <c r="E31" s="18">
        <f t="shared" si="3"/>
        <v>4.5842641920000062</v>
      </c>
      <c r="F31" s="15"/>
      <c r="H31" s="14">
        <v>20</v>
      </c>
      <c r="I31" s="14">
        <v>160</v>
      </c>
      <c r="J31" s="7">
        <v>163.96597869999999</v>
      </c>
      <c r="K31" s="14"/>
      <c r="L31" s="15">
        <f t="shared" si="4"/>
        <v>3.9659786999999938</v>
      </c>
      <c r="M31" s="15"/>
      <c r="N31" s="14">
        <v>20</v>
      </c>
      <c r="O31" s="1">
        <v>77</v>
      </c>
      <c r="P31" s="2">
        <v>66.153865550000006</v>
      </c>
      <c r="Q31" s="8">
        <f t="shared" si="5"/>
        <v>10.846134449999994</v>
      </c>
      <c r="R31" s="22"/>
      <c r="S31" s="14">
        <v>20</v>
      </c>
      <c r="T31" s="1">
        <v>79</v>
      </c>
      <c r="U31" s="24">
        <v>79.212121210000006</v>
      </c>
      <c r="V31" s="24">
        <f t="shared" si="6"/>
        <v>0.2121212100000065</v>
      </c>
      <c r="W31" s="24"/>
      <c r="X31" s="14">
        <v>20</v>
      </c>
      <c r="Y31" s="1">
        <v>40</v>
      </c>
      <c r="Z31" s="24">
        <f t="shared" si="7"/>
        <v>51.09383401849999</v>
      </c>
      <c r="AA31" s="24">
        <f t="shared" si="8"/>
        <v>11.09383401849999</v>
      </c>
    </row>
    <row r="32" spans="1:27" ht="15.6" x14ac:dyDescent="0.3">
      <c r="A32" s="7"/>
      <c r="B32" s="7"/>
      <c r="C32" s="7"/>
      <c r="D32" s="7"/>
      <c r="E32" s="18"/>
      <c r="F32" s="7"/>
      <c r="H32" s="7"/>
      <c r="I32" s="7"/>
      <c r="J32" s="7"/>
      <c r="K32" s="7"/>
      <c r="L32" s="15"/>
      <c r="M32" s="7"/>
      <c r="O32" s="1"/>
      <c r="R32" s="7"/>
      <c r="T32" s="1"/>
      <c r="Y32" s="1"/>
    </row>
    <row r="33" spans="1:27" ht="15.6" x14ac:dyDescent="0.3">
      <c r="A33" s="7"/>
      <c r="B33" s="7"/>
      <c r="C33" s="7"/>
      <c r="D33" s="33" t="s">
        <v>26</v>
      </c>
      <c r="E33" s="18">
        <f>AVERAGE(E22:E31)</f>
        <v>9.5400445952000013</v>
      </c>
      <c r="F33" s="7"/>
      <c r="H33" s="7"/>
      <c r="I33" s="7"/>
      <c r="J33" s="7"/>
      <c r="K33" s="23" t="s">
        <v>26</v>
      </c>
      <c r="L33" s="7">
        <f>AVERAGE(L22:L31)</f>
        <v>2.6756042299999976</v>
      </c>
      <c r="M33" s="7"/>
      <c r="O33" s="1"/>
      <c r="P33" s="25" t="s">
        <v>26</v>
      </c>
      <c r="Q33" s="5">
        <f>AVERAGE(Q22:Q31)</f>
        <v>7.7980228210000009</v>
      </c>
      <c r="R33" s="5"/>
      <c r="T33" s="1"/>
      <c r="U33" s="29" t="s">
        <v>26</v>
      </c>
      <c r="V33" s="3">
        <f>AVERAGE(V22:V31)</f>
        <v>0.89454545499999938</v>
      </c>
      <c r="Y33" s="1"/>
      <c r="Z33" s="37" t="s">
        <v>26</v>
      </c>
      <c r="AA33" s="3">
        <f>AVERAGE(AA22:AA31)</f>
        <v>9.3576208713499991</v>
      </c>
    </row>
    <row r="34" spans="1:27" ht="15.6" x14ac:dyDescent="0.3">
      <c r="I34" s="1"/>
      <c r="N34" s="1"/>
      <c r="S34" s="1"/>
      <c r="X34" s="1"/>
    </row>
    <row r="35" spans="1:27" ht="15.6" x14ac:dyDescent="0.3">
      <c r="X35" s="1"/>
    </row>
    <row r="38" spans="1:27" ht="15.6" x14ac:dyDescent="0.3">
      <c r="V38" s="1"/>
      <c r="W38" s="1"/>
    </row>
    <row r="39" spans="1:27" ht="15.6" x14ac:dyDescent="0.3">
      <c r="M39" s="1"/>
    </row>
    <row r="40" spans="1:27" ht="15.6" x14ac:dyDescent="0.3">
      <c r="B40" s="1"/>
    </row>
    <row r="41" spans="1:27" ht="15.6" x14ac:dyDescent="0.3">
      <c r="B41" s="1"/>
    </row>
    <row r="42" spans="1:27" ht="15.6" x14ac:dyDescent="0.3">
      <c r="B42" s="1"/>
    </row>
    <row r="43" spans="1:27" ht="15.6" x14ac:dyDescent="0.3">
      <c r="B43" s="1"/>
    </row>
    <row r="44" spans="1:27" ht="15.6" x14ac:dyDescent="0.3">
      <c r="B44" s="1"/>
    </row>
    <row r="45" spans="1:27" ht="15.6" x14ac:dyDescent="0.3">
      <c r="B45" s="1"/>
    </row>
    <row r="63" spans="1:10" ht="15.6" x14ac:dyDescent="0.3">
      <c r="I63" s="1">
        <v>10</v>
      </c>
    </row>
    <row r="64" spans="1:10" x14ac:dyDescent="0.25">
      <c r="A64" s="6"/>
      <c r="B64" s="6" t="s">
        <v>27</v>
      </c>
      <c r="C64" s="6" t="s">
        <v>28</v>
      </c>
      <c r="D64" s="6" t="s">
        <v>29</v>
      </c>
      <c r="E64" s="6" t="s">
        <v>30</v>
      </c>
      <c r="F64" s="6" t="s">
        <v>31</v>
      </c>
      <c r="G64" s="6" t="s">
        <v>32</v>
      </c>
      <c r="H64" s="6" t="s">
        <v>33</v>
      </c>
      <c r="I64" s="6" t="s">
        <v>34</v>
      </c>
      <c r="J64" s="6" t="s">
        <v>35</v>
      </c>
    </row>
    <row r="65" spans="1:12" ht="15.6" x14ac:dyDescent="0.3">
      <c r="A65" s="6" t="s">
        <v>36</v>
      </c>
      <c r="B65" s="1">
        <v>145</v>
      </c>
      <c r="C65" s="6">
        <v>164</v>
      </c>
      <c r="D65" s="6">
        <v>178</v>
      </c>
      <c r="E65" s="6">
        <v>200</v>
      </c>
      <c r="F65" s="6">
        <v>215</v>
      </c>
      <c r="G65" s="6">
        <v>205</v>
      </c>
      <c r="H65" s="6">
        <v>170</v>
      </c>
      <c r="I65" s="6">
        <v>142</v>
      </c>
      <c r="J65" s="6">
        <v>119</v>
      </c>
    </row>
    <row r="66" spans="1:12" ht="15.6" x14ac:dyDescent="0.3">
      <c r="A66" s="6" t="s">
        <v>37</v>
      </c>
      <c r="B66" s="1">
        <v>147</v>
      </c>
      <c r="C66" s="6"/>
      <c r="D66" s="6"/>
      <c r="E66" s="6"/>
      <c r="F66" s="6"/>
      <c r="G66" s="6"/>
      <c r="H66" s="6"/>
      <c r="I66" s="6"/>
      <c r="J66" s="6"/>
    </row>
    <row r="67" spans="1:12" ht="15.6" x14ac:dyDescent="0.3">
      <c r="B67" s="1">
        <f t="shared" ref="B67:J67" si="9">B65/$I$17</f>
        <v>0.86053412462908008</v>
      </c>
      <c r="C67" s="1">
        <f t="shared" si="9"/>
        <v>0.97329376854599403</v>
      </c>
      <c r="D67" s="1">
        <f t="shared" si="9"/>
        <v>1.056379821958457</v>
      </c>
      <c r="E67" s="1">
        <f t="shared" si="9"/>
        <v>1.1869436201780414</v>
      </c>
      <c r="F67" s="1">
        <f t="shared" si="9"/>
        <v>1.2759643916913948</v>
      </c>
      <c r="G67" s="1">
        <f t="shared" si="9"/>
        <v>1.2166172106824926</v>
      </c>
      <c r="H67" s="1">
        <f t="shared" si="9"/>
        <v>1.0089020771513353</v>
      </c>
      <c r="I67" s="1">
        <f t="shared" si="9"/>
        <v>0.84272997032640951</v>
      </c>
      <c r="J67" s="1">
        <f t="shared" si="9"/>
        <v>0.70623145400593468</v>
      </c>
      <c r="K67" s="1">
        <f>SUM(B67:I67)</f>
        <v>8.4213649851632049</v>
      </c>
      <c r="L67" s="3">
        <f>K67/2</f>
        <v>4.2106824925816024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9"/>
  <sheetViews>
    <sheetView tabSelected="1" zoomScale="70" zoomScaleNormal="70" workbookViewId="0">
      <selection activeCell="L24" sqref="L24"/>
    </sheetView>
  </sheetViews>
  <sheetFormatPr defaultColWidth="8.88671875" defaultRowHeight="13.8" x14ac:dyDescent="0.25"/>
  <cols>
    <col min="1" max="1" width="27.88671875" style="52" customWidth="1"/>
    <col min="2" max="2" width="14.44140625" style="52" customWidth="1"/>
    <col min="3" max="3" width="13.109375" style="52" customWidth="1"/>
    <col min="4" max="4" width="11.109375" style="52" customWidth="1"/>
    <col min="5" max="5" width="11.6640625" style="52" customWidth="1"/>
    <col min="6" max="6" width="12.6640625" style="52" customWidth="1"/>
    <col min="7" max="7" width="13.6640625" style="52" bestFit="1" customWidth="1"/>
    <col min="8" max="8" width="9.6640625" style="52" customWidth="1"/>
    <col min="9" max="9" width="9.109375" style="52" bestFit="1" customWidth="1"/>
    <col min="10" max="10" width="18.33203125" style="52" bestFit="1" customWidth="1"/>
    <col min="11" max="11" width="10.33203125" style="52" bestFit="1" customWidth="1"/>
    <col min="12" max="15" width="9.109375" style="52" bestFit="1" customWidth="1"/>
    <col min="16" max="16" width="13.6640625" style="52" bestFit="1" customWidth="1"/>
    <col min="17" max="17" width="9.109375" style="52" bestFit="1" customWidth="1"/>
    <col min="18" max="18" width="8.88671875" style="52"/>
    <col min="19" max="19" width="25.88671875" style="52" bestFit="1" customWidth="1"/>
    <col min="20" max="22" width="9.109375" style="52" bestFit="1" customWidth="1"/>
    <col min="23" max="16384" width="8.88671875" style="52"/>
  </cols>
  <sheetData>
    <row r="1" spans="1:22" ht="15.6" x14ac:dyDescent="0.25">
      <c r="A1" s="134" t="s">
        <v>38</v>
      </c>
      <c r="B1" s="134"/>
      <c r="C1" s="134"/>
      <c r="D1" s="134"/>
      <c r="E1" s="134"/>
      <c r="F1" s="134"/>
      <c r="G1" s="134"/>
      <c r="H1" s="53"/>
      <c r="J1" s="134" t="s">
        <v>39</v>
      </c>
      <c r="K1" s="134"/>
      <c r="L1" s="134"/>
      <c r="M1" s="134"/>
      <c r="N1" s="134"/>
      <c r="O1" s="134"/>
      <c r="P1" s="134"/>
      <c r="S1" s="134" t="s">
        <v>40</v>
      </c>
      <c r="T1" s="134"/>
      <c r="U1" s="134"/>
      <c r="V1" s="134"/>
    </row>
    <row r="2" spans="1:22" ht="15.6" x14ac:dyDescent="0.25">
      <c r="A2" s="134"/>
      <c r="B2" s="134"/>
      <c r="C2" s="134"/>
      <c r="D2" s="134"/>
      <c r="E2" s="134"/>
      <c r="F2" s="134"/>
      <c r="G2" s="134"/>
      <c r="H2" s="53"/>
      <c r="J2" s="134"/>
      <c r="K2" s="134"/>
      <c r="L2" s="134"/>
      <c r="M2" s="134"/>
      <c r="N2" s="134"/>
      <c r="O2" s="134"/>
      <c r="P2" s="134"/>
      <c r="S2" s="134"/>
      <c r="T2" s="134"/>
      <c r="U2" s="134"/>
      <c r="V2" s="134"/>
    </row>
    <row r="3" spans="1:22" ht="15.6" x14ac:dyDescent="0.25">
      <c r="A3" s="53"/>
      <c r="B3" s="53"/>
      <c r="C3" s="53"/>
      <c r="D3" s="53"/>
      <c r="E3" s="53"/>
      <c r="F3" s="53"/>
      <c r="G3" s="53"/>
      <c r="H3" s="53"/>
      <c r="J3" s="53"/>
      <c r="K3" s="53"/>
      <c r="L3" s="53"/>
      <c r="M3" s="53"/>
      <c r="N3" s="53"/>
      <c r="O3" s="53"/>
      <c r="P3" s="53"/>
    </row>
    <row r="4" spans="1:22" ht="20.399999999999999" x14ac:dyDescent="0.35">
      <c r="A4" s="135" t="s">
        <v>6</v>
      </c>
      <c r="B4" s="135"/>
      <c r="C4" s="135"/>
      <c r="D4" s="135"/>
      <c r="E4" s="135"/>
      <c r="F4" s="135"/>
      <c r="G4" s="135"/>
      <c r="H4" s="135"/>
      <c r="J4" s="135" t="s">
        <v>6</v>
      </c>
      <c r="K4" s="135"/>
      <c r="L4" s="135"/>
      <c r="M4" s="135"/>
      <c r="N4" s="135"/>
      <c r="O4" s="135"/>
      <c r="P4" s="135"/>
      <c r="Q4" s="135"/>
      <c r="S4" s="101" t="s">
        <v>6</v>
      </c>
      <c r="T4" s="102" t="s">
        <v>41</v>
      </c>
      <c r="U4" s="102"/>
      <c r="V4" s="102" t="s">
        <v>42</v>
      </c>
    </row>
    <row r="5" spans="1:22" ht="15.6" x14ac:dyDescent="0.25">
      <c r="A5" s="43" t="s">
        <v>43</v>
      </c>
      <c r="B5" s="44">
        <v>21</v>
      </c>
      <c r="C5" s="44">
        <v>23</v>
      </c>
      <c r="D5" s="44">
        <v>24</v>
      </c>
      <c r="E5" s="44">
        <v>25</v>
      </c>
      <c r="F5" s="44">
        <v>25</v>
      </c>
      <c r="G5" s="44" t="s">
        <v>44</v>
      </c>
      <c r="H5" s="44" t="s">
        <v>45</v>
      </c>
      <c r="I5" s="100"/>
      <c r="J5" s="43" t="s">
        <v>43</v>
      </c>
      <c r="K5" s="44">
        <v>21</v>
      </c>
      <c r="L5" s="44">
        <v>23</v>
      </c>
      <c r="M5" s="44">
        <v>24</v>
      </c>
      <c r="N5" s="44">
        <v>25</v>
      </c>
      <c r="O5" s="44">
        <v>25</v>
      </c>
      <c r="P5" s="44" t="s">
        <v>44</v>
      </c>
      <c r="Q5" s="45" t="s">
        <v>45</v>
      </c>
      <c r="S5" s="40"/>
      <c r="T5" s="40"/>
      <c r="U5" s="40"/>
      <c r="V5" s="40"/>
    </row>
    <row r="6" spans="1:22" ht="15.6" x14ac:dyDescent="0.25">
      <c r="A6" s="46" t="s">
        <v>46</v>
      </c>
      <c r="B6" s="40">
        <v>0</v>
      </c>
      <c r="C6" s="40">
        <f>B14</f>
        <v>2.4000000000000057</v>
      </c>
      <c r="D6" s="40">
        <f>C14</f>
        <v>5.8000000000000114</v>
      </c>
      <c r="E6" s="40">
        <v>4</v>
      </c>
      <c r="F6" s="40">
        <v>2</v>
      </c>
      <c r="G6" s="43">
        <f>SUM(B6:F6)</f>
        <v>14.200000000000017</v>
      </c>
      <c r="H6" s="128"/>
      <c r="I6" s="100"/>
      <c r="J6" s="46" t="s">
        <v>46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3">
        <f>SUM(K6:O6)</f>
        <v>0</v>
      </c>
      <c r="Q6" s="131"/>
      <c r="S6" s="40" t="s">
        <v>47</v>
      </c>
      <c r="T6" s="40">
        <f>G8</f>
        <v>732</v>
      </c>
      <c r="U6" s="40"/>
      <c r="V6" s="40"/>
    </row>
    <row r="7" spans="1:22" ht="15.6" x14ac:dyDescent="0.25">
      <c r="A7" s="46" t="s">
        <v>48</v>
      </c>
      <c r="B7" s="40">
        <f>(C19)</f>
        <v>146.4</v>
      </c>
      <c r="C7" s="40">
        <f>(C19)</f>
        <v>146.4</v>
      </c>
      <c r="D7" s="40">
        <f>(C19)</f>
        <v>146.4</v>
      </c>
      <c r="E7" s="40">
        <f>(C19)</f>
        <v>146.4</v>
      </c>
      <c r="F7" s="40">
        <f>(C19)</f>
        <v>146.4</v>
      </c>
      <c r="G7" s="43">
        <f t="shared" ref="G7:G15" si="0">SUM(B7:F7)</f>
        <v>732</v>
      </c>
      <c r="H7" s="128">
        <f>G7*B26</f>
        <v>73200</v>
      </c>
      <c r="I7" s="100"/>
      <c r="J7" s="46" t="s">
        <v>48</v>
      </c>
      <c r="K7" s="40">
        <v>144</v>
      </c>
      <c r="L7" s="40">
        <v>143</v>
      </c>
      <c r="M7" s="40">
        <v>150</v>
      </c>
      <c r="N7" s="40">
        <v>149</v>
      </c>
      <c r="O7" s="40">
        <f>O8</f>
        <v>146</v>
      </c>
      <c r="P7" s="43">
        <f t="shared" ref="P7:P16" si="1">SUM(K7:O7)</f>
        <v>732</v>
      </c>
      <c r="Q7" s="131">
        <f>P7*B26</f>
        <v>73200</v>
      </c>
      <c r="S7" s="40"/>
      <c r="T7" s="40"/>
      <c r="U7" s="40"/>
      <c r="V7" s="40"/>
    </row>
    <row r="8" spans="1:22" ht="15.6" x14ac:dyDescent="0.25">
      <c r="A8" s="46" t="s">
        <v>49</v>
      </c>
      <c r="B8" s="46">
        <v>144</v>
      </c>
      <c r="C8" s="46">
        <v>143</v>
      </c>
      <c r="D8" s="46">
        <v>150</v>
      </c>
      <c r="E8" s="46">
        <v>149</v>
      </c>
      <c r="F8" s="46">
        <v>146</v>
      </c>
      <c r="G8" s="43">
        <f t="shared" si="0"/>
        <v>732</v>
      </c>
      <c r="H8" s="128"/>
      <c r="I8" s="100"/>
      <c r="J8" s="46" t="s">
        <v>49</v>
      </c>
      <c r="K8" s="46">
        <v>144</v>
      </c>
      <c r="L8" s="46">
        <v>143</v>
      </c>
      <c r="M8" s="46">
        <v>150</v>
      </c>
      <c r="N8" s="46">
        <v>149</v>
      </c>
      <c r="O8" s="46">
        <v>146</v>
      </c>
      <c r="P8" s="43">
        <f t="shared" si="1"/>
        <v>732</v>
      </c>
      <c r="Q8" s="131"/>
      <c r="S8" s="40" t="s">
        <v>50</v>
      </c>
      <c r="T8" s="40">
        <f>T6/5</f>
        <v>146.4</v>
      </c>
      <c r="U8" s="40"/>
      <c r="V8" s="40"/>
    </row>
    <row r="9" spans="1:22" ht="15.6" x14ac:dyDescent="0.25">
      <c r="A9" s="46" t="s">
        <v>51</v>
      </c>
      <c r="B9" s="46">
        <f>ROUNDUP(B7/30,0)</f>
        <v>5</v>
      </c>
      <c r="C9" s="46">
        <f t="shared" ref="C9:F9" si="2">ROUNDUP(C7/30,0)</f>
        <v>5</v>
      </c>
      <c r="D9" s="46">
        <f t="shared" si="2"/>
        <v>5</v>
      </c>
      <c r="E9" s="46">
        <f t="shared" si="2"/>
        <v>5</v>
      </c>
      <c r="F9" s="46">
        <f t="shared" si="2"/>
        <v>5</v>
      </c>
      <c r="G9" s="43">
        <f t="shared" si="0"/>
        <v>25</v>
      </c>
      <c r="H9" s="128"/>
      <c r="I9" s="100"/>
      <c r="J9" s="46" t="s">
        <v>51</v>
      </c>
      <c r="K9" s="46">
        <f>ROUNDUP(K7/30,0)</f>
        <v>5</v>
      </c>
      <c r="L9" s="46">
        <f t="shared" ref="L9:O9" si="3">ROUNDUP(L7/30,0)</f>
        <v>5</v>
      </c>
      <c r="M9" s="46">
        <f t="shared" si="3"/>
        <v>5</v>
      </c>
      <c r="N9" s="46">
        <f t="shared" si="3"/>
        <v>5</v>
      </c>
      <c r="O9" s="46">
        <f t="shared" si="3"/>
        <v>5</v>
      </c>
      <c r="P9" s="43">
        <f t="shared" si="1"/>
        <v>25</v>
      </c>
      <c r="Q9" s="131"/>
      <c r="S9" s="40"/>
      <c r="T9" s="40"/>
      <c r="U9" s="40"/>
      <c r="V9" s="40"/>
    </row>
    <row r="10" spans="1:22" ht="15.6" x14ac:dyDescent="0.25">
      <c r="A10" s="46" t="s">
        <v>52</v>
      </c>
      <c r="B10" s="46">
        <v>10</v>
      </c>
      <c r="C10" s="46">
        <f>B9</f>
        <v>5</v>
      </c>
      <c r="D10" s="46">
        <f>C10</f>
        <v>5</v>
      </c>
      <c r="E10" s="46">
        <f>D10</f>
        <v>5</v>
      </c>
      <c r="F10" s="46">
        <f>E10</f>
        <v>5</v>
      </c>
      <c r="G10" s="43">
        <f t="shared" si="0"/>
        <v>30</v>
      </c>
      <c r="H10" s="128"/>
      <c r="I10" s="100"/>
      <c r="J10" s="46" t="s">
        <v>52</v>
      </c>
      <c r="K10" s="46">
        <v>10</v>
      </c>
      <c r="L10" s="46">
        <v>5</v>
      </c>
      <c r="M10" s="46">
        <v>5</v>
      </c>
      <c r="N10" s="46">
        <v>5</v>
      </c>
      <c r="O10" s="46">
        <v>5</v>
      </c>
      <c r="P10" s="43">
        <f t="shared" si="1"/>
        <v>30</v>
      </c>
      <c r="Q10" s="131"/>
      <c r="S10" s="40" t="s">
        <v>53</v>
      </c>
      <c r="T10" s="40">
        <f>T8/30</f>
        <v>4.88</v>
      </c>
      <c r="U10" s="40"/>
      <c r="V10" s="40">
        <v>139.64490000000001</v>
      </c>
    </row>
    <row r="11" spans="1:22" ht="15.6" x14ac:dyDescent="0.25">
      <c r="A11" s="46" t="s">
        <v>54</v>
      </c>
      <c r="B11" s="46">
        <v>0</v>
      </c>
      <c r="C11" s="46">
        <v>0</v>
      </c>
      <c r="D11" s="46">
        <v>0</v>
      </c>
      <c r="E11" s="46">
        <v>0</v>
      </c>
      <c r="F11" s="46">
        <v>0</v>
      </c>
      <c r="G11" s="43">
        <f t="shared" si="0"/>
        <v>0</v>
      </c>
      <c r="H11" s="128"/>
      <c r="I11" s="100"/>
      <c r="J11" s="46" t="s">
        <v>54</v>
      </c>
      <c r="K11" s="46">
        <v>0</v>
      </c>
      <c r="L11" s="46">
        <f>IF(L9-K9&gt;0,L9-K9,0)</f>
        <v>0</v>
      </c>
      <c r="M11" s="46">
        <f t="shared" ref="M11:O11" si="4">IF(M9-L9&gt;0,M9-L9,0)</f>
        <v>0</v>
      </c>
      <c r="N11" s="46">
        <f t="shared" si="4"/>
        <v>0</v>
      </c>
      <c r="O11" s="46">
        <f t="shared" si="4"/>
        <v>0</v>
      </c>
      <c r="P11" s="43">
        <f t="shared" si="1"/>
        <v>0</v>
      </c>
      <c r="Q11" s="131"/>
      <c r="S11" s="40" t="s">
        <v>55</v>
      </c>
      <c r="T11" s="40">
        <v>5</v>
      </c>
      <c r="U11" s="40"/>
      <c r="V11" s="40">
        <v>139.63399999999999</v>
      </c>
    </row>
    <row r="12" spans="1:22" ht="15.6" x14ac:dyDescent="0.25">
      <c r="A12" s="46" t="s">
        <v>56</v>
      </c>
      <c r="B12" s="46">
        <f>B10-B9</f>
        <v>5</v>
      </c>
      <c r="C12" s="46">
        <f t="shared" ref="C12:F12" si="5">C10-C9</f>
        <v>0</v>
      </c>
      <c r="D12" s="46">
        <f t="shared" si="5"/>
        <v>0</v>
      </c>
      <c r="E12" s="46">
        <f t="shared" si="5"/>
        <v>0</v>
      </c>
      <c r="F12" s="46">
        <f t="shared" si="5"/>
        <v>0</v>
      </c>
      <c r="G12" s="43">
        <f t="shared" si="0"/>
        <v>5</v>
      </c>
      <c r="H12" s="128">
        <f>G12*B23</f>
        <v>100000</v>
      </c>
      <c r="I12" s="100"/>
      <c r="J12" s="46" t="s">
        <v>56</v>
      </c>
      <c r="K12" s="46">
        <f>ABS(K9-K10)</f>
        <v>5</v>
      </c>
      <c r="L12" s="46">
        <f>IF(K9-L9&gt;0,K9-L9,0)</f>
        <v>0</v>
      </c>
      <c r="M12" s="46">
        <f t="shared" ref="M12:O12" si="6">IF(L9-M9&gt;0,L9-M9,0)</f>
        <v>0</v>
      </c>
      <c r="N12" s="46">
        <f t="shared" si="6"/>
        <v>0</v>
      </c>
      <c r="O12" s="46">
        <f t="shared" si="6"/>
        <v>0</v>
      </c>
      <c r="P12" s="43">
        <f t="shared" si="1"/>
        <v>5</v>
      </c>
      <c r="Q12" s="131">
        <f>P12*B23</f>
        <v>100000</v>
      </c>
      <c r="S12" s="40"/>
      <c r="T12" s="40"/>
      <c r="U12" s="40"/>
      <c r="V12" s="40">
        <v>139.6242</v>
      </c>
    </row>
    <row r="13" spans="1:22" ht="15.6" x14ac:dyDescent="0.25">
      <c r="A13" s="46" t="s">
        <v>57</v>
      </c>
      <c r="B13" s="46">
        <f>((B9*$B$20)-B7)/(0.75)</f>
        <v>4.7999999999999927</v>
      </c>
      <c r="C13" s="46">
        <f t="shared" ref="C13:F13" si="7">((C9*$B$20)-C7)/(0.75)</f>
        <v>4.7999999999999927</v>
      </c>
      <c r="D13" s="46">
        <f t="shared" si="7"/>
        <v>4.7999999999999927</v>
      </c>
      <c r="E13" s="46">
        <f t="shared" si="7"/>
        <v>4.7999999999999927</v>
      </c>
      <c r="F13" s="46">
        <f t="shared" si="7"/>
        <v>4.7999999999999927</v>
      </c>
      <c r="G13" s="43">
        <f t="shared" si="0"/>
        <v>23.999999999999964</v>
      </c>
      <c r="H13" s="128">
        <f>G13*C21</f>
        <v>4319.9999999999936</v>
      </c>
      <c r="I13" s="100"/>
      <c r="J13" s="46" t="s">
        <v>57</v>
      </c>
      <c r="K13" s="46">
        <f>((K9*$B$20)-K8)/(0.75)</f>
        <v>8</v>
      </c>
      <c r="L13" s="46">
        <f t="shared" ref="L13:O13" si="8">((L9*$B$20)-L8)/(0.75)</f>
        <v>9.3333333333333339</v>
      </c>
      <c r="M13" s="46">
        <f t="shared" si="8"/>
        <v>0</v>
      </c>
      <c r="N13" s="46">
        <f t="shared" si="8"/>
        <v>1.3333333333333333</v>
      </c>
      <c r="O13" s="46">
        <f t="shared" si="8"/>
        <v>5.333333333333333</v>
      </c>
      <c r="P13" s="43">
        <f t="shared" si="1"/>
        <v>24</v>
      </c>
      <c r="Q13" s="131">
        <f>P13*C21</f>
        <v>4320</v>
      </c>
      <c r="S13" s="40" t="s">
        <v>58</v>
      </c>
      <c r="T13" s="40">
        <v>0.12</v>
      </c>
      <c r="U13" s="40"/>
      <c r="V13" s="40">
        <v>139.61519999999999</v>
      </c>
    </row>
    <row r="14" spans="1:22" ht="15.6" x14ac:dyDescent="0.25">
      <c r="A14" s="46" t="s">
        <v>59</v>
      </c>
      <c r="B14" s="46">
        <f>B7-B8</f>
        <v>2.4000000000000057</v>
      </c>
      <c r="C14" s="46">
        <f>C7-C8+C6</f>
        <v>5.8000000000000114</v>
      </c>
      <c r="D14" s="46">
        <f>D7-D8+D6</f>
        <v>2.2000000000000171</v>
      </c>
      <c r="E14" s="46">
        <f>E7-E8+E6</f>
        <v>1.4000000000000057</v>
      </c>
      <c r="F14" s="46">
        <f>F7-F8+F6</f>
        <v>2.4000000000000057</v>
      </c>
      <c r="G14" s="46">
        <f t="shared" ref="G14" si="9">G7-G8</f>
        <v>0</v>
      </c>
      <c r="H14" s="128"/>
      <c r="I14" s="100"/>
      <c r="J14" s="46" t="s">
        <v>59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3">
        <f t="shared" si="1"/>
        <v>0</v>
      </c>
      <c r="Q14" s="131"/>
      <c r="S14" s="40"/>
      <c r="T14" s="40"/>
      <c r="U14" s="40"/>
      <c r="V14" s="40">
        <v>139.60669999999999</v>
      </c>
    </row>
    <row r="15" spans="1:22" ht="15.6" x14ac:dyDescent="0.25">
      <c r="A15" s="46" t="s">
        <v>60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3">
        <f t="shared" si="0"/>
        <v>0</v>
      </c>
      <c r="H15" s="128"/>
      <c r="I15" s="100"/>
      <c r="J15" s="46" t="s">
        <v>60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3">
        <f t="shared" si="1"/>
        <v>0</v>
      </c>
      <c r="Q15" s="131"/>
    </row>
    <row r="16" spans="1:22" ht="15.6" x14ac:dyDescent="0.25">
      <c r="A16" s="46" t="s">
        <v>61</v>
      </c>
      <c r="B16" s="46">
        <f>ABS((B6-B14)/2)</f>
        <v>1.2000000000000028</v>
      </c>
      <c r="C16" s="46">
        <f>ABS((C6-C14)/2)</f>
        <v>1.7000000000000028</v>
      </c>
      <c r="D16" s="46">
        <f t="shared" ref="D16:G16" si="10">ABS((D6-D14)/2)</f>
        <v>1.7999999999999972</v>
      </c>
      <c r="E16" s="46">
        <f t="shared" si="10"/>
        <v>1.2999999999999972</v>
      </c>
      <c r="F16" s="46">
        <f t="shared" si="10"/>
        <v>0.20000000000000284</v>
      </c>
      <c r="G16" s="98">
        <f t="shared" si="10"/>
        <v>7.1000000000000085</v>
      </c>
      <c r="H16" s="130"/>
      <c r="I16" s="100"/>
      <c r="J16" s="46" t="s">
        <v>61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97">
        <f t="shared" si="1"/>
        <v>0</v>
      </c>
      <c r="Q16" s="132"/>
    </row>
    <row r="17" spans="1:22" ht="15.6" x14ac:dyDescent="0.25">
      <c r="A17" s="47"/>
      <c r="B17" s="47"/>
      <c r="C17" s="47"/>
      <c r="D17" s="47"/>
      <c r="E17" s="47"/>
      <c r="F17" s="47"/>
      <c r="G17" s="43" t="s">
        <v>62</v>
      </c>
      <c r="H17" s="43">
        <f>SUM(H7:H13)</f>
        <v>177520</v>
      </c>
      <c r="I17" s="100"/>
      <c r="J17" s="47"/>
      <c r="K17" s="47"/>
      <c r="L17" s="47"/>
      <c r="M17" s="47"/>
      <c r="N17" s="47"/>
      <c r="O17" s="47"/>
      <c r="P17" s="43" t="s">
        <v>63</v>
      </c>
      <c r="Q17" s="45">
        <f>SUM(Q7:Q13)</f>
        <v>177520</v>
      </c>
    </row>
    <row r="18" spans="1:22" ht="15.6" x14ac:dyDescent="0.25">
      <c r="A18" s="47"/>
      <c r="B18" s="47"/>
      <c r="C18" s="47"/>
      <c r="D18" s="47"/>
      <c r="E18" s="47"/>
      <c r="F18" s="47"/>
      <c r="G18" s="48"/>
      <c r="H18" s="48"/>
      <c r="I18" s="100"/>
      <c r="J18" s="47"/>
      <c r="K18" s="47"/>
      <c r="L18" s="47"/>
      <c r="M18" s="47"/>
      <c r="N18" s="47"/>
      <c r="O18" s="47"/>
      <c r="P18" s="48"/>
      <c r="Q18" s="150"/>
    </row>
    <row r="19" spans="1:22" ht="15.6" x14ac:dyDescent="0.25">
      <c r="A19" s="47" t="s">
        <v>64</v>
      </c>
      <c r="B19" s="47">
        <f>(G8/5)</f>
        <v>146.4</v>
      </c>
      <c r="C19" s="47">
        <v>146.4</v>
      </c>
      <c r="D19" s="47">
        <v>150</v>
      </c>
      <c r="E19" s="47"/>
      <c r="F19" s="47"/>
      <c r="G19" s="47"/>
      <c r="H19" s="47"/>
      <c r="I19" s="100"/>
      <c r="J19" s="47"/>
      <c r="K19" s="47"/>
      <c r="L19" s="47"/>
      <c r="M19" s="47"/>
      <c r="N19" s="47"/>
      <c r="O19" s="47"/>
      <c r="P19" s="48"/>
    </row>
    <row r="20" spans="1:22" ht="15.6" x14ac:dyDescent="0.25">
      <c r="A20" s="128" t="s">
        <v>65</v>
      </c>
      <c r="B20" s="46">
        <v>30</v>
      </c>
      <c r="C20" s="129" t="s">
        <v>93</v>
      </c>
      <c r="D20" s="47"/>
      <c r="E20" s="47"/>
      <c r="F20" s="47"/>
      <c r="G20" s="47"/>
      <c r="H20" s="47"/>
      <c r="I20" s="100"/>
      <c r="J20" s="47"/>
      <c r="K20" s="47"/>
      <c r="L20" s="47"/>
      <c r="M20" s="47"/>
      <c r="N20" s="47"/>
      <c r="O20" s="47"/>
      <c r="P20" s="48"/>
    </row>
    <row r="21" spans="1:22" ht="15.6" x14ac:dyDescent="0.25">
      <c r="A21" s="43" t="s">
        <v>66</v>
      </c>
      <c r="B21" s="46">
        <v>3</v>
      </c>
      <c r="C21" s="47">
        <v>180</v>
      </c>
      <c r="D21" s="47" t="s">
        <v>67</v>
      </c>
      <c r="E21" s="47"/>
      <c r="F21" s="47"/>
      <c r="G21" s="47"/>
      <c r="H21" s="47"/>
      <c r="I21" s="100"/>
      <c r="J21" s="47"/>
      <c r="K21" s="47"/>
      <c r="L21" s="47"/>
      <c r="M21" s="47"/>
      <c r="N21" s="47"/>
      <c r="O21" s="47"/>
      <c r="P21" s="48"/>
    </row>
    <row r="22" spans="1:22" ht="15.6" x14ac:dyDescent="0.25">
      <c r="A22" s="43" t="s">
        <v>68</v>
      </c>
      <c r="B22" s="46">
        <v>10000</v>
      </c>
      <c r="C22" s="129" t="s">
        <v>94</v>
      </c>
      <c r="D22" s="47"/>
      <c r="E22" s="47"/>
      <c r="F22" s="47"/>
      <c r="G22" s="47"/>
      <c r="H22" s="47"/>
      <c r="I22" s="100"/>
      <c r="J22" s="47"/>
      <c r="K22" s="47"/>
      <c r="L22" s="47"/>
      <c r="M22" s="47"/>
      <c r="N22" s="47"/>
      <c r="O22" s="47"/>
      <c r="P22" s="48"/>
    </row>
    <row r="23" spans="1:22" ht="15.6" x14ac:dyDescent="0.25">
      <c r="A23" s="43" t="s">
        <v>69</v>
      </c>
      <c r="B23" s="46">
        <v>20000</v>
      </c>
      <c r="C23" s="129" t="s">
        <v>94</v>
      </c>
      <c r="D23" s="47"/>
      <c r="E23" s="47"/>
      <c r="F23" s="47"/>
      <c r="G23" s="47"/>
      <c r="H23" s="47"/>
      <c r="I23" s="100"/>
      <c r="J23" s="47"/>
      <c r="K23" s="47"/>
      <c r="L23" s="47"/>
      <c r="M23" s="47"/>
      <c r="N23" s="47"/>
      <c r="O23" s="47"/>
      <c r="P23" s="48"/>
    </row>
    <row r="24" spans="1:22" ht="15.6" x14ac:dyDescent="0.25">
      <c r="A24" s="129" t="s">
        <v>91</v>
      </c>
      <c r="B24" s="47">
        <f>30/40</f>
        <v>0.75</v>
      </c>
      <c r="C24" s="129" t="s">
        <v>92</v>
      </c>
      <c r="D24" s="47"/>
      <c r="E24" s="47"/>
      <c r="F24" s="47"/>
      <c r="G24" s="47"/>
      <c r="H24" s="47"/>
      <c r="I24" s="100"/>
      <c r="J24" s="47"/>
      <c r="K24" s="47"/>
      <c r="L24" s="47"/>
      <c r="M24" s="47"/>
      <c r="N24" s="47"/>
      <c r="O24" s="47"/>
      <c r="P24" s="48"/>
    </row>
    <row r="25" spans="1:22" ht="15.6" x14ac:dyDescent="0.25">
      <c r="A25" s="43"/>
      <c r="B25" s="112" t="s">
        <v>6</v>
      </c>
      <c r="C25" s="113" t="s">
        <v>7</v>
      </c>
      <c r="D25" s="114" t="s">
        <v>8</v>
      </c>
      <c r="E25" s="115" t="s">
        <v>9</v>
      </c>
      <c r="F25" s="116" t="s">
        <v>10</v>
      </c>
      <c r="G25" s="47"/>
      <c r="H25" s="47"/>
      <c r="I25" s="100"/>
      <c r="J25" s="47"/>
      <c r="K25" s="47"/>
      <c r="L25" s="47"/>
      <c r="M25" s="47"/>
      <c r="N25" s="47"/>
      <c r="O25" s="47"/>
      <c r="P25" s="48"/>
    </row>
    <row r="26" spans="1:22" ht="15.6" x14ac:dyDescent="0.25">
      <c r="A26" s="43" t="s">
        <v>70</v>
      </c>
      <c r="B26" s="46">
        <v>100</v>
      </c>
      <c r="C26" s="46">
        <v>80</v>
      </c>
      <c r="D26" s="46">
        <v>25</v>
      </c>
      <c r="E26" s="46">
        <v>150</v>
      </c>
      <c r="F26" s="46">
        <v>200</v>
      </c>
      <c r="G26" s="47"/>
      <c r="H26" s="47"/>
      <c r="I26" s="100"/>
      <c r="J26" s="47"/>
      <c r="K26" s="47"/>
      <c r="L26" s="47"/>
      <c r="M26" s="47"/>
      <c r="N26" s="47"/>
      <c r="O26" s="47"/>
      <c r="P26" s="48"/>
    </row>
    <row r="27" spans="1:22" ht="15.6" x14ac:dyDescent="0.25">
      <c r="A27" s="43" t="s">
        <v>71</v>
      </c>
      <c r="B27" s="46">
        <v>15</v>
      </c>
      <c r="C27" s="46">
        <v>12</v>
      </c>
      <c r="D27" s="46">
        <v>11.5</v>
      </c>
      <c r="E27" s="46">
        <v>20</v>
      </c>
      <c r="F27" s="46">
        <v>18.5</v>
      </c>
      <c r="G27" s="47"/>
      <c r="H27" s="47"/>
      <c r="I27" s="100"/>
      <c r="J27" s="47"/>
      <c r="K27" s="47"/>
      <c r="L27" s="47"/>
      <c r="M27" s="47"/>
      <c r="N27" s="47"/>
      <c r="O27" s="47"/>
      <c r="P27" s="48"/>
    </row>
    <row r="28" spans="1:22" ht="15.6" x14ac:dyDescent="0.25">
      <c r="A28" s="43" t="s">
        <v>72</v>
      </c>
      <c r="B28" s="46">
        <v>25</v>
      </c>
      <c r="C28" s="46">
        <v>18</v>
      </c>
      <c r="D28" s="46">
        <v>10</v>
      </c>
      <c r="E28" s="46">
        <v>50</v>
      </c>
      <c r="F28" s="46">
        <v>75</v>
      </c>
      <c r="G28" s="47"/>
      <c r="H28" s="47"/>
      <c r="I28" s="100"/>
      <c r="J28" s="47"/>
      <c r="K28" s="47"/>
      <c r="L28" s="47"/>
      <c r="M28" s="47"/>
      <c r="N28" s="47"/>
      <c r="O28" s="47"/>
      <c r="P28" s="48"/>
    </row>
    <row r="29" spans="1:22" ht="15.6" x14ac:dyDescent="0.25">
      <c r="A29" s="47"/>
      <c r="B29" s="47"/>
      <c r="C29" s="47"/>
      <c r="D29" s="47"/>
      <c r="E29" s="47"/>
      <c r="F29" s="47"/>
      <c r="G29" s="47"/>
      <c r="H29" s="47"/>
      <c r="I29" s="100"/>
      <c r="J29" s="47"/>
      <c r="K29" s="47"/>
      <c r="L29" s="47"/>
      <c r="M29" s="47"/>
      <c r="N29" s="47"/>
      <c r="O29" s="47"/>
      <c r="P29" s="48"/>
    </row>
    <row r="31" spans="1:22" ht="20.399999999999999" x14ac:dyDescent="0.35">
      <c r="A31" s="137" t="s">
        <v>7</v>
      </c>
      <c r="B31" s="137"/>
      <c r="C31" s="137"/>
      <c r="D31" s="137"/>
      <c r="E31" s="137"/>
      <c r="F31" s="137"/>
      <c r="G31" s="137"/>
      <c r="H31" s="137"/>
      <c r="I31" s="103"/>
      <c r="J31" s="137" t="s">
        <v>7</v>
      </c>
      <c r="K31" s="137"/>
      <c r="L31" s="137"/>
      <c r="M31" s="137"/>
      <c r="N31" s="137"/>
      <c r="O31" s="137"/>
      <c r="P31" s="137"/>
      <c r="Q31" s="137"/>
      <c r="R31" s="103"/>
      <c r="S31" s="38" t="s">
        <v>7</v>
      </c>
      <c r="T31" s="39" t="s">
        <v>41</v>
      </c>
      <c r="U31" s="39"/>
      <c r="V31" s="39" t="s">
        <v>42</v>
      </c>
    </row>
    <row r="32" spans="1:22" ht="15.6" x14ac:dyDescent="0.25">
      <c r="A32" s="43" t="s">
        <v>43</v>
      </c>
      <c r="B32" s="44">
        <v>21</v>
      </c>
      <c r="C32" s="44">
        <v>23</v>
      </c>
      <c r="D32" s="44">
        <v>24</v>
      </c>
      <c r="E32" s="44">
        <v>25</v>
      </c>
      <c r="F32" s="44">
        <v>25</v>
      </c>
      <c r="G32" s="44" t="s">
        <v>44</v>
      </c>
      <c r="H32" s="44" t="s">
        <v>45</v>
      </c>
      <c r="J32" s="43" t="s">
        <v>43</v>
      </c>
      <c r="K32" s="44">
        <v>21</v>
      </c>
      <c r="L32" s="44">
        <v>23</v>
      </c>
      <c r="M32" s="44">
        <v>24</v>
      </c>
      <c r="N32" s="44">
        <v>25</v>
      </c>
      <c r="O32" s="44">
        <v>25</v>
      </c>
      <c r="P32" s="44" t="s">
        <v>44</v>
      </c>
      <c r="Q32" s="40" t="s">
        <v>45</v>
      </c>
      <c r="S32" s="40"/>
      <c r="T32" s="40"/>
      <c r="U32" s="40"/>
      <c r="V32" s="40"/>
    </row>
    <row r="33" spans="1:22" ht="15.6" x14ac:dyDescent="0.25">
      <c r="A33" s="46" t="s">
        <v>46</v>
      </c>
      <c r="B33" s="40">
        <v>0</v>
      </c>
      <c r="C33" s="40">
        <f>B41</f>
        <v>16</v>
      </c>
      <c r="D33" s="40">
        <f>C41</f>
        <v>10</v>
      </c>
      <c r="E33" s="40">
        <v>4</v>
      </c>
      <c r="F33" s="40">
        <v>2</v>
      </c>
      <c r="G33" s="43">
        <f>SUM(B33:F33)</f>
        <v>32</v>
      </c>
      <c r="H33" s="128"/>
      <c r="I33" s="100"/>
      <c r="J33" s="46" t="s">
        <v>46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43">
        <f>SUM(K33:O33)</f>
        <v>0</v>
      </c>
      <c r="Q33" s="131"/>
      <c r="S33" s="40" t="s">
        <v>47</v>
      </c>
      <c r="T33" s="40">
        <f>G36</f>
        <v>35</v>
      </c>
      <c r="U33" s="40"/>
      <c r="V33" s="40"/>
    </row>
    <row r="34" spans="1:22" ht="15.6" x14ac:dyDescent="0.25">
      <c r="A34" s="46" t="s">
        <v>48</v>
      </c>
      <c r="B34" s="40">
        <f>(C45)</f>
        <v>194</v>
      </c>
      <c r="C34" s="40">
        <f>(C45)</f>
        <v>194</v>
      </c>
      <c r="D34" s="40">
        <f>(C45)</f>
        <v>194</v>
      </c>
      <c r="E34" s="40">
        <f>(C45)</f>
        <v>194</v>
      </c>
      <c r="F34" s="40">
        <f>(C45)</f>
        <v>194</v>
      </c>
      <c r="G34" s="43">
        <f t="shared" ref="G34:G42" si="11">SUM(B34:F34)</f>
        <v>970</v>
      </c>
      <c r="H34" s="128">
        <f>G34*C26</f>
        <v>77600</v>
      </c>
      <c r="I34" s="100"/>
      <c r="J34" s="46" t="s">
        <v>48</v>
      </c>
      <c r="K34" s="46">
        <v>178</v>
      </c>
      <c r="L34" s="46">
        <v>200</v>
      </c>
      <c r="M34" s="46">
        <v>215</v>
      </c>
      <c r="N34" s="46">
        <v>205</v>
      </c>
      <c r="O34" s="46">
        <v>170</v>
      </c>
      <c r="P34" s="43">
        <f t="shared" ref="P34:P43" si="12">SUM(K34:O34)</f>
        <v>968</v>
      </c>
      <c r="Q34" s="131">
        <f>P34*C26</f>
        <v>77440</v>
      </c>
      <c r="S34" s="40"/>
      <c r="T34" s="40"/>
      <c r="U34" s="40"/>
      <c r="V34" s="40"/>
    </row>
    <row r="35" spans="1:22" ht="15.6" x14ac:dyDescent="0.25">
      <c r="A35" s="46" t="s">
        <v>49</v>
      </c>
      <c r="B35" s="46">
        <v>178</v>
      </c>
      <c r="C35" s="46">
        <v>200</v>
      </c>
      <c r="D35" s="46">
        <v>215</v>
      </c>
      <c r="E35" s="46">
        <v>205</v>
      </c>
      <c r="F35" s="46">
        <v>170</v>
      </c>
      <c r="G35" s="43">
        <f t="shared" si="11"/>
        <v>968</v>
      </c>
      <c r="H35" s="128"/>
      <c r="I35" s="100"/>
      <c r="J35" s="46" t="s">
        <v>49</v>
      </c>
      <c r="K35" s="46">
        <v>178</v>
      </c>
      <c r="L35" s="46">
        <v>200</v>
      </c>
      <c r="M35" s="46">
        <v>215</v>
      </c>
      <c r="N35" s="46">
        <v>205</v>
      </c>
      <c r="O35" s="46">
        <v>170</v>
      </c>
      <c r="P35" s="43">
        <f t="shared" si="12"/>
        <v>968</v>
      </c>
      <c r="Q35" s="131"/>
      <c r="S35" s="40" t="s">
        <v>50</v>
      </c>
      <c r="T35" s="40">
        <f>T33/5</f>
        <v>7</v>
      </c>
      <c r="U35" s="40"/>
      <c r="V35" s="40"/>
    </row>
    <row r="36" spans="1:22" ht="15.6" x14ac:dyDescent="0.25">
      <c r="A36" s="46" t="s">
        <v>51</v>
      </c>
      <c r="B36" s="46">
        <f>ROUNDUP(B34/30,0)</f>
        <v>7</v>
      </c>
      <c r="C36" s="46">
        <f t="shared" ref="C36:F36" si="13">ROUNDUP(C34/30,0)</f>
        <v>7</v>
      </c>
      <c r="D36" s="46">
        <f t="shared" si="13"/>
        <v>7</v>
      </c>
      <c r="E36" s="46">
        <f t="shared" si="13"/>
        <v>7</v>
      </c>
      <c r="F36" s="46">
        <f t="shared" si="13"/>
        <v>7</v>
      </c>
      <c r="G36" s="43">
        <f t="shared" si="11"/>
        <v>35</v>
      </c>
      <c r="H36" s="128"/>
      <c r="I36" s="100"/>
      <c r="J36" s="46" t="s">
        <v>51</v>
      </c>
      <c r="K36" s="46">
        <f>ROUNDUP(K34/30,0)</f>
        <v>6</v>
      </c>
      <c r="L36" s="46">
        <f t="shared" ref="L36:O36" si="14">ROUNDUP(L34/30,0)</f>
        <v>7</v>
      </c>
      <c r="M36" s="46">
        <f t="shared" si="14"/>
        <v>8</v>
      </c>
      <c r="N36" s="46">
        <f t="shared" si="14"/>
        <v>7</v>
      </c>
      <c r="O36" s="46">
        <f t="shared" si="14"/>
        <v>6</v>
      </c>
      <c r="P36" s="43">
        <f t="shared" si="12"/>
        <v>34</v>
      </c>
      <c r="Q36" s="131"/>
      <c r="S36" s="40"/>
      <c r="T36" s="40"/>
      <c r="U36" s="40"/>
      <c r="V36" s="40"/>
    </row>
    <row r="37" spans="1:22" ht="15.6" x14ac:dyDescent="0.25">
      <c r="A37" s="46" t="s">
        <v>52</v>
      </c>
      <c r="B37" s="46">
        <v>10</v>
      </c>
      <c r="C37" s="46">
        <f>B36</f>
        <v>7</v>
      </c>
      <c r="D37" s="46">
        <f>C37</f>
        <v>7</v>
      </c>
      <c r="E37" s="46">
        <f>D37</f>
        <v>7</v>
      </c>
      <c r="F37" s="46">
        <f>E37</f>
        <v>7</v>
      </c>
      <c r="G37" s="43">
        <f t="shared" si="11"/>
        <v>38</v>
      </c>
      <c r="H37" s="128"/>
      <c r="I37" s="100"/>
      <c r="J37" s="46" t="s">
        <v>52</v>
      </c>
      <c r="K37" s="46">
        <v>10</v>
      </c>
      <c r="L37" s="46">
        <v>7</v>
      </c>
      <c r="M37" s="46">
        <v>8</v>
      </c>
      <c r="N37" s="46">
        <v>7</v>
      </c>
      <c r="O37" s="46">
        <v>6</v>
      </c>
      <c r="P37" s="43">
        <f t="shared" si="12"/>
        <v>38</v>
      </c>
      <c r="Q37" s="131"/>
      <c r="S37" s="40" t="s">
        <v>53</v>
      </c>
      <c r="T37" s="40">
        <f>T35/30</f>
        <v>0.23333333333333334</v>
      </c>
      <c r="U37" s="40"/>
      <c r="V37" s="40">
        <f>K35/30</f>
        <v>5.9333333333333336</v>
      </c>
    </row>
    <row r="38" spans="1:22" ht="15.6" x14ac:dyDescent="0.25">
      <c r="A38" s="46" t="s">
        <v>54</v>
      </c>
      <c r="B38" s="46">
        <v>0</v>
      </c>
      <c r="C38" s="46">
        <v>0</v>
      </c>
      <c r="D38" s="46">
        <v>0</v>
      </c>
      <c r="E38" s="46">
        <v>0</v>
      </c>
      <c r="F38" s="46">
        <v>0</v>
      </c>
      <c r="G38" s="43">
        <f t="shared" si="11"/>
        <v>0</v>
      </c>
      <c r="H38" s="128"/>
      <c r="I38" s="100"/>
      <c r="J38" s="46" t="s">
        <v>54</v>
      </c>
      <c r="K38" s="46">
        <f>IF(K36-K37 &gt; 0,K36-K37,0)</f>
        <v>0</v>
      </c>
      <c r="L38" s="46">
        <f>IF(L36-K36&gt;0,L36-K36,0)</f>
        <v>1</v>
      </c>
      <c r="M38" s="46">
        <f t="shared" ref="M38:O38" si="15">IF(M36-L36&gt;0,M36-L36,0)</f>
        <v>1</v>
      </c>
      <c r="N38" s="46">
        <f t="shared" si="15"/>
        <v>0</v>
      </c>
      <c r="O38" s="46">
        <f t="shared" si="15"/>
        <v>0</v>
      </c>
      <c r="P38" s="43">
        <f t="shared" si="12"/>
        <v>2</v>
      </c>
      <c r="Q38" s="131">
        <f>P38*B22</f>
        <v>20000</v>
      </c>
      <c r="S38" s="40" t="s">
        <v>55</v>
      </c>
      <c r="T38" s="40">
        <v>7</v>
      </c>
      <c r="U38" s="40"/>
      <c r="V38" s="40">
        <f>L35/30</f>
        <v>6.666666666666667</v>
      </c>
    </row>
    <row r="39" spans="1:22" ht="15.6" x14ac:dyDescent="0.25">
      <c r="A39" s="46" t="s">
        <v>56</v>
      </c>
      <c r="B39" s="46">
        <f>B37-B36</f>
        <v>3</v>
      </c>
      <c r="C39" s="46">
        <f t="shared" ref="C39:F39" si="16">C37-C36</f>
        <v>0</v>
      </c>
      <c r="D39" s="46">
        <f t="shared" si="16"/>
        <v>0</v>
      </c>
      <c r="E39" s="46">
        <f t="shared" si="16"/>
        <v>0</v>
      </c>
      <c r="F39" s="46">
        <f t="shared" si="16"/>
        <v>0</v>
      </c>
      <c r="G39" s="43">
        <f t="shared" si="11"/>
        <v>3</v>
      </c>
      <c r="H39" s="128">
        <f>G39*B23</f>
        <v>60000</v>
      </c>
      <c r="I39" s="100"/>
      <c r="J39" s="46" t="s">
        <v>56</v>
      </c>
      <c r="K39" s="46">
        <f>IF(K37-K36 &gt; 0,K37-K36,0)</f>
        <v>4</v>
      </c>
      <c r="L39" s="46">
        <f>IF(K36-L36&gt;0,K36-L36,0)</f>
        <v>0</v>
      </c>
      <c r="M39" s="46">
        <f t="shared" ref="M39:O39" si="17">IF(L36-M36&gt;0,L36-M36,0)</f>
        <v>0</v>
      </c>
      <c r="N39" s="46">
        <f t="shared" si="17"/>
        <v>1</v>
      </c>
      <c r="O39" s="46">
        <f t="shared" si="17"/>
        <v>1</v>
      </c>
      <c r="P39" s="43">
        <f t="shared" si="12"/>
        <v>6</v>
      </c>
      <c r="Q39" s="131">
        <f>P39*B23</f>
        <v>120000</v>
      </c>
      <c r="S39" s="40"/>
      <c r="T39" s="40"/>
      <c r="U39" s="40"/>
      <c r="V39" s="40">
        <f>M35/30</f>
        <v>7.166666666666667</v>
      </c>
    </row>
    <row r="40" spans="1:22" ht="15.6" x14ac:dyDescent="0.25">
      <c r="A40" s="46" t="s">
        <v>57</v>
      </c>
      <c r="B40" s="46">
        <f>((B36*$B$20)-B34)/(0.75)</f>
        <v>21.333333333333332</v>
      </c>
      <c r="C40" s="46">
        <f t="shared" ref="C40:F40" si="18">((C36*$B$20)-C34)/(0.75)</f>
        <v>21.333333333333332</v>
      </c>
      <c r="D40" s="46">
        <f t="shared" si="18"/>
        <v>21.333333333333332</v>
      </c>
      <c r="E40" s="46">
        <f t="shared" si="18"/>
        <v>21.333333333333332</v>
      </c>
      <c r="F40" s="46">
        <f t="shared" si="18"/>
        <v>21.333333333333332</v>
      </c>
      <c r="G40" s="43">
        <f t="shared" si="11"/>
        <v>106.66666666666666</v>
      </c>
      <c r="H40" s="128">
        <f>G40*C21</f>
        <v>19200</v>
      </c>
      <c r="I40" s="100"/>
      <c r="J40" s="46" t="s">
        <v>57</v>
      </c>
      <c r="K40" s="46">
        <f>((K36*$B$20)-K34)/0.75</f>
        <v>2.6666666666666665</v>
      </c>
      <c r="L40" s="46">
        <f t="shared" ref="L40:O40" si="19">((L36*$B$20)-L34)/0.75</f>
        <v>13.333333333333334</v>
      </c>
      <c r="M40" s="46">
        <f t="shared" si="19"/>
        <v>33.333333333333336</v>
      </c>
      <c r="N40" s="46">
        <f t="shared" si="19"/>
        <v>6.666666666666667</v>
      </c>
      <c r="O40" s="46">
        <f t="shared" si="19"/>
        <v>13.333333333333334</v>
      </c>
      <c r="P40" s="43">
        <f t="shared" si="12"/>
        <v>69.333333333333329</v>
      </c>
      <c r="Q40" s="131">
        <f>P40*C21</f>
        <v>12480</v>
      </c>
      <c r="S40" s="40" t="s">
        <v>58</v>
      </c>
      <c r="T40" s="40">
        <f>T38-T37</f>
        <v>6.7666666666666666</v>
      </c>
      <c r="U40" s="40"/>
      <c r="V40" s="40">
        <f>N35/30</f>
        <v>6.833333333333333</v>
      </c>
    </row>
    <row r="41" spans="1:22" ht="15.6" x14ac:dyDescent="0.25">
      <c r="A41" s="46" t="s">
        <v>59</v>
      </c>
      <c r="B41" s="46">
        <f>B34-B35</f>
        <v>16</v>
      </c>
      <c r="C41" s="46">
        <f>C34-C35+C33</f>
        <v>10</v>
      </c>
      <c r="D41" s="46">
        <f>D34-D35+D33</f>
        <v>-11</v>
      </c>
      <c r="E41" s="46">
        <f>E34-E35+E33</f>
        <v>-7</v>
      </c>
      <c r="F41" s="46">
        <f>F34-F35+F33</f>
        <v>26</v>
      </c>
      <c r="G41" s="46">
        <f t="shared" ref="G41" si="20">G34-G35</f>
        <v>2</v>
      </c>
      <c r="H41" s="128">
        <f>G41*C27</f>
        <v>24</v>
      </c>
      <c r="I41" s="100"/>
      <c r="J41" s="46" t="s">
        <v>59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43">
        <f t="shared" si="12"/>
        <v>0</v>
      </c>
      <c r="Q41" s="131"/>
      <c r="S41" s="40"/>
      <c r="T41" s="40"/>
      <c r="U41" s="40"/>
      <c r="V41" s="40">
        <f>O35/30</f>
        <v>5.666666666666667</v>
      </c>
    </row>
    <row r="42" spans="1:22" ht="15.6" x14ac:dyDescent="0.25">
      <c r="A42" s="46" t="s">
        <v>60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3">
        <f t="shared" si="11"/>
        <v>0</v>
      </c>
      <c r="H42" s="128"/>
      <c r="I42" s="100"/>
      <c r="J42" s="46" t="s">
        <v>60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43">
        <f t="shared" si="12"/>
        <v>0</v>
      </c>
      <c r="Q42" s="131"/>
    </row>
    <row r="43" spans="1:22" ht="15.6" x14ac:dyDescent="0.25">
      <c r="A43" s="46" t="s">
        <v>61</v>
      </c>
      <c r="B43" s="46">
        <f>ABS((B33-B41)/2)</f>
        <v>8</v>
      </c>
      <c r="C43" s="46">
        <f>ABS((C33-C41)/2)</f>
        <v>3</v>
      </c>
      <c r="D43" s="46">
        <f t="shared" ref="D43:G43" si="21">ABS((D33-D41)/2)</f>
        <v>10.5</v>
      </c>
      <c r="E43" s="46">
        <f t="shared" si="21"/>
        <v>5.5</v>
      </c>
      <c r="F43" s="46">
        <f t="shared" si="21"/>
        <v>12</v>
      </c>
      <c r="G43" s="98">
        <f t="shared" si="21"/>
        <v>15</v>
      </c>
      <c r="H43" s="130"/>
      <c r="I43" s="100"/>
      <c r="J43" s="46" t="s">
        <v>61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97">
        <f t="shared" si="12"/>
        <v>0</v>
      </c>
      <c r="Q43" s="99"/>
    </row>
    <row r="44" spans="1:22" ht="15.6" x14ac:dyDescent="0.25">
      <c r="A44" s="47"/>
      <c r="B44" s="47"/>
      <c r="C44" s="47"/>
      <c r="D44" s="47"/>
      <c r="E44" s="47"/>
      <c r="F44" s="47"/>
      <c r="G44" s="43" t="s">
        <v>62</v>
      </c>
      <c r="H44" s="43">
        <f>SUM(H34:H41)</f>
        <v>156824</v>
      </c>
      <c r="I44" s="100"/>
      <c r="P44" s="45" t="s">
        <v>63</v>
      </c>
      <c r="Q44" s="45">
        <f>SUM(Q34,Q38,Q39,Q40)</f>
        <v>229920</v>
      </c>
    </row>
    <row r="45" spans="1:22" ht="15.6" x14ac:dyDescent="0.25">
      <c r="A45" s="47" t="s">
        <v>64</v>
      </c>
      <c r="B45" s="47">
        <f>(G35/5)</f>
        <v>193.6</v>
      </c>
      <c r="C45" s="47">
        <f>ROUNDUP(B45,0)</f>
        <v>194</v>
      </c>
      <c r="D45" s="47"/>
      <c r="E45" s="47"/>
      <c r="F45" s="47"/>
      <c r="G45" s="47"/>
      <c r="H45" s="47"/>
      <c r="I45" s="100"/>
      <c r="J45" s="47"/>
      <c r="K45" s="47"/>
      <c r="L45" s="47"/>
      <c r="M45" s="47"/>
      <c r="N45" s="47"/>
      <c r="O45" s="47"/>
      <c r="P45" s="48"/>
    </row>
    <row r="46" spans="1:22" ht="15.6" x14ac:dyDescent="0.25">
      <c r="B46" s="52">
        <f>194/30</f>
        <v>6.4666666666666668</v>
      </c>
      <c r="C46" s="52">
        <f>ROUNDUP(B46,0)</f>
        <v>7</v>
      </c>
      <c r="I46" s="100"/>
      <c r="J46" s="47"/>
      <c r="K46" s="47"/>
      <c r="L46" s="47"/>
      <c r="M46" s="47"/>
      <c r="N46" s="47"/>
      <c r="O46" s="47"/>
      <c r="P46" s="48"/>
    </row>
    <row r="47" spans="1:22" ht="15.6" x14ac:dyDescent="0.25">
      <c r="A47" s="47"/>
      <c r="B47" s="47"/>
      <c r="C47" s="47"/>
      <c r="D47" s="47"/>
      <c r="E47" s="47"/>
      <c r="F47" s="47"/>
      <c r="G47" s="47"/>
      <c r="H47" s="47"/>
      <c r="I47" s="100"/>
      <c r="J47" s="47"/>
      <c r="K47" s="47"/>
      <c r="L47" s="47"/>
      <c r="M47" s="47"/>
      <c r="N47" s="47"/>
      <c r="O47" s="47"/>
      <c r="P47" s="48"/>
    </row>
    <row r="49" spans="1:22" ht="20.399999999999999" x14ac:dyDescent="0.35">
      <c r="A49" s="138" t="s">
        <v>8</v>
      </c>
      <c r="B49" s="138"/>
      <c r="C49" s="138"/>
      <c r="D49" s="138"/>
      <c r="E49" s="138"/>
      <c r="F49" s="138"/>
      <c r="G49" s="138"/>
      <c r="H49" s="138"/>
      <c r="I49" s="103"/>
      <c r="J49" s="138" t="s">
        <v>8</v>
      </c>
      <c r="K49" s="138"/>
      <c r="L49" s="138"/>
      <c r="M49" s="138"/>
      <c r="N49" s="138"/>
      <c r="O49" s="138"/>
      <c r="P49" s="138"/>
      <c r="Q49" s="138"/>
      <c r="R49" s="103"/>
      <c r="S49" s="104" t="s">
        <v>8</v>
      </c>
      <c r="T49" s="105" t="s">
        <v>41</v>
      </c>
      <c r="U49" s="105"/>
      <c r="V49" s="105" t="s">
        <v>42</v>
      </c>
    </row>
    <row r="50" spans="1:22" ht="15.6" x14ac:dyDescent="0.25">
      <c r="A50" s="43" t="s">
        <v>43</v>
      </c>
      <c r="B50" s="44">
        <v>21</v>
      </c>
      <c r="C50" s="44">
        <v>23</v>
      </c>
      <c r="D50" s="44">
        <v>24</v>
      </c>
      <c r="E50" s="44">
        <v>25</v>
      </c>
      <c r="F50" s="44">
        <v>25</v>
      </c>
      <c r="G50" s="44" t="s">
        <v>44</v>
      </c>
      <c r="H50" s="44" t="s">
        <v>45</v>
      </c>
      <c r="I50" s="100"/>
      <c r="J50" s="43" t="s">
        <v>43</v>
      </c>
      <c r="K50" s="44">
        <v>21</v>
      </c>
      <c r="L50" s="44">
        <v>23</v>
      </c>
      <c r="M50" s="44">
        <v>24</v>
      </c>
      <c r="N50" s="44">
        <v>25</v>
      </c>
      <c r="O50" s="44">
        <v>25</v>
      </c>
      <c r="P50" s="44" t="s">
        <v>44</v>
      </c>
      <c r="Q50" s="45" t="s">
        <v>45</v>
      </c>
      <c r="S50" s="40"/>
      <c r="T50" s="40"/>
      <c r="U50" s="40"/>
      <c r="V50" s="40"/>
    </row>
    <row r="51" spans="1:22" ht="15.6" x14ac:dyDescent="0.25">
      <c r="A51" s="46" t="s">
        <v>46</v>
      </c>
      <c r="B51" s="40">
        <v>0</v>
      </c>
      <c r="C51" s="40">
        <v>19</v>
      </c>
      <c r="D51" s="40">
        <v>14</v>
      </c>
      <c r="E51" s="40">
        <v>0</v>
      </c>
      <c r="F51" s="40">
        <v>0</v>
      </c>
      <c r="G51" s="43"/>
      <c r="H51" s="128"/>
      <c r="I51" s="100"/>
      <c r="J51" s="46" t="s">
        <v>46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3">
        <f>SUM(K51:O51)</f>
        <v>0</v>
      </c>
      <c r="Q51" s="131"/>
      <c r="S51" s="40" t="s">
        <v>47</v>
      </c>
      <c r="T51" s="40">
        <f>G53</f>
        <v>498</v>
      </c>
      <c r="U51" s="40"/>
      <c r="V51" s="40"/>
    </row>
    <row r="52" spans="1:22" ht="15.6" x14ac:dyDescent="0.25">
      <c r="A52" s="46" t="s">
        <v>48</v>
      </c>
      <c r="B52" s="46">
        <v>100</v>
      </c>
      <c r="C52" s="46">
        <v>100</v>
      </c>
      <c r="D52" s="46">
        <v>100</v>
      </c>
      <c r="E52" s="46">
        <v>100</v>
      </c>
      <c r="F52" s="46">
        <v>100</v>
      </c>
      <c r="G52" s="43">
        <f>SUM(B52:F52)</f>
        <v>500</v>
      </c>
      <c r="H52" s="128">
        <f>G52*D26</f>
        <v>12500</v>
      </c>
      <c r="I52" s="100"/>
      <c r="J52" s="46" t="s">
        <v>48</v>
      </c>
      <c r="K52" s="46">
        <v>117</v>
      </c>
      <c r="L52" s="46">
        <v>93</v>
      </c>
      <c r="M52" s="46">
        <v>83</v>
      </c>
      <c r="N52" s="46">
        <v>71</v>
      </c>
      <c r="O52" s="46">
        <v>124</v>
      </c>
      <c r="P52" s="43">
        <f t="shared" ref="P52:P61" si="22">SUM(K52:O52)</f>
        <v>488</v>
      </c>
      <c r="Q52" s="131">
        <f>P52*D26</f>
        <v>12200</v>
      </c>
      <c r="S52" s="40"/>
      <c r="T52" s="40"/>
      <c r="U52" s="40"/>
      <c r="V52" s="40"/>
    </row>
    <row r="53" spans="1:22" ht="15.6" x14ac:dyDescent="0.25">
      <c r="A53" s="46" t="s">
        <v>49</v>
      </c>
      <c r="B53" s="46">
        <v>121</v>
      </c>
      <c r="C53" s="46">
        <v>97</v>
      </c>
      <c r="D53" s="46">
        <v>84</v>
      </c>
      <c r="E53" s="46">
        <v>69</v>
      </c>
      <c r="F53" s="46">
        <v>127</v>
      </c>
      <c r="G53" s="43">
        <f>SUM(B53:F53)</f>
        <v>498</v>
      </c>
      <c r="H53" s="128"/>
      <c r="I53" s="100"/>
      <c r="J53" s="46" t="s">
        <v>49</v>
      </c>
      <c r="K53" s="46">
        <v>117</v>
      </c>
      <c r="L53" s="46">
        <v>93</v>
      </c>
      <c r="M53" s="46">
        <v>83</v>
      </c>
      <c r="N53" s="46">
        <v>71</v>
      </c>
      <c r="O53" s="46">
        <v>124</v>
      </c>
      <c r="P53" s="43">
        <f t="shared" si="22"/>
        <v>488</v>
      </c>
      <c r="Q53" s="131"/>
      <c r="S53" s="40" t="s">
        <v>50</v>
      </c>
      <c r="T53" s="40">
        <f>G53/5</f>
        <v>99.6</v>
      </c>
      <c r="U53" s="40"/>
      <c r="V53" s="40"/>
    </row>
    <row r="54" spans="1:22" ht="15.6" x14ac:dyDescent="0.25">
      <c r="A54" s="46" t="s">
        <v>51</v>
      </c>
      <c r="B54" s="46">
        <f>ROUNDUP(B52/30,0)</f>
        <v>4</v>
      </c>
      <c r="C54" s="46">
        <f t="shared" ref="C54:F54" si="23">ROUNDUP(C52/30,0)</f>
        <v>4</v>
      </c>
      <c r="D54" s="46">
        <f t="shared" si="23"/>
        <v>4</v>
      </c>
      <c r="E54" s="46">
        <f t="shared" si="23"/>
        <v>4</v>
      </c>
      <c r="F54" s="46">
        <f t="shared" si="23"/>
        <v>4</v>
      </c>
      <c r="G54" s="43">
        <f t="shared" ref="G54:G60" si="24">SUM(B54:F54)</f>
        <v>20</v>
      </c>
      <c r="H54" s="128"/>
      <c r="I54" s="100"/>
      <c r="J54" s="46" t="s">
        <v>51</v>
      </c>
      <c r="K54" s="46">
        <f>ROUNDUP(K52/30,0)</f>
        <v>4</v>
      </c>
      <c r="L54" s="46">
        <f t="shared" ref="L54:O54" si="25">ROUNDUP(L52/30,0)</f>
        <v>4</v>
      </c>
      <c r="M54" s="46">
        <f t="shared" si="25"/>
        <v>3</v>
      </c>
      <c r="N54" s="46">
        <f t="shared" si="25"/>
        <v>3</v>
      </c>
      <c r="O54" s="46">
        <f t="shared" si="25"/>
        <v>5</v>
      </c>
      <c r="P54" s="43">
        <f t="shared" si="22"/>
        <v>19</v>
      </c>
      <c r="Q54" s="131"/>
      <c r="S54" s="40"/>
      <c r="T54" s="40"/>
      <c r="U54" s="40"/>
      <c r="V54" s="40"/>
    </row>
    <row r="55" spans="1:22" ht="15.6" x14ac:dyDescent="0.25">
      <c r="A55" s="46" t="s">
        <v>52</v>
      </c>
      <c r="B55" s="46">
        <v>10</v>
      </c>
      <c r="C55" s="46">
        <f>B54</f>
        <v>4</v>
      </c>
      <c r="D55" s="46">
        <f>C55</f>
        <v>4</v>
      </c>
      <c r="E55" s="46">
        <f>D55</f>
        <v>4</v>
      </c>
      <c r="F55" s="46">
        <f>E55</f>
        <v>4</v>
      </c>
      <c r="G55" s="43">
        <f t="shared" si="24"/>
        <v>26</v>
      </c>
      <c r="H55" s="128"/>
      <c r="I55" s="100"/>
      <c r="J55" s="46" t="s">
        <v>52</v>
      </c>
      <c r="K55" s="46">
        <v>10</v>
      </c>
      <c r="L55" s="46">
        <v>4</v>
      </c>
      <c r="M55" s="46">
        <v>3</v>
      </c>
      <c r="N55" s="46">
        <v>3</v>
      </c>
      <c r="O55" s="46">
        <v>5</v>
      </c>
      <c r="P55" s="43">
        <f t="shared" si="22"/>
        <v>25</v>
      </c>
      <c r="Q55" s="131"/>
      <c r="S55" s="40" t="s">
        <v>53</v>
      </c>
      <c r="T55" s="40">
        <f>T53/30</f>
        <v>3.32</v>
      </c>
      <c r="U55" s="40"/>
      <c r="V55" s="40">
        <f>K53/30</f>
        <v>3.9</v>
      </c>
    </row>
    <row r="56" spans="1:22" ht="15.6" x14ac:dyDescent="0.25">
      <c r="A56" s="46" t="s">
        <v>54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3">
        <f t="shared" si="24"/>
        <v>0</v>
      </c>
      <c r="H56" s="128"/>
      <c r="I56" s="100"/>
      <c r="J56" s="46" t="s">
        <v>54</v>
      </c>
      <c r="K56" s="46">
        <f>IF(K54-K55 &gt; 0,K54-K55,0)</f>
        <v>0</v>
      </c>
      <c r="L56" s="46">
        <v>0</v>
      </c>
      <c r="M56" s="46">
        <v>0</v>
      </c>
      <c r="N56" s="46">
        <v>0</v>
      </c>
      <c r="O56" s="46">
        <v>2</v>
      </c>
      <c r="P56" s="43">
        <f t="shared" si="22"/>
        <v>2</v>
      </c>
      <c r="Q56" s="131">
        <f>P56*B22</f>
        <v>20000</v>
      </c>
      <c r="S56" s="40" t="s">
        <v>55</v>
      </c>
      <c r="T56" s="40">
        <v>4</v>
      </c>
      <c r="U56" s="40"/>
      <c r="V56" s="40">
        <f>L53/30</f>
        <v>3.1</v>
      </c>
    </row>
    <row r="57" spans="1:22" ht="15.6" x14ac:dyDescent="0.25">
      <c r="A57" s="46" t="s">
        <v>56</v>
      </c>
      <c r="B57" s="46">
        <f>B55-B54</f>
        <v>6</v>
      </c>
      <c r="C57" s="46">
        <f t="shared" ref="C57:F57" si="26">C55-C54</f>
        <v>0</v>
      </c>
      <c r="D57" s="46">
        <f t="shared" si="26"/>
        <v>0</v>
      </c>
      <c r="E57" s="46">
        <f t="shared" si="26"/>
        <v>0</v>
      </c>
      <c r="F57" s="46">
        <f t="shared" si="26"/>
        <v>0</v>
      </c>
      <c r="G57" s="43">
        <f t="shared" si="24"/>
        <v>6</v>
      </c>
      <c r="H57" s="128">
        <f>G57*B23</f>
        <v>120000</v>
      </c>
      <c r="I57" s="100"/>
      <c r="J57" s="46" t="s">
        <v>56</v>
      </c>
      <c r="K57" s="46">
        <f>IF(K55-K54 &gt; 0,K55-K54,o)</f>
        <v>6</v>
      </c>
      <c r="L57" s="46">
        <f t="shared" ref="L57:O57" si="27">L55-L54</f>
        <v>0</v>
      </c>
      <c r="M57" s="46">
        <f t="shared" si="27"/>
        <v>0</v>
      </c>
      <c r="N57" s="46">
        <f t="shared" si="27"/>
        <v>0</v>
      </c>
      <c r="O57" s="46">
        <f t="shared" si="27"/>
        <v>0</v>
      </c>
      <c r="P57" s="43">
        <f t="shared" si="22"/>
        <v>6</v>
      </c>
      <c r="Q57" s="131">
        <f>P57*B23</f>
        <v>120000</v>
      </c>
      <c r="S57" s="40"/>
      <c r="T57" s="40"/>
      <c r="U57" s="40"/>
      <c r="V57" s="40">
        <f>M53/30</f>
        <v>2.7666666666666666</v>
      </c>
    </row>
    <row r="58" spans="1:22" ht="15.6" x14ac:dyDescent="0.25">
      <c r="A58" s="46" t="s">
        <v>57</v>
      </c>
      <c r="B58" s="46">
        <f>((B54*$B$20)-B52)/(0.75)</f>
        <v>26.666666666666668</v>
      </c>
      <c r="C58" s="46">
        <f t="shared" ref="C58:F58" si="28">((C54*$B$20)-C52)/(0.75)</f>
        <v>26.666666666666668</v>
      </c>
      <c r="D58" s="46">
        <f t="shared" si="28"/>
        <v>26.666666666666668</v>
      </c>
      <c r="E58" s="46">
        <f t="shared" si="28"/>
        <v>26.666666666666668</v>
      </c>
      <c r="F58" s="46">
        <f t="shared" si="28"/>
        <v>26.666666666666668</v>
      </c>
      <c r="G58" s="43">
        <f t="shared" si="24"/>
        <v>133.33333333333334</v>
      </c>
      <c r="H58" s="128">
        <f>G58*C21</f>
        <v>24000</v>
      </c>
      <c r="I58" s="100"/>
      <c r="J58" s="46" t="s">
        <v>57</v>
      </c>
      <c r="K58" s="46">
        <f>((K54*$B$20)-K52)/(0.75)</f>
        <v>4</v>
      </c>
      <c r="L58" s="46">
        <f t="shared" ref="L58:O58" si="29">((L54*$B$20)-L52)/(0.75)</f>
        <v>36</v>
      </c>
      <c r="M58" s="46">
        <f t="shared" si="29"/>
        <v>9.3333333333333339</v>
      </c>
      <c r="N58" s="46">
        <f t="shared" si="29"/>
        <v>25.333333333333332</v>
      </c>
      <c r="O58" s="46">
        <f t="shared" si="29"/>
        <v>34.666666666666664</v>
      </c>
      <c r="P58" s="43">
        <f t="shared" si="22"/>
        <v>109.33333333333334</v>
      </c>
      <c r="Q58" s="131">
        <f>P58*C21</f>
        <v>19680</v>
      </c>
      <c r="S58" s="40" t="s">
        <v>58</v>
      </c>
      <c r="T58" s="40">
        <f>T56-T55</f>
        <v>0.68000000000000016</v>
      </c>
      <c r="U58" s="40"/>
      <c r="V58" s="40">
        <f>N53/30</f>
        <v>2.3666666666666667</v>
      </c>
    </row>
    <row r="59" spans="1:22" ht="15.6" x14ac:dyDescent="0.25">
      <c r="A59" s="46" t="s">
        <v>59</v>
      </c>
      <c r="B59" s="46">
        <f>(B52-B53)</f>
        <v>-21</v>
      </c>
      <c r="C59" s="46">
        <f t="shared" ref="C59:F59" si="30">(C52-C53)</f>
        <v>3</v>
      </c>
      <c r="D59" s="46">
        <f t="shared" si="30"/>
        <v>16</v>
      </c>
      <c r="E59" s="46">
        <f t="shared" si="30"/>
        <v>31</v>
      </c>
      <c r="F59" s="46">
        <f t="shared" si="30"/>
        <v>-27</v>
      </c>
      <c r="G59" s="43">
        <f t="shared" si="24"/>
        <v>2</v>
      </c>
      <c r="H59" s="128">
        <f>G59*D27</f>
        <v>23</v>
      </c>
      <c r="I59" s="100"/>
      <c r="J59" s="46" t="s">
        <v>59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43">
        <f t="shared" si="22"/>
        <v>0</v>
      </c>
      <c r="Q59" s="131"/>
      <c r="S59" s="40"/>
      <c r="T59" s="40"/>
      <c r="U59" s="40"/>
      <c r="V59" s="40">
        <f>O53/30</f>
        <v>4.1333333333333337</v>
      </c>
    </row>
    <row r="60" spans="1:22" ht="15.6" x14ac:dyDescent="0.25">
      <c r="A60" s="46" t="s">
        <v>60</v>
      </c>
      <c r="B60" s="46">
        <v>0</v>
      </c>
      <c r="C60" s="46">
        <v>0</v>
      </c>
      <c r="D60" s="46">
        <v>1</v>
      </c>
      <c r="E60" s="46">
        <v>27</v>
      </c>
      <c r="F60" s="46">
        <v>1</v>
      </c>
      <c r="G60" s="43">
        <f t="shared" si="24"/>
        <v>29</v>
      </c>
      <c r="H60" s="128">
        <f>G60*D28</f>
        <v>290</v>
      </c>
      <c r="I60" s="100"/>
      <c r="J60" s="46" t="s">
        <v>60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43">
        <f t="shared" si="22"/>
        <v>0</v>
      </c>
      <c r="Q60" s="131"/>
    </row>
    <row r="61" spans="1:22" ht="15.6" x14ac:dyDescent="0.25">
      <c r="A61" s="46" t="s">
        <v>61</v>
      </c>
      <c r="B61" s="46">
        <f>ABS((B51-B59)/2)</f>
        <v>10.5</v>
      </c>
      <c r="C61" s="46">
        <f>ABS((C51-C59)/2)</f>
        <v>8</v>
      </c>
      <c r="D61" s="46">
        <f t="shared" ref="D61:G61" si="31">ABS((D51-D59)/2)</f>
        <v>1</v>
      </c>
      <c r="E61" s="46">
        <f t="shared" si="31"/>
        <v>15.5</v>
      </c>
      <c r="F61" s="46">
        <f t="shared" si="31"/>
        <v>13.5</v>
      </c>
      <c r="G61" s="98">
        <f t="shared" si="31"/>
        <v>1</v>
      </c>
      <c r="H61" s="130"/>
      <c r="I61" s="100"/>
      <c r="J61" s="46" t="s">
        <v>61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97">
        <f t="shared" si="22"/>
        <v>0</v>
      </c>
      <c r="Q61" s="132"/>
    </row>
    <row r="62" spans="1:22" ht="15.6" x14ac:dyDescent="0.25">
      <c r="A62" s="47"/>
      <c r="B62" s="47"/>
      <c r="C62" s="47"/>
      <c r="D62" s="47"/>
      <c r="E62" s="47"/>
      <c r="F62" s="47"/>
      <c r="G62" s="43" t="s">
        <v>62</v>
      </c>
      <c r="H62" s="43">
        <f>SUM(H52:H60)</f>
        <v>156813</v>
      </c>
      <c r="I62" s="100"/>
      <c r="J62" s="47"/>
      <c r="K62" s="47"/>
      <c r="L62" s="47"/>
      <c r="M62" s="47"/>
      <c r="N62" s="47"/>
      <c r="O62" s="47"/>
      <c r="P62" s="43" t="s">
        <v>63</v>
      </c>
      <c r="Q62" s="45">
        <f>SUM(Q52:Q58)</f>
        <v>171880</v>
      </c>
    </row>
    <row r="63" spans="1:22" ht="15.6" x14ac:dyDescent="0.25">
      <c r="A63" s="52" t="s">
        <v>64</v>
      </c>
      <c r="B63" s="47">
        <f>(G53/5)</f>
        <v>99.6</v>
      </c>
      <c r="C63" s="47"/>
      <c r="D63" s="47"/>
      <c r="E63" s="47"/>
      <c r="F63" s="47"/>
      <c r="G63" s="47"/>
      <c r="H63" s="47"/>
      <c r="I63" s="100"/>
      <c r="J63" s="47"/>
      <c r="K63" s="47"/>
      <c r="L63" s="47"/>
      <c r="M63" s="47"/>
      <c r="N63" s="47"/>
      <c r="O63" s="47"/>
      <c r="P63" s="48"/>
    </row>
    <row r="64" spans="1:22" ht="15.6" x14ac:dyDescent="0.25">
      <c r="A64" s="47"/>
      <c r="B64" s="47"/>
      <c r="C64" s="47"/>
      <c r="D64" s="47"/>
      <c r="E64" s="47"/>
      <c r="F64" s="47"/>
      <c r="G64" s="47"/>
      <c r="H64" s="47"/>
      <c r="I64" s="100"/>
      <c r="J64" s="47"/>
      <c r="K64" s="47"/>
      <c r="L64" s="47"/>
      <c r="M64" s="47"/>
      <c r="N64" s="47"/>
      <c r="O64" s="47"/>
      <c r="P64" s="48"/>
    </row>
    <row r="65" spans="1:22" ht="15.6" x14ac:dyDescent="0.25">
      <c r="A65" s="47"/>
      <c r="B65" s="47"/>
      <c r="C65" s="47"/>
      <c r="D65" s="47"/>
      <c r="E65" s="47"/>
      <c r="F65" s="47"/>
      <c r="G65" s="47"/>
      <c r="H65" s="47"/>
      <c r="I65" s="100"/>
      <c r="J65" s="47"/>
      <c r="K65" s="47"/>
      <c r="L65" s="47"/>
      <c r="M65" s="47"/>
      <c r="N65" s="47"/>
      <c r="O65" s="47"/>
      <c r="P65" s="48"/>
    </row>
    <row r="67" spans="1:22" ht="20.399999999999999" x14ac:dyDescent="0.35">
      <c r="A67" s="139" t="s">
        <v>9</v>
      </c>
      <c r="B67" s="139"/>
      <c r="C67" s="139"/>
      <c r="D67" s="139"/>
      <c r="E67" s="139"/>
      <c r="F67" s="139"/>
      <c r="G67" s="139"/>
      <c r="H67" s="139"/>
      <c r="I67" s="103"/>
      <c r="J67" s="139" t="s">
        <v>9</v>
      </c>
      <c r="K67" s="139"/>
      <c r="L67" s="139"/>
      <c r="M67" s="139"/>
      <c r="N67" s="139"/>
      <c r="O67" s="139"/>
      <c r="P67" s="139"/>
      <c r="Q67" s="139"/>
      <c r="R67" s="103"/>
      <c r="S67" s="106" t="s">
        <v>9</v>
      </c>
      <c r="T67" s="107" t="s">
        <v>41</v>
      </c>
      <c r="U67" s="107"/>
      <c r="V67" s="107" t="s">
        <v>42</v>
      </c>
    </row>
    <row r="68" spans="1:22" ht="15.6" x14ac:dyDescent="0.25">
      <c r="A68" s="43" t="s">
        <v>43</v>
      </c>
      <c r="B68" s="44">
        <v>21</v>
      </c>
      <c r="C68" s="44">
        <v>23</v>
      </c>
      <c r="D68" s="44">
        <v>24</v>
      </c>
      <c r="E68" s="44">
        <v>25</v>
      </c>
      <c r="F68" s="44">
        <v>25</v>
      </c>
      <c r="G68" s="44" t="s">
        <v>44</v>
      </c>
      <c r="H68" s="44" t="s">
        <v>45</v>
      </c>
      <c r="I68" s="100"/>
      <c r="J68" s="43" t="s">
        <v>43</v>
      </c>
      <c r="K68" s="44">
        <v>21</v>
      </c>
      <c r="L68" s="44">
        <v>23</v>
      </c>
      <c r="M68" s="44">
        <v>24</v>
      </c>
      <c r="N68" s="44">
        <v>25</v>
      </c>
      <c r="O68" s="44">
        <v>25</v>
      </c>
      <c r="P68" s="44" t="s">
        <v>44</v>
      </c>
      <c r="Q68" s="40" t="s">
        <v>45</v>
      </c>
      <c r="S68" s="40"/>
      <c r="T68" s="40"/>
      <c r="U68" s="40"/>
      <c r="V68" s="40"/>
    </row>
    <row r="69" spans="1:22" ht="15.6" x14ac:dyDescent="0.25">
      <c r="A69" s="46" t="s">
        <v>46</v>
      </c>
      <c r="B69" s="46">
        <v>0</v>
      </c>
      <c r="C69" s="46">
        <v>7</v>
      </c>
      <c r="D69" s="46">
        <v>11</v>
      </c>
      <c r="E69" s="46">
        <v>12</v>
      </c>
      <c r="F69" s="46">
        <v>10</v>
      </c>
      <c r="G69" s="43">
        <f>SUM(B69:F69)</f>
        <v>40</v>
      </c>
      <c r="H69" s="128"/>
      <c r="I69" s="100"/>
      <c r="J69" s="46" t="s">
        <v>46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43">
        <f>SUM(K69:O69)</f>
        <v>0</v>
      </c>
      <c r="Q69" s="131"/>
      <c r="S69" s="40" t="s">
        <v>47</v>
      </c>
      <c r="T69" s="40">
        <f>G71</f>
        <v>446</v>
      </c>
      <c r="U69" s="40"/>
      <c r="V69" s="40"/>
    </row>
    <row r="70" spans="1:22" ht="15.6" x14ac:dyDescent="0.25">
      <c r="A70" s="46" t="s">
        <v>48</v>
      </c>
      <c r="B70" s="46">
        <v>90</v>
      </c>
      <c r="C70" s="46">
        <v>90</v>
      </c>
      <c r="D70" s="46">
        <v>90</v>
      </c>
      <c r="E70" s="46">
        <v>90</v>
      </c>
      <c r="F70" s="46">
        <v>90</v>
      </c>
      <c r="G70" s="43">
        <f t="shared" ref="G70:G78" si="32">SUM(B70:F70)</f>
        <v>450</v>
      </c>
      <c r="H70" s="128">
        <f>G70*E26</f>
        <v>67500</v>
      </c>
      <c r="I70" s="100"/>
      <c r="J70" s="46" t="s">
        <v>48</v>
      </c>
      <c r="K70" s="46">
        <v>83</v>
      </c>
      <c r="L70" s="46">
        <v>86</v>
      </c>
      <c r="M70" s="46">
        <v>89</v>
      </c>
      <c r="N70" s="46">
        <v>92</v>
      </c>
      <c r="O70" s="46">
        <v>96</v>
      </c>
      <c r="P70" s="43">
        <f t="shared" ref="P70:P79" si="33">SUM(K70:O70)</f>
        <v>446</v>
      </c>
      <c r="Q70" s="131">
        <f>P70*E26</f>
        <v>66900</v>
      </c>
      <c r="S70" s="40"/>
      <c r="T70" s="40"/>
      <c r="U70" s="40"/>
      <c r="V70" s="40"/>
    </row>
    <row r="71" spans="1:22" ht="15.6" x14ac:dyDescent="0.3">
      <c r="A71" s="46" t="s">
        <v>49</v>
      </c>
      <c r="B71" s="46">
        <v>83</v>
      </c>
      <c r="C71" s="46">
        <v>86</v>
      </c>
      <c r="D71" s="46">
        <v>89</v>
      </c>
      <c r="E71" s="46">
        <v>92</v>
      </c>
      <c r="F71" s="46">
        <v>96</v>
      </c>
      <c r="G71" s="43">
        <f t="shared" si="32"/>
        <v>446</v>
      </c>
      <c r="H71" s="128"/>
      <c r="I71" s="100"/>
      <c r="J71" s="46" t="s">
        <v>49</v>
      </c>
      <c r="K71" s="46">
        <v>83</v>
      </c>
      <c r="L71" s="46">
        <v>86</v>
      </c>
      <c r="M71" s="46">
        <v>89</v>
      </c>
      <c r="N71" s="46">
        <v>92</v>
      </c>
      <c r="O71" s="46">
        <v>96</v>
      </c>
      <c r="P71" s="43">
        <f t="shared" si="33"/>
        <v>446</v>
      </c>
      <c r="Q71" s="131"/>
      <c r="S71" s="40" t="s">
        <v>50</v>
      </c>
      <c r="T71" s="108">
        <f>G71/5</f>
        <v>89.2</v>
      </c>
      <c r="U71" s="40"/>
      <c r="V71" s="40"/>
    </row>
    <row r="72" spans="1:22" ht="15.6" x14ac:dyDescent="0.25">
      <c r="A72" s="46" t="s">
        <v>51</v>
      </c>
      <c r="B72" s="46">
        <f>ROUNDUP(B70/30,0)</f>
        <v>3</v>
      </c>
      <c r="C72" s="46">
        <f t="shared" ref="C72:F72" si="34">ROUNDUP(C70/30,0)</f>
        <v>3</v>
      </c>
      <c r="D72" s="46">
        <f t="shared" si="34"/>
        <v>3</v>
      </c>
      <c r="E72" s="46">
        <f t="shared" si="34"/>
        <v>3</v>
      </c>
      <c r="F72" s="46">
        <f t="shared" si="34"/>
        <v>3</v>
      </c>
      <c r="G72" s="43">
        <f t="shared" si="32"/>
        <v>15</v>
      </c>
      <c r="H72" s="128"/>
      <c r="I72" s="100"/>
      <c r="J72" s="46" t="s">
        <v>51</v>
      </c>
      <c r="K72" s="46">
        <f>ROUNDUP(K70/30,0)</f>
        <v>3</v>
      </c>
      <c r="L72" s="46">
        <f t="shared" ref="L72:O72" si="35">ROUNDUP(L70/30,0)</f>
        <v>3</v>
      </c>
      <c r="M72" s="46">
        <f t="shared" si="35"/>
        <v>3</v>
      </c>
      <c r="N72" s="46">
        <f t="shared" si="35"/>
        <v>4</v>
      </c>
      <c r="O72" s="46">
        <f t="shared" si="35"/>
        <v>4</v>
      </c>
      <c r="P72" s="43">
        <f t="shared" si="33"/>
        <v>17</v>
      </c>
      <c r="Q72" s="131"/>
      <c r="S72" s="40"/>
      <c r="T72" s="40">
        <v>90</v>
      </c>
      <c r="U72" s="40"/>
      <c r="V72" s="40"/>
    </row>
    <row r="73" spans="1:22" ht="15.6" x14ac:dyDescent="0.25">
      <c r="A73" s="46" t="s">
        <v>52</v>
      </c>
      <c r="B73" s="46">
        <v>10</v>
      </c>
      <c r="C73" s="46">
        <f>B72</f>
        <v>3</v>
      </c>
      <c r="D73" s="46">
        <f>C73</f>
        <v>3</v>
      </c>
      <c r="E73" s="46">
        <f>D73</f>
        <v>3</v>
      </c>
      <c r="F73" s="46">
        <f>E73</f>
        <v>3</v>
      </c>
      <c r="G73" s="43">
        <f t="shared" si="32"/>
        <v>22</v>
      </c>
      <c r="H73" s="128"/>
      <c r="I73" s="100"/>
      <c r="J73" s="46" t="s">
        <v>52</v>
      </c>
      <c r="K73" s="46">
        <v>10</v>
      </c>
      <c r="L73" s="46">
        <v>3</v>
      </c>
      <c r="M73" s="46">
        <v>3</v>
      </c>
      <c r="N73" s="46">
        <v>4</v>
      </c>
      <c r="O73" s="46">
        <v>4</v>
      </c>
      <c r="P73" s="43">
        <f t="shared" si="33"/>
        <v>24</v>
      </c>
      <c r="Q73" s="131"/>
      <c r="S73" s="40" t="s">
        <v>53</v>
      </c>
      <c r="T73" s="40">
        <f>T72/30</f>
        <v>3</v>
      </c>
      <c r="U73" s="40"/>
      <c r="V73" s="40">
        <f>K71/30</f>
        <v>2.7666666666666666</v>
      </c>
    </row>
    <row r="74" spans="1:22" ht="15.6" x14ac:dyDescent="0.25">
      <c r="A74" s="46" t="s">
        <v>54</v>
      </c>
      <c r="B74" s="46">
        <v>0</v>
      </c>
      <c r="C74" s="46">
        <v>0</v>
      </c>
      <c r="D74" s="46">
        <v>0</v>
      </c>
      <c r="E74" s="46">
        <v>0</v>
      </c>
      <c r="F74" s="46">
        <v>0</v>
      </c>
      <c r="G74" s="43">
        <f t="shared" si="32"/>
        <v>0</v>
      </c>
      <c r="H74" s="128"/>
      <c r="I74" s="100"/>
      <c r="J74" s="46" t="s">
        <v>54</v>
      </c>
      <c r="K74" s="46">
        <f>IF(K72-K73&gt;0,K72-K73,0)</f>
        <v>0</v>
      </c>
      <c r="L74" s="46">
        <v>0</v>
      </c>
      <c r="M74" s="46">
        <v>0</v>
      </c>
      <c r="N74" s="46">
        <v>1</v>
      </c>
      <c r="O74" s="46">
        <v>0</v>
      </c>
      <c r="P74" s="43">
        <f t="shared" si="33"/>
        <v>1</v>
      </c>
      <c r="Q74" s="131">
        <f>P74*B22</f>
        <v>10000</v>
      </c>
      <c r="S74" s="40" t="s">
        <v>55</v>
      </c>
      <c r="T74" s="40"/>
      <c r="U74" s="40"/>
      <c r="V74" s="40">
        <f>L71/30</f>
        <v>2.8666666666666667</v>
      </c>
    </row>
    <row r="75" spans="1:22" ht="15.6" x14ac:dyDescent="0.25">
      <c r="A75" s="46" t="s">
        <v>56</v>
      </c>
      <c r="B75" s="46">
        <f>B73-B72</f>
        <v>7</v>
      </c>
      <c r="C75" s="46">
        <f t="shared" ref="C75:F75" si="36">C73-C72</f>
        <v>0</v>
      </c>
      <c r="D75" s="46">
        <f t="shared" si="36"/>
        <v>0</v>
      </c>
      <c r="E75" s="46">
        <f t="shared" si="36"/>
        <v>0</v>
      </c>
      <c r="F75" s="46">
        <f t="shared" si="36"/>
        <v>0</v>
      </c>
      <c r="G75" s="43">
        <f t="shared" si="32"/>
        <v>7</v>
      </c>
      <c r="H75" s="128">
        <f>G75*B23</f>
        <v>140000</v>
      </c>
      <c r="I75" s="100"/>
      <c r="J75" s="46" t="s">
        <v>56</v>
      </c>
      <c r="K75" s="46">
        <f>IF(K73-K72 &gt; 0,K73-K72,0)</f>
        <v>7</v>
      </c>
      <c r="L75" s="46">
        <f t="shared" ref="L75:O75" si="37">L73-L72</f>
        <v>0</v>
      </c>
      <c r="M75" s="46">
        <f t="shared" si="37"/>
        <v>0</v>
      </c>
      <c r="N75" s="46">
        <f t="shared" si="37"/>
        <v>0</v>
      </c>
      <c r="O75" s="46">
        <f t="shared" si="37"/>
        <v>0</v>
      </c>
      <c r="P75" s="43">
        <f t="shared" si="33"/>
        <v>7</v>
      </c>
      <c r="Q75" s="131">
        <f>P75*B23</f>
        <v>140000</v>
      </c>
      <c r="S75" s="40"/>
      <c r="T75" s="40"/>
      <c r="U75" s="40"/>
      <c r="V75" s="40">
        <f>M71/30</f>
        <v>2.9666666666666668</v>
      </c>
    </row>
    <row r="76" spans="1:22" ht="15.6" x14ac:dyDescent="0.3">
      <c r="A76" s="46" t="s">
        <v>57</v>
      </c>
      <c r="B76" s="46">
        <f>((B72*$B$20)-B70)/(0.75)</f>
        <v>0</v>
      </c>
      <c r="C76" s="46">
        <f t="shared" ref="C76:F76" si="38">((C72*$B$20)-C70)/(0.75)</f>
        <v>0</v>
      </c>
      <c r="D76" s="46">
        <f t="shared" si="38"/>
        <v>0</v>
      </c>
      <c r="E76" s="46">
        <f t="shared" si="38"/>
        <v>0</v>
      </c>
      <c r="F76" s="46">
        <f t="shared" si="38"/>
        <v>0</v>
      </c>
      <c r="G76" s="43">
        <f t="shared" si="32"/>
        <v>0</v>
      </c>
      <c r="H76" s="128">
        <f>G76*C21</f>
        <v>0</v>
      </c>
      <c r="I76" s="100"/>
      <c r="J76" s="46" t="s">
        <v>57</v>
      </c>
      <c r="K76" s="46">
        <f>((K72*$B$20)-K70)/(0.75)</f>
        <v>9.3333333333333339</v>
      </c>
      <c r="L76" s="46">
        <f t="shared" ref="L76:O76" si="39">((L72*$B$20)-L70)/(0.75)</f>
        <v>5.333333333333333</v>
      </c>
      <c r="M76" s="46">
        <f t="shared" si="39"/>
        <v>1.3333333333333333</v>
      </c>
      <c r="N76" s="46">
        <f t="shared" si="39"/>
        <v>37.333333333333336</v>
      </c>
      <c r="O76" s="46">
        <f t="shared" si="39"/>
        <v>32</v>
      </c>
      <c r="P76" s="43">
        <f t="shared" si="33"/>
        <v>85.333333333333343</v>
      </c>
      <c r="Q76" s="131">
        <f>P76*C21</f>
        <v>15360.000000000002</v>
      </c>
      <c r="S76" s="40" t="s">
        <v>58</v>
      </c>
      <c r="T76" s="108">
        <v>0</v>
      </c>
      <c r="U76" s="40"/>
      <c r="V76" s="40">
        <f>N71/30</f>
        <v>3.0666666666666669</v>
      </c>
    </row>
    <row r="77" spans="1:22" ht="15.6" x14ac:dyDescent="0.3">
      <c r="A77" s="46" t="s">
        <v>59</v>
      </c>
      <c r="B77" s="46">
        <f>B70-B71</f>
        <v>7</v>
      </c>
      <c r="C77" s="46">
        <f>(C70+C69)-C71</f>
        <v>11</v>
      </c>
      <c r="D77" s="46">
        <f>(D70+D69)-D71</f>
        <v>12</v>
      </c>
      <c r="E77" s="46">
        <f>(E70+E69)-E71</f>
        <v>10</v>
      </c>
      <c r="F77" s="46">
        <f>(F70+F69)-F71</f>
        <v>4</v>
      </c>
      <c r="G77" s="43">
        <f t="shared" si="32"/>
        <v>44</v>
      </c>
      <c r="H77" s="128">
        <f>G77*E27</f>
        <v>880</v>
      </c>
      <c r="I77" s="100"/>
      <c r="J77" s="46" t="s">
        <v>59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43">
        <f t="shared" si="33"/>
        <v>0</v>
      </c>
      <c r="Q77" s="131"/>
      <c r="S77" s="40"/>
      <c r="T77" s="108"/>
      <c r="U77" s="40"/>
      <c r="V77" s="40">
        <f>O71/30</f>
        <v>3.2</v>
      </c>
    </row>
    <row r="78" spans="1:22" ht="15.6" x14ac:dyDescent="0.25">
      <c r="A78" s="46" t="s">
        <v>60</v>
      </c>
      <c r="B78" s="46">
        <v>0</v>
      </c>
      <c r="C78" s="46">
        <v>0</v>
      </c>
      <c r="D78" s="46">
        <v>0</v>
      </c>
      <c r="E78" s="46">
        <v>0</v>
      </c>
      <c r="F78" s="46">
        <v>0</v>
      </c>
      <c r="G78" s="43">
        <f t="shared" si="32"/>
        <v>0</v>
      </c>
      <c r="H78" s="128"/>
      <c r="I78" s="100"/>
      <c r="J78" s="46" t="s">
        <v>60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43">
        <f t="shared" si="33"/>
        <v>0</v>
      </c>
      <c r="Q78" s="131"/>
    </row>
    <row r="79" spans="1:22" ht="15.6" x14ac:dyDescent="0.3">
      <c r="A79" s="46" t="s">
        <v>61</v>
      </c>
      <c r="B79" s="46">
        <f>ABS((B69-B77)/2)</f>
        <v>3.5</v>
      </c>
      <c r="C79" s="46">
        <f>ABS((C69-C77)/2)</f>
        <v>2</v>
      </c>
      <c r="D79" s="46">
        <f t="shared" ref="D79:G79" si="40">ABS((D69-D77)/2)</f>
        <v>0.5</v>
      </c>
      <c r="E79" s="46">
        <f t="shared" si="40"/>
        <v>1</v>
      </c>
      <c r="F79" s="46">
        <f t="shared" si="40"/>
        <v>3</v>
      </c>
      <c r="G79" s="98">
        <f t="shared" si="40"/>
        <v>2</v>
      </c>
      <c r="H79" s="130"/>
      <c r="I79" s="100"/>
      <c r="J79" s="46" t="s">
        <v>61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97">
        <f t="shared" si="33"/>
        <v>0</v>
      </c>
      <c r="Q79" s="132"/>
      <c r="T79" s="109"/>
    </row>
    <row r="80" spans="1:22" ht="15.6" x14ac:dyDescent="0.3">
      <c r="A80" s="47"/>
      <c r="B80" s="47"/>
      <c r="C80" s="47"/>
      <c r="D80" s="47"/>
      <c r="E80" s="47"/>
      <c r="F80" s="47"/>
      <c r="G80" s="43" t="s">
        <v>62</v>
      </c>
      <c r="H80" s="43">
        <f>SUM(H70:H77)</f>
        <v>208380</v>
      </c>
      <c r="I80" s="100"/>
      <c r="J80" s="47"/>
      <c r="K80" s="47"/>
      <c r="L80" s="47"/>
      <c r="M80" s="47"/>
      <c r="N80" s="47"/>
      <c r="O80" s="47"/>
      <c r="P80" s="43" t="s">
        <v>63</v>
      </c>
      <c r="Q80" s="45">
        <f>SUM(Q70:Q76)</f>
        <v>232260</v>
      </c>
      <c r="T80" s="109"/>
    </row>
    <row r="81" spans="1:22" ht="15.6" x14ac:dyDescent="0.3">
      <c r="A81" s="52" t="s">
        <v>64</v>
      </c>
      <c r="B81" s="47">
        <f>(G71/5)</f>
        <v>89.2</v>
      </c>
      <c r="C81" s="47"/>
      <c r="D81" s="47"/>
      <c r="E81" s="47"/>
      <c r="F81" s="47"/>
      <c r="G81" s="47"/>
      <c r="H81" s="47"/>
      <c r="I81" s="100"/>
      <c r="J81" s="47"/>
      <c r="K81" s="47"/>
      <c r="L81" s="47"/>
      <c r="M81" s="47"/>
      <c r="N81" s="47"/>
      <c r="O81" s="47"/>
      <c r="P81" s="48"/>
      <c r="T81" s="109"/>
    </row>
    <row r="82" spans="1:22" ht="15.6" x14ac:dyDescent="0.3">
      <c r="A82" s="47"/>
      <c r="B82" s="47"/>
      <c r="C82" s="47"/>
      <c r="D82" s="47"/>
      <c r="E82" s="47"/>
      <c r="F82" s="47"/>
      <c r="G82" s="47"/>
      <c r="H82" s="47"/>
      <c r="I82" s="100"/>
      <c r="J82" s="47"/>
      <c r="K82" s="47"/>
      <c r="L82" s="47"/>
      <c r="M82" s="47"/>
      <c r="N82" s="47"/>
      <c r="O82" s="47"/>
      <c r="P82" s="48"/>
      <c r="T82" s="109"/>
    </row>
    <row r="85" spans="1:22" ht="20.399999999999999" x14ac:dyDescent="0.35">
      <c r="A85" s="136" t="s">
        <v>10</v>
      </c>
      <c r="B85" s="136"/>
      <c r="C85" s="136"/>
      <c r="D85" s="136"/>
      <c r="E85" s="136"/>
      <c r="F85" s="136"/>
      <c r="G85" s="136"/>
      <c r="H85" s="136"/>
      <c r="I85" s="103"/>
      <c r="J85" s="136" t="s">
        <v>10</v>
      </c>
      <c r="K85" s="136"/>
      <c r="L85" s="136"/>
      <c r="M85" s="136"/>
      <c r="N85" s="136"/>
      <c r="O85" s="136"/>
      <c r="P85" s="136"/>
      <c r="Q85" s="136"/>
      <c r="R85" s="103"/>
      <c r="S85" s="110" t="s">
        <v>10</v>
      </c>
      <c r="T85" s="111" t="s">
        <v>41</v>
      </c>
      <c r="U85" s="111"/>
      <c r="V85" s="111" t="s">
        <v>42</v>
      </c>
    </row>
    <row r="86" spans="1:22" ht="15.6" x14ac:dyDescent="0.25">
      <c r="A86" s="43" t="s">
        <v>43</v>
      </c>
      <c r="B86" s="44">
        <v>21</v>
      </c>
      <c r="C86" s="44">
        <v>23</v>
      </c>
      <c r="D86" s="44">
        <v>24</v>
      </c>
      <c r="E86" s="44">
        <v>25</v>
      </c>
      <c r="F86" s="44">
        <v>25</v>
      </c>
      <c r="G86" s="44" t="s">
        <v>44</v>
      </c>
      <c r="H86" s="44" t="s">
        <v>45</v>
      </c>
      <c r="I86" s="100"/>
      <c r="J86" s="43" t="s">
        <v>43</v>
      </c>
      <c r="K86" s="44">
        <v>21</v>
      </c>
      <c r="L86" s="44">
        <v>23</v>
      </c>
      <c r="M86" s="44">
        <v>24</v>
      </c>
      <c r="N86" s="44">
        <v>25</v>
      </c>
      <c r="O86" s="44">
        <v>25</v>
      </c>
      <c r="P86" s="44" t="s">
        <v>44</v>
      </c>
      <c r="Q86" s="40" t="s">
        <v>45</v>
      </c>
      <c r="S86" s="40"/>
      <c r="T86" s="40"/>
      <c r="U86" s="40"/>
      <c r="V86" s="40"/>
    </row>
    <row r="87" spans="1:22" ht="15.6" x14ac:dyDescent="0.25">
      <c r="A87" s="46" t="s">
        <v>46</v>
      </c>
      <c r="B87" s="46">
        <v>0</v>
      </c>
      <c r="C87" s="46">
        <v>1</v>
      </c>
      <c r="D87" s="46">
        <v>1</v>
      </c>
      <c r="E87" s="46">
        <v>1</v>
      </c>
      <c r="F87" s="46">
        <v>1</v>
      </c>
      <c r="G87" s="43">
        <f>SUM(B87:F87)</f>
        <v>4</v>
      </c>
      <c r="H87" s="128"/>
      <c r="I87" s="100"/>
      <c r="J87" s="46" t="s">
        <v>46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43">
        <f>SUM(K87:O87)</f>
        <v>0</v>
      </c>
      <c r="Q87" s="131"/>
      <c r="S87" s="40" t="s">
        <v>47</v>
      </c>
      <c r="T87" s="40">
        <f>G89</f>
        <v>239</v>
      </c>
      <c r="U87" s="40"/>
      <c r="V87" s="40"/>
    </row>
    <row r="88" spans="1:22" ht="15.6" x14ac:dyDescent="0.25">
      <c r="A88" s="46" t="s">
        <v>48</v>
      </c>
      <c r="B88" s="46">
        <v>48</v>
      </c>
      <c r="C88" s="46">
        <v>48</v>
      </c>
      <c r="D88" s="46">
        <v>48</v>
      </c>
      <c r="E88" s="46">
        <v>48</v>
      </c>
      <c r="F88" s="46">
        <v>48</v>
      </c>
      <c r="G88" s="43">
        <f t="shared" ref="G88:G97" si="41">SUM(B88:F88)</f>
        <v>240</v>
      </c>
      <c r="H88" s="128">
        <f>G88*F26</f>
        <v>48000</v>
      </c>
      <c r="I88" s="100"/>
      <c r="J88" s="46" t="s">
        <v>48</v>
      </c>
      <c r="K88" s="46">
        <f>K89</f>
        <v>48</v>
      </c>
      <c r="L88" s="46">
        <f t="shared" ref="L88:P88" si="42">L89</f>
        <v>50</v>
      </c>
      <c r="M88" s="46">
        <f t="shared" si="42"/>
        <v>45</v>
      </c>
      <c r="N88" s="46">
        <f t="shared" si="42"/>
        <v>50</v>
      </c>
      <c r="O88" s="46">
        <f t="shared" si="42"/>
        <v>46</v>
      </c>
      <c r="P88" s="46">
        <f t="shared" si="42"/>
        <v>239</v>
      </c>
      <c r="Q88" s="131">
        <f>P88*F26</f>
        <v>47800</v>
      </c>
      <c r="S88" s="40"/>
      <c r="T88" s="40"/>
      <c r="U88" s="40"/>
      <c r="V88" s="40"/>
    </row>
    <row r="89" spans="1:22" ht="15.6" x14ac:dyDescent="0.25">
      <c r="A89" s="46" t="s">
        <v>49</v>
      </c>
      <c r="B89" s="46">
        <v>48</v>
      </c>
      <c r="C89" s="46">
        <v>50</v>
      </c>
      <c r="D89" s="46">
        <v>45</v>
      </c>
      <c r="E89" s="46">
        <v>50</v>
      </c>
      <c r="F89" s="46">
        <v>46</v>
      </c>
      <c r="G89" s="43">
        <f t="shared" si="41"/>
        <v>239</v>
      </c>
      <c r="H89" s="128"/>
      <c r="I89" s="100"/>
      <c r="J89" s="46" t="s">
        <v>49</v>
      </c>
      <c r="K89" s="46">
        <v>48</v>
      </c>
      <c r="L89" s="46">
        <v>50</v>
      </c>
      <c r="M89" s="46">
        <v>45</v>
      </c>
      <c r="N89" s="46">
        <v>50</v>
      </c>
      <c r="O89" s="46">
        <v>46</v>
      </c>
      <c r="P89" s="43">
        <f t="shared" ref="P89:P97" si="43">SUM(K89:O89)</f>
        <v>239</v>
      </c>
      <c r="Q89" s="131"/>
      <c r="S89" s="40" t="s">
        <v>50</v>
      </c>
      <c r="T89" s="40">
        <f>G89/5</f>
        <v>47.8</v>
      </c>
      <c r="U89" s="40"/>
      <c r="V89" s="40"/>
    </row>
    <row r="90" spans="1:22" ht="15.6" x14ac:dyDescent="0.25">
      <c r="A90" s="46" t="s">
        <v>51</v>
      </c>
      <c r="B90" s="46">
        <f>ROUNDUP(B88/30,0)</f>
        <v>2</v>
      </c>
      <c r="C90" s="46">
        <f t="shared" ref="C90:F90" si="44">ROUNDUP(C88/30,0)</f>
        <v>2</v>
      </c>
      <c r="D90" s="46">
        <f t="shared" si="44"/>
        <v>2</v>
      </c>
      <c r="E90" s="46">
        <f t="shared" si="44"/>
        <v>2</v>
      </c>
      <c r="F90" s="46">
        <f t="shared" si="44"/>
        <v>2</v>
      </c>
      <c r="G90" s="43">
        <f t="shared" si="41"/>
        <v>10</v>
      </c>
      <c r="H90" s="128"/>
      <c r="I90" s="100"/>
      <c r="J90" s="46" t="s">
        <v>51</v>
      </c>
      <c r="K90" s="46">
        <f>ROUNDUP(K88/30,0)</f>
        <v>2</v>
      </c>
      <c r="L90" s="46">
        <f t="shared" ref="L90:O90" si="45">ROUNDUP(L88/30,0)</f>
        <v>2</v>
      </c>
      <c r="M90" s="46">
        <f t="shared" si="45"/>
        <v>2</v>
      </c>
      <c r="N90" s="46">
        <f t="shared" si="45"/>
        <v>2</v>
      </c>
      <c r="O90" s="46">
        <f t="shared" si="45"/>
        <v>2</v>
      </c>
      <c r="P90" s="43">
        <f t="shared" si="43"/>
        <v>10</v>
      </c>
      <c r="Q90" s="131"/>
      <c r="S90" s="40"/>
      <c r="T90" s="40"/>
      <c r="U90" s="40"/>
      <c r="V90" s="40"/>
    </row>
    <row r="91" spans="1:22" ht="15.6" x14ac:dyDescent="0.25">
      <c r="A91" s="46" t="s">
        <v>52</v>
      </c>
      <c r="B91" s="46">
        <v>10</v>
      </c>
      <c r="C91" s="46">
        <f>B90</f>
        <v>2</v>
      </c>
      <c r="D91" s="46">
        <f>C91</f>
        <v>2</v>
      </c>
      <c r="E91" s="46">
        <f>D91</f>
        <v>2</v>
      </c>
      <c r="F91" s="46">
        <f>E91</f>
        <v>2</v>
      </c>
      <c r="G91" s="43">
        <f t="shared" si="41"/>
        <v>18</v>
      </c>
      <c r="H91" s="128"/>
      <c r="I91" s="100"/>
      <c r="J91" s="46" t="s">
        <v>52</v>
      </c>
      <c r="K91" s="46">
        <v>10</v>
      </c>
      <c r="L91" s="46">
        <v>2</v>
      </c>
      <c r="M91" s="46">
        <v>2</v>
      </c>
      <c r="N91" s="46">
        <v>2</v>
      </c>
      <c r="O91" s="46">
        <v>2</v>
      </c>
      <c r="P91" s="43">
        <f t="shared" si="43"/>
        <v>18</v>
      </c>
      <c r="Q91" s="131"/>
      <c r="S91" s="40" t="s">
        <v>53</v>
      </c>
      <c r="T91" s="40">
        <f>T89/30</f>
        <v>1.5933333333333333</v>
      </c>
      <c r="U91" s="40"/>
      <c r="V91" s="40"/>
    </row>
    <row r="92" spans="1:22" ht="15.6" x14ac:dyDescent="0.25">
      <c r="A92" s="46" t="s">
        <v>54</v>
      </c>
      <c r="B92" s="46">
        <v>0</v>
      </c>
      <c r="C92" s="46">
        <v>0</v>
      </c>
      <c r="D92" s="46">
        <v>0</v>
      </c>
      <c r="E92" s="46">
        <v>0</v>
      </c>
      <c r="F92" s="46">
        <v>0</v>
      </c>
      <c r="G92" s="43">
        <f t="shared" si="41"/>
        <v>0</v>
      </c>
      <c r="H92" s="128"/>
      <c r="I92" s="100"/>
      <c r="J92" s="46" t="s">
        <v>54</v>
      </c>
      <c r="K92" s="46">
        <f>IF(K90-K91&gt;0,K90-K91,0)</f>
        <v>0</v>
      </c>
      <c r="L92" s="46">
        <f t="shared" ref="L92:O92" si="46">IF(L90-L91&gt;0,L90-L91,0)</f>
        <v>0</v>
      </c>
      <c r="M92" s="46">
        <f t="shared" si="46"/>
        <v>0</v>
      </c>
      <c r="N92" s="46">
        <f t="shared" si="46"/>
        <v>0</v>
      </c>
      <c r="O92" s="46">
        <f t="shared" si="46"/>
        <v>0</v>
      </c>
      <c r="P92" s="43">
        <f t="shared" si="43"/>
        <v>0</v>
      </c>
      <c r="Q92" s="131"/>
      <c r="S92" s="40" t="s">
        <v>55</v>
      </c>
      <c r="T92" s="40">
        <v>2</v>
      </c>
      <c r="U92" s="40"/>
      <c r="V92" s="40"/>
    </row>
    <row r="93" spans="1:22" ht="15.6" x14ac:dyDescent="0.25">
      <c r="A93" s="46" t="s">
        <v>56</v>
      </c>
      <c r="B93" s="46">
        <f>B91-B90</f>
        <v>8</v>
      </c>
      <c r="C93" s="46">
        <f t="shared" ref="C93:F93" si="47">C91-C90</f>
        <v>0</v>
      </c>
      <c r="D93" s="46">
        <f t="shared" si="47"/>
        <v>0</v>
      </c>
      <c r="E93" s="46">
        <f t="shared" si="47"/>
        <v>0</v>
      </c>
      <c r="F93" s="46">
        <f t="shared" si="47"/>
        <v>0</v>
      </c>
      <c r="G93" s="43">
        <f t="shared" si="41"/>
        <v>8</v>
      </c>
      <c r="H93" s="128">
        <f>G93*B23</f>
        <v>160000</v>
      </c>
      <c r="I93" s="100"/>
      <c r="J93" s="46" t="s">
        <v>56</v>
      </c>
      <c r="K93" s="46">
        <f>IF(K91-K90 &gt; 0,K91-K90,0)</f>
        <v>8</v>
      </c>
      <c r="L93" s="46">
        <f t="shared" ref="L93:P93" si="48">IF(L91-L90 &gt; 0,L91-L90,0)</f>
        <v>0</v>
      </c>
      <c r="M93" s="46">
        <f t="shared" si="48"/>
        <v>0</v>
      </c>
      <c r="N93" s="46">
        <f>IF(N91-N90 &gt; 0,N91-N90,0)</f>
        <v>0</v>
      </c>
      <c r="O93" s="46">
        <f t="shared" si="48"/>
        <v>0</v>
      </c>
      <c r="P93" s="46">
        <f t="shared" si="48"/>
        <v>8</v>
      </c>
      <c r="Q93" s="131">
        <f>P93*B23</f>
        <v>160000</v>
      </c>
      <c r="S93" s="40"/>
      <c r="T93" s="40"/>
      <c r="U93" s="40"/>
      <c r="V93" s="40"/>
    </row>
    <row r="94" spans="1:22" ht="15.6" x14ac:dyDescent="0.25">
      <c r="A94" s="46" t="s">
        <v>57</v>
      </c>
      <c r="B94" s="46">
        <f>((B90*$B$20)-B88)/(0.75)</f>
        <v>16</v>
      </c>
      <c r="C94" s="46">
        <f t="shared" ref="C94:F94" si="49">((C90*$B$20)-C88)/(0.75)</f>
        <v>16</v>
      </c>
      <c r="D94" s="46">
        <f t="shared" si="49"/>
        <v>16</v>
      </c>
      <c r="E94" s="46">
        <f t="shared" si="49"/>
        <v>16</v>
      </c>
      <c r="F94" s="46">
        <f t="shared" si="49"/>
        <v>16</v>
      </c>
      <c r="G94" s="43">
        <f t="shared" si="41"/>
        <v>80</v>
      </c>
      <c r="H94" s="128">
        <f>G94*C21</f>
        <v>14400</v>
      </c>
      <c r="I94" s="100"/>
      <c r="J94" s="46" t="s">
        <v>57</v>
      </c>
      <c r="K94" s="46">
        <f>((K90*$B$20)-K88)/(0.75)</f>
        <v>16</v>
      </c>
      <c r="L94" s="46">
        <f t="shared" ref="L94:O94" si="50">((L90*$B$20)-L88)/(0.75)</f>
        <v>13.333333333333334</v>
      </c>
      <c r="M94" s="46">
        <f t="shared" si="50"/>
        <v>20</v>
      </c>
      <c r="N94" s="46">
        <f t="shared" si="50"/>
        <v>13.333333333333334</v>
      </c>
      <c r="O94" s="46">
        <f t="shared" si="50"/>
        <v>18.666666666666668</v>
      </c>
      <c r="P94" s="43">
        <f t="shared" si="43"/>
        <v>81.333333333333343</v>
      </c>
      <c r="Q94" s="131">
        <f>P94*C21</f>
        <v>14640.000000000002</v>
      </c>
      <c r="S94" s="40" t="s">
        <v>58</v>
      </c>
      <c r="T94" s="40">
        <f>2-T91</f>
        <v>0.40666666666666673</v>
      </c>
      <c r="U94" s="40"/>
      <c r="V94" s="40"/>
    </row>
    <row r="95" spans="1:22" ht="15.6" x14ac:dyDescent="0.25">
      <c r="A95" s="46" t="s">
        <v>59</v>
      </c>
      <c r="B95" s="46">
        <f>B88-B89</f>
        <v>0</v>
      </c>
      <c r="C95" s="46">
        <v>1</v>
      </c>
      <c r="D95" s="46">
        <v>1</v>
      </c>
      <c r="E95" s="46">
        <v>1</v>
      </c>
      <c r="F95" s="46">
        <v>1</v>
      </c>
      <c r="G95" s="43">
        <f t="shared" si="41"/>
        <v>4</v>
      </c>
      <c r="H95" s="128">
        <f>G95*F27</f>
        <v>74</v>
      </c>
      <c r="I95" s="100"/>
      <c r="J95" s="46" t="s">
        <v>59</v>
      </c>
      <c r="K95" s="46">
        <v>0</v>
      </c>
      <c r="L95" s="46">
        <v>0</v>
      </c>
      <c r="M95" s="46">
        <v>0</v>
      </c>
      <c r="N95" s="46">
        <v>0</v>
      </c>
      <c r="O95" s="46">
        <v>0</v>
      </c>
      <c r="P95" s="43">
        <f t="shared" si="43"/>
        <v>0</v>
      </c>
      <c r="Q95" s="131"/>
    </row>
    <row r="96" spans="1:22" ht="15.6" x14ac:dyDescent="0.25">
      <c r="A96" s="46" t="s">
        <v>60</v>
      </c>
      <c r="B96" s="46">
        <v>0</v>
      </c>
      <c r="C96" s="46">
        <v>0</v>
      </c>
      <c r="D96" s="46">
        <v>0</v>
      </c>
      <c r="E96" s="46">
        <v>0</v>
      </c>
      <c r="F96" s="46">
        <v>0</v>
      </c>
      <c r="G96" s="43">
        <v>0</v>
      </c>
      <c r="H96" s="128"/>
      <c r="I96" s="100"/>
      <c r="J96" s="46" t="s">
        <v>60</v>
      </c>
      <c r="K96" s="46">
        <v>0</v>
      </c>
      <c r="L96" s="46">
        <v>0</v>
      </c>
      <c r="M96" s="46">
        <v>0</v>
      </c>
      <c r="N96" s="46">
        <v>0</v>
      </c>
      <c r="O96" s="46">
        <v>0</v>
      </c>
      <c r="P96" s="43">
        <f t="shared" si="43"/>
        <v>0</v>
      </c>
      <c r="Q96" s="131"/>
    </row>
    <row r="97" spans="1:17" ht="15.6" x14ac:dyDescent="0.25">
      <c r="A97" s="46" t="s">
        <v>61</v>
      </c>
      <c r="B97" s="46">
        <v>0</v>
      </c>
      <c r="C97" s="46">
        <v>0</v>
      </c>
      <c r="D97" s="46">
        <v>0</v>
      </c>
      <c r="E97" s="46">
        <v>0</v>
      </c>
      <c r="F97" s="46">
        <v>0</v>
      </c>
      <c r="G97" s="97">
        <f t="shared" si="41"/>
        <v>0</v>
      </c>
      <c r="H97" s="130"/>
      <c r="I97" s="100"/>
      <c r="J97" s="46" t="s">
        <v>61</v>
      </c>
      <c r="K97" s="46">
        <v>0</v>
      </c>
      <c r="L97" s="46">
        <v>0</v>
      </c>
      <c r="M97" s="46">
        <v>0</v>
      </c>
      <c r="N97" s="46">
        <v>0</v>
      </c>
      <c r="O97" s="46">
        <v>0</v>
      </c>
      <c r="P97" s="97">
        <f t="shared" si="43"/>
        <v>0</v>
      </c>
      <c r="Q97" s="132"/>
    </row>
    <row r="98" spans="1:17" x14ac:dyDescent="0.25">
      <c r="G98" s="45" t="s">
        <v>62</v>
      </c>
      <c r="H98" s="45">
        <f>SUM(H88:H95)</f>
        <v>222474</v>
      </c>
      <c r="P98" s="45" t="s">
        <v>63</v>
      </c>
      <c r="Q98" s="45">
        <f>SUM(Q88:Q94)</f>
        <v>222440</v>
      </c>
    </row>
    <row r="99" spans="1:17" x14ac:dyDescent="0.25">
      <c r="A99" s="52" t="s">
        <v>64</v>
      </c>
      <c r="B99" s="52">
        <f>(G89/5)</f>
        <v>47.8</v>
      </c>
    </row>
  </sheetData>
  <mergeCells count="13">
    <mergeCell ref="A85:H85"/>
    <mergeCell ref="J85:Q85"/>
    <mergeCell ref="A31:H31"/>
    <mergeCell ref="J31:Q31"/>
    <mergeCell ref="A49:H49"/>
    <mergeCell ref="J49:Q49"/>
    <mergeCell ref="A67:H67"/>
    <mergeCell ref="J67:Q67"/>
    <mergeCell ref="A1:G2"/>
    <mergeCell ref="J1:P2"/>
    <mergeCell ref="S1:V2"/>
    <mergeCell ref="A4:H4"/>
    <mergeCell ref="J4:Q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5"/>
  <sheetViews>
    <sheetView workbookViewId="0">
      <selection activeCell="A21" sqref="A21"/>
    </sheetView>
  </sheetViews>
  <sheetFormatPr defaultColWidth="8.88671875" defaultRowHeight="13.8" x14ac:dyDescent="0.25"/>
  <cols>
    <col min="1" max="1" width="24.88671875" style="52" customWidth="1"/>
    <col min="2" max="2" width="8.88671875" style="52"/>
    <col min="3" max="3" width="9.88671875" style="52" bestFit="1" customWidth="1"/>
    <col min="4" max="8" width="8.88671875" style="52"/>
    <col min="9" max="9" width="22" style="52" bestFit="1" customWidth="1"/>
    <col min="10" max="16384" width="8.88671875" style="52"/>
  </cols>
  <sheetData>
    <row r="1" spans="1:17" ht="15" customHeight="1" x14ac:dyDescent="0.25">
      <c r="A1" s="140" t="s">
        <v>38</v>
      </c>
      <c r="B1" s="140"/>
      <c r="C1" s="140"/>
      <c r="D1" s="140"/>
      <c r="E1" s="140"/>
      <c r="F1" s="140"/>
      <c r="G1" s="140"/>
      <c r="I1" s="140" t="s">
        <v>73</v>
      </c>
      <c r="J1" s="140"/>
      <c r="K1" s="140"/>
      <c r="L1" s="140"/>
      <c r="M1" s="140"/>
      <c r="N1" s="140"/>
      <c r="O1" s="140"/>
      <c r="P1" s="140"/>
      <c r="Q1" s="140"/>
    </row>
    <row r="2" spans="1:17" ht="15" customHeight="1" x14ac:dyDescent="0.25">
      <c r="A2" s="140"/>
      <c r="B2" s="140"/>
      <c r="C2" s="140"/>
      <c r="D2" s="140"/>
      <c r="E2" s="140"/>
      <c r="F2" s="140"/>
      <c r="G2" s="140"/>
      <c r="I2" s="140"/>
      <c r="J2" s="140"/>
      <c r="K2" s="140"/>
      <c r="L2" s="140"/>
      <c r="M2" s="140"/>
      <c r="N2" s="140"/>
      <c r="O2" s="140"/>
      <c r="P2" s="140"/>
      <c r="Q2" s="140"/>
    </row>
    <row r="3" spans="1:17" ht="15.6" x14ac:dyDescent="0.25">
      <c r="A3" s="53"/>
      <c r="B3" s="53"/>
      <c r="C3" s="53"/>
      <c r="D3" s="53"/>
      <c r="E3" s="53"/>
      <c r="F3" s="53"/>
      <c r="G3" s="53"/>
    </row>
    <row r="4" spans="1:17" ht="15.6" x14ac:dyDescent="0.3">
      <c r="A4" s="41" t="s">
        <v>6</v>
      </c>
      <c r="B4" s="42"/>
      <c r="C4" s="42"/>
      <c r="D4" s="42"/>
      <c r="E4" s="42"/>
      <c r="F4" s="42"/>
      <c r="G4" s="42"/>
      <c r="I4" s="54" t="s">
        <v>6</v>
      </c>
      <c r="J4" s="42"/>
      <c r="K4" s="42"/>
      <c r="L4" s="42"/>
      <c r="M4" s="42"/>
      <c r="N4" s="42"/>
      <c r="O4" s="42"/>
      <c r="P4" s="42"/>
      <c r="Q4" s="42"/>
    </row>
    <row r="5" spans="1:17" ht="15.6" x14ac:dyDescent="0.25">
      <c r="A5" s="55" t="s">
        <v>43</v>
      </c>
      <c r="B5" s="56">
        <v>1</v>
      </c>
      <c r="C5" s="56">
        <v>2</v>
      </c>
      <c r="D5" s="56">
        <v>3</v>
      </c>
      <c r="E5" s="56">
        <v>4</v>
      </c>
      <c r="F5" s="56">
        <v>5</v>
      </c>
      <c r="G5" s="56" t="s">
        <v>44</v>
      </c>
      <c r="I5" s="141" t="s">
        <v>74</v>
      </c>
      <c r="J5" s="143" t="s">
        <v>75</v>
      </c>
      <c r="K5" s="144"/>
      <c r="L5" s="144"/>
      <c r="M5" s="144"/>
      <c r="N5" s="144"/>
      <c r="O5" s="145" t="s">
        <v>76</v>
      </c>
      <c r="P5" s="147" t="s">
        <v>77</v>
      </c>
      <c r="Q5" s="145" t="s">
        <v>78</v>
      </c>
    </row>
    <row r="6" spans="1:17" ht="15.6" x14ac:dyDescent="0.25">
      <c r="A6" s="57" t="s">
        <v>46</v>
      </c>
      <c r="B6" s="40">
        <v>0</v>
      </c>
      <c r="C6" s="40">
        <f>B14</f>
        <v>3</v>
      </c>
      <c r="D6" s="40">
        <f>C14</f>
        <v>7</v>
      </c>
      <c r="E6" s="40">
        <v>4</v>
      </c>
      <c r="F6" s="40">
        <v>2</v>
      </c>
      <c r="G6" s="43">
        <f>SUM(B6:F6)</f>
        <v>16</v>
      </c>
      <c r="I6" s="142"/>
      <c r="J6" s="58">
        <v>21</v>
      </c>
      <c r="K6" s="59">
        <v>22</v>
      </c>
      <c r="L6" s="59">
        <v>23</v>
      </c>
      <c r="M6" s="59">
        <v>24</v>
      </c>
      <c r="N6" s="60">
        <v>25</v>
      </c>
      <c r="O6" s="146"/>
      <c r="P6" s="148"/>
      <c r="Q6" s="149"/>
    </row>
    <row r="7" spans="1:17" ht="15.6" x14ac:dyDescent="0.25">
      <c r="A7" s="57" t="s">
        <v>48</v>
      </c>
      <c r="B7" s="40">
        <f>(C18)</f>
        <v>147</v>
      </c>
      <c r="C7" s="40">
        <f>(C18)</f>
        <v>147</v>
      </c>
      <c r="D7" s="40">
        <f>(C18)</f>
        <v>147</v>
      </c>
      <c r="E7" s="40">
        <f>(C18)</f>
        <v>147</v>
      </c>
      <c r="F7" s="40">
        <f>(C18)</f>
        <v>147</v>
      </c>
      <c r="G7" s="43">
        <f t="shared" ref="G7:G15" si="0">SUM(B7:F7)</f>
        <v>735</v>
      </c>
      <c r="I7" s="61" t="s">
        <v>79</v>
      </c>
      <c r="J7" s="62">
        <v>0</v>
      </c>
      <c r="K7" s="63">
        <f>J15</f>
        <v>2.4000000000000057</v>
      </c>
      <c r="L7" s="63">
        <f t="shared" ref="L7:N7" si="1">K15</f>
        <v>5.8000000000000114</v>
      </c>
      <c r="M7" s="63">
        <f t="shared" si="1"/>
        <v>2.2000000000000171</v>
      </c>
      <c r="N7" s="64">
        <f t="shared" si="1"/>
        <v>-0.39999999999997726</v>
      </c>
      <c r="O7" s="65"/>
      <c r="P7" s="66"/>
      <c r="Q7" s="67"/>
    </row>
    <row r="8" spans="1:17" ht="15.6" x14ac:dyDescent="0.25">
      <c r="A8" s="57" t="s">
        <v>49</v>
      </c>
      <c r="B8" s="46">
        <v>144</v>
      </c>
      <c r="C8" s="46">
        <v>143</v>
      </c>
      <c r="D8" s="46">
        <v>150</v>
      </c>
      <c r="E8" s="46">
        <v>149</v>
      </c>
      <c r="F8" s="46">
        <v>146</v>
      </c>
      <c r="G8" s="43">
        <f t="shared" si="0"/>
        <v>732</v>
      </c>
      <c r="I8" s="68" t="s">
        <v>80</v>
      </c>
      <c r="J8" s="69">
        <f>(J21)</f>
        <v>150</v>
      </c>
      <c r="K8" s="70">
        <f>(J21)</f>
        <v>150</v>
      </c>
      <c r="L8" s="70">
        <f>(J21)</f>
        <v>150</v>
      </c>
      <c r="M8" s="70">
        <f>(J21)</f>
        <v>150</v>
      </c>
      <c r="N8" s="71">
        <f>(J21)</f>
        <v>150</v>
      </c>
      <c r="O8" s="72">
        <f>SUM(J8:N8)</f>
        <v>750</v>
      </c>
      <c r="P8" s="73"/>
      <c r="Q8" s="74"/>
    </row>
    <row r="9" spans="1:17" ht="15.6" x14ac:dyDescent="0.25">
      <c r="A9" s="75" t="s">
        <v>51</v>
      </c>
      <c r="B9" s="76">
        <f>ROUNDUP(B7/30,0)</f>
        <v>5</v>
      </c>
      <c r="C9" s="76">
        <f t="shared" ref="C9:F9" si="2">ROUNDUP(C7/30,0)</f>
        <v>5</v>
      </c>
      <c r="D9" s="76">
        <f t="shared" si="2"/>
        <v>5</v>
      </c>
      <c r="E9" s="76">
        <f t="shared" si="2"/>
        <v>5</v>
      </c>
      <c r="F9" s="76">
        <f t="shared" si="2"/>
        <v>5</v>
      </c>
      <c r="G9" s="77">
        <f t="shared" si="0"/>
        <v>25</v>
      </c>
      <c r="I9" s="68" t="s">
        <v>81</v>
      </c>
      <c r="J9" s="69">
        <f>K19</f>
        <v>146.4</v>
      </c>
      <c r="K9" s="69">
        <f>K19</f>
        <v>146.4</v>
      </c>
      <c r="L9" s="69">
        <f>K19</f>
        <v>146.4</v>
      </c>
      <c r="M9" s="69">
        <f>K19</f>
        <v>146.4</v>
      </c>
      <c r="N9" s="71">
        <f>K19</f>
        <v>146.4</v>
      </c>
      <c r="O9" s="72">
        <f>SUM(J9:N9)</f>
        <v>732</v>
      </c>
      <c r="P9" s="73"/>
      <c r="Q9" s="74">
        <f>O9*P9</f>
        <v>0</v>
      </c>
    </row>
    <row r="10" spans="1:17" ht="15.6" x14ac:dyDescent="0.3">
      <c r="A10" s="75" t="s">
        <v>52</v>
      </c>
      <c r="B10" s="76">
        <v>10</v>
      </c>
      <c r="C10" s="76"/>
      <c r="D10" s="76"/>
      <c r="E10" s="76"/>
      <c r="F10" s="76"/>
      <c r="G10" s="77">
        <f t="shared" si="0"/>
        <v>10</v>
      </c>
      <c r="I10" s="68" t="s">
        <v>49</v>
      </c>
      <c r="J10" s="78">
        <v>144</v>
      </c>
      <c r="K10" s="79">
        <v>143</v>
      </c>
      <c r="L10" s="79">
        <v>150</v>
      </c>
      <c r="M10" s="79">
        <v>149</v>
      </c>
      <c r="N10" s="80">
        <v>146</v>
      </c>
      <c r="O10" s="72">
        <f>SUM(J10:N10)</f>
        <v>732</v>
      </c>
      <c r="P10" s="73"/>
      <c r="Q10" s="74"/>
    </row>
    <row r="11" spans="1:17" ht="15.6" x14ac:dyDescent="0.25">
      <c r="A11" s="75" t="s">
        <v>54</v>
      </c>
      <c r="B11" s="76">
        <v>0</v>
      </c>
      <c r="C11" s="76">
        <v>0</v>
      </c>
      <c r="D11" s="76">
        <v>0</v>
      </c>
      <c r="E11" s="76">
        <v>0</v>
      </c>
      <c r="F11" s="76">
        <v>0</v>
      </c>
      <c r="G11" s="77">
        <f t="shared" si="0"/>
        <v>0</v>
      </c>
      <c r="I11" s="68" t="s">
        <v>51</v>
      </c>
      <c r="J11" s="76">
        <f t="shared" ref="J11:N11" si="3">ROUNDUP(J9/30,0)</f>
        <v>5</v>
      </c>
      <c r="K11" s="76">
        <f t="shared" si="3"/>
        <v>5</v>
      </c>
      <c r="L11" s="76">
        <f t="shared" si="3"/>
        <v>5</v>
      </c>
      <c r="M11" s="76">
        <f t="shared" si="3"/>
        <v>5</v>
      </c>
      <c r="N11" s="76">
        <f t="shared" si="3"/>
        <v>5</v>
      </c>
      <c r="O11" s="72">
        <f>SUM(J11:N11)</f>
        <v>25</v>
      </c>
      <c r="P11" s="73"/>
      <c r="Q11" s="74"/>
    </row>
    <row r="12" spans="1:17" ht="15.6" x14ac:dyDescent="0.25">
      <c r="A12" s="75" t="s">
        <v>56</v>
      </c>
      <c r="B12" s="76">
        <f>B10-B9</f>
        <v>5</v>
      </c>
      <c r="C12" s="76"/>
      <c r="D12" s="76"/>
      <c r="E12" s="76"/>
      <c r="F12" s="76"/>
      <c r="G12" s="77">
        <f t="shared" si="0"/>
        <v>5</v>
      </c>
      <c r="I12" s="68" t="s">
        <v>82</v>
      </c>
      <c r="J12" s="69">
        <v>10</v>
      </c>
      <c r="K12" s="70"/>
      <c r="L12" s="70"/>
      <c r="M12" s="70"/>
      <c r="N12" s="71"/>
      <c r="O12" s="72"/>
      <c r="P12" s="73"/>
      <c r="Q12" s="74"/>
    </row>
    <row r="13" spans="1:17" ht="15.6" x14ac:dyDescent="0.25">
      <c r="A13" s="75" t="s">
        <v>57</v>
      </c>
      <c r="B13" s="76">
        <f>R11</f>
        <v>0</v>
      </c>
      <c r="C13" s="76">
        <f>R11</f>
        <v>0</v>
      </c>
      <c r="D13" s="76">
        <f>R11</f>
        <v>0</v>
      </c>
      <c r="E13" s="76">
        <f>R11</f>
        <v>0</v>
      </c>
      <c r="F13" s="76">
        <f>R11</f>
        <v>0</v>
      </c>
      <c r="G13" s="77">
        <f t="shared" si="0"/>
        <v>0</v>
      </c>
      <c r="I13" s="68" t="s">
        <v>83</v>
      </c>
      <c r="J13" s="69">
        <f>(J12-J11)</f>
        <v>5</v>
      </c>
      <c r="K13" s="70"/>
      <c r="L13" s="70"/>
      <c r="M13" s="70"/>
      <c r="N13" s="71"/>
      <c r="O13" s="72">
        <f>SUM(J13:N13)</f>
        <v>5</v>
      </c>
      <c r="P13" s="73"/>
      <c r="Q13" s="74"/>
    </row>
    <row r="14" spans="1:17" ht="15.6" x14ac:dyDescent="0.25">
      <c r="A14" s="75" t="s">
        <v>59</v>
      </c>
      <c r="B14" s="76">
        <f>B7-B8</f>
        <v>3</v>
      </c>
      <c r="C14" s="76">
        <f>C7-C8+C6</f>
        <v>7</v>
      </c>
      <c r="D14" s="76">
        <f>D7-D8+D6</f>
        <v>4</v>
      </c>
      <c r="E14" s="76">
        <f>E7-E8+E6</f>
        <v>2</v>
      </c>
      <c r="F14" s="76">
        <f>F7-F8+F6</f>
        <v>3</v>
      </c>
      <c r="G14" s="76">
        <f t="shared" ref="G14" si="4">G7-G8</f>
        <v>3</v>
      </c>
      <c r="I14" s="68" t="s">
        <v>84</v>
      </c>
      <c r="J14" s="69"/>
      <c r="K14" s="70"/>
      <c r="L14" s="70"/>
      <c r="M14" s="70"/>
      <c r="N14" s="71"/>
      <c r="O14" s="72">
        <f>SUM(J14:N14)</f>
        <v>0</v>
      </c>
      <c r="P14" s="73"/>
      <c r="Q14" s="74">
        <f>2000*J14</f>
        <v>0</v>
      </c>
    </row>
    <row r="15" spans="1:17" ht="15.6" x14ac:dyDescent="0.25">
      <c r="A15" s="75" t="s">
        <v>60</v>
      </c>
      <c r="B15" s="76">
        <v>0</v>
      </c>
      <c r="C15" s="76">
        <v>0</v>
      </c>
      <c r="D15" s="76">
        <v>0</v>
      </c>
      <c r="E15" s="76">
        <v>0</v>
      </c>
      <c r="F15" s="76">
        <v>0</v>
      </c>
      <c r="G15" s="77">
        <f t="shared" si="0"/>
        <v>0</v>
      </c>
      <c r="I15" s="68" t="s">
        <v>85</v>
      </c>
      <c r="J15" s="69">
        <f>J9+J7-J10</f>
        <v>2.4000000000000057</v>
      </c>
      <c r="K15" s="70">
        <f t="shared" ref="K15:N15" si="5">K9+K7-K10</f>
        <v>5.8000000000000114</v>
      </c>
      <c r="L15" s="70">
        <f t="shared" si="5"/>
        <v>2.2000000000000171</v>
      </c>
      <c r="M15" s="70">
        <f t="shared" si="5"/>
        <v>-0.39999999999997726</v>
      </c>
      <c r="N15" s="71">
        <f t="shared" si="5"/>
        <v>0</v>
      </c>
      <c r="O15" s="72">
        <f>SUM(J15:N15)</f>
        <v>10.000000000000057</v>
      </c>
      <c r="P15" s="73"/>
      <c r="Q15" s="74">
        <f>O15*P15</f>
        <v>0</v>
      </c>
    </row>
    <row r="16" spans="1:17" ht="15.6" x14ac:dyDescent="0.25">
      <c r="A16" s="75" t="s">
        <v>61</v>
      </c>
      <c r="B16" s="76">
        <f>ABS((B6-B14)/2)</f>
        <v>1.5</v>
      </c>
      <c r="C16" s="76">
        <f>ABS((C6-C14)/2)</f>
        <v>2</v>
      </c>
      <c r="D16" s="76">
        <f t="shared" ref="D16:G16" si="6">ABS((D6-D14)/2)</f>
        <v>1.5</v>
      </c>
      <c r="E16" s="76">
        <f t="shared" si="6"/>
        <v>1</v>
      </c>
      <c r="F16" s="76">
        <f t="shared" si="6"/>
        <v>0.5</v>
      </c>
      <c r="G16" s="76">
        <f t="shared" si="6"/>
        <v>6.5</v>
      </c>
      <c r="I16" s="68" t="s">
        <v>86</v>
      </c>
      <c r="J16" s="69">
        <f>J8-J9</f>
        <v>3.5999999999999943</v>
      </c>
      <c r="K16" s="70">
        <f t="shared" ref="K16:N16" si="7">K8-K9</f>
        <v>3.5999999999999943</v>
      </c>
      <c r="L16" s="70">
        <f t="shared" si="7"/>
        <v>3.5999999999999943</v>
      </c>
      <c r="M16" s="70">
        <f t="shared" si="7"/>
        <v>3.5999999999999943</v>
      </c>
      <c r="N16" s="71">
        <f t="shared" si="7"/>
        <v>3.5999999999999943</v>
      </c>
      <c r="O16" s="72">
        <f>SUM(J16:N16)</f>
        <v>17.999999999999972</v>
      </c>
      <c r="P16" s="73"/>
      <c r="Q16" s="74">
        <f>O16*P16</f>
        <v>0</v>
      </c>
    </row>
    <row r="17" spans="1:17" ht="15.6" x14ac:dyDescent="0.25">
      <c r="A17" s="47"/>
      <c r="B17" s="47"/>
      <c r="C17" s="47"/>
      <c r="D17" s="47"/>
      <c r="E17" s="47"/>
      <c r="F17" s="47"/>
      <c r="G17" s="47"/>
      <c r="I17" s="81" t="s">
        <v>87</v>
      </c>
      <c r="J17" s="82">
        <f>AVERAGE(J7,J15)</f>
        <v>1.2000000000000028</v>
      </c>
      <c r="K17" s="83">
        <f t="shared" ref="K17:N17" si="8">AVERAGE(K7,K15)</f>
        <v>4.1000000000000085</v>
      </c>
      <c r="L17" s="83">
        <f t="shared" si="8"/>
        <v>4.0000000000000142</v>
      </c>
      <c r="M17" s="83">
        <f t="shared" si="8"/>
        <v>0.9000000000000199</v>
      </c>
      <c r="N17" s="84">
        <f t="shared" si="8"/>
        <v>-0.19999999999998863</v>
      </c>
      <c r="O17" s="85">
        <f>SUM(J17:N17)</f>
        <v>10.000000000000057</v>
      </c>
      <c r="P17" s="86"/>
      <c r="Q17" s="87">
        <f>O17*R36</f>
        <v>0</v>
      </c>
    </row>
    <row r="18" spans="1:17" ht="15.6" x14ac:dyDescent="0.3">
      <c r="A18" s="48" t="s">
        <v>64</v>
      </c>
      <c r="B18" s="47">
        <f>(G8/5)</f>
        <v>146.4</v>
      </c>
      <c r="C18" s="47">
        <v>147</v>
      </c>
      <c r="D18" s="47">
        <v>150</v>
      </c>
      <c r="E18" s="47"/>
      <c r="F18" s="47"/>
      <c r="G18" s="47"/>
      <c r="I18" s="78"/>
      <c r="J18" s="78"/>
      <c r="K18" s="78"/>
      <c r="L18" s="78"/>
      <c r="M18" s="78"/>
      <c r="N18" s="78"/>
      <c r="O18" s="78"/>
      <c r="P18" s="78"/>
      <c r="Q18" s="78"/>
    </row>
    <row r="19" spans="1:17" ht="15.6" x14ac:dyDescent="0.3">
      <c r="I19" s="88" t="s">
        <v>88</v>
      </c>
      <c r="J19" s="78">
        <f>(O10/5)</f>
        <v>146.4</v>
      </c>
      <c r="K19" s="78">
        <f>J19</f>
        <v>146.4</v>
      </c>
      <c r="L19" s="78"/>
      <c r="M19" s="78"/>
      <c r="N19" s="78"/>
      <c r="O19" s="78"/>
      <c r="P19" s="78"/>
      <c r="Q19" s="78"/>
    </row>
    <row r="20" spans="1:17" ht="15.6" x14ac:dyDescent="0.3">
      <c r="I20" s="88" t="s">
        <v>89</v>
      </c>
      <c r="J20" s="78">
        <f>(K19/30)</f>
        <v>4.88</v>
      </c>
      <c r="K20" s="78">
        <f>ROUNDUP(J20,0)</f>
        <v>5</v>
      </c>
      <c r="L20" s="78"/>
      <c r="M20" s="78"/>
      <c r="N20" s="78"/>
      <c r="O20" s="78"/>
      <c r="P20" s="78"/>
      <c r="Q20" s="78"/>
    </row>
    <row r="21" spans="1:17" ht="15.6" x14ac:dyDescent="0.3">
      <c r="I21" s="89" t="s">
        <v>90</v>
      </c>
      <c r="J21" s="78">
        <f>(K20*30)</f>
        <v>150</v>
      </c>
      <c r="K21" s="78"/>
      <c r="L21" s="78"/>
      <c r="M21" s="78"/>
      <c r="N21" s="78"/>
      <c r="O21" s="78"/>
      <c r="P21" s="78"/>
      <c r="Q21" s="78"/>
    </row>
    <row r="22" spans="1:17" ht="15" customHeight="1" x14ac:dyDescent="0.25">
      <c r="A22" s="90"/>
      <c r="B22" s="90"/>
      <c r="C22" s="90"/>
      <c r="D22" s="90"/>
      <c r="E22" s="90"/>
      <c r="F22" s="90"/>
      <c r="G22" s="90"/>
    </row>
    <row r="23" spans="1:17" ht="15" customHeight="1" x14ac:dyDescent="0.25">
      <c r="A23" s="90"/>
      <c r="B23" s="90"/>
      <c r="C23" s="90"/>
      <c r="D23" s="90"/>
      <c r="E23" s="90"/>
      <c r="F23" s="90"/>
      <c r="G23" s="90"/>
    </row>
    <row r="24" spans="1:17" ht="15.6" x14ac:dyDescent="0.25">
      <c r="A24" s="53"/>
      <c r="B24" s="53"/>
      <c r="C24" s="53"/>
      <c r="D24" s="53"/>
      <c r="E24" s="53"/>
      <c r="F24" s="53"/>
      <c r="G24" s="53"/>
    </row>
    <row r="25" spans="1:17" ht="15.6" x14ac:dyDescent="0.3">
      <c r="A25" s="91" t="s">
        <v>7</v>
      </c>
      <c r="B25" s="92"/>
      <c r="C25" s="92"/>
      <c r="D25" s="92"/>
      <c r="E25" s="92"/>
      <c r="F25" s="92"/>
      <c r="G25" s="92"/>
      <c r="I25" s="93" t="s">
        <v>7</v>
      </c>
      <c r="J25" s="92"/>
      <c r="K25" s="92"/>
      <c r="L25" s="92"/>
      <c r="M25" s="92"/>
      <c r="N25" s="92"/>
      <c r="O25" s="92"/>
      <c r="P25" s="92"/>
      <c r="Q25" s="92"/>
    </row>
    <row r="26" spans="1:17" ht="15.6" x14ac:dyDescent="0.25">
      <c r="A26" s="55" t="s">
        <v>43</v>
      </c>
      <c r="B26" s="56">
        <v>1</v>
      </c>
      <c r="C26" s="56">
        <v>2</v>
      </c>
      <c r="D26" s="56">
        <v>3</v>
      </c>
      <c r="E26" s="56">
        <v>4</v>
      </c>
      <c r="F26" s="56">
        <v>5</v>
      </c>
      <c r="G26" s="56" t="s">
        <v>44</v>
      </c>
      <c r="I26" s="141" t="s">
        <v>74</v>
      </c>
      <c r="J26" s="143" t="s">
        <v>75</v>
      </c>
      <c r="K26" s="144"/>
      <c r="L26" s="144"/>
      <c r="M26" s="144"/>
      <c r="N26" s="144"/>
      <c r="O26" s="145" t="s">
        <v>76</v>
      </c>
      <c r="P26" s="147" t="s">
        <v>77</v>
      </c>
      <c r="Q26" s="145" t="s">
        <v>78</v>
      </c>
    </row>
    <row r="27" spans="1:17" ht="15.6" x14ac:dyDescent="0.25">
      <c r="A27" s="57" t="s">
        <v>46</v>
      </c>
      <c r="B27" s="40">
        <v>0</v>
      </c>
      <c r="C27" s="40">
        <f>B35</f>
        <v>16</v>
      </c>
      <c r="D27" s="40">
        <f>C35</f>
        <v>10</v>
      </c>
      <c r="E27" s="40">
        <v>4</v>
      </c>
      <c r="F27" s="40">
        <v>2</v>
      </c>
      <c r="G27" s="43">
        <f>SUM(B27:F27)</f>
        <v>32</v>
      </c>
      <c r="I27" s="142"/>
      <c r="J27" s="58">
        <v>21</v>
      </c>
      <c r="K27" s="59">
        <v>22</v>
      </c>
      <c r="L27" s="59">
        <v>23</v>
      </c>
      <c r="M27" s="59">
        <v>24</v>
      </c>
      <c r="N27" s="60">
        <v>25</v>
      </c>
      <c r="O27" s="146"/>
      <c r="P27" s="148"/>
      <c r="Q27" s="149"/>
    </row>
    <row r="28" spans="1:17" ht="15.6" x14ac:dyDescent="0.25">
      <c r="A28" s="57" t="s">
        <v>48</v>
      </c>
      <c r="B28" s="40">
        <f>(C39)</f>
        <v>194</v>
      </c>
      <c r="C28" s="40">
        <f>(C39)</f>
        <v>194</v>
      </c>
      <c r="D28" s="40">
        <f>(C39)</f>
        <v>194</v>
      </c>
      <c r="E28" s="40">
        <f>(C39)</f>
        <v>194</v>
      </c>
      <c r="F28" s="40">
        <f>(C39)</f>
        <v>194</v>
      </c>
      <c r="G28" s="43">
        <f t="shared" ref="G28:G36" si="9">SUM(B28:F28)</f>
        <v>970</v>
      </c>
      <c r="I28" s="61" t="s">
        <v>79</v>
      </c>
      <c r="J28" s="62">
        <v>0</v>
      </c>
      <c r="K28" s="63">
        <f>J36</f>
        <v>15.599999999999994</v>
      </c>
      <c r="L28" s="63">
        <f t="shared" ref="L28:N28" si="10">K36</f>
        <v>9.1999999999999886</v>
      </c>
      <c r="M28" s="63">
        <f t="shared" si="10"/>
        <v>-12.200000000000017</v>
      </c>
      <c r="N28" s="64">
        <f t="shared" si="10"/>
        <v>-23.600000000000023</v>
      </c>
      <c r="O28" s="65"/>
      <c r="P28" s="66"/>
      <c r="Q28" s="67"/>
    </row>
    <row r="29" spans="1:17" ht="15.6" x14ac:dyDescent="0.25">
      <c r="A29" s="57" t="s">
        <v>49</v>
      </c>
      <c r="B29" s="76">
        <v>178</v>
      </c>
      <c r="C29" s="76">
        <v>200</v>
      </c>
      <c r="D29" s="76">
        <v>215</v>
      </c>
      <c r="E29" s="76">
        <v>205</v>
      </c>
      <c r="F29" s="76">
        <v>170</v>
      </c>
      <c r="G29" s="43">
        <f t="shared" si="9"/>
        <v>968</v>
      </c>
      <c r="I29" s="68" t="s">
        <v>80</v>
      </c>
      <c r="J29" s="69">
        <f>(J42)</f>
        <v>210</v>
      </c>
      <c r="K29" s="70">
        <f>(J42)</f>
        <v>210</v>
      </c>
      <c r="L29" s="70">
        <f>(J42)</f>
        <v>210</v>
      </c>
      <c r="M29" s="70">
        <f>(J42)</f>
        <v>210</v>
      </c>
      <c r="N29" s="71">
        <f>(J42)</f>
        <v>210</v>
      </c>
      <c r="O29" s="72">
        <f>SUM(J29:N29)</f>
        <v>1050</v>
      </c>
      <c r="P29" s="73"/>
      <c r="Q29" s="74"/>
    </row>
    <row r="30" spans="1:17" ht="15.6" x14ac:dyDescent="0.25">
      <c r="A30" s="75" t="s">
        <v>51</v>
      </c>
      <c r="B30" s="76">
        <f>ROUNDUP(B28/30,0)</f>
        <v>7</v>
      </c>
      <c r="C30" s="76">
        <f t="shared" ref="C30:F30" si="11">ROUNDUP(C28/30,0)</f>
        <v>7</v>
      </c>
      <c r="D30" s="76">
        <f t="shared" si="11"/>
        <v>7</v>
      </c>
      <c r="E30" s="76">
        <f t="shared" si="11"/>
        <v>7</v>
      </c>
      <c r="F30" s="76">
        <f t="shared" si="11"/>
        <v>7</v>
      </c>
      <c r="G30" s="77">
        <f t="shared" si="9"/>
        <v>35</v>
      </c>
      <c r="I30" s="68" t="s">
        <v>81</v>
      </c>
      <c r="J30" s="69">
        <f>K40</f>
        <v>193.6</v>
      </c>
      <c r="K30" s="69">
        <f>K40</f>
        <v>193.6</v>
      </c>
      <c r="L30" s="69">
        <f>K40</f>
        <v>193.6</v>
      </c>
      <c r="M30" s="69">
        <f>K40</f>
        <v>193.6</v>
      </c>
      <c r="N30" s="71">
        <f>K40</f>
        <v>193.6</v>
      </c>
      <c r="O30" s="72">
        <f>SUM(J30:N30)</f>
        <v>968</v>
      </c>
      <c r="P30" s="73"/>
      <c r="Q30" s="74">
        <f>O30*P30</f>
        <v>0</v>
      </c>
    </row>
    <row r="31" spans="1:17" ht="15.6" x14ac:dyDescent="0.3">
      <c r="A31" s="75" t="s">
        <v>52</v>
      </c>
      <c r="B31" s="76">
        <v>10</v>
      </c>
      <c r="C31" s="76">
        <f>B30</f>
        <v>7</v>
      </c>
      <c r="D31" s="76">
        <f>C31</f>
        <v>7</v>
      </c>
      <c r="E31" s="76">
        <f>D31</f>
        <v>7</v>
      </c>
      <c r="F31" s="76">
        <f>E31</f>
        <v>7</v>
      </c>
      <c r="G31" s="77">
        <f t="shared" si="9"/>
        <v>38</v>
      </c>
      <c r="I31" s="68" t="s">
        <v>49</v>
      </c>
      <c r="J31" s="78">
        <v>178</v>
      </c>
      <c r="K31" s="79">
        <v>200</v>
      </c>
      <c r="L31" s="79">
        <v>215</v>
      </c>
      <c r="M31" s="79">
        <v>205</v>
      </c>
      <c r="N31" s="80">
        <v>170</v>
      </c>
      <c r="O31" s="72">
        <f>SUM(J31:N31)</f>
        <v>968</v>
      </c>
      <c r="P31" s="73"/>
      <c r="Q31" s="74"/>
    </row>
    <row r="32" spans="1:17" ht="15.6" x14ac:dyDescent="0.25">
      <c r="A32" s="75" t="s">
        <v>54</v>
      </c>
      <c r="B32" s="76">
        <v>0</v>
      </c>
      <c r="C32" s="76">
        <v>0</v>
      </c>
      <c r="D32" s="76">
        <v>0</v>
      </c>
      <c r="E32" s="76">
        <v>0</v>
      </c>
      <c r="F32" s="76">
        <v>0</v>
      </c>
      <c r="G32" s="77">
        <f t="shared" si="9"/>
        <v>0</v>
      </c>
      <c r="I32" s="68" t="s">
        <v>51</v>
      </c>
      <c r="J32" s="76">
        <f>ROUNDUP(J30/30,0)</f>
        <v>7</v>
      </c>
      <c r="K32" s="76">
        <f t="shared" ref="K32:N32" si="12">ROUNDUP(K30/30,0)</f>
        <v>7</v>
      </c>
      <c r="L32" s="76">
        <f t="shared" si="12"/>
        <v>7</v>
      </c>
      <c r="M32" s="76">
        <f t="shared" si="12"/>
        <v>7</v>
      </c>
      <c r="N32" s="76">
        <f t="shared" si="12"/>
        <v>7</v>
      </c>
      <c r="O32" s="72">
        <f>SUM(J32:N32)</f>
        <v>35</v>
      </c>
      <c r="P32" s="73"/>
      <c r="Q32" s="74"/>
    </row>
    <row r="33" spans="1:17" ht="15.6" x14ac:dyDescent="0.25">
      <c r="A33" s="75" t="s">
        <v>56</v>
      </c>
      <c r="B33" s="76">
        <f>B31-B30</f>
        <v>3</v>
      </c>
      <c r="C33" s="76">
        <f t="shared" ref="C33:F33" si="13">C31-C30</f>
        <v>0</v>
      </c>
      <c r="D33" s="76">
        <f t="shared" si="13"/>
        <v>0</v>
      </c>
      <c r="E33" s="76">
        <f t="shared" si="13"/>
        <v>0</v>
      </c>
      <c r="F33" s="76">
        <f t="shared" si="13"/>
        <v>0</v>
      </c>
      <c r="G33" s="77">
        <f t="shared" si="9"/>
        <v>3</v>
      </c>
      <c r="I33" s="68" t="s">
        <v>82</v>
      </c>
      <c r="J33" s="69">
        <v>10</v>
      </c>
      <c r="K33" s="70"/>
      <c r="L33" s="70"/>
      <c r="M33" s="70"/>
      <c r="N33" s="71"/>
      <c r="O33" s="72"/>
      <c r="P33" s="73"/>
      <c r="Q33" s="74"/>
    </row>
    <row r="34" spans="1:17" ht="15.6" x14ac:dyDescent="0.25">
      <c r="A34" s="75" t="s">
        <v>57</v>
      </c>
      <c r="B34" s="76">
        <f>R32</f>
        <v>0</v>
      </c>
      <c r="C34" s="76">
        <f>R32</f>
        <v>0</v>
      </c>
      <c r="D34" s="76">
        <f>R32</f>
        <v>0</v>
      </c>
      <c r="E34" s="76">
        <f>R32</f>
        <v>0</v>
      </c>
      <c r="F34" s="76">
        <f>R32</f>
        <v>0</v>
      </c>
      <c r="G34" s="77">
        <f t="shared" si="9"/>
        <v>0</v>
      </c>
      <c r="I34" s="68" t="s">
        <v>83</v>
      </c>
      <c r="J34" s="69">
        <f>(J33-J32)</f>
        <v>3</v>
      </c>
      <c r="K34" s="70"/>
      <c r="L34" s="70"/>
      <c r="M34" s="70"/>
      <c r="N34" s="71"/>
      <c r="O34" s="72">
        <f>SUM(J34:N34)</f>
        <v>3</v>
      </c>
      <c r="P34" s="73"/>
      <c r="Q34" s="74"/>
    </row>
    <row r="35" spans="1:17" ht="15.6" x14ac:dyDescent="0.25">
      <c r="A35" s="75" t="s">
        <v>59</v>
      </c>
      <c r="B35" s="76">
        <f>B28-B29</f>
        <v>16</v>
      </c>
      <c r="C35" s="76">
        <f>C28-C29+C27</f>
        <v>10</v>
      </c>
      <c r="D35" s="76">
        <f>D28-D29+D27</f>
        <v>-11</v>
      </c>
      <c r="E35" s="76">
        <f>E28-E29+E27</f>
        <v>-7</v>
      </c>
      <c r="F35" s="76">
        <f>F28-F29+F27</f>
        <v>26</v>
      </c>
      <c r="G35" s="76">
        <f t="shared" ref="G35" si="14">G28-G29</f>
        <v>2</v>
      </c>
      <c r="I35" s="68" t="s">
        <v>84</v>
      </c>
      <c r="J35" s="69"/>
      <c r="K35" s="70"/>
      <c r="L35" s="70"/>
      <c r="M35" s="70"/>
      <c r="N35" s="71"/>
      <c r="O35" s="72">
        <f>SUM(J35:N35)</f>
        <v>0</v>
      </c>
      <c r="P35" s="73"/>
      <c r="Q35" s="74">
        <f>2000*J35</f>
        <v>0</v>
      </c>
    </row>
    <row r="36" spans="1:17" ht="15.6" x14ac:dyDescent="0.25">
      <c r="A36" s="75" t="s">
        <v>60</v>
      </c>
      <c r="B36" s="76">
        <v>0</v>
      </c>
      <c r="C36" s="76">
        <v>0</v>
      </c>
      <c r="D36" s="76">
        <v>0</v>
      </c>
      <c r="E36" s="76">
        <v>0</v>
      </c>
      <c r="F36" s="76">
        <v>0</v>
      </c>
      <c r="G36" s="77">
        <f t="shared" si="9"/>
        <v>0</v>
      </c>
      <c r="I36" s="68" t="s">
        <v>85</v>
      </c>
      <c r="J36" s="69">
        <f>J30+J28-J31</f>
        <v>15.599999999999994</v>
      </c>
      <c r="K36" s="70">
        <f t="shared" ref="K36:N36" si="15">K30+K28-K31</f>
        <v>9.1999999999999886</v>
      </c>
      <c r="L36" s="70">
        <f t="shared" si="15"/>
        <v>-12.200000000000017</v>
      </c>
      <c r="M36" s="70">
        <f t="shared" si="15"/>
        <v>-23.600000000000023</v>
      </c>
      <c r="N36" s="71">
        <f t="shared" si="15"/>
        <v>0</v>
      </c>
      <c r="O36" s="72">
        <f>SUM(J36:N36)</f>
        <v>-11.000000000000057</v>
      </c>
      <c r="P36" s="73"/>
      <c r="Q36" s="74">
        <f>O36*P36</f>
        <v>0</v>
      </c>
    </row>
    <row r="37" spans="1:17" ht="15.6" x14ac:dyDescent="0.25">
      <c r="A37" s="75" t="s">
        <v>61</v>
      </c>
      <c r="B37" s="76">
        <f>ABS((B27-B35)/2)</f>
        <v>8</v>
      </c>
      <c r="C37" s="76">
        <f>ABS((C27-C35)/2)</f>
        <v>3</v>
      </c>
      <c r="D37" s="76">
        <f t="shared" ref="D37:G37" si="16">ABS((D27-D35)/2)</f>
        <v>10.5</v>
      </c>
      <c r="E37" s="76">
        <f t="shared" si="16"/>
        <v>5.5</v>
      </c>
      <c r="F37" s="76">
        <f t="shared" si="16"/>
        <v>12</v>
      </c>
      <c r="G37" s="76">
        <f t="shared" si="16"/>
        <v>15</v>
      </c>
      <c r="I37" s="68" t="s">
        <v>86</v>
      </c>
      <c r="J37" s="69">
        <f>J29-J30</f>
        <v>16.400000000000006</v>
      </c>
      <c r="K37" s="70">
        <f t="shared" ref="K37:N37" si="17">K29-K30</f>
        <v>16.400000000000006</v>
      </c>
      <c r="L37" s="70">
        <f t="shared" si="17"/>
        <v>16.400000000000006</v>
      </c>
      <c r="M37" s="70">
        <f t="shared" si="17"/>
        <v>16.400000000000006</v>
      </c>
      <c r="N37" s="71">
        <f t="shared" si="17"/>
        <v>16.400000000000006</v>
      </c>
      <c r="O37" s="72">
        <f>SUM(J37:N37)</f>
        <v>82.000000000000028</v>
      </c>
      <c r="P37" s="73"/>
      <c r="Q37" s="74">
        <f>O37*P37</f>
        <v>0</v>
      </c>
    </row>
    <row r="38" spans="1:17" ht="15.6" x14ac:dyDescent="0.25">
      <c r="A38" s="47"/>
      <c r="B38" s="47"/>
      <c r="C38" s="47"/>
      <c r="D38" s="47"/>
      <c r="E38" s="47"/>
      <c r="F38" s="47"/>
      <c r="G38" s="47"/>
      <c r="I38" s="81" t="s">
        <v>87</v>
      </c>
      <c r="J38" s="82">
        <f>AVERAGE(J28,J36)</f>
        <v>7.7999999999999972</v>
      </c>
      <c r="K38" s="83">
        <f t="shared" ref="K38:N38" si="18">AVERAGE(K28,K36)</f>
        <v>12.399999999999991</v>
      </c>
      <c r="L38" s="83">
        <f t="shared" si="18"/>
        <v>-1.5000000000000142</v>
      </c>
      <c r="M38" s="83">
        <f t="shared" si="18"/>
        <v>-17.90000000000002</v>
      </c>
      <c r="N38" s="84">
        <f t="shared" si="18"/>
        <v>-11.800000000000011</v>
      </c>
      <c r="O38" s="85">
        <f>SUM(J38:N38)</f>
        <v>-11.000000000000057</v>
      </c>
      <c r="P38" s="86"/>
      <c r="Q38" s="87">
        <f>O38*R59</f>
        <v>0</v>
      </c>
    </row>
    <row r="39" spans="1:17" ht="15.6" x14ac:dyDescent="0.3">
      <c r="A39" s="48" t="s">
        <v>64</v>
      </c>
      <c r="B39" s="47">
        <f>(G29/5)</f>
        <v>193.6</v>
      </c>
      <c r="C39" s="47">
        <f>ROUNDUP(B39,0)</f>
        <v>194</v>
      </c>
      <c r="D39" s="47"/>
      <c r="E39" s="47"/>
      <c r="F39" s="47"/>
      <c r="G39" s="47"/>
      <c r="I39" s="78"/>
      <c r="J39" s="78"/>
      <c r="K39" s="78"/>
      <c r="L39" s="78"/>
      <c r="M39" s="78"/>
      <c r="N39" s="78"/>
      <c r="O39" s="78"/>
      <c r="P39" s="78"/>
      <c r="Q39" s="78"/>
    </row>
    <row r="40" spans="1:17" ht="15.6" x14ac:dyDescent="0.3">
      <c r="B40" s="52">
        <f>194/30</f>
        <v>6.4666666666666668</v>
      </c>
      <c r="C40" s="52">
        <f>ROUNDUP(B40,0)</f>
        <v>7</v>
      </c>
      <c r="I40" s="88" t="s">
        <v>88</v>
      </c>
      <c r="J40" s="78">
        <f>(O31/5)</f>
        <v>193.6</v>
      </c>
      <c r="K40" s="78">
        <v>193.6</v>
      </c>
      <c r="L40" s="78"/>
      <c r="M40" s="78"/>
      <c r="N40" s="78"/>
      <c r="O40" s="78"/>
      <c r="P40" s="78"/>
      <c r="Q40" s="78"/>
    </row>
    <row r="41" spans="1:17" ht="15.6" x14ac:dyDescent="0.3">
      <c r="I41" s="88" t="s">
        <v>89</v>
      </c>
      <c r="J41" s="78">
        <f>(K40/30)</f>
        <v>6.4533333333333331</v>
      </c>
      <c r="K41" s="78">
        <f>ROUNDUP(J41,0)</f>
        <v>7</v>
      </c>
      <c r="L41" s="78"/>
      <c r="M41" s="78"/>
      <c r="N41" s="78"/>
      <c r="O41" s="78"/>
      <c r="P41" s="78"/>
      <c r="Q41" s="78"/>
    </row>
    <row r="42" spans="1:17" ht="15.6" x14ac:dyDescent="0.3">
      <c r="I42" s="89" t="s">
        <v>90</v>
      </c>
      <c r="J42" s="78">
        <f>(K41*30)</f>
        <v>210</v>
      </c>
      <c r="K42" s="78"/>
      <c r="L42" s="78"/>
      <c r="M42" s="78"/>
      <c r="N42" s="78"/>
      <c r="O42" s="78"/>
      <c r="P42" s="78"/>
      <c r="Q42" s="78"/>
    </row>
    <row r="43" spans="1:17" ht="15.6" x14ac:dyDescent="0.3">
      <c r="I43" s="89"/>
      <c r="J43" s="78"/>
      <c r="K43" s="78"/>
      <c r="L43" s="78"/>
      <c r="M43" s="78"/>
      <c r="N43" s="78"/>
      <c r="O43" s="78"/>
      <c r="P43" s="78"/>
      <c r="Q43" s="78"/>
    </row>
    <row r="44" spans="1:17" ht="15.6" x14ac:dyDescent="0.3">
      <c r="I44" s="89"/>
      <c r="J44" s="78"/>
      <c r="K44" s="78"/>
      <c r="L44" s="78"/>
      <c r="M44" s="78"/>
      <c r="N44" s="78"/>
      <c r="O44" s="78"/>
      <c r="P44" s="78"/>
      <c r="Q44" s="78"/>
    </row>
    <row r="46" spans="1:17" x14ac:dyDescent="0.25">
      <c r="A46" s="94" t="s">
        <v>8</v>
      </c>
      <c r="B46" s="49"/>
      <c r="C46" s="49"/>
      <c r="D46" s="49"/>
      <c r="E46" s="49"/>
      <c r="F46" s="49"/>
      <c r="G46" s="49"/>
      <c r="I46" s="94" t="s">
        <v>8</v>
      </c>
      <c r="J46" s="49"/>
      <c r="K46" s="49"/>
      <c r="L46" s="49"/>
      <c r="M46" s="49"/>
      <c r="N46" s="49"/>
      <c r="O46" s="49"/>
      <c r="P46" s="49"/>
      <c r="Q46" s="49"/>
    </row>
    <row r="47" spans="1:17" x14ac:dyDescent="0.25">
      <c r="I47" s="141" t="s">
        <v>74</v>
      </c>
      <c r="J47" s="143" t="s">
        <v>75</v>
      </c>
      <c r="K47" s="144"/>
      <c r="L47" s="144"/>
      <c r="M47" s="144"/>
      <c r="N47" s="144"/>
      <c r="O47" s="145" t="s">
        <v>76</v>
      </c>
      <c r="P47" s="147" t="s">
        <v>77</v>
      </c>
      <c r="Q47" s="145" t="s">
        <v>78</v>
      </c>
    </row>
    <row r="48" spans="1:17" x14ac:dyDescent="0.25">
      <c r="I48" s="142"/>
      <c r="J48" s="58">
        <v>21</v>
      </c>
      <c r="K48" s="59">
        <v>22</v>
      </c>
      <c r="L48" s="59">
        <v>23</v>
      </c>
      <c r="M48" s="59">
        <v>24</v>
      </c>
      <c r="N48" s="60">
        <v>25</v>
      </c>
      <c r="O48" s="146"/>
      <c r="P48" s="148"/>
      <c r="Q48" s="149"/>
    </row>
    <row r="49" spans="9:17" ht="15.6" x14ac:dyDescent="0.25">
      <c r="I49" s="61" t="s">
        <v>79</v>
      </c>
      <c r="J49" s="62">
        <v>0</v>
      </c>
      <c r="K49" s="63">
        <f>J57</f>
        <v>-21.400000000000006</v>
      </c>
      <c r="L49" s="63">
        <f t="shared" ref="L49:N49" si="19">K57</f>
        <v>-18.800000000000011</v>
      </c>
      <c r="M49" s="63">
        <f t="shared" si="19"/>
        <v>-3.2000000000000171</v>
      </c>
      <c r="N49" s="64">
        <f t="shared" si="19"/>
        <v>27.399999999999977</v>
      </c>
      <c r="O49" s="65"/>
      <c r="P49" s="66"/>
      <c r="Q49" s="67"/>
    </row>
    <row r="50" spans="9:17" ht="15.6" x14ac:dyDescent="0.25">
      <c r="I50" s="68" t="s">
        <v>80</v>
      </c>
      <c r="J50" s="69">
        <f>(J63)</f>
        <v>120</v>
      </c>
      <c r="K50" s="70">
        <f>(J63)</f>
        <v>120</v>
      </c>
      <c r="L50" s="70">
        <f>(J63)</f>
        <v>120</v>
      </c>
      <c r="M50" s="70">
        <f>(J63)</f>
        <v>120</v>
      </c>
      <c r="N50" s="71">
        <f>(J63)</f>
        <v>120</v>
      </c>
      <c r="O50" s="72">
        <f>SUM(J50:N50)</f>
        <v>600</v>
      </c>
      <c r="P50" s="73"/>
      <c r="Q50" s="74"/>
    </row>
    <row r="51" spans="9:17" ht="15.6" x14ac:dyDescent="0.25">
      <c r="I51" s="68" t="s">
        <v>81</v>
      </c>
      <c r="J51" s="69">
        <f>K61</f>
        <v>99.6</v>
      </c>
      <c r="K51" s="69">
        <f>K61</f>
        <v>99.6</v>
      </c>
      <c r="L51" s="69">
        <f>K61</f>
        <v>99.6</v>
      </c>
      <c r="M51" s="69">
        <f>K61</f>
        <v>99.6</v>
      </c>
      <c r="N51" s="71">
        <f>K61</f>
        <v>99.6</v>
      </c>
      <c r="O51" s="72">
        <f>SUM(J51:N51)</f>
        <v>498</v>
      </c>
      <c r="P51" s="73"/>
      <c r="Q51" s="74">
        <f>O51*P51</f>
        <v>0</v>
      </c>
    </row>
    <row r="52" spans="9:17" ht="15.6" x14ac:dyDescent="0.3">
      <c r="I52" s="68" t="s">
        <v>49</v>
      </c>
      <c r="J52" s="78">
        <v>121</v>
      </c>
      <c r="K52" s="79">
        <v>97</v>
      </c>
      <c r="L52" s="79">
        <v>84</v>
      </c>
      <c r="M52" s="79">
        <v>69</v>
      </c>
      <c r="N52" s="80">
        <v>127</v>
      </c>
      <c r="O52" s="72">
        <f>SUM(J52:N52)</f>
        <v>498</v>
      </c>
      <c r="P52" s="73"/>
      <c r="Q52" s="74"/>
    </row>
    <row r="53" spans="9:17" ht="15.6" x14ac:dyDescent="0.25">
      <c r="I53" s="68" t="s">
        <v>51</v>
      </c>
      <c r="J53" s="76">
        <f>ROUNDUP(J51/30,0)</f>
        <v>4</v>
      </c>
      <c r="K53" s="76">
        <f t="shared" ref="K53:N53" si="20">ROUNDUP(K51/30,0)</f>
        <v>4</v>
      </c>
      <c r="L53" s="76">
        <f t="shared" si="20"/>
        <v>4</v>
      </c>
      <c r="M53" s="76">
        <f t="shared" si="20"/>
        <v>4</v>
      </c>
      <c r="N53" s="76">
        <f t="shared" si="20"/>
        <v>4</v>
      </c>
      <c r="O53" s="72">
        <f>SUM(J53:N53)</f>
        <v>20</v>
      </c>
      <c r="P53" s="73"/>
      <c r="Q53" s="74"/>
    </row>
    <row r="54" spans="9:17" ht="15.6" x14ac:dyDescent="0.25">
      <c r="I54" s="68" t="s">
        <v>82</v>
      </c>
      <c r="J54" s="69">
        <v>10</v>
      </c>
      <c r="K54" s="70"/>
      <c r="L54" s="70"/>
      <c r="M54" s="70"/>
      <c r="N54" s="71"/>
      <c r="O54" s="72"/>
      <c r="P54" s="73"/>
      <c r="Q54" s="74"/>
    </row>
    <row r="55" spans="9:17" ht="15.6" x14ac:dyDescent="0.25">
      <c r="I55" s="68" t="s">
        <v>83</v>
      </c>
      <c r="J55" s="69">
        <f>(J54-J53)</f>
        <v>6</v>
      </c>
      <c r="K55" s="70"/>
      <c r="L55" s="70"/>
      <c r="M55" s="70"/>
      <c r="N55" s="71"/>
      <c r="O55" s="72">
        <f>SUM(J55:N55)</f>
        <v>6</v>
      </c>
      <c r="P55" s="73"/>
      <c r="Q55" s="74"/>
    </row>
    <row r="56" spans="9:17" ht="15.6" x14ac:dyDescent="0.25">
      <c r="I56" s="68" t="s">
        <v>84</v>
      </c>
      <c r="J56" s="69"/>
      <c r="K56" s="70"/>
      <c r="L56" s="70"/>
      <c r="M56" s="70"/>
      <c r="N56" s="71"/>
      <c r="O56" s="72">
        <f>SUM(J56:N56)</f>
        <v>0</v>
      </c>
      <c r="P56" s="73"/>
      <c r="Q56" s="74">
        <f>2000*J56</f>
        <v>0</v>
      </c>
    </row>
    <row r="57" spans="9:17" ht="15.6" x14ac:dyDescent="0.25">
      <c r="I57" s="68" t="s">
        <v>85</v>
      </c>
      <c r="J57" s="69">
        <f>J51+J49-J52</f>
        <v>-21.400000000000006</v>
      </c>
      <c r="K57" s="70">
        <f t="shared" ref="K57:N57" si="21">K51+K49-K52</f>
        <v>-18.800000000000011</v>
      </c>
      <c r="L57" s="70">
        <f t="shared" si="21"/>
        <v>-3.2000000000000171</v>
      </c>
      <c r="M57" s="70">
        <f t="shared" si="21"/>
        <v>27.399999999999977</v>
      </c>
      <c r="N57" s="71">
        <f t="shared" si="21"/>
        <v>0</v>
      </c>
      <c r="O57" s="72">
        <f>SUM(J57:N57)</f>
        <v>-16.000000000000057</v>
      </c>
      <c r="P57" s="73"/>
      <c r="Q57" s="74">
        <f>O57*P57</f>
        <v>0</v>
      </c>
    </row>
    <row r="58" spans="9:17" ht="15.6" x14ac:dyDescent="0.25">
      <c r="I58" s="68" t="s">
        <v>86</v>
      </c>
      <c r="J58" s="69">
        <f>J50-J51</f>
        <v>20.400000000000006</v>
      </c>
      <c r="K58" s="70">
        <f t="shared" ref="K58:N58" si="22">K50-K51</f>
        <v>20.400000000000006</v>
      </c>
      <c r="L58" s="70">
        <f t="shared" si="22"/>
        <v>20.400000000000006</v>
      </c>
      <c r="M58" s="70">
        <f t="shared" si="22"/>
        <v>20.400000000000006</v>
      </c>
      <c r="N58" s="71">
        <f t="shared" si="22"/>
        <v>20.400000000000006</v>
      </c>
      <c r="O58" s="72">
        <f>SUM(J58:N58)</f>
        <v>102.00000000000003</v>
      </c>
      <c r="P58" s="73"/>
      <c r="Q58" s="74">
        <f>O58*P58</f>
        <v>0</v>
      </c>
    </row>
    <row r="59" spans="9:17" ht="15.6" x14ac:dyDescent="0.25">
      <c r="I59" s="81" t="s">
        <v>87</v>
      </c>
      <c r="J59" s="82">
        <f>AVERAGE(J49,J57)</f>
        <v>-10.700000000000003</v>
      </c>
      <c r="K59" s="83">
        <f t="shared" ref="K59:N59" si="23">AVERAGE(K49,K57)</f>
        <v>-20.100000000000009</v>
      </c>
      <c r="L59" s="83">
        <f t="shared" si="23"/>
        <v>-11.000000000000014</v>
      </c>
      <c r="M59" s="83">
        <f t="shared" si="23"/>
        <v>12.09999999999998</v>
      </c>
      <c r="N59" s="84">
        <f t="shared" si="23"/>
        <v>13.699999999999989</v>
      </c>
      <c r="O59" s="85">
        <f>SUM(J59:N59)</f>
        <v>-16.000000000000057</v>
      </c>
      <c r="P59" s="86"/>
      <c r="Q59" s="87">
        <f>O59*R80</f>
        <v>0</v>
      </c>
    </row>
    <row r="60" spans="9:17" ht="15.6" x14ac:dyDescent="0.3">
      <c r="I60" s="78"/>
      <c r="J60" s="78"/>
      <c r="K60" s="78"/>
      <c r="L60" s="78"/>
      <c r="M60" s="78"/>
      <c r="N60" s="78"/>
      <c r="O60" s="78"/>
      <c r="P60" s="78"/>
      <c r="Q60" s="78"/>
    </row>
    <row r="61" spans="9:17" ht="15.6" x14ac:dyDescent="0.3">
      <c r="I61" s="88" t="s">
        <v>88</v>
      </c>
      <c r="J61" s="78">
        <f>(O52/5)</f>
        <v>99.6</v>
      </c>
      <c r="K61" s="78">
        <v>99.6</v>
      </c>
      <c r="L61" s="78"/>
      <c r="M61" s="78"/>
      <c r="N61" s="78"/>
      <c r="O61" s="78"/>
      <c r="P61" s="78"/>
      <c r="Q61" s="78"/>
    </row>
    <row r="62" spans="9:17" ht="15.6" x14ac:dyDescent="0.3">
      <c r="I62" s="88" t="s">
        <v>89</v>
      </c>
      <c r="J62" s="78">
        <f>(K61/30)</f>
        <v>3.32</v>
      </c>
      <c r="K62" s="78">
        <f>ROUNDUP(J62,0)</f>
        <v>4</v>
      </c>
      <c r="L62" s="78"/>
      <c r="M62" s="78"/>
      <c r="N62" s="78"/>
      <c r="O62" s="78"/>
      <c r="P62" s="78"/>
      <c r="Q62" s="78"/>
    </row>
    <row r="63" spans="9:17" ht="15.6" x14ac:dyDescent="0.3">
      <c r="I63" s="89" t="s">
        <v>90</v>
      </c>
      <c r="J63" s="78">
        <f>(K62*30)</f>
        <v>120</v>
      </c>
      <c r="K63" s="78"/>
      <c r="L63" s="78"/>
      <c r="M63" s="78"/>
      <c r="N63" s="78"/>
      <c r="O63" s="78"/>
      <c r="P63" s="78"/>
      <c r="Q63" s="78"/>
    </row>
    <row r="64" spans="9:17" ht="15.6" x14ac:dyDescent="0.3">
      <c r="I64" s="78"/>
      <c r="J64" s="78"/>
      <c r="K64" s="78"/>
      <c r="L64" s="78"/>
      <c r="M64" s="78"/>
      <c r="N64" s="78"/>
      <c r="O64" s="78"/>
      <c r="P64" s="78"/>
      <c r="Q64" s="78"/>
    </row>
    <row r="65" spans="1:17" ht="15.6" x14ac:dyDescent="0.3">
      <c r="I65" s="78"/>
      <c r="J65" s="78"/>
      <c r="K65" s="78"/>
      <c r="L65" s="78"/>
      <c r="M65" s="78"/>
      <c r="N65" s="78"/>
      <c r="O65" s="78"/>
      <c r="P65" s="78"/>
      <c r="Q65" s="78"/>
    </row>
    <row r="67" spans="1:17" x14ac:dyDescent="0.25">
      <c r="A67" s="95" t="s">
        <v>9</v>
      </c>
      <c r="B67" s="50"/>
      <c r="C67" s="50"/>
      <c r="D67" s="50"/>
      <c r="E67" s="50"/>
      <c r="F67" s="50"/>
      <c r="G67" s="50"/>
      <c r="I67" s="95" t="s">
        <v>9</v>
      </c>
      <c r="J67" s="50"/>
      <c r="K67" s="50"/>
      <c r="L67" s="50"/>
      <c r="M67" s="50"/>
      <c r="N67" s="50"/>
      <c r="O67" s="50"/>
      <c r="P67" s="50"/>
      <c r="Q67" s="50"/>
    </row>
    <row r="68" spans="1:17" x14ac:dyDescent="0.25">
      <c r="I68" s="141" t="s">
        <v>74</v>
      </c>
      <c r="J68" s="143" t="s">
        <v>75</v>
      </c>
      <c r="K68" s="144"/>
      <c r="L68" s="144"/>
      <c r="M68" s="144"/>
      <c r="N68" s="144"/>
      <c r="O68" s="145" t="s">
        <v>76</v>
      </c>
      <c r="P68" s="147" t="s">
        <v>77</v>
      </c>
      <c r="Q68" s="145" t="s">
        <v>78</v>
      </c>
    </row>
    <row r="69" spans="1:17" x14ac:dyDescent="0.25">
      <c r="I69" s="142"/>
      <c r="J69" s="58">
        <v>21</v>
      </c>
      <c r="K69" s="59">
        <v>22</v>
      </c>
      <c r="L69" s="59">
        <v>23</v>
      </c>
      <c r="M69" s="59">
        <v>24</v>
      </c>
      <c r="N69" s="60">
        <v>25</v>
      </c>
      <c r="O69" s="146"/>
      <c r="P69" s="148"/>
      <c r="Q69" s="149"/>
    </row>
    <row r="70" spans="1:17" ht="15.6" x14ac:dyDescent="0.25">
      <c r="I70" s="61" t="s">
        <v>79</v>
      </c>
      <c r="J70" s="62">
        <v>0</v>
      </c>
      <c r="K70" s="63">
        <f>J78</f>
        <v>6.2000000000000028</v>
      </c>
      <c r="L70" s="63">
        <f t="shared" ref="L70:N70" si="24">K78</f>
        <v>9.4000000000000057</v>
      </c>
      <c r="M70" s="63">
        <f t="shared" si="24"/>
        <v>9.6000000000000085</v>
      </c>
      <c r="N70" s="64">
        <f t="shared" si="24"/>
        <v>6.8000000000000114</v>
      </c>
      <c r="O70" s="65"/>
      <c r="P70" s="66"/>
      <c r="Q70" s="67"/>
    </row>
    <row r="71" spans="1:17" ht="15.6" x14ac:dyDescent="0.25">
      <c r="I71" s="68" t="s">
        <v>80</v>
      </c>
      <c r="J71" s="69">
        <f>(J84)</f>
        <v>90</v>
      </c>
      <c r="K71" s="70">
        <f>(J84)</f>
        <v>90</v>
      </c>
      <c r="L71" s="70">
        <f>(J84)</f>
        <v>90</v>
      </c>
      <c r="M71" s="70">
        <f>(J84)</f>
        <v>90</v>
      </c>
      <c r="N71" s="71">
        <f>(J84)</f>
        <v>90</v>
      </c>
      <c r="O71" s="72">
        <f>SUM(J71:N71)</f>
        <v>450</v>
      </c>
      <c r="P71" s="73"/>
      <c r="Q71" s="74"/>
    </row>
    <row r="72" spans="1:17" ht="15.6" x14ac:dyDescent="0.25">
      <c r="I72" s="68" t="s">
        <v>81</v>
      </c>
      <c r="J72" s="69">
        <f>K82</f>
        <v>89.2</v>
      </c>
      <c r="K72" s="69">
        <f>K82</f>
        <v>89.2</v>
      </c>
      <c r="L72" s="69">
        <f>K82</f>
        <v>89.2</v>
      </c>
      <c r="M72" s="69">
        <f>K82</f>
        <v>89.2</v>
      </c>
      <c r="N72" s="71">
        <f>K82</f>
        <v>89.2</v>
      </c>
      <c r="O72" s="72">
        <f>SUM(J72:N72)</f>
        <v>446</v>
      </c>
      <c r="P72" s="73"/>
      <c r="Q72" s="74">
        <f>O72*P72</f>
        <v>0</v>
      </c>
    </row>
    <row r="73" spans="1:17" ht="15.6" x14ac:dyDescent="0.3">
      <c r="I73" s="68" t="s">
        <v>49</v>
      </c>
      <c r="J73" s="78">
        <v>83</v>
      </c>
      <c r="K73" s="79">
        <v>86</v>
      </c>
      <c r="L73" s="79">
        <v>89</v>
      </c>
      <c r="M73" s="79">
        <v>92</v>
      </c>
      <c r="N73" s="80">
        <v>96</v>
      </c>
      <c r="O73" s="72">
        <f>SUM(J73:N73)</f>
        <v>446</v>
      </c>
      <c r="P73" s="73"/>
      <c r="Q73" s="74"/>
    </row>
    <row r="74" spans="1:17" ht="15.6" x14ac:dyDescent="0.25">
      <c r="I74" s="68" t="s">
        <v>51</v>
      </c>
      <c r="J74" s="76">
        <f>ROUNDUP(J72/30,0)</f>
        <v>3</v>
      </c>
      <c r="K74" s="76">
        <f t="shared" ref="K74:N74" si="25">ROUNDUP(K72/30,0)</f>
        <v>3</v>
      </c>
      <c r="L74" s="76">
        <f t="shared" si="25"/>
        <v>3</v>
      </c>
      <c r="M74" s="76">
        <f t="shared" si="25"/>
        <v>3</v>
      </c>
      <c r="N74" s="76">
        <f t="shared" si="25"/>
        <v>3</v>
      </c>
      <c r="O74" s="72">
        <f>SUM(J74:N74)</f>
        <v>15</v>
      </c>
      <c r="P74" s="73"/>
      <c r="Q74" s="74"/>
    </row>
    <row r="75" spans="1:17" ht="15.6" x14ac:dyDescent="0.25">
      <c r="I75" s="68" t="s">
        <v>82</v>
      </c>
      <c r="J75" s="69">
        <v>10</v>
      </c>
      <c r="K75" s="70"/>
      <c r="L75" s="70"/>
      <c r="M75" s="70"/>
      <c r="N75" s="71"/>
      <c r="O75" s="72"/>
      <c r="P75" s="73"/>
      <c r="Q75" s="74"/>
    </row>
    <row r="76" spans="1:17" ht="15.6" x14ac:dyDescent="0.25">
      <c r="I76" s="68" t="s">
        <v>83</v>
      </c>
      <c r="J76" s="69">
        <f>(J75-J74)</f>
        <v>7</v>
      </c>
      <c r="K76" s="70"/>
      <c r="L76" s="70"/>
      <c r="M76" s="70"/>
      <c r="N76" s="71"/>
      <c r="O76" s="72">
        <f>SUM(J76:N76)</f>
        <v>7</v>
      </c>
      <c r="P76" s="73"/>
      <c r="Q76" s="74"/>
    </row>
    <row r="77" spans="1:17" ht="15.6" x14ac:dyDescent="0.25">
      <c r="I77" s="68" t="s">
        <v>84</v>
      </c>
      <c r="J77" s="69"/>
      <c r="K77" s="70"/>
      <c r="L77" s="70"/>
      <c r="M77" s="70"/>
      <c r="N77" s="71"/>
      <c r="O77" s="72">
        <f>SUM(J77:N77)</f>
        <v>0</v>
      </c>
      <c r="P77" s="73"/>
      <c r="Q77" s="74">
        <f>2000*J77</f>
        <v>0</v>
      </c>
    </row>
    <row r="78" spans="1:17" ht="15.6" x14ac:dyDescent="0.25">
      <c r="I78" s="68" t="s">
        <v>85</v>
      </c>
      <c r="J78" s="69">
        <f>J72+J70-J73</f>
        <v>6.2000000000000028</v>
      </c>
      <c r="K78" s="70">
        <f t="shared" ref="K78:N78" si="26">K72+K70-K73</f>
        <v>9.4000000000000057</v>
      </c>
      <c r="L78" s="70">
        <f t="shared" si="26"/>
        <v>9.6000000000000085</v>
      </c>
      <c r="M78" s="70">
        <f t="shared" si="26"/>
        <v>6.8000000000000114</v>
      </c>
      <c r="N78" s="71">
        <f t="shared" si="26"/>
        <v>0</v>
      </c>
      <c r="O78" s="72">
        <f>SUM(J78:N78)</f>
        <v>32.000000000000028</v>
      </c>
      <c r="P78" s="73"/>
      <c r="Q78" s="74">
        <f>O78*P78</f>
        <v>0</v>
      </c>
    </row>
    <row r="79" spans="1:17" ht="15.6" x14ac:dyDescent="0.25">
      <c r="I79" s="68" t="s">
        <v>86</v>
      </c>
      <c r="J79" s="69">
        <f>J71-J72</f>
        <v>0.79999999999999716</v>
      </c>
      <c r="K79" s="70">
        <f t="shared" ref="K79:N79" si="27">K71-K72</f>
        <v>0.79999999999999716</v>
      </c>
      <c r="L79" s="70">
        <f t="shared" si="27"/>
        <v>0.79999999999999716</v>
      </c>
      <c r="M79" s="70">
        <f t="shared" si="27"/>
        <v>0.79999999999999716</v>
      </c>
      <c r="N79" s="71">
        <f t="shared" si="27"/>
        <v>0.79999999999999716</v>
      </c>
      <c r="O79" s="72">
        <f>SUM(J79:N79)</f>
        <v>3.9999999999999858</v>
      </c>
      <c r="P79" s="73"/>
      <c r="Q79" s="74">
        <f>O79*P79</f>
        <v>0</v>
      </c>
    </row>
    <row r="80" spans="1:17" ht="15.6" x14ac:dyDescent="0.25">
      <c r="I80" s="81" t="s">
        <v>87</v>
      </c>
      <c r="J80" s="82">
        <f>AVERAGE(J70,J78)</f>
        <v>3.1000000000000014</v>
      </c>
      <c r="K80" s="83">
        <f t="shared" ref="K80:N80" si="28">AVERAGE(K70,K78)</f>
        <v>7.8000000000000043</v>
      </c>
      <c r="L80" s="83">
        <f t="shared" si="28"/>
        <v>9.5000000000000071</v>
      </c>
      <c r="M80" s="83">
        <f t="shared" si="28"/>
        <v>8.2000000000000099</v>
      </c>
      <c r="N80" s="84">
        <f t="shared" si="28"/>
        <v>3.4000000000000057</v>
      </c>
      <c r="O80" s="85">
        <f>SUM(J80:N80)</f>
        <v>32.000000000000028</v>
      </c>
      <c r="P80" s="86"/>
      <c r="Q80" s="87">
        <f>O80*R101</f>
        <v>0</v>
      </c>
    </row>
    <row r="81" spans="1:17" ht="15.6" x14ac:dyDescent="0.3">
      <c r="I81" s="78"/>
      <c r="J81" s="78"/>
      <c r="K81" s="78"/>
      <c r="L81" s="78"/>
      <c r="M81" s="78"/>
      <c r="N81" s="78"/>
      <c r="O81" s="78"/>
      <c r="P81" s="78"/>
      <c r="Q81" s="78"/>
    </row>
    <row r="82" spans="1:17" ht="15.6" x14ac:dyDescent="0.3">
      <c r="I82" s="88" t="s">
        <v>88</v>
      </c>
      <c r="J82" s="78">
        <f>(O73/5)</f>
        <v>89.2</v>
      </c>
      <c r="K82" s="78">
        <v>89.2</v>
      </c>
      <c r="L82" s="78"/>
      <c r="M82" s="78"/>
      <c r="N82" s="78"/>
      <c r="O82" s="78"/>
      <c r="P82" s="78"/>
      <c r="Q82" s="78"/>
    </row>
    <row r="83" spans="1:17" ht="15.6" x14ac:dyDescent="0.3">
      <c r="I83" s="88" t="s">
        <v>89</v>
      </c>
      <c r="J83" s="78">
        <f>(K82/30)</f>
        <v>2.9733333333333336</v>
      </c>
      <c r="K83" s="78">
        <f>ROUNDUP(J83,0)</f>
        <v>3</v>
      </c>
      <c r="L83" s="78"/>
      <c r="M83" s="78"/>
      <c r="N83" s="78"/>
      <c r="O83" s="78"/>
      <c r="P83" s="78"/>
      <c r="Q83" s="78"/>
    </row>
    <row r="84" spans="1:17" ht="15.6" x14ac:dyDescent="0.3">
      <c r="I84" s="89" t="s">
        <v>90</v>
      </c>
      <c r="J84" s="78">
        <f>(K83*30)</f>
        <v>90</v>
      </c>
      <c r="K84" s="78"/>
      <c r="L84" s="78"/>
      <c r="M84" s="78"/>
      <c r="N84" s="78"/>
      <c r="O84" s="78"/>
      <c r="P84" s="78"/>
      <c r="Q84" s="78"/>
    </row>
    <row r="85" spans="1:17" ht="15.6" x14ac:dyDescent="0.3">
      <c r="I85" s="78"/>
      <c r="J85" s="78"/>
      <c r="K85" s="78"/>
      <c r="L85" s="78"/>
      <c r="M85" s="78"/>
      <c r="N85" s="78"/>
      <c r="O85" s="78"/>
      <c r="P85" s="78"/>
      <c r="Q85" s="78"/>
    </row>
    <row r="86" spans="1:17" ht="15.6" x14ac:dyDescent="0.3">
      <c r="I86" s="78"/>
      <c r="J86" s="78"/>
      <c r="K86" s="78"/>
      <c r="L86" s="78"/>
      <c r="M86" s="78"/>
      <c r="N86" s="78"/>
      <c r="O86" s="78"/>
      <c r="P86" s="78"/>
      <c r="Q86" s="78"/>
    </row>
    <row r="88" spans="1:17" x14ac:dyDescent="0.25">
      <c r="A88" s="96" t="s">
        <v>10</v>
      </c>
      <c r="B88" s="51"/>
      <c r="C88" s="51"/>
      <c r="D88" s="51"/>
      <c r="E88" s="51"/>
      <c r="F88" s="51"/>
      <c r="G88" s="51"/>
      <c r="I88" s="96" t="s">
        <v>10</v>
      </c>
      <c r="J88" s="51"/>
      <c r="K88" s="51"/>
      <c r="L88" s="51"/>
      <c r="M88" s="51"/>
      <c r="N88" s="51"/>
      <c r="O88" s="51"/>
      <c r="P88" s="51"/>
      <c r="Q88" s="51"/>
    </row>
    <row r="89" spans="1:17" x14ac:dyDescent="0.25">
      <c r="I89" s="141" t="s">
        <v>74</v>
      </c>
      <c r="J89" s="143" t="s">
        <v>75</v>
      </c>
      <c r="K89" s="144"/>
      <c r="L89" s="144"/>
      <c r="M89" s="144"/>
      <c r="N89" s="144"/>
      <c r="O89" s="145" t="s">
        <v>76</v>
      </c>
      <c r="P89" s="147" t="s">
        <v>77</v>
      </c>
      <c r="Q89" s="145" t="s">
        <v>78</v>
      </c>
    </row>
    <row r="90" spans="1:17" x14ac:dyDescent="0.25">
      <c r="I90" s="142"/>
      <c r="J90" s="58">
        <v>21</v>
      </c>
      <c r="K90" s="59">
        <v>22</v>
      </c>
      <c r="L90" s="59">
        <v>23</v>
      </c>
      <c r="M90" s="59">
        <v>24</v>
      </c>
      <c r="N90" s="60">
        <v>25</v>
      </c>
      <c r="O90" s="146"/>
      <c r="P90" s="148"/>
      <c r="Q90" s="149"/>
    </row>
    <row r="91" spans="1:17" ht="15.6" x14ac:dyDescent="0.25">
      <c r="I91" s="61" t="s">
        <v>79</v>
      </c>
      <c r="J91" s="62">
        <v>0</v>
      </c>
      <c r="K91" s="63">
        <f>J99</f>
        <v>-0.20000000000000284</v>
      </c>
      <c r="L91" s="63">
        <f t="shared" ref="L91:N91" si="29">K99</f>
        <v>-2.4000000000000057</v>
      </c>
      <c r="M91" s="63">
        <f t="shared" si="29"/>
        <v>0.39999999999999147</v>
      </c>
      <c r="N91" s="64">
        <f t="shared" si="29"/>
        <v>-1.8000000000000114</v>
      </c>
      <c r="O91" s="65"/>
      <c r="P91" s="66"/>
      <c r="Q91" s="67"/>
    </row>
    <row r="92" spans="1:17" ht="15.6" x14ac:dyDescent="0.25">
      <c r="I92" s="68" t="s">
        <v>80</v>
      </c>
      <c r="J92" s="69">
        <f>(J105)</f>
        <v>60</v>
      </c>
      <c r="K92" s="70">
        <f>(J105)</f>
        <v>60</v>
      </c>
      <c r="L92" s="70">
        <f>(J105)</f>
        <v>60</v>
      </c>
      <c r="M92" s="70">
        <f>(J105)</f>
        <v>60</v>
      </c>
      <c r="N92" s="71">
        <f>(J105)</f>
        <v>60</v>
      </c>
      <c r="O92" s="72">
        <f>SUM(J92:N92)</f>
        <v>300</v>
      </c>
      <c r="P92" s="73"/>
      <c r="Q92" s="74"/>
    </row>
    <row r="93" spans="1:17" ht="15.6" x14ac:dyDescent="0.25">
      <c r="I93" s="68" t="s">
        <v>81</v>
      </c>
      <c r="J93" s="69">
        <f>K103</f>
        <v>47.8</v>
      </c>
      <c r="K93" s="69">
        <f>K103</f>
        <v>47.8</v>
      </c>
      <c r="L93" s="69">
        <f>K103</f>
        <v>47.8</v>
      </c>
      <c r="M93" s="69">
        <f>K103</f>
        <v>47.8</v>
      </c>
      <c r="N93" s="71">
        <f>K103</f>
        <v>47.8</v>
      </c>
      <c r="O93" s="72">
        <f>SUM(J93:N93)</f>
        <v>239</v>
      </c>
      <c r="P93" s="73"/>
      <c r="Q93" s="74">
        <f>O93*P93</f>
        <v>0</v>
      </c>
    </row>
    <row r="94" spans="1:17" ht="15.6" x14ac:dyDescent="0.3">
      <c r="I94" s="68" t="s">
        <v>49</v>
      </c>
      <c r="J94" s="78">
        <v>48</v>
      </c>
      <c r="K94" s="79">
        <v>50</v>
      </c>
      <c r="L94" s="79">
        <v>45</v>
      </c>
      <c r="M94" s="79">
        <v>50</v>
      </c>
      <c r="N94" s="80">
        <v>46</v>
      </c>
      <c r="O94" s="72">
        <f>SUM(J94:N94)</f>
        <v>239</v>
      </c>
      <c r="P94" s="73"/>
      <c r="Q94" s="74"/>
    </row>
    <row r="95" spans="1:17" ht="15.6" x14ac:dyDescent="0.25">
      <c r="I95" s="68" t="s">
        <v>51</v>
      </c>
      <c r="J95" s="76">
        <f>ROUNDUP(J93/30,0)</f>
        <v>2</v>
      </c>
      <c r="K95" s="76">
        <f t="shared" ref="K95:N95" si="30">ROUNDUP(K93/30,0)</f>
        <v>2</v>
      </c>
      <c r="L95" s="76">
        <f t="shared" si="30"/>
        <v>2</v>
      </c>
      <c r="M95" s="76">
        <f t="shared" si="30"/>
        <v>2</v>
      </c>
      <c r="N95" s="76">
        <f t="shared" si="30"/>
        <v>2</v>
      </c>
      <c r="O95" s="72">
        <f>SUM(J95:N95)</f>
        <v>10</v>
      </c>
      <c r="P95" s="73"/>
      <c r="Q95" s="74"/>
    </row>
    <row r="96" spans="1:17" ht="15.6" x14ac:dyDescent="0.25">
      <c r="I96" s="68" t="s">
        <v>82</v>
      </c>
      <c r="J96" s="69">
        <v>10</v>
      </c>
      <c r="K96" s="70"/>
      <c r="L96" s="70"/>
      <c r="M96" s="70"/>
      <c r="N96" s="71"/>
      <c r="O96" s="72"/>
      <c r="P96" s="73"/>
      <c r="Q96" s="74"/>
    </row>
    <row r="97" spans="9:17" ht="15.6" x14ac:dyDescent="0.25">
      <c r="I97" s="68" t="s">
        <v>83</v>
      </c>
      <c r="J97" s="69">
        <f>(J96-J95)</f>
        <v>8</v>
      </c>
      <c r="K97" s="70"/>
      <c r="L97" s="70"/>
      <c r="M97" s="70"/>
      <c r="N97" s="71"/>
      <c r="O97" s="72">
        <f>SUM(J97:N97)</f>
        <v>8</v>
      </c>
      <c r="P97" s="73"/>
      <c r="Q97" s="74"/>
    </row>
    <row r="98" spans="9:17" ht="15.6" x14ac:dyDescent="0.25">
      <c r="I98" s="68" t="s">
        <v>84</v>
      </c>
      <c r="J98" s="69"/>
      <c r="K98" s="70"/>
      <c r="L98" s="70"/>
      <c r="M98" s="70"/>
      <c r="N98" s="71"/>
      <c r="O98" s="72">
        <f>SUM(J98:N98)</f>
        <v>0</v>
      </c>
      <c r="P98" s="73"/>
      <c r="Q98" s="74">
        <f>2000*J98</f>
        <v>0</v>
      </c>
    </row>
    <row r="99" spans="9:17" ht="15.6" x14ac:dyDescent="0.25">
      <c r="I99" s="68" t="s">
        <v>85</v>
      </c>
      <c r="J99" s="69">
        <f>J93+J91-J94</f>
        <v>-0.20000000000000284</v>
      </c>
      <c r="K99" s="70">
        <f t="shared" ref="K99:N99" si="31">K93+K91-K94</f>
        <v>-2.4000000000000057</v>
      </c>
      <c r="L99" s="70">
        <f t="shared" si="31"/>
        <v>0.39999999999999147</v>
      </c>
      <c r="M99" s="70">
        <f t="shared" si="31"/>
        <v>-1.8000000000000114</v>
      </c>
      <c r="N99" s="71">
        <f t="shared" si="31"/>
        <v>0</v>
      </c>
      <c r="O99" s="72">
        <f>SUM(J99:N99)</f>
        <v>-4.0000000000000284</v>
      </c>
      <c r="P99" s="73"/>
      <c r="Q99" s="74">
        <f>O99*P99</f>
        <v>0</v>
      </c>
    </row>
    <row r="100" spans="9:17" ht="15.6" x14ac:dyDescent="0.25">
      <c r="I100" s="68" t="s">
        <v>86</v>
      </c>
      <c r="J100" s="69">
        <f>J92-J93</f>
        <v>12.200000000000003</v>
      </c>
      <c r="K100" s="70">
        <f t="shared" ref="K100:N100" si="32">K92-K93</f>
        <v>12.200000000000003</v>
      </c>
      <c r="L100" s="70">
        <f t="shared" si="32"/>
        <v>12.200000000000003</v>
      </c>
      <c r="M100" s="70">
        <f t="shared" si="32"/>
        <v>12.200000000000003</v>
      </c>
      <c r="N100" s="71">
        <f t="shared" si="32"/>
        <v>12.200000000000003</v>
      </c>
      <c r="O100" s="72">
        <f>SUM(J100:N100)</f>
        <v>61.000000000000014</v>
      </c>
      <c r="P100" s="73"/>
      <c r="Q100" s="74">
        <f>O100*P100</f>
        <v>0</v>
      </c>
    </row>
    <row r="101" spans="9:17" ht="15.6" x14ac:dyDescent="0.25">
      <c r="I101" s="81" t="s">
        <v>87</v>
      </c>
      <c r="J101" s="82">
        <f>AVERAGE(J91,J99)</f>
        <v>-0.10000000000000142</v>
      </c>
      <c r="K101" s="83">
        <f t="shared" ref="K101:N101" si="33">AVERAGE(K91,K99)</f>
        <v>-1.3000000000000043</v>
      </c>
      <c r="L101" s="83">
        <f t="shared" si="33"/>
        <v>-1.0000000000000071</v>
      </c>
      <c r="M101" s="83">
        <f t="shared" si="33"/>
        <v>-0.70000000000000995</v>
      </c>
      <c r="N101" s="84">
        <f t="shared" si="33"/>
        <v>-0.90000000000000568</v>
      </c>
      <c r="O101" s="85">
        <f>SUM(J101:N101)</f>
        <v>-4.0000000000000284</v>
      </c>
      <c r="P101" s="86"/>
      <c r="Q101" s="87">
        <f>O101*R120</f>
        <v>0</v>
      </c>
    </row>
    <row r="102" spans="9:17" ht="15.6" x14ac:dyDescent="0.3"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9:17" ht="15.6" x14ac:dyDescent="0.3">
      <c r="I103" s="88" t="s">
        <v>88</v>
      </c>
      <c r="J103" s="78">
        <f>(O94/5)</f>
        <v>47.8</v>
      </c>
      <c r="K103" s="78">
        <v>47.8</v>
      </c>
      <c r="L103" s="78"/>
      <c r="M103" s="78"/>
      <c r="N103" s="78"/>
      <c r="O103" s="78"/>
      <c r="P103" s="78"/>
      <c r="Q103" s="78"/>
    </row>
    <row r="104" spans="9:17" ht="15.6" x14ac:dyDescent="0.3">
      <c r="I104" s="88" t="s">
        <v>89</v>
      </c>
      <c r="J104" s="78">
        <f>(K103/30)</f>
        <v>1.5933333333333333</v>
      </c>
      <c r="K104" s="78">
        <f>ROUNDUP(J104,0)</f>
        <v>2</v>
      </c>
      <c r="L104" s="78"/>
      <c r="M104" s="78"/>
      <c r="N104" s="78"/>
      <c r="O104" s="78"/>
      <c r="P104" s="78"/>
      <c r="Q104" s="78"/>
    </row>
    <row r="105" spans="9:17" ht="15.6" x14ac:dyDescent="0.3">
      <c r="I105" s="89" t="s">
        <v>90</v>
      </c>
      <c r="J105" s="78">
        <f>(K104*30)</f>
        <v>60</v>
      </c>
      <c r="K105" s="78"/>
      <c r="L105" s="78"/>
      <c r="M105" s="78"/>
      <c r="N105" s="78"/>
      <c r="O105" s="78"/>
      <c r="P105" s="78"/>
      <c r="Q105" s="78"/>
    </row>
  </sheetData>
  <mergeCells count="27">
    <mergeCell ref="I89:I90"/>
    <mergeCell ref="J89:N89"/>
    <mergeCell ref="O89:O90"/>
    <mergeCell ref="P89:P90"/>
    <mergeCell ref="Q89:Q90"/>
    <mergeCell ref="I68:I69"/>
    <mergeCell ref="J68:N68"/>
    <mergeCell ref="O68:O69"/>
    <mergeCell ref="P68:P69"/>
    <mergeCell ref="Q68:Q69"/>
    <mergeCell ref="I47:I48"/>
    <mergeCell ref="J47:N47"/>
    <mergeCell ref="O47:O48"/>
    <mergeCell ref="P47:P48"/>
    <mergeCell ref="Q47:Q48"/>
    <mergeCell ref="I26:I27"/>
    <mergeCell ref="J26:N26"/>
    <mergeCell ref="O26:O27"/>
    <mergeCell ref="P26:P27"/>
    <mergeCell ref="Q26:Q27"/>
    <mergeCell ref="A1:G2"/>
    <mergeCell ref="I5:I6"/>
    <mergeCell ref="J5:N5"/>
    <mergeCell ref="O5:O6"/>
    <mergeCell ref="I1:Q2"/>
    <mergeCell ref="P5:P6"/>
    <mergeCell ref="Q5:Q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6" workbookViewId="0">
      <selection activeCell="M27" sqref="M27"/>
    </sheetView>
  </sheetViews>
  <sheetFormatPr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Forecast Summary</vt:lpstr>
      <vt:lpstr>Determining Forecast Method</vt:lpstr>
      <vt:lpstr>Aggregate Planning</vt:lpstr>
      <vt:lpstr>Calculation Cost</vt:lpstr>
      <vt:lpstr>MPS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Jetter;hhsudhanv@gmail.com</dc:creator>
  <cp:keywords/>
  <dc:description/>
  <cp:lastModifiedBy>Katie Jetter</cp:lastModifiedBy>
  <cp:revision/>
  <dcterms:created xsi:type="dcterms:W3CDTF">2017-09-20T20:25:57Z</dcterms:created>
  <dcterms:modified xsi:type="dcterms:W3CDTF">2017-12-06T22:27:26Z</dcterms:modified>
  <cp:category/>
  <cp:contentStatus/>
</cp:coreProperties>
</file>