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jook\Downloads\"/>
    </mc:Choice>
  </mc:AlternateContent>
  <bookViews>
    <workbookView minimized="1" xWindow="0" yWindow="0" windowWidth="20490" windowHeight="7650"/>
  </bookViews>
  <sheets>
    <sheet name="salaire" sheetId="1" r:id="rId1"/>
    <sheet name="Feuil2" sheetId="2" r:id="rId2"/>
    <sheet name="Feuil3" sheetId="4" r:id="rId3"/>
    <sheet name="Feuil1" sheetId="6" r:id="rId4"/>
  </sheets>
  <definedNames>
    <definedName name="_xlnm._FilterDatabase" localSheetId="0" hidden="1">salaire!$A$9:$G$21</definedName>
    <definedName name="_xlnm.Criteria" localSheetId="0">salaire!$A$1:$N$2</definedName>
  </definedNames>
  <calcPr calcId="162913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6" l="1"/>
  <c r="H14" i="6"/>
  <c r="E13" i="6"/>
  <c r="H13" i="6" s="1"/>
  <c r="F12" i="6"/>
  <c r="E11" i="6"/>
  <c r="F11" i="6" s="1"/>
  <c r="H10" i="6"/>
  <c r="E10" i="6"/>
  <c r="F10" i="6" s="1"/>
  <c r="E9" i="6"/>
  <c r="F9" i="6" s="1"/>
  <c r="E8" i="6"/>
  <c r="H17" i="6" s="1"/>
  <c r="H7" i="6"/>
  <c r="F7" i="6"/>
  <c r="K7" i="6" s="1"/>
  <c r="L7" i="6" s="1"/>
  <c r="G7" i="6" l="1"/>
  <c r="M7" i="6"/>
  <c r="I7" i="6"/>
  <c r="G9" i="6"/>
  <c r="K9" i="6"/>
  <c r="L9" i="6" s="1"/>
  <c r="G10" i="6"/>
  <c r="I10" i="6" s="1"/>
  <c r="K10" i="6"/>
  <c r="L10" i="6" s="1"/>
  <c r="M10" i="6" s="1"/>
  <c r="G11" i="6"/>
  <c r="K11" i="6"/>
  <c r="L11" i="6" s="1"/>
  <c r="K12" i="6"/>
  <c r="L12" i="6" s="1"/>
  <c r="M12" i="6" s="1"/>
  <c r="F13" i="6"/>
  <c r="H15" i="6"/>
  <c r="F8" i="6"/>
  <c r="G12" i="6"/>
  <c r="H16" i="6"/>
  <c r="I3" i="2"/>
  <c r="I4" i="2"/>
  <c r="I5" i="2"/>
  <c r="I6" i="2"/>
  <c r="I7" i="2"/>
  <c r="I8" i="2"/>
  <c r="I9" i="2"/>
  <c r="I10" i="2"/>
  <c r="I11" i="2"/>
  <c r="I2" i="2"/>
  <c r="D18" i="2"/>
  <c r="D17" i="2"/>
  <c r="D16" i="2"/>
  <c r="D15" i="2"/>
  <c r="M9" i="6" l="1"/>
  <c r="G13" i="6"/>
  <c r="I13" i="6" s="1"/>
  <c r="K13" i="6"/>
  <c r="L13" i="6" s="1"/>
  <c r="M13" i="6" s="1"/>
  <c r="I11" i="6"/>
  <c r="H11" i="6"/>
  <c r="H12" i="6"/>
  <c r="I12" i="6"/>
  <c r="L8" i="6"/>
  <c r="M8" i="6" s="1"/>
  <c r="G8" i="6"/>
  <c r="K8" i="6"/>
  <c r="H9" i="6"/>
  <c r="I9" i="6" s="1"/>
  <c r="M11" i="6"/>
  <c r="H11" i="2"/>
  <c r="H3" i="2"/>
  <c r="H4" i="2"/>
  <c r="H5" i="2"/>
  <c r="H6" i="2"/>
  <c r="H7" i="2"/>
  <c r="H8" i="2"/>
  <c r="H9" i="2"/>
  <c r="H10" i="2"/>
  <c r="H2" i="2"/>
  <c r="H8" i="6" l="1"/>
  <c r="I8" i="6" s="1"/>
  <c r="G3" i="2"/>
  <c r="G4" i="2"/>
  <c r="G5" i="2"/>
  <c r="G6" i="2"/>
  <c r="G7" i="2"/>
  <c r="G8" i="2"/>
  <c r="G9" i="2"/>
  <c r="G10" i="2"/>
  <c r="G11" i="2"/>
  <c r="G2" i="2"/>
  <c r="D11" i="2"/>
  <c r="C15" i="2" l="1"/>
  <c r="C18" i="2"/>
  <c r="C17" i="2"/>
  <c r="C16" i="2"/>
  <c r="D3" i="2" l="1"/>
  <c r="D4" i="2"/>
  <c r="D5" i="2"/>
  <c r="D6" i="2"/>
  <c r="D7" i="2"/>
  <c r="D8" i="2"/>
  <c r="D9" i="2"/>
  <c r="D10" i="2"/>
  <c r="D2" i="2"/>
  <c r="G10" i="1"/>
  <c r="N10" i="1"/>
  <c r="G11" i="1"/>
  <c r="N11" i="1"/>
  <c r="G12" i="1"/>
  <c r="N12" i="1"/>
  <c r="G13" i="1"/>
  <c r="N13" i="1"/>
  <c r="G14" i="1"/>
  <c r="N14" i="1"/>
  <c r="G15" i="1"/>
  <c r="N15" i="1"/>
  <c r="G16" i="1"/>
  <c r="N16" i="1"/>
  <c r="G17" i="1"/>
  <c r="N17" i="1"/>
  <c r="G18" i="1"/>
  <c r="N18" i="1"/>
  <c r="G19" i="1"/>
  <c r="N19" i="1"/>
  <c r="G20" i="1"/>
  <c r="N20" i="1"/>
  <c r="G21" i="1"/>
  <c r="N21" i="1"/>
  <c r="L27" i="1" l="1"/>
</calcChain>
</file>

<file path=xl/sharedStrings.xml><?xml version="1.0" encoding="utf-8"?>
<sst xmlns="http://schemas.openxmlformats.org/spreadsheetml/2006/main" count="164" uniqueCount="111">
  <si>
    <t>entre que 5ans</t>
  </si>
  <si>
    <t>plus  que 3</t>
  </si>
  <si>
    <t>entre 2 et 5ans</t>
  </si>
  <si>
    <t>entre 1 et 3</t>
  </si>
  <si>
    <t>total des vendeurs pas enfants</t>
  </si>
  <si>
    <t>&lt;1 ans</t>
  </si>
  <si>
    <t>pas d'enfants</t>
  </si>
  <si>
    <t>prix heur</t>
  </si>
  <si>
    <t>prime</t>
  </si>
  <si>
    <t>prime d'ancienneneté</t>
  </si>
  <si>
    <t>prime enfants</t>
  </si>
  <si>
    <t>rachid</t>
  </si>
  <si>
    <t>fadi</t>
  </si>
  <si>
    <t>abdrehman</t>
  </si>
  <si>
    <t>adel</t>
  </si>
  <si>
    <t>rida</t>
  </si>
  <si>
    <t>oussama</t>
  </si>
  <si>
    <t>hiba</t>
  </si>
  <si>
    <t>jad</t>
  </si>
  <si>
    <t>samira</t>
  </si>
  <si>
    <t>ahmed</t>
  </si>
  <si>
    <t>amine</t>
  </si>
  <si>
    <t>salaire</t>
  </si>
  <si>
    <t>nombre enfants</t>
  </si>
  <si>
    <t>ancienneté</t>
  </si>
  <si>
    <t>nom</t>
  </si>
  <si>
    <t>code</t>
  </si>
  <si>
    <t>total</t>
  </si>
  <si>
    <t>trimestres4</t>
  </si>
  <si>
    <t>trimestres3</t>
  </si>
  <si>
    <t>trimestres2</t>
  </si>
  <si>
    <t>trimestres1</t>
  </si>
  <si>
    <t>durée</t>
  </si>
  <si>
    <t>adresse</t>
  </si>
  <si>
    <t>secture</t>
  </si>
  <si>
    <t>salaire de base</t>
  </si>
  <si>
    <t>date de naissance</t>
  </si>
  <si>
    <t>CNSS</t>
  </si>
  <si>
    <t>prime d'ancienneté</t>
  </si>
  <si>
    <t>salaire net</t>
  </si>
  <si>
    <t>salim</t>
  </si>
  <si>
    <t>sabir</t>
  </si>
  <si>
    <t>latifa</t>
  </si>
  <si>
    <t>karim</t>
  </si>
  <si>
    <t>farah</t>
  </si>
  <si>
    <t>faisal</t>
  </si>
  <si>
    <t>zakaria</t>
  </si>
  <si>
    <t>soufiane</t>
  </si>
  <si>
    <t>salma</t>
  </si>
  <si>
    <t>casablanca</t>
  </si>
  <si>
    <t>mohmmadia</t>
  </si>
  <si>
    <t xml:space="preserve"> rabat</t>
  </si>
  <si>
    <t>rabat</t>
  </si>
  <si>
    <t>agadir</t>
  </si>
  <si>
    <t>fes</t>
  </si>
  <si>
    <t>kénitra</t>
  </si>
  <si>
    <t>A</t>
  </si>
  <si>
    <t>C</t>
  </si>
  <si>
    <t>B</t>
  </si>
  <si>
    <t>D</t>
  </si>
  <si>
    <t>secteur</t>
  </si>
  <si>
    <t>salaire der base</t>
  </si>
  <si>
    <t>nombre de personnele par secteur</t>
  </si>
  <si>
    <t>total prime</t>
  </si>
  <si>
    <t>taux de preme</t>
  </si>
  <si>
    <t>gendre</t>
  </si>
  <si>
    <t>M</t>
  </si>
  <si>
    <t>F</t>
  </si>
  <si>
    <t>amina</t>
  </si>
  <si>
    <t>&lt;5</t>
  </si>
  <si>
    <t>tva</t>
  </si>
  <si>
    <t>entre 5 et 12</t>
  </si>
  <si>
    <t>plus que 12</t>
  </si>
  <si>
    <t>age</t>
  </si>
  <si>
    <t>Diesel</t>
  </si>
  <si>
    <t>Alain</t>
  </si>
  <si>
    <t>Essence</t>
  </si>
  <si>
    <t>Robert</t>
  </si>
  <si>
    <t>Pierre</t>
  </si>
  <si>
    <t>Somme de Nombre</t>
  </si>
  <si>
    <t>Étiquettes de lignes</t>
  </si>
  <si>
    <t>Total général</t>
  </si>
  <si>
    <t>N°CHBR</t>
  </si>
  <si>
    <t>nom&amp;prenom</t>
  </si>
  <si>
    <t>date d'entree</t>
  </si>
  <si>
    <t>date de depart</t>
  </si>
  <si>
    <t>duree de se jour</t>
  </si>
  <si>
    <t>montant(ht)</t>
  </si>
  <si>
    <t>montant ttc</t>
  </si>
  <si>
    <t>remise 10 se jour&gt;7 ou 20% si se jour&gt;10</t>
  </si>
  <si>
    <t>montant a payer</t>
  </si>
  <si>
    <t>situation(regle ou nom)</t>
  </si>
  <si>
    <t xml:space="preserve"> montant tva</t>
  </si>
  <si>
    <t>pour verfier</t>
  </si>
  <si>
    <t>khalid</t>
  </si>
  <si>
    <t xml:space="preserve"> -  </t>
  </si>
  <si>
    <t>jamila</t>
  </si>
  <si>
    <t>regle</t>
  </si>
  <si>
    <t>yassine</t>
  </si>
  <si>
    <t>abdelkader</t>
  </si>
  <si>
    <t>jilali</t>
  </si>
  <si>
    <t>zahra</t>
  </si>
  <si>
    <t>keltoum</t>
  </si>
  <si>
    <t>DUREE MOYENNE DES SEJOURS</t>
  </si>
  <si>
    <t>PLUS LONG SEJOUR</t>
  </si>
  <si>
    <t>NBRE TOTAL DE NUITEES</t>
  </si>
  <si>
    <t>NBRE DE SE JEUR &gt;10</t>
  </si>
  <si>
    <t>DATE</t>
  </si>
  <si>
    <t>TARIF DE JOUR(HT)</t>
  </si>
  <si>
    <t>TVA</t>
  </si>
  <si>
    <t>non-regle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</si>
</sst>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DH-380C]"/>
    <numFmt numFmtId="165" formatCode="_-* #,##0\ [$DH-380C]_-;\-* #,##0\ [$DH-380C]_-;_-* &quot;-&quot;??\ [$DH-380C]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/>
    <xf numFmtId="1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vertical="center"/>
    </xf>
    <xf numFmtId="1" fontId="0" fillId="0" borderId="1" xfId="2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165" fontId="0" fillId="0" borderId="1" xfId="0" applyNumberFormat="1" applyBorder="1"/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4" fillId="5" borderId="2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Pourcentage" xfId="2" builtinId="5"/>
  </cellStyles>
  <dxfs count="3">
    <dxf>
      <font>
        <color rgb="FF7030A0"/>
      </font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ok" refreshedDate="45642.537884722224" createdVersion="6" refreshedVersion="6" minRefreshableVersion="3" recordCount="36">
  <cacheSource type="worksheet">
    <worksheetSource ref="F16:I52" sheet="Feuil1"/>
  </cacheSource>
  <cacheFields count="4">
    <cacheField name="Marque" numFmtId="0">
      <sharedItems count="6">
        <s v="Citroen C3"/>
        <s v="Citroen C1"/>
        <s v="Citroen C2"/>
        <s v="Citroen C4"/>
        <s v="Citroen C5"/>
        <s v="Citroen C6"/>
      </sharedItems>
    </cacheField>
    <cacheField name="Carburant" numFmtId="0">
      <sharedItems count="2">
        <s v="Diesel"/>
        <s v="Essence"/>
      </sharedItems>
    </cacheField>
    <cacheField name="Vendeur" numFmtId="0">
      <sharedItems count="3">
        <s v="Alain"/>
        <s v="Robert"/>
        <s v="Pierre"/>
      </sharedItems>
    </cacheField>
    <cacheField name="Nombre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5"/>
  </r>
  <r>
    <x v="0"/>
    <x v="1"/>
    <x v="0"/>
    <n v="2"/>
  </r>
  <r>
    <x v="0"/>
    <x v="1"/>
    <x v="1"/>
    <n v="4"/>
  </r>
  <r>
    <x v="0"/>
    <x v="0"/>
    <x v="1"/>
    <n v="4"/>
  </r>
  <r>
    <x v="0"/>
    <x v="0"/>
    <x v="2"/>
    <n v="7"/>
  </r>
  <r>
    <x v="0"/>
    <x v="1"/>
    <x v="2"/>
    <n v="5"/>
  </r>
  <r>
    <x v="1"/>
    <x v="0"/>
    <x v="0"/>
    <n v="3"/>
  </r>
  <r>
    <x v="1"/>
    <x v="1"/>
    <x v="0"/>
    <n v="1"/>
  </r>
  <r>
    <x v="1"/>
    <x v="1"/>
    <x v="1"/>
    <n v="1"/>
  </r>
  <r>
    <x v="1"/>
    <x v="0"/>
    <x v="1"/>
    <n v="2"/>
  </r>
  <r>
    <x v="1"/>
    <x v="0"/>
    <x v="2"/>
    <n v="4"/>
  </r>
  <r>
    <x v="1"/>
    <x v="1"/>
    <x v="2"/>
    <n v="2"/>
  </r>
  <r>
    <x v="2"/>
    <x v="0"/>
    <x v="0"/>
    <n v="4"/>
  </r>
  <r>
    <x v="2"/>
    <x v="1"/>
    <x v="0"/>
    <n v="1"/>
  </r>
  <r>
    <x v="2"/>
    <x v="1"/>
    <x v="1"/>
    <n v="3"/>
  </r>
  <r>
    <x v="2"/>
    <x v="0"/>
    <x v="1"/>
    <n v="1"/>
  </r>
  <r>
    <x v="2"/>
    <x v="0"/>
    <x v="2"/>
    <n v="3"/>
  </r>
  <r>
    <x v="2"/>
    <x v="1"/>
    <x v="2"/>
    <n v="1"/>
  </r>
  <r>
    <x v="3"/>
    <x v="0"/>
    <x v="0"/>
    <n v="2"/>
  </r>
  <r>
    <x v="3"/>
    <x v="1"/>
    <x v="0"/>
    <n v="2"/>
  </r>
  <r>
    <x v="3"/>
    <x v="1"/>
    <x v="1"/>
    <n v="4"/>
  </r>
  <r>
    <x v="3"/>
    <x v="0"/>
    <x v="1"/>
    <n v="1"/>
  </r>
  <r>
    <x v="3"/>
    <x v="0"/>
    <x v="2"/>
    <n v="3"/>
  </r>
  <r>
    <x v="3"/>
    <x v="1"/>
    <x v="2"/>
    <n v="3"/>
  </r>
  <r>
    <x v="4"/>
    <x v="0"/>
    <x v="0"/>
    <n v="1"/>
  </r>
  <r>
    <x v="4"/>
    <x v="1"/>
    <x v="0"/>
    <n v="1"/>
  </r>
  <r>
    <x v="4"/>
    <x v="1"/>
    <x v="1"/>
    <n v="0"/>
  </r>
  <r>
    <x v="4"/>
    <x v="0"/>
    <x v="1"/>
    <n v="1"/>
  </r>
  <r>
    <x v="4"/>
    <x v="0"/>
    <x v="2"/>
    <n v="2"/>
  </r>
  <r>
    <x v="4"/>
    <x v="1"/>
    <x v="2"/>
    <n v="1"/>
  </r>
  <r>
    <x v="5"/>
    <x v="0"/>
    <x v="0"/>
    <n v="1"/>
  </r>
  <r>
    <x v="5"/>
    <x v="1"/>
    <x v="0"/>
    <n v="0"/>
  </r>
  <r>
    <x v="5"/>
    <x v="1"/>
    <x v="1"/>
    <n v="1"/>
  </r>
  <r>
    <x v="5"/>
    <x v="0"/>
    <x v="1"/>
    <n v="2"/>
  </r>
  <r>
    <x v="5"/>
    <x v="0"/>
    <x v="2"/>
    <n v="0"/>
  </r>
  <r>
    <x v="5"/>
    <x v="1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3" firstHeaderRow="1" firstDataRow="1" firstDataCol="1"/>
  <pivotFields count="4">
    <pivotField showAll="0">
      <items count="7">
        <item x="1"/>
        <item x="2"/>
        <item x="0"/>
        <item x="3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</pivotFields>
  <rowFields count="2">
    <field x="2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omme de Nomb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N28"/>
  <sheetViews>
    <sheetView tabSelected="1" topLeftCell="A8" workbookViewId="0">
      <selection activeCell="H25" sqref="H25"/>
    </sheetView>
  </sheetViews>
  <sheetFormatPr baseColWidth="10" defaultRowHeight="15" x14ac:dyDescent="0.25"/>
  <cols>
    <col min="1" max="1" width="5.28515625" bestFit="1" customWidth="1"/>
    <col min="3" max="3" width="13.42578125" bestFit="1" customWidth="1"/>
    <col min="5" max="5" width="15.5703125" customWidth="1"/>
    <col min="6" max="6" width="14.85546875" customWidth="1"/>
    <col min="9" max="9" width="6" customWidth="1"/>
    <col min="10" max="11" width="14.140625" customWidth="1"/>
    <col min="12" max="12" width="13.140625" bestFit="1" customWidth="1"/>
    <col min="13" max="13" width="15.140625" bestFit="1" customWidth="1"/>
    <col min="14" max="14" width="14.140625" bestFit="1" customWidth="1"/>
  </cols>
  <sheetData>
    <row r="1" spans="1:14" x14ac:dyDescent="0.25">
      <c r="A1" s="2" t="s">
        <v>26</v>
      </c>
      <c r="B1" s="2" t="s">
        <v>32</v>
      </c>
      <c r="C1" s="2" t="s">
        <v>31</v>
      </c>
      <c r="D1" s="2" t="s">
        <v>30</v>
      </c>
      <c r="E1" s="2" t="s">
        <v>29</v>
      </c>
      <c r="F1" s="2" t="s">
        <v>28</v>
      </c>
      <c r="G1" s="2" t="s">
        <v>27</v>
      </c>
      <c r="H1" s="3"/>
      <c r="I1" s="2" t="s">
        <v>26</v>
      </c>
      <c r="J1" s="2" t="s">
        <v>25</v>
      </c>
      <c r="K1" s="2" t="s">
        <v>65</v>
      </c>
      <c r="L1" s="2" t="s">
        <v>24</v>
      </c>
      <c r="M1" s="2" t="s">
        <v>23</v>
      </c>
      <c r="N1" s="2" t="s">
        <v>22</v>
      </c>
    </row>
    <row r="3" spans="1:14" x14ac:dyDescent="0.25">
      <c r="H3" s="3"/>
    </row>
    <row r="4" spans="1:14" x14ac:dyDescent="0.25">
      <c r="H4" s="3"/>
    </row>
    <row r="9" spans="1:14" x14ac:dyDescent="0.25">
      <c r="A9" s="2" t="s">
        <v>26</v>
      </c>
      <c r="B9" s="2" t="s">
        <v>32</v>
      </c>
      <c r="C9" s="2" t="s">
        <v>31</v>
      </c>
      <c r="D9" s="2" t="s">
        <v>30</v>
      </c>
      <c r="E9" s="2" t="s">
        <v>29</v>
      </c>
      <c r="F9" s="2" t="s">
        <v>28</v>
      </c>
      <c r="G9" s="2" t="s">
        <v>27</v>
      </c>
      <c r="H9" s="3"/>
      <c r="I9" s="2" t="s">
        <v>26</v>
      </c>
      <c r="J9" s="2" t="s">
        <v>25</v>
      </c>
      <c r="K9" s="2" t="s">
        <v>65</v>
      </c>
      <c r="L9" s="2" t="s">
        <v>24</v>
      </c>
      <c r="M9" s="2" t="s">
        <v>23</v>
      </c>
      <c r="N9" s="2" t="s">
        <v>22</v>
      </c>
    </row>
    <row r="10" spans="1:14" x14ac:dyDescent="0.25">
      <c r="A10" s="1">
        <v>1</v>
      </c>
      <c r="B10" s="1">
        <v>2400</v>
      </c>
      <c r="C10" s="1">
        <v>65</v>
      </c>
      <c r="D10" s="1">
        <v>100</v>
      </c>
      <c r="E10" s="1">
        <v>40</v>
      </c>
      <c r="F10" s="1">
        <v>0</v>
      </c>
      <c r="G10" s="1">
        <f t="shared" ref="G10:G21" si="0">SUM(C10:F10)</f>
        <v>205</v>
      </c>
      <c r="H10" s="3"/>
      <c r="I10" s="1">
        <v>1</v>
      </c>
      <c r="J10" s="1" t="s">
        <v>21</v>
      </c>
      <c r="K10" s="1" t="s">
        <v>66</v>
      </c>
      <c r="L10" s="1">
        <v>6</v>
      </c>
      <c r="M10" s="1">
        <v>2</v>
      </c>
      <c r="N10" s="4">
        <f t="shared" ref="N10:N21" si="1">B10*$L$26+IF(M10=0,"0",IF(M10&lt;=3,"200","150"))+IF(L10&lt;1,"0",IF(L10&lt;=5,"600","800"))</f>
        <v>49000</v>
      </c>
    </row>
    <row r="11" spans="1:14" x14ac:dyDescent="0.25">
      <c r="A11" s="1">
        <v>2</v>
      </c>
      <c r="B11" s="1">
        <v>2600</v>
      </c>
      <c r="C11" s="1">
        <v>68</v>
      </c>
      <c r="D11" s="1">
        <v>50</v>
      </c>
      <c r="E11" s="1">
        <v>76</v>
      </c>
      <c r="F11" s="1">
        <v>0</v>
      </c>
      <c r="G11" s="1">
        <f t="shared" si="0"/>
        <v>194</v>
      </c>
      <c r="H11" s="3"/>
      <c r="I11" s="1">
        <v>2</v>
      </c>
      <c r="J11" s="1" t="s">
        <v>20</v>
      </c>
      <c r="K11" s="1" t="s">
        <v>66</v>
      </c>
      <c r="L11" s="1">
        <v>3</v>
      </c>
      <c r="M11" s="1">
        <v>1</v>
      </c>
      <c r="N11" s="4">
        <f t="shared" si="1"/>
        <v>52800</v>
      </c>
    </row>
    <row r="12" spans="1:14" x14ac:dyDescent="0.25">
      <c r="A12" s="1">
        <v>3</v>
      </c>
      <c r="B12" s="1">
        <v>3000</v>
      </c>
      <c r="C12" s="1">
        <v>97</v>
      </c>
      <c r="D12" s="1">
        <v>65</v>
      </c>
      <c r="E12" s="1">
        <v>87</v>
      </c>
      <c r="F12" s="1">
        <v>42</v>
      </c>
      <c r="G12" s="1">
        <f t="shared" si="0"/>
        <v>291</v>
      </c>
      <c r="H12" s="3"/>
      <c r="I12" s="1">
        <v>3</v>
      </c>
      <c r="J12" s="1" t="s">
        <v>68</v>
      </c>
      <c r="K12" s="1" t="s">
        <v>67</v>
      </c>
      <c r="L12" s="1">
        <v>0</v>
      </c>
      <c r="M12" s="1">
        <v>0</v>
      </c>
      <c r="N12" s="4">
        <f t="shared" si="1"/>
        <v>60000</v>
      </c>
    </row>
    <row r="13" spans="1:14" x14ac:dyDescent="0.25">
      <c r="A13" s="1">
        <v>4</v>
      </c>
      <c r="B13" s="1">
        <v>4600</v>
      </c>
      <c r="C13" s="1">
        <v>60</v>
      </c>
      <c r="D13" s="1">
        <v>67</v>
      </c>
      <c r="E13" s="1">
        <v>70</v>
      </c>
      <c r="F13" s="1">
        <v>2</v>
      </c>
      <c r="G13" s="1">
        <f t="shared" si="0"/>
        <v>199</v>
      </c>
      <c r="H13" s="3"/>
      <c r="I13" s="1">
        <v>4</v>
      </c>
      <c r="J13" s="1" t="s">
        <v>19</v>
      </c>
      <c r="K13" s="1" t="s">
        <v>67</v>
      </c>
      <c r="L13" s="1">
        <v>1</v>
      </c>
      <c r="M13" s="1">
        <v>4</v>
      </c>
      <c r="N13" s="4">
        <f t="shared" si="1"/>
        <v>92750</v>
      </c>
    </row>
    <row r="14" spans="1:14" x14ac:dyDescent="0.25">
      <c r="A14" s="1">
        <v>5</v>
      </c>
      <c r="B14" s="1">
        <v>3500</v>
      </c>
      <c r="C14" s="1">
        <v>100</v>
      </c>
      <c r="D14" s="1">
        <v>80</v>
      </c>
      <c r="E14" s="1">
        <v>0</v>
      </c>
      <c r="F14" s="1">
        <v>35</v>
      </c>
      <c r="G14" s="1">
        <f t="shared" si="0"/>
        <v>215</v>
      </c>
      <c r="H14" s="3"/>
      <c r="I14" s="1">
        <v>5</v>
      </c>
      <c r="J14" s="1" t="s">
        <v>18</v>
      </c>
      <c r="K14" s="1" t="s">
        <v>66</v>
      </c>
      <c r="L14" s="1">
        <v>7</v>
      </c>
      <c r="M14" s="1">
        <v>5</v>
      </c>
      <c r="N14" s="4">
        <f t="shared" si="1"/>
        <v>70950</v>
      </c>
    </row>
    <row r="15" spans="1:14" x14ac:dyDescent="0.25">
      <c r="A15" s="1">
        <v>6</v>
      </c>
      <c r="B15" s="1">
        <v>7400</v>
      </c>
      <c r="C15" s="1">
        <v>80</v>
      </c>
      <c r="D15" s="1">
        <v>74</v>
      </c>
      <c r="E15" s="1">
        <v>300</v>
      </c>
      <c r="F15" s="1">
        <v>68</v>
      </c>
      <c r="G15" s="1">
        <f t="shared" si="0"/>
        <v>522</v>
      </c>
      <c r="H15" s="3"/>
      <c r="I15" s="1">
        <v>6</v>
      </c>
      <c r="J15" s="1" t="s">
        <v>17</v>
      </c>
      <c r="K15" s="1" t="s">
        <v>67</v>
      </c>
      <c r="L15" s="1">
        <v>8</v>
      </c>
      <c r="M15" s="1">
        <v>8</v>
      </c>
      <c r="N15" s="4">
        <f t="shared" si="1"/>
        <v>148950</v>
      </c>
    </row>
    <row r="16" spans="1:14" x14ac:dyDescent="0.25">
      <c r="A16" s="1">
        <v>7</v>
      </c>
      <c r="B16" s="1">
        <v>3000</v>
      </c>
      <c r="C16" s="1">
        <v>120</v>
      </c>
      <c r="D16" s="1">
        <v>72</v>
      </c>
      <c r="E16" s="1">
        <v>62</v>
      </c>
      <c r="F16" s="1">
        <v>0</v>
      </c>
      <c r="G16" s="1">
        <f t="shared" si="0"/>
        <v>254</v>
      </c>
      <c r="H16" s="3"/>
      <c r="I16" s="1">
        <v>7</v>
      </c>
      <c r="J16" s="1" t="s">
        <v>16</v>
      </c>
      <c r="K16" s="1" t="s">
        <v>66</v>
      </c>
      <c r="L16" s="1">
        <v>7</v>
      </c>
      <c r="M16" s="1">
        <v>4</v>
      </c>
      <c r="N16" s="4">
        <f t="shared" si="1"/>
        <v>60950</v>
      </c>
    </row>
    <row r="17" spans="1:14" x14ac:dyDescent="0.25">
      <c r="A17" s="1">
        <v>8</v>
      </c>
      <c r="B17" s="1">
        <v>1200</v>
      </c>
      <c r="C17" s="1">
        <v>50</v>
      </c>
      <c r="D17" s="1">
        <v>67</v>
      </c>
      <c r="E17" s="1">
        <v>350</v>
      </c>
      <c r="F17" s="1">
        <v>57</v>
      </c>
      <c r="G17" s="1">
        <f t="shared" si="0"/>
        <v>524</v>
      </c>
      <c r="H17" s="3"/>
      <c r="I17" s="1">
        <v>8</v>
      </c>
      <c r="J17" s="1" t="s">
        <v>15</v>
      </c>
      <c r="K17" s="1" t="s">
        <v>66</v>
      </c>
      <c r="L17" s="1">
        <v>6</v>
      </c>
      <c r="M17" s="1">
        <v>0</v>
      </c>
      <c r="N17" s="4">
        <f t="shared" si="1"/>
        <v>24800</v>
      </c>
    </row>
    <row r="18" spans="1:14" x14ac:dyDescent="0.25">
      <c r="A18" s="1">
        <v>9</v>
      </c>
      <c r="B18" s="1">
        <v>1600</v>
      </c>
      <c r="C18" s="1">
        <v>69</v>
      </c>
      <c r="D18" s="1">
        <v>81</v>
      </c>
      <c r="E18" s="1">
        <v>11</v>
      </c>
      <c r="F18" s="1">
        <v>500</v>
      </c>
      <c r="G18" s="1">
        <f t="shared" si="0"/>
        <v>661</v>
      </c>
      <c r="I18" s="1">
        <v>9</v>
      </c>
      <c r="J18" s="1" t="s">
        <v>14</v>
      </c>
      <c r="K18" s="1" t="s">
        <v>66</v>
      </c>
      <c r="L18" s="1">
        <v>12</v>
      </c>
      <c r="M18" s="1">
        <v>7</v>
      </c>
      <c r="N18" s="4">
        <f t="shared" si="1"/>
        <v>32950</v>
      </c>
    </row>
    <row r="19" spans="1:14" x14ac:dyDescent="0.25">
      <c r="A19" s="1">
        <v>10</v>
      </c>
      <c r="B19" s="1">
        <v>2000</v>
      </c>
      <c r="C19" s="1">
        <v>200</v>
      </c>
      <c r="D19" s="1">
        <v>80</v>
      </c>
      <c r="E19" s="1">
        <v>72</v>
      </c>
      <c r="F19" s="1">
        <v>0</v>
      </c>
      <c r="G19" s="1">
        <f t="shared" si="0"/>
        <v>352</v>
      </c>
      <c r="I19" s="1">
        <v>10</v>
      </c>
      <c r="J19" s="1" t="s">
        <v>13</v>
      </c>
      <c r="K19" s="1" t="s">
        <v>66</v>
      </c>
      <c r="L19" s="1">
        <v>6</v>
      </c>
      <c r="M19" s="1">
        <v>0</v>
      </c>
      <c r="N19" s="4">
        <f t="shared" si="1"/>
        <v>40800</v>
      </c>
    </row>
    <row r="20" spans="1:14" x14ac:dyDescent="0.25">
      <c r="A20" s="1">
        <v>11</v>
      </c>
      <c r="B20" s="1">
        <v>1400</v>
      </c>
      <c r="C20" s="1">
        <v>65</v>
      </c>
      <c r="D20" s="1">
        <v>45</v>
      </c>
      <c r="E20" s="1">
        <v>40</v>
      </c>
      <c r="F20" s="1">
        <v>58</v>
      </c>
      <c r="G20" s="1">
        <f t="shared" si="0"/>
        <v>208</v>
      </c>
      <c r="I20" s="1">
        <v>11</v>
      </c>
      <c r="J20" s="1" t="s">
        <v>12</v>
      </c>
      <c r="K20" s="1" t="s">
        <v>66</v>
      </c>
      <c r="L20" s="1">
        <v>2</v>
      </c>
      <c r="M20" s="1">
        <v>0</v>
      </c>
      <c r="N20" s="4">
        <f t="shared" si="1"/>
        <v>28600</v>
      </c>
    </row>
    <row r="21" spans="1:14" x14ac:dyDescent="0.25">
      <c r="A21" s="1">
        <v>12</v>
      </c>
      <c r="B21" s="1">
        <v>500</v>
      </c>
      <c r="C21" s="1">
        <v>29</v>
      </c>
      <c r="D21" s="1">
        <v>54</v>
      </c>
      <c r="E21" s="1">
        <v>0</v>
      </c>
      <c r="F21" s="1">
        <v>74</v>
      </c>
      <c r="G21" s="1">
        <f t="shared" si="0"/>
        <v>157</v>
      </c>
      <c r="I21" s="1">
        <v>12</v>
      </c>
      <c r="J21" s="1" t="s">
        <v>11</v>
      </c>
      <c r="K21" s="1" t="s">
        <v>66</v>
      </c>
      <c r="L21" s="1">
        <v>1</v>
      </c>
      <c r="M21" s="1">
        <v>8</v>
      </c>
      <c r="N21" s="4">
        <f t="shared" si="1"/>
        <v>10750</v>
      </c>
    </row>
    <row r="25" spans="1:14" x14ac:dyDescent="0.25">
      <c r="C25" s="2" t="s">
        <v>10</v>
      </c>
      <c r="D25" s="2" t="s">
        <v>8</v>
      </c>
      <c r="E25" s="2" t="s">
        <v>9</v>
      </c>
      <c r="F25" s="2" t="s">
        <v>8</v>
      </c>
    </row>
    <row r="26" spans="1:14" x14ac:dyDescent="0.25">
      <c r="C26" s="1" t="s">
        <v>6</v>
      </c>
      <c r="D26" s="1">
        <v>0</v>
      </c>
      <c r="E26" s="1" t="s">
        <v>5</v>
      </c>
      <c r="F26" s="1">
        <v>0</v>
      </c>
      <c r="J26" s="15" t="s">
        <v>7</v>
      </c>
      <c r="K26" s="16"/>
      <c r="L26" s="5">
        <v>20</v>
      </c>
    </row>
    <row r="27" spans="1:14" x14ac:dyDescent="0.25">
      <c r="C27" s="1" t="s">
        <v>3</v>
      </c>
      <c r="D27" s="1">
        <v>120</v>
      </c>
      <c r="E27" s="1" t="s">
        <v>2</v>
      </c>
      <c r="F27" s="1">
        <v>600</v>
      </c>
      <c r="J27" s="6" t="s">
        <v>4</v>
      </c>
      <c r="K27" s="6"/>
      <c r="L27" s="5">
        <f>SUMIF(M10:M21,"=0",N10:N21)</f>
        <v>154200</v>
      </c>
    </row>
    <row r="28" spans="1:14" x14ac:dyDescent="0.25">
      <c r="C28" s="1" t="s">
        <v>1</v>
      </c>
      <c r="D28" s="1">
        <v>150</v>
      </c>
      <c r="E28" s="1" t="s">
        <v>0</v>
      </c>
      <c r="F28" s="1">
        <v>800</v>
      </c>
    </row>
  </sheetData>
  <autoFilter ref="A9:G21"/>
  <mergeCells count="1">
    <mergeCell ref="J26:K26"/>
  </mergeCells>
  <conditionalFormatting sqref="C10:C21">
    <cfRule type="cellIs" dxfId="2" priority="3" operator="between">
      <formula>100</formula>
      <formula>200</formula>
    </cfRule>
  </conditionalFormatting>
  <conditionalFormatting sqref="C10:F21">
    <cfRule type="top10" dxfId="1" priority="1" percent="1" bottom="1" rank="10"/>
    <cfRule type="top10" dxfId="0" priority="2" percent="1" rank="1"/>
  </conditionalFormatting>
  <pageMargins left="0.7" right="0.7" top="0.75" bottom="0.75" header="0.3" footer="0.3"/>
  <ignoredErrors>
    <ignoredError sqref="G10:G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I18"/>
  <sheetViews>
    <sheetView workbookViewId="0">
      <selection activeCell="H2" sqref="H2"/>
    </sheetView>
  </sheetViews>
  <sheetFormatPr baseColWidth="10" defaultRowHeight="15" x14ac:dyDescent="0.25"/>
  <cols>
    <col min="2" max="2" width="14.85546875" bestFit="1" customWidth="1"/>
    <col min="3" max="3" width="15.7109375" customWidth="1"/>
    <col min="4" max="4" width="14.140625" bestFit="1" customWidth="1"/>
    <col min="5" max="5" width="16.85546875" bestFit="1" customWidth="1"/>
    <col min="7" max="7" width="13.85546875" bestFit="1" customWidth="1"/>
    <col min="8" max="8" width="18.42578125" bestFit="1" customWidth="1"/>
  </cols>
  <sheetData>
    <row r="1" spans="1:9" x14ac:dyDescent="0.25">
      <c r="A1" s="9" t="s">
        <v>25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73</v>
      </c>
      <c r="G1" s="9" t="s">
        <v>37</v>
      </c>
      <c r="H1" s="9" t="s">
        <v>38</v>
      </c>
      <c r="I1" s="9" t="s">
        <v>39</v>
      </c>
    </row>
    <row r="2" spans="1:9" x14ac:dyDescent="0.25">
      <c r="A2" s="1" t="s">
        <v>40</v>
      </c>
      <c r="B2" s="1" t="s">
        <v>49</v>
      </c>
      <c r="C2" s="1" t="s">
        <v>56</v>
      </c>
      <c r="D2" s="4">
        <f>VLOOKUP(C2,$A$14:$B$18,2,0)</f>
        <v>5800</v>
      </c>
      <c r="E2" s="7">
        <v>39788</v>
      </c>
      <c r="F2" s="1">
        <v>15</v>
      </c>
      <c r="G2" s="4">
        <f>$G$18*IF(D2&gt;=7000,7000,D2)</f>
        <v>2436</v>
      </c>
      <c r="H2" s="4">
        <f>D2*IF(F2&lt;5,$G$15,IF(F2&gt;12,$G$16,$G$17))</f>
        <v>580</v>
      </c>
      <c r="I2" s="4">
        <f>D2+H2-G2</f>
        <v>3944</v>
      </c>
    </row>
    <row r="3" spans="1:9" x14ac:dyDescent="0.25">
      <c r="A3" s="1" t="s">
        <v>41</v>
      </c>
      <c r="B3" s="1" t="s">
        <v>50</v>
      </c>
      <c r="C3" s="1" t="s">
        <v>57</v>
      </c>
      <c r="D3" s="4">
        <f t="shared" ref="D3:D10" si="0">VLOOKUP(C3,$A$14:$B$18,2,0)</f>
        <v>1000</v>
      </c>
      <c r="E3" s="7">
        <v>39789</v>
      </c>
      <c r="F3" s="1">
        <v>15</v>
      </c>
      <c r="G3" s="4">
        <f t="shared" ref="G3:G11" si="1">$G$18*IF(D3&gt;=7000,7000,D3)</f>
        <v>420</v>
      </c>
      <c r="H3" s="4">
        <f t="shared" ref="H3:H10" si="2">D3*IF(F3&lt;5,$G$15,IF(F3&gt;12,$G$16,$G$17))</f>
        <v>100</v>
      </c>
      <c r="I3" s="4">
        <f t="shared" ref="I3:I11" si="3">D3+H3-G3</f>
        <v>680</v>
      </c>
    </row>
    <row r="4" spans="1:9" x14ac:dyDescent="0.25">
      <c r="A4" s="1" t="s">
        <v>42</v>
      </c>
      <c r="B4" s="1" t="s">
        <v>49</v>
      </c>
      <c r="C4" s="1" t="s">
        <v>57</v>
      </c>
      <c r="D4" s="4">
        <f t="shared" si="0"/>
        <v>1000</v>
      </c>
      <c r="E4" s="7">
        <v>39790</v>
      </c>
      <c r="F4" s="1">
        <v>11</v>
      </c>
      <c r="G4" s="4">
        <f t="shared" si="1"/>
        <v>420</v>
      </c>
      <c r="H4" s="4">
        <f t="shared" si="2"/>
        <v>150</v>
      </c>
      <c r="I4" s="4">
        <f t="shared" si="3"/>
        <v>730</v>
      </c>
    </row>
    <row r="5" spans="1:9" x14ac:dyDescent="0.25">
      <c r="A5" s="1" t="s">
        <v>17</v>
      </c>
      <c r="B5" s="1" t="s">
        <v>51</v>
      </c>
      <c r="C5" s="1" t="s">
        <v>56</v>
      </c>
      <c r="D5" s="4">
        <f t="shared" si="0"/>
        <v>5800</v>
      </c>
      <c r="E5" s="7">
        <v>39791</v>
      </c>
      <c r="F5" s="1">
        <v>12</v>
      </c>
      <c r="G5" s="4">
        <f t="shared" si="1"/>
        <v>2436</v>
      </c>
      <c r="H5" s="4">
        <f t="shared" si="2"/>
        <v>870</v>
      </c>
      <c r="I5" s="4">
        <f t="shared" si="3"/>
        <v>4234</v>
      </c>
    </row>
    <row r="6" spans="1:9" x14ac:dyDescent="0.25">
      <c r="A6" s="1" t="s">
        <v>43</v>
      </c>
      <c r="B6" s="1" t="s">
        <v>52</v>
      </c>
      <c r="C6" s="1" t="s">
        <v>58</v>
      </c>
      <c r="D6" s="4">
        <f t="shared" si="0"/>
        <v>7000</v>
      </c>
      <c r="E6" s="7">
        <v>39792</v>
      </c>
      <c r="F6" s="1">
        <v>10</v>
      </c>
      <c r="G6" s="4">
        <f t="shared" si="1"/>
        <v>2940</v>
      </c>
      <c r="H6" s="4">
        <f t="shared" si="2"/>
        <v>1050</v>
      </c>
      <c r="I6" s="4">
        <f t="shared" si="3"/>
        <v>5110</v>
      </c>
    </row>
    <row r="7" spans="1:9" x14ac:dyDescent="0.25">
      <c r="A7" s="1" t="s">
        <v>44</v>
      </c>
      <c r="B7" s="1" t="s">
        <v>50</v>
      </c>
      <c r="C7" s="1" t="s">
        <v>58</v>
      </c>
      <c r="D7" s="4">
        <f t="shared" si="0"/>
        <v>7000</v>
      </c>
      <c r="E7" s="7">
        <v>39793</v>
      </c>
      <c r="F7" s="1">
        <v>20</v>
      </c>
      <c r="G7" s="4">
        <f t="shared" si="1"/>
        <v>2940</v>
      </c>
      <c r="H7" s="4">
        <f t="shared" si="2"/>
        <v>700</v>
      </c>
      <c r="I7" s="4">
        <f t="shared" si="3"/>
        <v>4760</v>
      </c>
    </row>
    <row r="8" spans="1:9" x14ac:dyDescent="0.25">
      <c r="A8" s="1" t="s">
        <v>45</v>
      </c>
      <c r="B8" s="1" t="s">
        <v>49</v>
      </c>
      <c r="C8" s="1" t="s">
        <v>58</v>
      </c>
      <c r="D8" s="4">
        <f t="shared" si="0"/>
        <v>7000</v>
      </c>
      <c r="E8" s="7">
        <v>39794</v>
      </c>
      <c r="F8" s="1">
        <v>14</v>
      </c>
      <c r="G8" s="4">
        <f t="shared" si="1"/>
        <v>2940</v>
      </c>
      <c r="H8" s="4">
        <f t="shared" si="2"/>
        <v>700</v>
      </c>
      <c r="I8" s="4">
        <f t="shared" si="3"/>
        <v>4760</v>
      </c>
    </row>
    <row r="9" spans="1:9" x14ac:dyDescent="0.25">
      <c r="A9" s="1" t="s">
        <v>46</v>
      </c>
      <c r="B9" s="1" t="s">
        <v>53</v>
      </c>
      <c r="C9" s="1" t="s">
        <v>56</v>
      </c>
      <c r="D9" s="4">
        <f t="shared" si="0"/>
        <v>5800</v>
      </c>
      <c r="E9" s="7">
        <v>39795</v>
      </c>
      <c r="F9" s="1">
        <v>15</v>
      </c>
      <c r="G9" s="4">
        <f t="shared" si="1"/>
        <v>2436</v>
      </c>
      <c r="H9" s="4">
        <f t="shared" si="2"/>
        <v>580</v>
      </c>
      <c r="I9" s="4">
        <f t="shared" si="3"/>
        <v>3944</v>
      </c>
    </row>
    <row r="10" spans="1:9" x14ac:dyDescent="0.25">
      <c r="A10" s="1" t="s">
        <v>47</v>
      </c>
      <c r="B10" s="1" t="s">
        <v>54</v>
      </c>
      <c r="C10" s="1" t="s">
        <v>59</v>
      </c>
      <c r="D10" s="4">
        <f t="shared" si="0"/>
        <v>2500</v>
      </c>
      <c r="E10" s="7">
        <v>39796</v>
      </c>
      <c r="F10" s="1">
        <v>13</v>
      </c>
      <c r="G10" s="4">
        <f t="shared" si="1"/>
        <v>1050</v>
      </c>
      <c r="H10" s="4">
        <f t="shared" si="2"/>
        <v>250</v>
      </c>
      <c r="I10" s="4">
        <f t="shared" si="3"/>
        <v>1700</v>
      </c>
    </row>
    <row r="11" spans="1:9" x14ac:dyDescent="0.25">
      <c r="A11" s="1" t="s">
        <v>48</v>
      </c>
      <c r="B11" s="1" t="s">
        <v>55</v>
      </c>
      <c r="C11" s="1" t="s">
        <v>59</v>
      </c>
      <c r="D11" s="4">
        <f>VLOOKUP(C11,$A$14:$B$18,2,0)</f>
        <v>2500</v>
      </c>
      <c r="E11" s="7">
        <v>39797</v>
      </c>
      <c r="F11" s="1">
        <v>19</v>
      </c>
      <c r="G11" s="4">
        <f t="shared" si="1"/>
        <v>1050</v>
      </c>
      <c r="H11" s="4">
        <f>D11*IF(F11&lt;5,$G$15,IF(F11&gt;12,$G$16,$G$17))</f>
        <v>250</v>
      </c>
      <c r="I11" s="4">
        <f t="shared" si="3"/>
        <v>1700</v>
      </c>
    </row>
    <row r="14" spans="1:9" x14ac:dyDescent="0.25">
      <c r="A14" s="9" t="s">
        <v>60</v>
      </c>
      <c r="B14" s="9" t="s">
        <v>61</v>
      </c>
      <c r="C14" s="9" t="s">
        <v>62</v>
      </c>
      <c r="D14" s="9" t="s">
        <v>63</v>
      </c>
      <c r="F14" s="9" t="s">
        <v>24</v>
      </c>
      <c r="G14" s="9" t="s">
        <v>64</v>
      </c>
    </row>
    <row r="15" spans="1:9" x14ac:dyDescent="0.25">
      <c r="A15" s="1" t="s">
        <v>56</v>
      </c>
      <c r="B15" s="4">
        <v>5800</v>
      </c>
      <c r="C15" s="1">
        <f>COUNTIF($C$2:$C$11,"A")</f>
        <v>3</v>
      </c>
      <c r="D15" s="4">
        <f>SUMIF($C$2:$C$11,"A",$D$2:$D$11)</f>
        <v>17400</v>
      </c>
      <c r="F15" s="1" t="s">
        <v>69</v>
      </c>
      <c r="G15" s="8">
        <v>0.05</v>
      </c>
    </row>
    <row r="16" spans="1:9" x14ac:dyDescent="0.25">
      <c r="A16" s="1" t="s">
        <v>58</v>
      </c>
      <c r="B16" s="4">
        <v>7000</v>
      </c>
      <c r="C16" s="1">
        <f>COUNTIF($C$2:$C$11,"B")</f>
        <v>3</v>
      </c>
      <c r="D16" s="4">
        <f>SUMIF(C2:C11,"B",D2:D11)</f>
        <v>21000</v>
      </c>
      <c r="F16" s="1" t="s">
        <v>71</v>
      </c>
      <c r="G16" s="8">
        <v>0.1</v>
      </c>
      <c r="I16" s="14"/>
    </row>
    <row r="17" spans="1:7" x14ac:dyDescent="0.25">
      <c r="A17" s="1" t="s">
        <v>57</v>
      </c>
      <c r="B17" s="4">
        <v>1000</v>
      </c>
      <c r="C17" s="1">
        <f>COUNTIF($C$2:$C$11,"C")</f>
        <v>2</v>
      </c>
      <c r="D17" s="4">
        <f>SUMIF(C2:C11,"c",D2:D11)</f>
        <v>2000</v>
      </c>
      <c r="F17" s="1" t="s">
        <v>72</v>
      </c>
      <c r="G17" s="8">
        <v>0.15</v>
      </c>
    </row>
    <row r="18" spans="1:7" x14ac:dyDescent="0.25">
      <c r="A18" s="1" t="s">
        <v>59</v>
      </c>
      <c r="B18" s="4">
        <v>2500</v>
      </c>
      <c r="C18" s="1">
        <f>COUNTIF($C$2:$C$11,"D")</f>
        <v>2</v>
      </c>
      <c r="D18" s="4">
        <f>SUMIF(C2:C11,"d",D2:D11)</f>
        <v>5000</v>
      </c>
      <c r="F18" s="1" t="s">
        <v>70</v>
      </c>
      <c r="G18" s="8">
        <v>0.42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18.28515625" bestFit="1" customWidth="1"/>
  </cols>
  <sheetData>
    <row r="3" spans="1:2" x14ac:dyDescent="0.25">
      <c r="A3" s="11" t="s">
        <v>80</v>
      </c>
      <c r="B3" t="s">
        <v>79</v>
      </c>
    </row>
    <row r="4" spans="1:2" x14ac:dyDescent="0.25">
      <c r="A4" s="12" t="s">
        <v>75</v>
      </c>
      <c r="B4" s="10">
        <v>23</v>
      </c>
    </row>
    <row r="5" spans="1:2" x14ac:dyDescent="0.25">
      <c r="A5" s="13" t="s">
        <v>74</v>
      </c>
      <c r="B5" s="10">
        <v>16</v>
      </c>
    </row>
    <row r="6" spans="1:2" x14ac:dyDescent="0.25">
      <c r="A6" s="13" t="s">
        <v>76</v>
      </c>
      <c r="B6" s="10">
        <v>7</v>
      </c>
    </row>
    <row r="7" spans="1:2" x14ac:dyDescent="0.25">
      <c r="A7" s="12" t="s">
        <v>78</v>
      </c>
      <c r="B7" s="10">
        <v>31</v>
      </c>
    </row>
    <row r="8" spans="1:2" x14ac:dyDescent="0.25">
      <c r="A8" s="13" t="s">
        <v>74</v>
      </c>
      <c r="B8" s="10">
        <v>19</v>
      </c>
    </row>
    <row r="9" spans="1:2" x14ac:dyDescent="0.25">
      <c r="A9" s="13" t="s">
        <v>76</v>
      </c>
      <c r="B9" s="10">
        <v>12</v>
      </c>
    </row>
    <row r="10" spans="1:2" x14ac:dyDescent="0.25">
      <c r="A10" s="12" t="s">
        <v>77</v>
      </c>
      <c r="B10" s="10">
        <v>24</v>
      </c>
    </row>
    <row r="11" spans="1:2" x14ac:dyDescent="0.25">
      <c r="A11" s="13" t="s">
        <v>74</v>
      </c>
      <c r="B11" s="10">
        <v>11</v>
      </c>
    </row>
    <row r="12" spans="1:2" x14ac:dyDescent="0.25">
      <c r="A12" s="13" t="s">
        <v>76</v>
      </c>
      <c r="B12" s="10">
        <v>13</v>
      </c>
    </row>
    <row r="13" spans="1:2" x14ac:dyDescent="0.25">
      <c r="A13" s="12" t="s">
        <v>81</v>
      </c>
      <c r="B13" s="10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H14" sqref="H14"/>
    </sheetView>
  </sheetViews>
  <sheetFormatPr baseColWidth="10" defaultRowHeight="15" x14ac:dyDescent="0.25"/>
  <cols>
    <col min="2" max="2" width="13.42578125" bestFit="1" customWidth="1"/>
    <col min="6" max="6" width="13.42578125" customWidth="1"/>
    <col min="7" max="7" width="16.5703125" customWidth="1"/>
    <col min="8" max="8" width="17.7109375" bestFit="1" customWidth="1"/>
    <col min="9" max="9" width="11.85546875" bestFit="1" customWidth="1"/>
    <col min="12" max="12" width="11.85546875" bestFit="1" customWidth="1"/>
  </cols>
  <sheetData>
    <row r="1" spans="1:13" x14ac:dyDescent="0.25">
      <c r="H1" s="34" t="s">
        <v>107</v>
      </c>
      <c r="I1" s="35">
        <f ca="1">TODAY()</f>
        <v>45648</v>
      </c>
      <c r="J1" s="36"/>
    </row>
    <row r="2" spans="1:13" x14ac:dyDescent="0.25">
      <c r="H2" s="37" t="s">
        <v>108</v>
      </c>
      <c r="I2" s="38">
        <v>1500</v>
      </c>
      <c r="J2" s="39"/>
    </row>
    <row r="3" spans="1:13" x14ac:dyDescent="0.25">
      <c r="H3" s="37" t="s">
        <v>109</v>
      </c>
      <c r="I3" s="40">
        <v>0.2</v>
      </c>
      <c r="J3" s="41"/>
    </row>
    <row r="6" spans="1:13" ht="60" x14ac:dyDescent="0.25">
      <c r="A6" s="17" t="s">
        <v>82</v>
      </c>
      <c r="B6" s="17" t="s">
        <v>83</v>
      </c>
      <c r="C6" s="17" t="s">
        <v>84</v>
      </c>
      <c r="D6" s="17" t="s">
        <v>85</v>
      </c>
      <c r="E6" s="18" t="s">
        <v>86</v>
      </c>
      <c r="F6" s="18" t="s">
        <v>87</v>
      </c>
      <c r="G6" s="17" t="s">
        <v>88</v>
      </c>
      <c r="H6" s="18" t="s">
        <v>89</v>
      </c>
      <c r="I6" s="18" t="s">
        <v>90</v>
      </c>
      <c r="J6" s="18" t="s">
        <v>91</v>
      </c>
      <c r="K6" s="18" t="s">
        <v>92</v>
      </c>
      <c r="L6" s="18" t="s">
        <v>88</v>
      </c>
      <c r="M6" s="19" t="s">
        <v>93</v>
      </c>
    </row>
    <row r="7" spans="1:13" x14ac:dyDescent="0.25">
      <c r="A7" s="20">
        <v>234</v>
      </c>
      <c r="B7" s="1" t="s">
        <v>94</v>
      </c>
      <c r="C7" s="7">
        <v>45587</v>
      </c>
      <c r="D7" s="7">
        <v>45588</v>
      </c>
      <c r="E7" s="1">
        <v>1</v>
      </c>
      <c r="F7" s="21">
        <f t="shared" ref="F7:F13" si="0">$I$2*E7</f>
        <v>1500</v>
      </c>
      <c r="G7" s="22">
        <f>F7+F7*$I$3</f>
        <v>1800</v>
      </c>
      <c r="H7" s="23">
        <f>IF(E7&lt;7,0,IF(E7&lt;10,G7*10%,G7*20%))</f>
        <v>0</v>
      </c>
      <c r="I7" s="24">
        <f>G7-H7</f>
        <v>1800</v>
      </c>
      <c r="J7" s="1" t="s">
        <v>95</v>
      </c>
      <c r="K7" s="25">
        <f>F7*$I$3</f>
        <v>300</v>
      </c>
      <c r="L7" s="26">
        <f>F7+K7</f>
        <v>1800</v>
      </c>
      <c r="M7" s="26" t="str">
        <f>IF(L7=G7,"oui","non")</f>
        <v>oui</v>
      </c>
    </row>
    <row r="8" spans="1:13" x14ac:dyDescent="0.25">
      <c r="A8" s="20">
        <v>165</v>
      </c>
      <c r="B8" s="1" t="s">
        <v>96</v>
      </c>
      <c r="C8" s="7">
        <v>45556</v>
      </c>
      <c r="D8" s="7">
        <v>45593</v>
      </c>
      <c r="E8" s="1">
        <f>D8-C8</f>
        <v>37</v>
      </c>
      <c r="F8" s="21">
        <f t="shared" si="0"/>
        <v>55500</v>
      </c>
      <c r="G8" s="22">
        <f t="shared" ref="G8:G13" si="1">F8+F8*$I$3</f>
        <v>66600</v>
      </c>
      <c r="H8" s="23">
        <f t="shared" ref="H8:H13" si="2">IF(E8&lt;7,0,IF(E8&lt;10,G8*10%,G8*20%))</f>
        <v>13320</v>
      </c>
      <c r="I8" s="24">
        <f t="shared" ref="I8:I13" si="3">G8-H8</f>
        <v>53280</v>
      </c>
      <c r="J8" s="1" t="s">
        <v>97</v>
      </c>
      <c r="K8" s="25">
        <f t="shared" ref="K8:K13" si="4">F8*$I$3</f>
        <v>11100</v>
      </c>
      <c r="L8" s="26">
        <f t="shared" ref="L8:L13" si="5">F8+K8</f>
        <v>66600</v>
      </c>
      <c r="M8" s="26" t="str">
        <f t="shared" ref="M8:M13" si="6">IF(L8=G8,"oui","non")</f>
        <v>oui</v>
      </c>
    </row>
    <row r="9" spans="1:13" x14ac:dyDescent="0.25">
      <c r="A9" s="20">
        <v>287</v>
      </c>
      <c r="B9" s="1" t="s">
        <v>98</v>
      </c>
      <c r="C9" s="7">
        <v>45516</v>
      </c>
      <c r="D9" s="7">
        <v>45590</v>
      </c>
      <c r="E9" s="1">
        <f t="shared" ref="E9:E13" si="7">D9-C9</f>
        <v>74</v>
      </c>
      <c r="F9" s="21">
        <f t="shared" si="0"/>
        <v>111000</v>
      </c>
      <c r="G9" s="22">
        <f t="shared" si="1"/>
        <v>133200</v>
      </c>
      <c r="H9" s="23">
        <f t="shared" si="2"/>
        <v>26640</v>
      </c>
      <c r="I9" s="24">
        <f t="shared" si="3"/>
        <v>106560</v>
      </c>
      <c r="J9" s="1" t="s">
        <v>97</v>
      </c>
      <c r="K9" s="25">
        <f t="shared" si="4"/>
        <v>22200</v>
      </c>
      <c r="L9" s="26">
        <f t="shared" si="5"/>
        <v>133200</v>
      </c>
      <c r="M9" s="26" t="str">
        <f t="shared" si="6"/>
        <v>oui</v>
      </c>
    </row>
    <row r="10" spans="1:13" x14ac:dyDescent="0.25">
      <c r="A10" s="20">
        <v>145</v>
      </c>
      <c r="B10" s="1" t="s">
        <v>99</v>
      </c>
      <c r="C10" s="7">
        <v>45347</v>
      </c>
      <c r="D10" s="7">
        <v>45349</v>
      </c>
      <c r="E10" s="1">
        <f t="shared" si="7"/>
        <v>2</v>
      </c>
      <c r="F10" s="21">
        <f t="shared" si="0"/>
        <v>3000</v>
      </c>
      <c r="G10" s="22">
        <f t="shared" si="1"/>
        <v>3600</v>
      </c>
      <c r="H10" s="23">
        <f t="shared" si="2"/>
        <v>0</v>
      </c>
      <c r="I10" s="24">
        <f t="shared" si="3"/>
        <v>3600</v>
      </c>
      <c r="J10" s="1" t="s">
        <v>97</v>
      </c>
      <c r="K10" s="25">
        <f t="shared" si="4"/>
        <v>600</v>
      </c>
      <c r="L10" s="26">
        <f t="shared" si="5"/>
        <v>3600</v>
      </c>
      <c r="M10" s="26" t="str">
        <f t="shared" si="6"/>
        <v>oui</v>
      </c>
    </row>
    <row r="11" spans="1:13" x14ac:dyDescent="0.25">
      <c r="A11" s="20">
        <v>234</v>
      </c>
      <c r="B11" s="1" t="s">
        <v>100</v>
      </c>
      <c r="C11" s="7">
        <v>45558</v>
      </c>
      <c r="D11" s="7">
        <v>45590</v>
      </c>
      <c r="E11" s="1">
        <f t="shared" si="7"/>
        <v>32</v>
      </c>
      <c r="F11" s="21">
        <f t="shared" si="0"/>
        <v>48000</v>
      </c>
      <c r="G11" s="22">
        <f t="shared" si="1"/>
        <v>57600</v>
      </c>
      <c r="H11" s="23">
        <f t="shared" si="2"/>
        <v>11520</v>
      </c>
      <c r="I11" s="24">
        <f t="shared" si="3"/>
        <v>46080</v>
      </c>
      <c r="J11" s="1" t="s">
        <v>97</v>
      </c>
      <c r="K11" s="25">
        <f t="shared" si="4"/>
        <v>9600</v>
      </c>
      <c r="L11" s="26">
        <f t="shared" si="5"/>
        <v>57600</v>
      </c>
      <c r="M11" s="26" t="str">
        <f t="shared" si="6"/>
        <v>oui</v>
      </c>
    </row>
    <row r="12" spans="1:13" x14ac:dyDescent="0.25">
      <c r="A12" s="20">
        <v>123</v>
      </c>
      <c r="B12" s="1" t="s">
        <v>101</v>
      </c>
      <c r="C12" s="7">
        <v>45531</v>
      </c>
      <c r="D12" s="7">
        <v>45535</v>
      </c>
      <c r="E12" s="1">
        <v>8</v>
      </c>
      <c r="F12" s="21">
        <f t="shared" si="0"/>
        <v>12000</v>
      </c>
      <c r="G12" s="22">
        <f t="shared" si="1"/>
        <v>14400</v>
      </c>
      <c r="H12" s="23">
        <f t="shared" si="2"/>
        <v>1440</v>
      </c>
      <c r="I12" s="24">
        <f t="shared" si="3"/>
        <v>12960</v>
      </c>
      <c r="J12" s="1" t="s">
        <v>97</v>
      </c>
      <c r="K12" s="25">
        <f t="shared" si="4"/>
        <v>2400</v>
      </c>
      <c r="L12" s="26">
        <f t="shared" si="5"/>
        <v>14400</v>
      </c>
      <c r="M12" s="26" t="str">
        <f t="shared" si="6"/>
        <v>oui</v>
      </c>
    </row>
    <row r="13" spans="1:13" x14ac:dyDescent="0.25">
      <c r="A13" s="20">
        <v>245</v>
      </c>
      <c r="B13" s="1" t="s">
        <v>102</v>
      </c>
      <c r="C13" s="7">
        <v>45577</v>
      </c>
      <c r="D13" s="7">
        <v>45580</v>
      </c>
      <c r="E13" s="1">
        <f t="shared" si="7"/>
        <v>3</v>
      </c>
      <c r="F13" s="21">
        <f t="shared" si="0"/>
        <v>4500</v>
      </c>
      <c r="G13" s="22">
        <f t="shared" si="1"/>
        <v>5400</v>
      </c>
      <c r="H13" s="23">
        <f t="shared" si="2"/>
        <v>0</v>
      </c>
      <c r="I13" s="24">
        <f t="shared" si="3"/>
        <v>5400</v>
      </c>
      <c r="J13" s="1" t="s">
        <v>97</v>
      </c>
      <c r="K13" s="25">
        <f t="shared" si="4"/>
        <v>900</v>
      </c>
      <c r="L13" s="26">
        <f t="shared" si="5"/>
        <v>5400</v>
      </c>
      <c r="M13" s="26" t="str">
        <f t="shared" si="6"/>
        <v>oui</v>
      </c>
    </row>
    <row r="14" spans="1:13" x14ac:dyDescent="0.25">
      <c r="F14" s="27" t="s">
        <v>103</v>
      </c>
      <c r="G14" s="28"/>
      <c r="H14" s="29">
        <f>AVERAGE(E7,E13)</f>
        <v>2</v>
      </c>
    </row>
    <row r="15" spans="1:13" x14ac:dyDescent="0.25">
      <c r="F15" s="27" t="s">
        <v>104</v>
      </c>
      <c r="G15" s="28"/>
      <c r="H15" s="29">
        <f>MAX(E7:E13)</f>
        <v>74</v>
      </c>
    </row>
    <row r="16" spans="1:13" x14ac:dyDescent="0.25">
      <c r="F16" s="27" t="s">
        <v>105</v>
      </c>
      <c r="G16" s="28"/>
      <c r="H16" s="29">
        <f>SUM(E7:E13)</f>
        <v>157</v>
      </c>
      <c r="J16" s="30" t="s">
        <v>95</v>
      </c>
    </row>
    <row r="17" spans="6:10" x14ac:dyDescent="0.25">
      <c r="F17" s="31" t="s">
        <v>106</v>
      </c>
      <c r="G17" s="32"/>
      <c r="H17" s="33">
        <f>COUNTIF(E7:E13,"&gt;10")</f>
        <v>3</v>
      </c>
      <c r="J17" s="30" t="s">
        <v>97</v>
      </c>
    </row>
    <row r="18" spans="6:10" x14ac:dyDescent="0.25">
      <c r="J18" s="30" t="s">
        <v>110</v>
      </c>
    </row>
  </sheetData>
  <mergeCells count="7">
    <mergeCell ref="F14:G14"/>
    <mergeCell ref="F15:G15"/>
    <mergeCell ref="F16:G16"/>
    <mergeCell ref="F17:G17"/>
    <mergeCell ref="I1:J1"/>
    <mergeCell ref="I2:J2"/>
    <mergeCell ref="I3:J3"/>
  </mergeCells>
  <dataValidations count="1">
    <dataValidation type="list" allowBlank="1" showInputMessage="1" showErrorMessage="1" sqref="J7:J13">
      <formula1>$J$16:$J$18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salaire</vt:lpstr>
      <vt:lpstr>Feuil2</vt:lpstr>
      <vt:lpstr>Feuil3</vt:lpstr>
      <vt:lpstr>Feuil1</vt:lpstr>
      <vt:lpstr>salaire!Criteres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jook</dc:creator>
  <cp:lastModifiedBy>jook</cp:lastModifiedBy>
  <dcterms:created xsi:type="dcterms:W3CDTF">2024-12-02T12:13:04Z</dcterms:created>
  <dcterms:modified xsi:type="dcterms:W3CDTF">2024-12-22T20:23:40Z</dcterms:modified>
</cp:coreProperties>
</file>