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ESPP" sheetId="2" r:id="rId5"/>
    <sheet state="visible" name="RSU" sheetId="3" r:id="rId6"/>
    <sheet state="visible" name="Reference" sheetId="4" r:id="rId7"/>
  </sheets>
  <definedNames>
    <definedName name="avgoFMV">Summary!$K$25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4">
      <text>
        <t xml:space="preserve">Missing necessary info is likely to occur when you have an ESPP from prior to 2012 or an RSU vest date that I did not.
In those cases you should be able to extra this info from the confirmation docs.</t>
      </text>
    </comment>
    <comment authorId="0" ref="A10">
      <text>
        <t xml:space="preserve">Sample note to illustrate the visual indication (black triangle in top right corner) of a cell note.
</t>
      </text>
    </comment>
    <comment authorId="0" ref="M24">
      <text>
        <t xml:space="preserve">Present if you want to experiment with different values for these inputs.</t>
      </text>
    </comment>
    <comment authorId="0" ref="A25">
      <text>
        <t xml:space="preserve">This comes from the eTrade transaction log</t>
      </text>
    </comment>
    <comment authorId="0" ref="A26">
      <text>
        <t xml:space="preserve">This comes from the eTrade transaction log
</t>
      </text>
    </comment>
    <comment authorId="0" ref="J26">
      <text>
        <t xml:space="preserve">Calculated from Necessary Inputs
- uses the qty of shares from eTrade transaction log entered into Necessary Inputs to derive a pro-rata ratio
Calculated from manual share qty
- uses the manual entry per-lot of share qty from eTrade OSPS holdings to calculate the effective ratio used per lot
Manual per-lot ratio
- uses a manual entry per-lot for the ratio. If using a manual lot ratio, the effective total ratio must still match exactly the overall transaction ratio.
- This is mostly so I can assess whether it's even worth asking a CPA to look into it.
- See https://github.com/hickeng/financial/issues/10
</t>
      </text>
    </comment>
    <comment authorId="0" ref="J28">
      <text>
        <t xml:space="preserve">Lets you look at the LTG/STG shift based on potential sale dates of the converted AVGO.
If you set this to last year, then the numbers will be rolled into the tax estimation, so that if you sold in 2023 but post merge this setting is for you.
This is unlikely to have any effect if using optimized manual lots as the newer lots will all have been assigned to cash.</t>
      </text>
    </comment>
    <comment authorId="0" ref="A29">
      <text>
        <t xml:space="preserve">VMW quantities for cash vs conversion should sum to the total holding.
This can also be checked against the sum of column D in the ESPP &amp; RSU sheets</t>
      </text>
    </comment>
    <comment authorId="0" ref="A30">
      <text>
        <t xml:space="preserve">cash for fraction should match the calculated value derived from the individual lot entries.
This can only be automatically validated when the value used for fractional share sale in Tweaks is the eTrade value.</t>
      </text>
    </comment>
    <comment authorId="0" ref="A31">
      <text>
        <t xml:space="preserve">should match the calculated value of cash portion calculated from individual lot values</t>
      </text>
    </comment>
    <comment authorId="0" ref="J36">
      <text>
        <t xml:space="preserve">https://github.com/hickeng/financial/issues/25
tracking adding per-lot display that's more suited to transfer to costbasis.com calculator.</t>
      </text>
    </comment>
    <comment authorId="0" ref="B42">
      <text>
        <t xml:space="preserve">This is what would have been deposited in your individual brokerage account or similar.
The Gains and the Fractional sale are the amounts you need to pay tax on.</t>
      </text>
    </comment>
    <comment authorId="0" ref="C42">
      <text>
        <t xml:space="preserve">This is the cash value received for the fractional share. The Gain associated with that sale in rolled into the appropriate Long or Short term gain bucket.</t>
      </text>
    </comment>
    <comment authorId="0" ref="E44">
      <text>
        <t xml:space="preserve">This estimate may drop if it turns out the symmetric treatment suggested in https://github.com/hickeng/financial/issues/15#issuecomment-1948444299 is the correct approach for calculating gain on sale of qualified ESPPs
</t>
      </text>
    </comment>
    <comment authorId="0" ref="G44">
      <text>
        <t xml:space="preserve">This is the pending tax on ESPP discount. It will reach minimum after 2024-03-01 when the final ESPP lot qualifies.</t>
      </text>
    </comment>
    <comment authorId="0" ref="D53">
      <text>
        <t xml:space="preserve">Worst case safe harbor for federal is 110% of previous years assessed taxes per filed 1040.
TODO: add calc to References for the 90% and 100% scenarios
</t>
      </text>
    </comment>
    <comment authorId="0" ref="C54">
      <text>
        <t xml:space="preserve">This is calculated progressively using the 2023 thresholds, and factoring in the 2023 W2 and other income/deductions from the inputs.</t>
      </text>
    </comment>
    <comment authorId="0" ref="C55">
      <text>
        <t xml:space="preserve">This is calculated using an estimated AGI for 2023 from the values in inputs and the income/stg element to decide the ltg rate that applies.
I do want to confirm that LTG isn't fully progressive. The threshold mechanism would leave patches where you'd net less for earning more as you just cleared thresholds.
Tracked in https://github.com/hickeng/financial/issues/3</t>
      </text>
    </comment>
    <comment authorId="0" ref="B56">
      <text>
        <t xml:space="preserve">Does NOT currently factor deductions as they're different values from federal.</t>
      </text>
    </comment>
  </commentList>
</comments>
</file>

<file path=xl/comments2.xml><?xml version="1.0" encoding="utf-8"?>
<comments xmlns:r="http://schemas.openxmlformats.org/officeDocument/2006/relationships" xmlns="http://schemas.openxmlformats.org/spreadsheetml/2006/main">
  <authors>
    <author/>
  </authors>
  <commentList>
    <comment authorId="0" ref="N3">
      <text>
        <t xml:space="preserve">If the fractional share should come out of a specific lot, or set of lots, check those lots here. If multiple are selected the sheet will spread the fraction equally over those lots, accounting for differences in cost-basis.
For me, eTrade took the entire fraction from a single lot and I expect that's what happened for most people.
If it came out of an ESPP lot, that's a sale and will incur the ordinary income portion of tax shown in column "Income &amp; short term gain".
The fractional quantity should be added back into "Share amounts from eTrade" column for the lot that eTrade took it from.
This is done because we need the cost-basis of the lot calculated _before_ that fraction is removed as it's a serial conversion - convert entire lot, THEN sell factional part.
It also avoids substantial complexity in formulae.
</t>
      </text>
    </comment>
    <comment authorId="0" ref="D4">
      <text>
        <t xml:space="preserve">This is the value from "Shares Purchased" and NOT from "Total shares Purchased for Offering"</t>
      </text>
    </comment>
    <comment authorId="0" ref="M4">
      <text>
        <t xml:space="preserve">The quantities of converted shares from eTrade lots.
The colour of the cell will alter slightly if the value here does not equal the value calculated via AVGO ratio.
You can toggle whether to use this manual value or the calculated value in the Tweaks on the first Sheet.
If this is the lot from which a fraction was taken by etrade then you should add then fractional AVGO quantity back into this value and check the Fraction box. See the note on the fraction column.</t>
      </text>
    </comment>
    <comment authorId="0" ref="O4">
      <text>
        <t xml:space="preserve">This value is calculated from the VMW -&gt; AVGO ratio for the lot
</t>
      </text>
    </comment>
    <comment authorId="0" ref="P4">
      <text>
        <t xml:space="preserve">Manual user entry per lot if using a per-lot election instead of pro-rata
</t>
      </text>
    </comment>
    <comment authorId="0" ref="X4">
      <text>
        <t xml:space="preserve">The cost basis is the actual price paid per share times the number of shares, plus the ordinary income.</t>
      </text>
    </comment>
    <comment authorId="0" ref="Z4">
      <text>
        <t xml:space="preserve">This should exactly equal the value in the "Share amounts from eTrade" column as it's literally inverted the calc.
This column is here purely for consistency so we can see all three stock columns together
</t>
      </text>
    </comment>
    <comment authorId="0" ref="AG4">
      <text>
        <t xml:space="preserve">This pulls in the ordinary income portion for the fractional share if associated with the lot.</t>
      </text>
    </comment>
    <comment authorId="0" ref="AI4">
      <text>
        <t xml:space="preserve">Cost basis on sale for disqualified ESPP includes the reported ordinary income.
See https://github.com/hickeng/financial/issues/15#issuecomment-1947700730</t>
      </text>
    </comment>
    <comment authorId="0" ref="I7">
      <text>
        <t xml:space="preserve">Put the Previous Carry Forward form your earliest ESPP confirmation for shares you still own into this cell and it'll propagate down.
It doesn't matter that it's on a different row as it's only when you start purchasing shares that it'll have an effect.
Alternatively you can 0 those rows for which you don't have a purchase and enter your earliest Carry Forward into the precise row.</t>
      </text>
    </comment>
  </commentList>
</comments>
</file>

<file path=xl/comments3.xml><?xml version="1.0" encoding="utf-8"?>
<comments xmlns:r="http://schemas.openxmlformats.org/officeDocument/2006/relationships" xmlns="http://schemas.openxmlformats.org/spreadsheetml/2006/main">
  <authors>
    <author/>
  </authors>
  <commentList>
    <comment authorId="0" ref="J3">
      <text>
        <t xml:space="preserve">If the fractional share should come out of a specific lot, or set of lots, check those lots here. If multiple are selected the sheet will spread the fraction equally over those lots, accounting for differences in cost-basis.
For me, eTrade took the entire fraction from a single lot and I expect that's what happened for most people.
If it came out of an ESPP lot, that's a sale and will incur the ordinary income portion of tax shown in column "Income &amp; short term gain".
The fractional quantity should be added back into "Share amounts from eTrade" column for the lot that eTrade took it from.
This is done because we need the cost-basis of the lot calculated _before_ that fraction is removed as it's a serial conversion - convert entire lot, THEN sell factional part.
It also avoids substantial complexity in formulae.
</t>
      </text>
    </comment>
    <comment authorId="0" ref="D4">
      <text>
        <t xml:space="preserve">This is the Shared Issued specifically, NOT the Award Shares.
If you were Awarded 73 shares:
Shares Traded: ~26 would have been withheld to cover tax and can be entered into column F for reference
Shares Issued: ~47 would have been assigned to you and would go in this column
</t>
      </text>
    </comment>
    <comment authorId="0" ref="I4">
      <text>
        <t xml:space="preserve">The quantities of converted shares from eTrade lots.
The colour of the cell will alter slightly if the value here does not equal the value calculated via AVGO ratio.
You can toggle whether to use this manual value or the calculated value in the Tweaks on the first Sheet.
If this is the lot from which a fraction was taken by etrade then you should add then fractional AVGO quantity back into this value and check the Fraction box. See the note on the fraction column.</t>
      </text>
    </comment>
    <comment authorId="0" ref="K4">
      <text>
        <t xml:space="preserve">This value is calculated from the VMW -&gt; AVGO ratio for the lot using the "Share amounts from eTrade" for the AVGO quantity
</t>
      </text>
    </comment>
    <comment authorId="0" ref="L4">
      <text>
        <t xml:space="preserve">Manual user entry per lot if using a per-lot election instead of pro-rata
</t>
      </text>
    </comment>
    <comment authorId="0" ref="W4">
      <text>
        <t xml:space="preserve">This should exactly equal the value in the "Share amounts from eTrade" column as it's literally inverted the calc.
This column is here purely for consistency so we can see all three stock columns together
</t>
      </text>
    </comment>
    <comment authorId="0" ref="AA4">
      <text>
        <t xml:space="preserve">Fraction attributed to the lot</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"Fair market value generally is the price at which property would change hands between a willing buyer and a willing seller, neither being under any compulsion to buy or sell and both having reasonable knowledge of the facts."
Immediately prior to acquisition, the elections of existing holders were known, the VMW price consideration was fixed in the MA, and Broadcom FMV was known.</t>
      </text>
    </comment>
    <comment authorId="0" ref="B4">
      <text>
        <t xml:space="preserve">Use 100% cash calc for ratio while there's an error calculating it.
This is just to avoid cascade DIV0 errors.</t>
      </text>
    </comment>
    <comment authorId="0" ref="E7">
      <text>
        <t xml:space="preserve">This is calculated to balance the ratio to meet the obligation of correct number of total shares across lots.
</t>
      </text>
    </comment>
  </commentList>
</comments>
</file>

<file path=xl/sharedStrings.xml><?xml version="1.0" encoding="utf-8"?>
<sst xmlns="http://schemas.openxmlformats.org/spreadsheetml/2006/main" count="447" uniqueCount="226">
  <si>
    <t>Instructions</t>
  </si>
  <si>
    <t>Input</t>
  </si>
  <si>
    <t>0. Check the colour coding to the left - it should be useful particularly when adding info into the data grids on the other Sheets</t>
  </si>
  <si>
    <t>Input - optional</t>
  </si>
  <si>
    <r>
      <rPr>
        <rFont val="Arial"/>
      </rPr>
      <t>1. Collect eTrade confirmations for all shares held over the acquisition (</t>
    </r>
    <r>
      <rPr>
        <rFont val="Arial"/>
        <color rgb="FF1155CC"/>
        <u/>
      </rPr>
      <t>Stock Plan Account -&gt; My Account -&gt; Stock Plan Confirmations</t>
    </r>
    <r>
      <rPr>
        <rFont val="Arial"/>
      </rPr>
      <t>)</t>
    </r>
  </si>
  <si>
    <t>Input - necessary but prepopulated where available</t>
  </si>
  <si>
    <r>
      <rPr>
        <rFont val="Arial"/>
      </rPr>
      <t xml:space="preserve">2. Collect </t>
    </r>
    <r>
      <rPr>
        <rFont val="Arial"/>
        <color rgb="FF1155CC"/>
        <u/>
      </rPr>
      <t xml:space="preserve">eTrade transaction log entries </t>
    </r>
    <r>
      <rPr>
        <rFont val="Arial"/>
      </rPr>
      <t>relating to acquisition (propably between 2023-11-21 and 2023-12-09)</t>
    </r>
  </si>
  <si>
    <t>Input - reference only, not used for calc</t>
  </si>
  <si>
    <t>a. "VMW SHARES AZH26 TENDER PAYMENT PRORATED 52.09%" - prefix value goes into B26</t>
  </si>
  <si>
    <t>Output - relevent immediately</t>
  </si>
  <si>
    <t>b. "CONTRA VMWARE, INC EXCHANGE FOR CASH" - prefix value goes into B25</t>
  </si>
  <si>
    <t>Output - relevent on future sale</t>
  </si>
  <si>
    <t>c. "CONTRA VMWARE, INC EXCHANGE FOR CASH" - credited dollar value goes into B31</t>
  </si>
  <si>
    <t>d. "BROADCOM INC CASH IN LIEU OF FRACTIONS" - credited dollar value goes in B30</t>
  </si>
  <si>
    <t>Labels</t>
  </si>
  <si>
    <t>3. Collect number of AVGO in each lot - these should be entered into the "Share amounts from eTrade" columns in ESPP and RUS datagrids and are visible in OSPS if you still hold them in eTrade. If not, then you will have to either use the calculated values only or derived the info via other means.</t>
  </si>
  <si>
    <t>Example cell with additional note</t>
  </si>
  <si>
    <t>4. Add validation - total number of VMW shares held to acquisition goes into B29</t>
  </si>
  <si>
    <t>5. 2023 W2 values go into G26 to G30 as indicated at the cells</t>
  </si>
  <si>
    <r>
      <rPr/>
      <t xml:space="preserve">Github Release: </t>
    </r>
    <r>
      <rPr>
        <color rgb="FF1155CC"/>
        <u/>
      </rPr>
      <t>v0.1.3</t>
    </r>
  </si>
  <si>
    <t>6. 2022 total federal tax paid goes into G25 - used to calculate safe harbor amounts</t>
  </si>
  <si>
    <t>7. Enter values into the RSU and ESPP sheets - if you need to add a row, you can insert, select the entire row above or below without unhiding columns, fill into the new row, and replace the values with yours. Sanity check the SUM ranges in the totals row includes the full range.</t>
  </si>
  <si>
    <t>a. Enter values from ESPP purchase confirmation documents into the ESPP Sheet - the column heading exactly match the field names from the docs</t>
  </si>
  <si>
    <t>b. Enter values from RSU release confirmation documents into the RSU Sheet - the column headings exactly match the field names from the docs. I've left duplicate release date rows in the sheet where I had multiple vests, given it's easier to enter 0 for a row than insert a new one.</t>
  </si>
  <si>
    <t>c. It's expected you'll need to add rows for RSU grants where you had more than one vest on a given date - in that case it's easiest to insert a row below the entry for the corresponding date, copy the entire populated row down to get the release date and market value, then fill in the specific share quantity for the lot.</t>
  </si>
  <si>
    <t>8. For the fractional share - if you're providing the manual values for number of shares, add the fractional amount back into any lot it came from if deducted in "Share amounts from eTrade". This avoids needing a single row with different handling based on whether the manual value has a fraction removed or not.</t>
  </si>
  <si>
    <t>a. Check the Fraction box for any lot you want to the fraction to be attributed to. The fraction is evenly spread across the selected lots.</t>
  </si>
  <si>
    <t>9. Look for the little black triangles in the top right corner of cells, including headers. This indicates a note. Generally I've tried to add notes useful to explaining how the sheet and any given calculation works</t>
  </si>
  <si>
    <t>10. Look for the horizontal paired arrows between column labels in the RSU and ESPP sheets - these allow you to expand the hidden columns if you want to see the informational and intermediate calculations</t>
  </si>
  <si>
    <t>Inputs (eTrade transaction log)</t>
  </si>
  <si>
    <t>Inputs (W2 &amp; 1040)</t>
  </si>
  <si>
    <t>Inputs (Tweaks)</t>
  </si>
  <si>
    <t>Necessary</t>
  </si>
  <si>
    <t>Form</t>
  </si>
  <si>
    <t>Year</t>
  </si>
  <si>
    <t>Box</t>
  </si>
  <si>
    <t>Value</t>
  </si>
  <si>
    <t>Comment</t>
  </si>
  <si>
    <t>Active</t>
  </si>
  <si>
    <t>Custom</t>
  </si>
  <si>
    <t>Shares liquidated for cash (vmw)</t>
  </si>
  <si>
    <t>1040 (tax return)</t>
  </si>
  <si>
    <t>2022</t>
  </si>
  <si>
    <t>Federal tax (prior year)</t>
  </si>
  <si>
    <t>AVGO FMV</t>
  </si>
  <si>
    <t>Mean</t>
  </si>
  <si>
    <t>Shares for conversion (vmw)</t>
  </si>
  <si>
    <t>W2</t>
  </si>
  <si>
    <t>2023</t>
  </si>
  <si>
    <t>Federal income</t>
  </si>
  <si>
    <t>Cash/stock ratio</t>
  </si>
  <si>
    <t>Manual per-lot ratio</t>
  </si>
  <si>
    <t>Federal tax paid</t>
  </si>
  <si>
    <t>Factional share value</t>
  </si>
  <si>
    <t>eTrade</t>
  </si>
  <si>
    <t>Validations</t>
  </si>
  <si>
    <t>State income</t>
  </si>
  <si>
    <t>Post merger sale of AVGO</t>
  </si>
  <si>
    <t>today</t>
  </si>
  <si>
    <t xml:space="preserve">  @ </t>
  </si>
  <si>
    <t>VMW held at close</t>
  </si>
  <si>
    <t>State tax paid</t>
  </si>
  <si>
    <t>Cash for fraction</t>
  </si>
  <si>
    <t>Other Captial Gain (Short)</t>
  </si>
  <si>
    <t>Cash portion without fraction</t>
  </si>
  <si>
    <t>Other Captial Gain (Long)</t>
  </si>
  <si>
    <t>Other income</t>
  </si>
  <si>
    <t>Status</t>
  </si>
  <si>
    <t>Single</t>
  </si>
  <si>
    <t>Deduction</t>
  </si>
  <si>
    <t>By status</t>
  </si>
  <si>
    <t>Doesn't apply to State</t>
  </si>
  <si>
    <t>Outputs</t>
  </si>
  <si>
    <t>Display of lot values</t>
  </si>
  <si>
    <t>per-share</t>
  </si>
  <si>
    <t>Merger</t>
  </si>
  <si>
    <t>Cash consideration</t>
  </si>
  <si>
    <t>Fractional Share</t>
  </si>
  <si>
    <t>Gain (Short)</t>
  </si>
  <si>
    <t>Gain (Long)</t>
  </si>
  <si>
    <t>Shares (FMV)</t>
  </si>
  <si>
    <t>Taxable income</t>
  </si>
  <si>
    <t xml:space="preserve"> </t>
  </si>
  <si>
    <t>Shares</t>
  </si>
  <si>
    <t>Dollars</t>
  </si>
  <si>
    <t>Pending</t>
  </si>
  <si>
    <t>Tax Impact</t>
  </si>
  <si>
    <t>WARNING</t>
  </si>
  <si>
    <t>There WILL be errors in the tax estimation. It doesn't even attempt AMT. I'm uncertain about how LTG progressiveness works</t>
  </si>
  <si>
    <t>The numbers you want for tax planning are the Gains in the section above</t>
  </si>
  <si>
    <t>Liability</t>
  </si>
  <si>
    <t>Safe Harbor</t>
  </si>
  <si>
    <t>Estimated Taxes</t>
  </si>
  <si>
    <t>Actual</t>
  </si>
  <si>
    <t>of which</t>
  </si>
  <si>
    <t>Threshold</t>
  </si>
  <si>
    <t>Outstanding</t>
  </si>
  <si>
    <t>Paid</t>
  </si>
  <si>
    <t>Owed</t>
  </si>
  <si>
    <t>Federal  - total</t>
  </si>
  <si>
    <t>Federal - income &amp; short term gain</t>
  </si>
  <si>
    <t>Federal - long term gain</t>
  </si>
  <si>
    <t>California</t>
  </si>
  <si>
    <t>Totals</t>
  </si>
  <si>
    <t>Output</t>
  </si>
  <si>
    <t>From ESPP purchase confirmation docs</t>
  </si>
  <si>
    <t>From eTrade</t>
  </si>
  <si>
    <t>Calculated</t>
  </si>
  <si>
    <t>Now</t>
  </si>
  <si>
    <t>Future</t>
  </si>
  <si>
    <t xml:space="preserve">Input </t>
  </si>
  <si>
    <t>Derived - informational only</t>
  </si>
  <si>
    <t>Derived - should match vlaues from ESPP purchase confirmation</t>
  </si>
  <si>
    <t>Input - alternate for cross check</t>
  </si>
  <si>
    <t>Use for fraction</t>
  </si>
  <si>
    <t>Ratio (shares)</t>
  </si>
  <si>
    <t>Cash received</t>
  </si>
  <si>
    <t>Basis adjustment for Dell dividends</t>
  </si>
  <si>
    <t>Cost basis entering merger</t>
  </si>
  <si>
    <t>AVGO shares received</t>
  </si>
  <si>
    <t>Alternate gain calculation</t>
  </si>
  <si>
    <t>Gain</t>
  </si>
  <si>
    <t>Treatment</t>
  </si>
  <si>
    <t>Reference for future sale</t>
  </si>
  <si>
    <t>Purchase Begin Date</t>
  </si>
  <si>
    <t>Grant Date</t>
  </si>
  <si>
    <t>Purchase Date</t>
  </si>
  <si>
    <t>Shares Purchased</t>
  </si>
  <si>
    <t>Grant Date Market Value</t>
  </si>
  <si>
    <t>Purchase Value per Share</t>
  </si>
  <si>
    <t>Current Contributions</t>
  </si>
  <si>
    <t>Total Price</t>
  </si>
  <si>
    <t>Previous Carry Forward</t>
  </si>
  <si>
    <t>Total Contributions</t>
  </si>
  <si>
    <t>Carry Forward</t>
  </si>
  <si>
    <t>Purchase Price per Share</t>
  </si>
  <si>
    <t>Share amounts from eTrade</t>
  </si>
  <si>
    <t>Derived from manual share qty</t>
  </si>
  <si>
    <t>Manual per-lot</t>
  </si>
  <si>
    <t>Prefer</t>
  </si>
  <si>
    <t>eTrade pro-rata</t>
  </si>
  <si>
    <t>derived eTrade per-lot</t>
  </si>
  <si>
    <t>manual per-lot</t>
  </si>
  <si>
    <t>active amount</t>
  </si>
  <si>
    <t>1st special divident basis adjustment</t>
  </si>
  <si>
    <t>2nd dividend basis adjustment</t>
  </si>
  <si>
    <t>VMW tax-basis per share</t>
  </si>
  <si>
    <t>eTrade derived per-lot</t>
  </si>
  <si>
    <t>active qty</t>
  </si>
  <si>
    <t>Gain (cash+FMV AVGO-basis)</t>
  </si>
  <si>
    <t>Fractional share</t>
  </si>
  <si>
    <t>Fraction</t>
  </si>
  <si>
    <t>Income &amp; short term gain</t>
  </si>
  <si>
    <t>Long term gain</t>
  </si>
  <si>
    <t>AVGO tax-basis per share</t>
  </si>
  <si>
    <t>Potential Captial Gain (AVGO)</t>
  </si>
  <si>
    <t>Qualified</t>
  </si>
  <si>
    <t>Pending Ordinary Income</t>
  </si>
  <si>
    <t>Short Term Capital Gain</t>
  </si>
  <si>
    <t>Long Term Capital Gain</t>
  </si>
  <si>
    <t>balance</t>
  </si>
  <si>
    <t>From RSU release confirmation docs</t>
  </si>
  <si>
    <t>Input for calculating tax withheld</t>
  </si>
  <si>
    <t>Tax basis entering merger</t>
  </si>
  <si>
    <t>Award Number</t>
  </si>
  <si>
    <t>Award Date</t>
  </si>
  <si>
    <t>Release Date</t>
  </si>
  <si>
    <t>Shares Issued</t>
  </si>
  <si>
    <t>Market Value Per Share</t>
  </si>
  <si>
    <t>Shares Traded</t>
  </si>
  <si>
    <t>Tax basis on receipt</t>
  </si>
  <si>
    <t>Tax paid on receipt</t>
  </si>
  <si>
    <t>VMW tax-basis per lot</t>
  </si>
  <si>
    <t>00029420</t>
  </si>
  <si>
    <t>00055305</t>
  </si>
  <si>
    <t>00066258</t>
  </si>
  <si>
    <t>00075897</t>
  </si>
  <si>
    <t>00081755</t>
  </si>
  <si>
    <t>00092836</t>
  </si>
  <si>
    <t>VM092836</t>
  </si>
  <si>
    <t>VM066258</t>
  </si>
  <si>
    <t>VM081755</t>
  </si>
  <si>
    <t>VM100361</t>
  </si>
  <si>
    <t>00124568</t>
  </si>
  <si>
    <t>00155805</t>
  </si>
  <si>
    <t>SD155805</t>
  </si>
  <si>
    <t>SD100361</t>
  </si>
  <si>
    <t>SD124568</t>
  </si>
  <si>
    <t>SD172058</t>
  </si>
  <si>
    <t>00194291</t>
  </si>
  <si>
    <t>This Sheet is a collection of reference values used by the others. I do not expect anyone to need to make changes to these values.</t>
  </si>
  <si>
    <t>VMW final sale price</t>
  </si>
  <si>
    <t>VMW FMV</t>
  </si>
  <si>
    <t>Cash ratio (calculated)</t>
  </si>
  <si>
    <t>Ratio source</t>
  </si>
  <si>
    <t>Avgo ratio (calculated)</t>
  </si>
  <si>
    <t>Min share ratio</t>
  </si>
  <si>
    <t>AVGO conversion ratio</t>
  </si>
  <si>
    <t>Max share ratio</t>
  </si>
  <si>
    <t>Balance share ratio</t>
  </si>
  <si>
    <t>Long term Captial Gains</t>
  </si>
  <si>
    <t>AVGO active value</t>
  </si>
  <si>
    <t>AVGO FMV (close of merger)</t>
  </si>
  <si>
    <t>Close</t>
  </si>
  <si>
    <t>High</t>
  </si>
  <si>
    <t>Low</t>
  </si>
  <si>
    <t>Factional Share value</t>
  </si>
  <si>
    <t>Form 8937</t>
  </si>
  <si>
    <t>Cost-basis events</t>
  </si>
  <si>
    <t>Basis adjustment</t>
  </si>
  <si>
    <t>Dell special dividend</t>
  </si>
  <si>
    <t>Broadcom Merger</t>
  </si>
  <si>
    <t>Post-merger sale date</t>
  </si>
  <si>
    <t>Post-merger sale date in 2023</t>
  </si>
  <si>
    <t>Short term captial gains &amp; income</t>
  </si>
  <si>
    <t>Long term captial gains</t>
  </si>
  <si>
    <t>Joint</t>
  </si>
  <si>
    <t>Head of household</t>
  </si>
  <si>
    <t>Standard deduction</t>
  </si>
  <si>
    <t>Long Term Capital Gains Thresholds</t>
  </si>
  <si>
    <t>Long Term Gains Active Rate</t>
  </si>
  <si>
    <t>Federal thresholds</t>
  </si>
  <si>
    <t>California thresholds</t>
  </si>
  <si>
    <t>Federal Income Tax</t>
  </si>
  <si>
    <t>Federal Long Term Gains Tax</t>
  </si>
  <si>
    <t>State Income Tax</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</si>
</sst>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0.00;(#,##0.00)"/>
    <numFmt numFmtId="165" formatCode="[$$]#,##0.00"/>
    <numFmt numFmtId="166" formatCode="#,##0.0000"/>
    <numFmt numFmtId="167" formatCode="yyyy&quot;-&quot;mm&quot;-&quot;dd"/>
    <numFmt numFmtId="168" formatCode="#,##0.00000000000000"/>
    <numFmt numFmtId="169" formatCode="#,##0.000000"/>
    <numFmt numFmtId="170" formatCode="&quot;$&quot;#,##0.00"/>
    <numFmt numFmtId="171" formatCode="#,##0.000"/>
    <numFmt numFmtId="172" formatCode="0.000"/>
    <numFmt numFmtId="173" formatCode="0.0000"/>
    <numFmt numFmtId="174" formatCode="0.000000"/>
    <numFmt numFmtId="175" formatCode="yyyy-mm-dd"/>
  </numFmts>
  <fonts count="23">
    <font>
      <sz val="10.0"/>
      <color rgb="FF000000"/>
      <name val="Arial"/>
      <scheme val="minor"/>
    </font>
    <font>
      <b/>
      <color theme="1"/>
      <name val="Arial"/>
      <scheme val="minor"/>
    </font>
    <font>
      <color theme="1"/>
      <name val="Arial"/>
      <scheme val="minor"/>
    </font>
    <font>
      <color theme="1"/>
      <name val="Arial"/>
    </font>
    <font>
      <u/>
      <color rgb="FF0000FF"/>
      <name val="Arial"/>
    </font>
    <font>
      <u/>
      <color rgb="FF0000FF"/>
      <name val="Arial"/>
    </font>
    <font>
      <u/>
      <color rgb="FF0000FF"/>
    </font>
    <font>
      <sz val="11.0"/>
      <color theme="1"/>
      <name val="Arial"/>
    </font>
    <font>
      <i/>
      <color theme="1"/>
      <name val="Arial"/>
      <scheme val="minor"/>
    </font>
    <font>
      <b/>
      <color rgb="FFFF0000"/>
      <name val="Arial"/>
      <scheme val="minor"/>
    </font>
    <font>
      <b/>
      <sz val="9.0"/>
      <color theme="1"/>
      <name val="Arial"/>
      <scheme val="minor"/>
    </font>
    <font/>
    <font>
      <sz val="10.0"/>
      <color theme="1"/>
      <name val="Arial"/>
      <scheme val="minor"/>
    </font>
    <font>
      <sz val="11.0"/>
      <color rgb="FF1F1F1F"/>
      <name val="&quot;Google Sans&quot;"/>
    </font>
    <font>
      <sz val="10.0"/>
      <color rgb="FF1F1F1F"/>
      <name val="Arial"/>
      <scheme val="minor"/>
    </font>
    <font>
      <sz val="9.0"/>
      <color theme="1"/>
      <name val="&quot;Google Sans Mono&quot;"/>
    </font>
    <font>
      <b/>
      <color rgb="FF000000"/>
      <name val="Arial"/>
    </font>
    <font>
      <color rgb="FFD0E0E3"/>
      <name val="Arial"/>
    </font>
    <font>
      <b/>
      <sz val="10.0"/>
      <color theme="1"/>
      <name val="Arial"/>
      <scheme val="minor"/>
    </font>
    <font>
      <sz val="9.0"/>
      <color rgb="FF000000"/>
      <name val="&quot;Google Sans Mono&quot;"/>
    </font>
    <font>
      <b/>
      <sz val="11.0"/>
      <color theme="1"/>
      <name val="Arial"/>
    </font>
    <font>
      <sz val="10.0"/>
      <color rgb="FF1B1B1B"/>
      <name val="Arial"/>
      <scheme val="minor"/>
    </font>
    <font>
      <b/>
      <sz val="10.0"/>
      <color rgb="FF000000"/>
      <name val="Arial"/>
      <scheme val="minor"/>
    </font>
  </fonts>
  <fills count="12">
    <fill>
      <patternFill patternType="none"/>
    </fill>
    <fill>
      <patternFill patternType="lightGray"/>
    </fill>
    <fill>
      <patternFill patternType="solid">
        <fgColor rgb="FFF3F3F3"/>
        <bgColor rgb="FFF3F3F3"/>
      </patternFill>
    </fill>
    <fill>
      <patternFill patternType="solid">
        <fgColor rgb="FFFFF2CC"/>
        <bgColor rgb="FFFFF2CC"/>
      </patternFill>
    </fill>
    <fill>
      <patternFill patternType="solid">
        <fgColor rgb="FFDED5BA"/>
        <bgColor rgb="FFDED5BA"/>
      </patternFill>
    </fill>
    <fill>
      <patternFill patternType="solid">
        <fgColor rgb="FFEAD1DC"/>
        <bgColor rgb="FFEAD1DC"/>
      </patternFill>
    </fill>
    <fill>
      <patternFill patternType="solid">
        <fgColor rgb="FFEFEFEF"/>
        <bgColor rgb="FFEFEFEF"/>
      </patternFill>
    </fill>
    <fill>
      <patternFill patternType="solid">
        <fgColor rgb="FFD0E0E3"/>
        <bgColor rgb="FFD0E0E3"/>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
      <patternFill patternType="solid">
        <fgColor rgb="FFD5A6BD"/>
        <bgColor rgb="FFD5A6BD"/>
      </patternFill>
    </fill>
  </fills>
  <borders count="16">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357">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readingOrder="0"/>
    </xf>
    <xf borderId="0" fillId="0" fontId="2" numFmtId="49" xfId="0" applyFont="1" applyNumberFormat="1"/>
    <xf borderId="0" fillId="0" fontId="1" numFmtId="49" xfId="0" applyAlignment="1" applyFont="1" applyNumberFormat="1">
      <alignment readingOrder="0"/>
    </xf>
    <xf borderId="0" fillId="0" fontId="1" numFmtId="49" xfId="0" applyAlignment="1" applyFont="1" applyNumberFormat="1">
      <alignment readingOrder="0"/>
    </xf>
    <xf borderId="2" fillId="3" fontId="2" numFmtId="49" xfId="0" applyAlignment="1" applyBorder="1" applyFill="1" applyFont="1" applyNumberFormat="1">
      <alignment readingOrder="0"/>
    </xf>
    <xf borderId="0" fillId="0" fontId="3" numFmtId="49" xfId="0" applyAlignment="1" applyFont="1" applyNumberFormat="1">
      <alignment shrinkToFit="0" vertical="bottom" wrapText="0"/>
    </xf>
    <xf borderId="0" fillId="0" fontId="3" numFmtId="49" xfId="0" applyAlignment="1" applyFont="1" applyNumberFormat="1">
      <alignment vertical="bottom"/>
    </xf>
    <xf borderId="2" fillId="4" fontId="2" numFmtId="49" xfId="0" applyAlignment="1" applyBorder="1" applyFill="1" applyFont="1" applyNumberFormat="1">
      <alignment readingOrder="0"/>
    </xf>
    <xf borderId="0" fillId="0" fontId="4" numFmtId="49" xfId="0" applyAlignment="1" applyFont="1" applyNumberFormat="1">
      <alignment shrinkToFit="0" vertical="bottom" wrapText="0"/>
    </xf>
    <xf borderId="2" fillId="5" fontId="2" numFmtId="49" xfId="0" applyAlignment="1" applyBorder="1" applyFill="1" applyFont="1" applyNumberFormat="1">
      <alignment readingOrder="0"/>
    </xf>
    <xf borderId="0" fillId="0" fontId="5" numFmtId="49" xfId="0" applyAlignment="1" applyFont="1" applyNumberFormat="1">
      <alignment shrinkToFit="0" vertical="bottom" wrapText="0"/>
    </xf>
    <xf borderId="2" fillId="6" fontId="2" numFmtId="49" xfId="0" applyAlignment="1" applyBorder="1" applyFill="1" applyFont="1" applyNumberFormat="1">
      <alignment readingOrder="0"/>
    </xf>
    <xf borderId="2" fillId="7" fontId="2" numFmtId="49" xfId="0" applyAlignment="1" applyBorder="1" applyFill="1" applyFont="1" applyNumberFormat="1">
      <alignment readingOrder="0"/>
    </xf>
    <xf borderId="2" fillId="8" fontId="2" numFmtId="49" xfId="0" applyAlignment="1" applyBorder="1" applyFill="1" applyFont="1" applyNumberFormat="1">
      <alignment readingOrder="0"/>
    </xf>
    <xf borderId="2" fillId="2" fontId="2" numFmtId="49" xfId="0" applyAlignment="1" applyBorder="1" applyFont="1" applyNumberFormat="1">
      <alignment readingOrder="0"/>
    </xf>
    <xf borderId="2" fillId="0" fontId="2" numFmtId="49" xfId="0" applyAlignment="1" applyBorder="1" applyFont="1" applyNumberFormat="1">
      <alignment readingOrder="0"/>
    </xf>
    <xf borderId="0" fillId="0" fontId="3" numFmtId="49" xfId="0" applyAlignment="1" applyFont="1" applyNumberFormat="1">
      <alignment readingOrder="0" shrinkToFit="0" vertical="bottom" wrapText="0"/>
    </xf>
    <xf borderId="3" fillId="0" fontId="2" numFmtId="49" xfId="0" applyAlignment="1" applyBorder="1" applyFont="1" applyNumberFormat="1">
      <alignment readingOrder="0"/>
    </xf>
    <xf borderId="0" fillId="0" fontId="3" numFmtId="49" xfId="0" applyAlignment="1" applyFont="1" applyNumberFormat="1">
      <alignment readingOrder="0" shrinkToFit="0" vertical="bottom" wrapText="0"/>
    </xf>
    <xf borderId="0" fillId="0" fontId="6" numFmtId="49" xfId="0" applyAlignment="1" applyFont="1" applyNumberFormat="1">
      <alignment readingOrder="0"/>
    </xf>
    <xf borderId="4" fillId="0" fontId="1" numFmtId="49" xfId="0" applyAlignment="1" applyBorder="1" applyFont="1" applyNumberFormat="1">
      <alignment readingOrder="0"/>
    </xf>
    <xf borderId="5" fillId="0" fontId="2" numFmtId="49" xfId="0" applyBorder="1" applyFont="1" applyNumberFormat="1"/>
    <xf borderId="6" fillId="0" fontId="2" numFmtId="49" xfId="0" applyBorder="1" applyFont="1" applyNumberFormat="1"/>
    <xf borderId="6" fillId="0" fontId="1" numFmtId="49" xfId="0" applyAlignment="1" applyBorder="1" applyFont="1" applyNumberFormat="1">
      <alignment horizontal="right" readingOrder="0"/>
    </xf>
    <xf borderId="5" fillId="0" fontId="1" numFmtId="49" xfId="0" applyAlignment="1" applyBorder="1" applyFont="1" applyNumberFormat="1">
      <alignment horizontal="right" readingOrder="0"/>
    </xf>
    <xf borderId="7" fillId="0" fontId="2" numFmtId="49" xfId="0" applyAlignment="1" applyBorder="1" applyFont="1" applyNumberFormat="1">
      <alignment readingOrder="0"/>
    </xf>
    <xf borderId="8" fillId="0" fontId="7" numFmtId="49" xfId="0" applyAlignment="1" applyBorder="1" applyFont="1" applyNumberFormat="1">
      <alignment horizontal="right" readingOrder="0"/>
    </xf>
    <xf borderId="7" fillId="0" fontId="2" numFmtId="49" xfId="0" applyBorder="1" applyFont="1" applyNumberFormat="1"/>
    <xf borderId="8" fillId="0" fontId="2" numFmtId="49" xfId="0" applyBorder="1" applyFont="1" applyNumberFormat="1"/>
    <xf borderId="4" fillId="0" fontId="8" numFmtId="49" xfId="0" applyAlignment="1" applyBorder="1" applyFont="1" applyNumberFormat="1">
      <alignment readingOrder="0"/>
    </xf>
    <xf borderId="5" fillId="0" fontId="7" numFmtId="49" xfId="0" applyAlignment="1" applyBorder="1" applyFont="1" applyNumberFormat="1">
      <alignment horizontal="right" readingOrder="0"/>
    </xf>
    <xf borderId="9" fillId="0" fontId="8" numFmtId="49" xfId="0" applyAlignment="1" applyBorder="1" applyFont="1" applyNumberFormat="1">
      <alignment readingOrder="0"/>
    </xf>
    <xf borderId="10" fillId="0" fontId="8" numFmtId="49" xfId="0" applyAlignment="1" applyBorder="1" applyFont="1" applyNumberFormat="1">
      <alignment readingOrder="0"/>
    </xf>
    <xf borderId="11" fillId="4" fontId="8" numFmtId="49" xfId="0" applyAlignment="1" applyBorder="1" applyFont="1" applyNumberFormat="1">
      <alignment readingOrder="0"/>
    </xf>
    <xf borderId="12" fillId="0" fontId="8" numFmtId="49" xfId="0" applyAlignment="1" applyBorder="1" applyFont="1" applyNumberFormat="1">
      <alignment readingOrder="0"/>
    </xf>
    <xf borderId="0" fillId="0" fontId="1" numFmtId="49" xfId="0" applyAlignment="1" applyFont="1" applyNumberFormat="1">
      <alignment horizontal="right" readingOrder="0"/>
    </xf>
    <xf borderId="8" fillId="3" fontId="7" numFmtId="3" xfId="0" applyAlignment="1" applyBorder="1" applyFont="1" applyNumberFormat="1">
      <alignment horizontal="right" vertical="bottom"/>
    </xf>
    <xf borderId="9" fillId="0" fontId="2" numFmtId="49" xfId="0" applyAlignment="1" applyBorder="1" applyFont="1" applyNumberFormat="1">
      <alignment readingOrder="0"/>
    </xf>
    <xf borderId="10" fillId="0" fontId="2" numFmtId="49" xfId="0" applyAlignment="1" applyBorder="1" applyFont="1" applyNumberFormat="1">
      <alignment horizontal="left" readingOrder="0"/>
    </xf>
    <xf borderId="10" fillId="0" fontId="2" numFmtId="1" xfId="0" applyAlignment="1" applyBorder="1" applyFont="1" applyNumberFormat="1">
      <alignment horizontal="left" readingOrder="0"/>
    </xf>
    <xf borderId="11" fillId="4" fontId="3" numFmtId="164" xfId="0" applyAlignment="1" applyBorder="1" applyFont="1" applyNumberFormat="1">
      <alignment horizontal="right" vertical="bottom"/>
    </xf>
    <xf borderId="12" fillId="0" fontId="2" numFmtId="49" xfId="0" applyAlignment="1" applyBorder="1" applyFont="1" applyNumberFormat="1">
      <alignment readingOrder="0"/>
    </xf>
    <xf borderId="0" fillId="5" fontId="2" numFmtId="49" xfId="0" applyAlignment="1" applyFont="1" applyNumberFormat="1">
      <alignment readingOrder="0"/>
    </xf>
    <xf borderId="0" fillId="2" fontId="2" numFmtId="164" xfId="0" applyFont="1" applyNumberFormat="1"/>
    <xf borderId="0" fillId="4" fontId="2" numFmtId="164" xfId="0" applyAlignment="1" applyFont="1" applyNumberFormat="1">
      <alignment readingOrder="0"/>
    </xf>
    <xf borderId="13" fillId="0" fontId="2" numFmtId="49" xfId="0" applyAlignment="1" applyBorder="1" applyFont="1" applyNumberFormat="1">
      <alignment readingOrder="0"/>
    </xf>
    <xf borderId="14" fillId="3" fontId="7" numFmtId="3" xfId="0" applyAlignment="1" applyBorder="1" applyFont="1" applyNumberFormat="1">
      <alignment horizontal="right" vertical="bottom"/>
    </xf>
    <xf borderId="7" fillId="0" fontId="2" numFmtId="49" xfId="0" applyAlignment="1" applyBorder="1" applyFont="1" applyNumberFormat="1">
      <alignment horizontal="left" readingOrder="0"/>
    </xf>
    <xf borderId="0" fillId="0" fontId="2" numFmtId="49" xfId="0" applyAlignment="1" applyFont="1" applyNumberFormat="1">
      <alignment horizontal="left" readingOrder="0"/>
    </xf>
    <xf borderId="0" fillId="0" fontId="2" numFmtId="1" xfId="0" applyAlignment="1" applyFont="1" applyNumberFormat="1">
      <alignment horizontal="left" readingOrder="0"/>
    </xf>
    <xf borderId="2" fillId="4" fontId="3" numFmtId="164" xfId="0" applyAlignment="1" applyBorder="1" applyFont="1" applyNumberFormat="1">
      <alignment horizontal="right" vertical="bottom"/>
    </xf>
    <xf borderId="8" fillId="0" fontId="2" numFmtId="49" xfId="0" applyAlignment="1" applyBorder="1" applyFont="1" applyNumberFormat="1">
      <alignment readingOrder="0"/>
    </xf>
    <xf borderId="0" fillId="0" fontId="2" numFmtId="49" xfId="0" applyAlignment="1" applyFont="1" applyNumberFormat="1">
      <alignment readingOrder="0"/>
    </xf>
    <xf borderId="7" fillId="0" fontId="8" numFmtId="49" xfId="0" applyAlignment="1" applyBorder="1" applyFont="1" applyNumberFormat="1">
      <alignment readingOrder="0"/>
    </xf>
    <xf borderId="7" fillId="8" fontId="2" numFmtId="0" xfId="0" applyAlignment="1" applyBorder="1" applyFont="1">
      <alignment readingOrder="0"/>
    </xf>
    <xf borderId="0" fillId="5" fontId="2" numFmtId="0" xfId="0" applyAlignment="1" applyFont="1">
      <alignment readingOrder="0"/>
    </xf>
    <xf borderId="0" fillId="0" fontId="2" numFmtId="0" xfId="0" applyAlignment="1" applyFont="1">
      <alignment horizontal="center" readingOrder="0"/>
    </xf>
    <xf borderId="0" fillId="4" fontId="2" numFmtId="165" xfId="0" applyAlignment="1" applyFont="1" applyNumberFormat="1">
      <alignment readingOrder="0"/>
    </xf>
    <xf borderId="8" fillId="4" fontId="3" numFmtId="3" xfId="0" applyAlignment="1" applyBorder="1" applyFont="1" applyNumberFormat="1">
      <alignment horizontal="right" vertical="bottom"/>
    </xf>
    <xf borderId="8" fillId="4" fontId="3" numFmtId="164" xfId="0" applyAlignment="1" applyBorder="1" applyFont="1" applyNumberFormat="1">
      <alignment horizontal="right" vertical="bottom"/>
    </xf>
    <xf borderId="0" fillId="9" fontId="3" numFmtId="164" xfId="0" applyAlignment="1" applyFill="1" applyFont="1" applyNumberFormat="1">
      <alignment horizontal="right" vertical="bottom"/>
    </xf>
    <xf borderId="14" fillId="4" fontId="3" numFmtId="164" xfId="0" applyAlignment="1" applyBorder="1" applyFont="1" applyNumberFormat="1">
      <alignment horizontal="right" vertical="bottom"/>
    </xf>
    <xf borderId="13" fillId="0" fontId="2" numFmtId="0" xfId="0" applyBorder="1" applyFont="1"/>
    <xf borderId="15" fillId="0" fontId="2" numFmtId="0" xfId="0" applyBorder="1" applyFont="1"/>
    <xf borderId="14" fillId="0" fontId="2" numFmtId="0" xfId="0" applyBorder="1" applyFont="1"/>
    <xf borderId="0" fillId="0" fontId="2" numFmtId="49" xfId="0" applyAlignment="1" applyFont="1" applyNumberFormat="1">
      <alignment horizontal="right" readingOrder="0"/>
    </xf>
    <xf borderId="0" fillId="4" fontId="2" numFmtId="49" xfId="0" applyAlignment="1" applyFont="1" applyNumberFormat="1">
      <alignment readingOrder="0"/>
    </xf>
    <xf borderId="0" fillId="2" fontId="2" numFmtId="0" xfId="0" applyFont="1"/>
    <xf borderId="0" fillId="4" fontId="2" numFmtId="0" xfId="0" applyAlignment="1" applyFont="1">
      <alignment readingOrder="0"/>
    </xf>
    <xf borderId="6" fillId="0" fontId="1" numFmtId="49" xfId="0" applyAlignment="1" applyBorder="1" applyFont="1" applyNumberFormat="1">
      <alignment horizontal="center" readingOrder="0"/>
    </xf>
    <xf borderId="15" fillId="6" fontId="2" numFmtId="49" xfId="0" applyAlignment="1" applyBorder="1" applyFont="1" applyNumberFormat="1">
      <alignment readingOrder="0"/>
    </xf>
    <xf borderId="15" fillId="0" fontId="2" numFmtId="49" xfId="0" applyBorder="1" applyFont="1" applyNumberFormat="1"/>
    <xf borderId="14" fillId="0" fontId="2" numFmtId="49" xfId="0" applyBorder="1" applyFont="1" applyNumberFormat="1"/>
    <xf borderId="0" fillId="0" fontId="1" numFmtId="49" xfId="0" applyAlignment="1" applyFont="1" applyNumberFormat="1">
      <alignment horizontal="center" readingOrder="0"/>
    </xf>
    <xf borderId="6" fillId="0" fontId="1" numFmtId="49" xfId="0" applyAlignment="1" applyBorder="1" applyFont="1" applyNumberFormat="1">
      <alignment readingOrder="0"/>
    </xf>
    <xf borderId="0" fillId="0" fontId="1" numFmtId="164" xfId="0" applyAlignment="1" applyFont="1" applyNumberFormat="1">
      <alignment horizontal="center" readingOrder="0"/>
    </xf>
    <xf borderId="0" fillId="0" fontId="1" numFmtId="0" xfId="0" applyAlignment="1" applyFont="1">
      <alignment readingOrder="0"/>
    </xf>
    <xf borderId="4" fillId="0" fontId="2" numFmtId="49" xfId="0" applyBorder="1" applyFont="1" applyNumberFormat="1"/>
    <xf borderId="6" fillId="2" fontId="2" numFmtId="166" xfId="0" applyBorder="1" applyFont="1" applyNumberFormat="1"/>
    <xf borderId="6" fillId="0" fontId="2" numFmtId="0" xfId="0" applyBorder="1" applyFont="1"/>
    <xf borderId="6" fillId="2" fontId="2" numFmtId="0" xfId="0" applyBorder="1" applyFont="1"/>
    <xf borderId="5" fillId="0" fontId="2" numFmtId="0" xfId="0" applyBorder="1" applyFont="1"/>
    <xf borderId="0" fillId="0" fontId="2" numFmtId="164" xfId="0" applyFont="1" applyNumberFormat="1"/>
    <xf borderId="7" fillId="0" fontId="1" numFmtId="49" xfId="0" applyAlignment="1" applyBorder="1" applyFont="1" applyNumberFormat="1">
      <alignment readingOrder="0"/>
    </xf>
    <xf borderId="13" fillId="2" fontId="2" numFmtId="164" xfId="0" applyAlignment="1" applyBorder="1" applyFont="1" applyNumberFormat="1">
      <alignment horizontal="right" readingOrder="0"/>
    </xf>
    <xf borderId="15" fillId="2" fontId="2" numFmtId="164" xfId="0" applyBorder="1" applyFont="1" applyNumberFormat="1"/>
    <xf borderId="15" fillId="7" fontId="2" numFmtId="164" xfId="0" applyBorder="1" applyFont="1" applyNumberFormat="1"/>
    <xf borderId="15" fillId="2" fontId="2" numFmtId="164" xfId="0" applyAlignment="1" applyBorder="1" applyFont="1" applyNumberFormat="1">
      <alignment horizontal="right" readingOrder="0"/>
    </xf>
    <xf borderId="0" fillId="0" fontId="2" numFmtId="164" xfId="0" applyAlignment="1" applyFont="1" applyNumberFormat="1">
      <alignment horizontal="center" readingOrder="0"/>
    </xf>
    <xf borderId="8" fillId="0" fontId="2" numFmtId="0" xfId="0" applyBorder="1" applyFont="1"/>
    <xf borderId="0" fillId="0" fontId="2" numFmtId="166" xfId="0" applyFont="1" applyNumberFormat="1"/>
    <xf borderId="13" fillId="0" fontId="1" numFmtId="49" xfId="0" applyAlignment="1" applyBorder="1" applyFont="1" applyNumberFormat="1">
      <alignment readingOrder="0"/>
    </xf>
    <xf borderId="9" fillId="0" fontId="2" numFmtId="49" xfId="0" applyBorder="1" applyFont="1" applyNumberFormat="1"/>
    <xf borderId="10" fillId="0" fontId="2" numFmtId="49" xfId="0" applyBorder="1" applyFont="1" applyNumberFormat="1"/>
    <xf borderId="10" fillId="8" fontId="2" numFmtId="164" xfId="0" applyAlignment="1" applyBorder="1" applyFont="1" applyNumberFormat="1">
      <alignment readingOrder="0"/>
    </xf>
    <xf borderId="10" fillId="8" fontId="2" numFmtId="164" xfId="0" applyBorder="1" applyFont="1" applyNumberFormat="1"/>
    <xf borderId="10" fillId="0" fontId="2" numFmtId="0" xfId="0" applyBorder="1" applyFont="1"/>
    <xf borderId="12" fillId="8" fontId="2" numFmtId="164" xfId="0" applyBorder="1" applyFont="1" applyNumberFormat="1"/>
    <xf borderId="6" fillId="0" fontId="9" numFmtId="49" xfId="0" applyAlignment="1" applyBorder="1" applyFont="1" applyNumberFormat="1">
      <alignment horizontal="right" readingOrder="0"/>
    </xf>
    <xf borderId="6" fillId="0" fontId="10" numFmtId="49" xfId="0" applyAlignment="1" applyBorder="1" applyFont="1" applyNumberFormat="1">
      <alignment horizontal="left" readingOrder="0"/>
    </xf>
    <xf borderId="6" fillId="0" fontId="11" numFmtId="0" xfId="0" applyBorder="1" applyFont="1"/>
    <xf borderId="5" fillId="0" fontId="11" numFmtId="0" xfId="0" applyBorder="1" applyFont="1"/>
    <xf borderId="0" fillId="0" fontId="10" numFmtId="49" xfId="0" applyAlignment="1" applyFont="1" applyNumberFormat="1">
      <alignment horizontal="left" readingOrder="0"/>
    </xf>
    <xf borderId="4" fillId="0" fontId="8" numFmtId="49" xfId="0" applyAlignment="1" applyBorder="1" applyFont="1" applyNumberFormat="1">
      <alignment horizontal="center" readingOrder="0"/>
    </xf>
    <xf borderId="12" fillId="0" fontId="8" numFmtId="49" xfId="0" applyAlignment="1" applyBorder="1" applyFont="1" applyNumberFormat="1">
      <alignment horizontal="center" readingOrder="0"/>
    </xf>
    <xf borderId="6" fillId="0" fontId="8" numFmtId="49" xfId="0" applyAlignment="1" applyBorder="1" applyFont="1" applyNumberFormat="1">
      <alignment horizontal="center" readingOrder="0"/>
    </xf>
    <xf borderId="5" fillId="0" fontId="8" numFmtId="49" xfId="0" applyAlignment="1" applyBorder="1" applyFont="1" applyNumberFormat="1">
      <alignment horizontal="center" readingOrder="0"/>
    </xf>
    <xf borderId="4" fillId="7" fontId="2" numFmtId="164" xfId="0" applyBorder="1" applyFont="1" applyNumberFormat="1"/>
    <xf borderId="0" fillId="9" fontId="2" numFmtId="164" xfId="0" applyFont="1" applyNumberFormat="1"/>
    <xf borderId="5" fillId="7" fontId="2" numFmtId="164" xfId="0" applyBorder="1" applyFont="1" applyNumberFormat="1"/>
    <xf borderId="4" fillId="3" fontId="2" numFmtId="164" xfId="0" applyAlignment="1" applyBorder="1" applyFont="1" applyNumberFormat="1">
      <alignment readingOrder="0"/>
    </xf>
    <xf borderId="5" fillId="7" fontId="2" numFmtId="164" xfId="0" applyAlignment="1" applyBorder="1" applyFont="1" applyNumberFormat="1">
      <alignment readingOrder="0"/>
    </xf>
    <xf borderId="7" fillId="9" fontId="2" numFmtId="164" xfId="0" applyBorder="1" applyFont="1" applyNumberFormat="1"/>
    <xf borderId="0" fillId="2" fontId="12" numFmtId="164" xfId="0" applyAlignment="1" applyFont="1" applyNumberFormat="1">
      <alignment readingOrder="0"/>
    </xf>
    <xf borderId="7" fillId="0" fontId="2" numFmtId="0" xfId="0" applyBorder="1" applyFont="1"/>
    <xf borderId="13" fillId="7" fontId="2" numFmtId="164" xfId="0" applyBorder="1" applyFont="1" applyNumberFormat="1"/>
    <xf borderId="7" fillId="7" fontId="2" numFmtId="164" xfId="0" applyBorder="1" applyFont="1" applyNumberFormat="1"/>
    <xf borderId="8" fillId="7" fontId="2" numFmtId="164" xfId="0" applyBorder="1" applyFont="1" applyNumberFormat="1"/>
    <xf borderId="7" fillId="3" fontId="2" numFmtId="164" xfId="0" applyAlignment="1" applyBorder="1" applyFont="1" applyNumberFormat="1">
      <alignment readingOrder="0"/>
    </xf>
    <xf borderId="8" fillId="7" fontId="2" numFmtId="164" xfId="0" applyAlignment="1" applyBorder="1" applyFont="1" applyNumberFormat="1">
      <alignment readingOrder="0"/>
    </xf>
    <xf borderId="9" fillId="0" fontId="1" numFmtId="49" xfId="0" applyAlignment="1" applyBorder="1" applyFont="1" applyNumberFormat="1">
      <alignment readingOrder="0"/>
    </xf>
    <xf borderId="9" fillId="2" fontId="2" numFmtId="164" xfId="0" applyBorder="1" applyFont="1" applyNumberFormat="1"/>
    <xf borderId="12" fillId="2" fontId="2" numFmtId="164" xfId="0" applyBorder="1" applyFont="1" applyNumberFormat="1"/>
    <xf borderId="9" fillId="2" fontId="1" numFmtId="164" xfId="0" applyBorder="1" applyFont="1" applyNumberFormat="1"/>
    <xf borderId="12" fillId="7" fontId="1" numFmtId="164" xfId="0" applyBorder="1" applyFont="1" applyNumberFormat="1"/>
    <xf borderId="0" fillId="0" fontId="2" numFmtId="167" xfId="0" applyFont="1" applyNumberFormat="1"/>
    <xf borderId="0" fillId="0" fontId="2" numFmtId="164" xfId="0" applyAlignment="1" applyFont="1" applyNumberFormat="1">
      <alignment readingOrder="0"/>
    </xf>
    <xf borderId="0" fillId="0" fontId="1" numFmtId="164" xfId="0" applyAlignment="1" applyFont="1" applyNumberFormat="1">
      <alignment horizontal="right" readingOrder="0"/>
    </xf>
    <xf borderId="0" fillId="0" fontId="7" numFmtId="164" xfId="0" applyAlignment="1" applyFont="1" applyNumberFormat="1">
      <alignment horizontal="right" readingOrder="0"/>
    </xf>
    <xf borderId="0" fillId="0" fontId="13" numFmtId="168" xfId="0" applyAlignment="1" applyFont="1" applyNumberFormat="1">
      <alignment readingOrder="0"/>
    </xf>
    <xf borderId="0" fillId="9" fontId="13" numFmtId="168" xfId="0" applyAlignment="1" applyFont="1" applyNumberFormat="1">
      <alignment readingOrder="0"/>
    </xf>
    <xf borderId="0" fillId="0" fontId="14" numFmtId="168" xfId="0" applyAlignment="1" applyFont="1" applyNumberFormat="1">
      <alignment readingOrder="0"/>
    </xf>
    <xf borderId="0" fillId="0" fontId="2" numFmtId="168" xfId="0" applyFont="1" applyNumberFormat="1"/>
    <xf borderId="0" fillId="0" fontId="2" numFmtId="169" xfId="0" applyAlignment="1" applyFont="1" applyNumberFormat="1">
      <alignment readingOrder="0"/>
    </xf>
    <xf borderId="0" fillId="0" fontId="2" numFmtId="0" xfId="0" applyAlignment="1" applyFont="1">
      <alignment readingOrder="0"/>
    </xf>
    <xf borderId="0" fillId="0" fontId="2" numFmtId="10" xfId="0" applyAlignment="1" applyFont="1" applyNumberFormat="1">
      <alignment readingOrder="0"/>
    </xf>
    <xf borderId="0" fillId="0" fontId="3" numFmtId="170" xfId="0" applyAlignment="1" applyFont="1" applyNumberFormat="1">
      <alignment horizontal="right" vertical="bottom"/>
    </xf>
    <xf borderId="0" fillId="0" fontId="15" numFmtId="164" xfId="0" applyFont="1" applyNumberFormat="1"/>
    <xf borderId="0" fillId="0" fontId="1" numFmtId="164" xfId="0" applyAlignment="1" applyFont="1" applyNumberFormat="1">
      <alignment horizontal="center"/>
    </xf>
    <xf borderId="0" fillId="9" fontId="15" numFmtId="164" xfId="0" applyFont="1" applyNumberFormat="1"/>
    <xf borderId="0" fillId="9" fontId="0" numFmtId="164" xfId="0" applyAlignment="1" applyFont="1" applyNumberFormat="1">
      <alignment readingOrder="0"/>
    </xf>
    <xf borderId="7" fillId="0" fontId="1" numFmtId="0" xfId="0" applyAlignment="1" applyBorder="1" applyFont="1">
      <alignment horizontal="center" readingOrder="0"/>
    </xf>
    <xf borderId="8" fillId="0" fontId="11" numFmtId="0" xfId="0" applyBorder="1" applyFont="1"/>
    <xf borderId="6" fillId="9" fontId="16" numFmtId="0" xfId="0" applyAlignment="1" applyBorder="1" applyFont="1">
      <alignment horizontal="center" readingOrder="0"/>
    </xf>
    <xf borderId="4" fillId="0" fontId="1" numFmtId="171" xfId="0" applyAlignment="1" applyBorder="1" applyFont="1" applyNumberFormat="1">
      <alignment horizontal="center" readingOrder="0"/>
    </xf>
    <xf borderId="6" fillId="0" fontId="1" numFmtId="171" xfId="0" applyAlignment="1" applyBorder="1" applyFont="1" applyNumberFormat="1">
      <alignment horizontal="center" readingOrder="0"/>
    </xf>
    <xf borderId="6" fillId="0" fontId="1" numFmtId="164" xfId="0" applyAlignment="1" applyBorder="1" applyFont="1" applyNumberFormat="1">
      <alignment horizontal="center" readingOrder="0"/>
    </xf>
    <xf borderId="4" fillId="0" fontId="1" numFmtId="164" xfId="0" applyAlignment="1" applyBorder="1" applyFont="1" applyNumberFormat="1">
      <alignment horizontal="center" readingOrder="0"/>
    </xf>
    <xf borderId="6" fillId="0" fontId="1" numFmtId="0" xfId="0" applyAlignment="1" applyBorder="1" applyFont="1">
      <alignment horizontal="center" readingOrder="0"/>
    </xf>
    <xf borderId="8" fillId="0" fontId="2" numFmtId="0" xfId="0" applyAlignment="1" applyBorder="1" applyFont="1">
      <alignment horizontal="center" readingOrder="0"/>
    </xf>
    <xf borderId="2" fillId="0" fontId="2" numFmtId="0" xfId="0" applyAlignment="1" applyBorder="1" applyFont="1">
      <alignment horizontal="center" readingOrder="0"/>
    </xf>
    <xf borderId="2" fillId="0" fontId="2" numFmtId="171" xfId="0" applyAlignment="1" applyBorder="1" applyFont="1" applyNumberFormat="1">
      <alignment readingOrder="0"/>
    </xf>
    <xf borderId="0" fillId="0" fontId="2" numFmtId="171" xfId="0" applyAlignment="1" applyFont="1" applyNumberFormat="1">
      <alignment readingOrder="0"/>
    </xf>
    <xf borderId="7" fillId="0" fontId="2" numFmtId="171" xfId="0" applyAlignment="1" applyBorder="1" applyFont="1" applyNumberFormat="1">
      <alignment horizontal="center" readingOrder="0"/>
    </xf>
    <xf borderId="7" fillId="0" fontId="2" numFmtId="0" xfId="0" applyAlignment="1" applyBorder="1" applyFont="1">
      <alignment horizontal="center" readingOrder="0"/>
    </xf>
    <xf borderId="0" fillId="0" fontId="2" numFmtId="0" xfId="0" applyAlignment="1" applyFont="1">
      <alignment horizontal="center" readingOrder="0"/>
    </xf>
    <xf borderId="5" fillId="0" fontId="2" numFmtId="0" xfId="0" applyAlignment="1" applyBorder="1" applyFont="1">
      <alignment readingOrder="0"/>
    </xf>
    <xf borderId="6" fillId="0" fontId="2" numFmtId="167" xfId="0" applyAlignment="1" applyBorder="1" applyFont="1" applyNumberFormat="1">
      <alignment readingOrder="0"/>
    </xf>
    <xf borderId="6" fillId="0" fontId="2" numFmtId="0" xfId="0" applyAlignment="1" applyBorder="1" applyFont="1">
      <alignment readingOrder="0"/>
    </xf>
    <xf borderId="4" fillId="0" fontId="2" numFmtId="0" xfId="0" applyAlignment="1" applyBorder="1" applyFont="1">
      <alignment readingOrder="0"/>
    </xf>
    <xf borderId="6" fillId="0" fontId="2" numFmtId="164" xfId="0" applyAlignment="1" applyBorder="1" applyFont="1" applyNumberFormat="1">
      <alignment readingOrder="0"/>
    </xf>
    <xf borderId="6" fillId="0" fontId="2" numFmtId="0" xfId="0" applyAlignment="1" applyBorder="1" applyFont="1">
      <alignment horizontal="right" readingOrder="0"/>
    </xf>
    <xf borderId="4" fillId="0" fontId="2" numFmtId="171" xfId="0" applyAlignment="1" applyBorder="1" applyFont="1" applyNumberFormat="1">
      <alignment readingOrder="0"/>
    </xf>
    <xf borderId="6" fillId="0" fontId="2" numFmtId="171" xfId="0" applyAlignment="1" applyBorder="1" applyFont="1" applyNumberFormat="1">
      <alignment readingOrder="0"/>
    </xf>
    <xf borderId="5" fillId="0" fontId="2" numFmtId="171" xfId="0" applyAlignment="1" applyBorder="1" applyFont="1" applyNumberFormat="1">
      <alignment readingOrder="0"/>
    </xf>
    <xf borderId="6" fillId="0" fontId="12" numFmtId="164" xfId="0" applyAlignment="1" applyBorder="1" applyFont="1" applyNumberFormat="1">
      <alignment readingOrder="0"/>
    </xf>
    <xf borderId="5" fillId="0" fontId="2" numFmtId="164" xfId="0" applyAlignment="1" applyBorder="1" applyFont="1" applyNumberFormat="1">
      <alignment readingOrder="0"/>
    </xf>
    <xf borderId="4" fillId="0" fontId="2" numFmtId="164" xfId="0" applyAlignment="1" applyBorder="1" applyFont="1" applyNumberFormat="1">
      <alignment readingOrder="0"/>
    </xf>
    <xf borderId="4" fillId="0" fontId="2" numFmtId="0" xfId="0" applyAlignment="1" applyBorder="1" applyFont="1">
      <alignment horizontal="center" readingOrder="0"/>
    </xf>
    <xf borderId="6" fillId="0" fontId="2" numFmtId="0" xfId="0" applyAlignment="1" applyBorder="1" applyFont="1">
      <alignment horizontal="center" readingOrder="0"/>
    </xf>
    <xf borderId="5" fillId="0" fontId="2" numFmtId="0" xfId="0" applyAlignment="1" applyBorder="1" applyFont="1">
      <alignment readingOrder="0"/>
    </xf>
    <xf borderId="4" fillId="0" fontId="2" numFmtId="0" xfId="0" applyAlignment="1" applyBorder="1" applyFont="1">
      <alignment readingOrder="0"/>
    </xf>
    <xf borderId="6" fillId="0" fontId="2" numFmtId="0" xfId="0" applyAlignment="1" applyBorder="1" applyFont="1">
      <alignment readingOrder="0"/>
    </xf>
    <xf borderId="12" fillId="0" fontId="12" numFmtId="0" xfId="0" applyAlignment="1" applyBorder="1" applyFont="1">
      <alignment readingOrder="0"/>
    </xf>
    <xf borderId="4" fillId="0" fontId="2" numFmtId="0" xfId="0" applyBorder="1" applyFont="1"/>
    <xf borderId="4" fillId="2" fontId="2" numFmtId="1" xfId="0" applyBorder="1" applyFont="1" applyNumberFormat="1"/>
    <xf borderId="6" fillId="2" fontId="2" numFmtId="164" xfId="0" applyBorder="1" applyFont="1" applyNumberFormat="1"/>
    <xf borderId="4" fillId="2" fontId="2" numFmtId="172" xfId="0" applyBorder="1" applyFont="1" applyNumberFormat="1"/>
    <xf borderId="5" fillId="2" fontId="2" numFmtId="166" xfId="0" applyBorder="1" applyFont="1" applyNumberFormat="1"/>
    <xf borderId="4" fillId="7" fontId="2" numFmtId="166" xfId="0" applyBorder="1" applyFont="1" applyNumberFormat="1"/>
    <xf borderId="6" fillId="7" fontId="2" numFmtId="164" xfId="0" applyBorder="1" applyFont="1" applyNumberFormat="1"/>
    <xf borderId="5" fillId="2" fontId="2" numFmtId="164" xfId="0" applyBorder="1" applyFont="1" applyNumberFormat="1"/>
    <xf borderId="6" fillId="8" fontId="2" numFmtId="164" xfId="0" applyBorder="1" applyFont="1" applyNumberFormat="1"/>
    <xf borderId="6" fillId="8" fontId="12" numFmtId="164" xfId="0" applyBorder="1" applyFont="1" applyNumberFormat="1"/>
    <xf borderId="5" fillId="8" fontId="2" numFmtId="164" xfId="0" applyBorder="1" applyFont="1" applyNumberFormat="1"/>
    <xf borderId="10" fillId="0" fontId="3" numFmtId="0" xfId="0" applyAlignment="1" applyBorder="1" applyFont="1">
      <alignment horizontal="right" vertical="bottom"/>
    </xf>
    <xf borderId="10" fillId="0" fontId="15" numFmtId="0" xfId="0" applyAlignment="1" applyBorder="1" applyFont="1">
      <alignment horizontal="center"/>
    </xf>
    <xf borderId="10" fillId="0" fontId="15" numFmtId="0" xfId="0" applyAlignment="1" applyBorder="1" applyFont="1">
      <alignment horizontal="center" readingOrder="0"/>
    </xf>
    <xf borderId="10" fillId="0" fontId="17" numFmtId="0" xfId="0" applyAlignment="1" applyBorder="1" applyFont="1">
      <alignment horizontal="right" vertical="bottom"/>
    </xf>
    <xf borderId="10" fillId="0" fontId="15" numFmtId="0" xfId="0" applyAlignment="1" applyBorder="1" applyFont="1">
      <alignment horizontal="right" vertical="bottom"/>
    </xf>
    <xf borderId="10" fillId="0" fontId="3" numFmtId="0" xfId="0" applyAlignment="1" applyBorder="1" applyFont="1">
      <alignment horizontal="center" vertical="bottom"/>
    </xf>
    <xf borderId="10" fillId="0" fontId="12" numFmtId="0" xfId="0" applyAlignment="1" applyBorder="1" applyFont="1">
      <alignment horizontal="right" vertical="bottom"/>
    </xf>
    <xf borderId="8" fillId="6" fontId="3" numFmtId="167" xfId="0" applyAlignment="1" applyBorder="1" applyFont="1" applyNumberFormat="1">
      <alignment horizontal="right" vertical="bottom"/>
    </xf>
    <xf borderId="0" fillId="5" fontId="3" numFmtId="167" xfId="0" applyAlignment="1" applyFont="1" applyNumberFormat="1">
      <alignment horizontal="right" vertical="bottom"/>
    </xf>
    <xf borderId="8" fillId="5" fontId="3" numFmtId="167" xfId="0" applyAlignment="1" applyBorder="1" applyFont="1" applyNumberFormat="1">
      <alignment horizontal="right" vertical="bottom"/>
    </xf>
    <xf borderId="0" fillId="3" fontId="3" numFmtId="1" xfId="0" applyAlignment="1" applyFont="1" applyNumberFormat="1">
      <alignment horizontal="right" vertical="bottom"/>
    </xf>
    <xf borderId="0" fillId="5" fontId="3" numFmtId="164" xfId="0" applyAlignment="1" applyFont="1" applyNumberFormat="1">
      <alignment horizontal="right" vertical="bottom"/>
    </xf>
    <xf borderId="0" fillId="3" fontId="3" numFmtId="164" xfId="0" applyAlignment="1" applyFont="1" applyNumberFormat="1">
      <alignment horizontal="right" vertical="bottom"/>
    </xf>
    <xf borderId="0" fillId="2" fontId="3" numFmtId="164" xfId="0" applyAlignment="1" applyFont="1" applyNumberFormat="1">
      <alignment horizontal="right" vertical="bottom"/>
    </xf>
    <xf borderId="8" fillId="2" fontId="3" numFmtId="173" xfId="0" applyAlignment="1" applyBorder="1" applyFont="1" applyNumberFormat="1">
      <alignment horizontal="right" vertical="bottom"/>
    </xf>
    <xf borderId="0" fillId="4" fontId="3" numFmtId="172" xfId="0" applyAlignment="1" applyFont="1" applyNumberFormat="1">
      <alignment horizontal="right" vertical="bottom"/>
    </xf>
    <xf borderId="0" fillId="3" fontId="15" numFmtId="171" xfId="0" applyAlignment="1" applyFont="1" applyNumberFormat="1">
      <alignment horizontal="center"/>
    </xf>
    <xf borderId="0" fillId="2" fontId="15" numFmtId="174" xfId="0" applyAlignment="1" applyFont="1" applyNumberFormat="1">
      <alignment horizontal="center"/>
    </xf>
    <xf borderId="8" fillId="4" fontId="15" numFmtId="174" xfId="0" applyAlignment="1" applyBorder="1" applyFont="1" applyNumberFormat="1">
      <alignment horizontal="center" readingOrder="0"/>
    </xf>
    <xf borderId="0" fillId="2" fontId="3" numFmtId="172" xfId="0" applyAlignment="1" applyFont="1" applyNumberFormat="1">
      <alignment horizontal="right" vertical="bottom"/>
    </xf>
    <xf borderId="0" fillId="2" fontId="3" numFmtId="174" xfId="0" applyAlignment="1" applyFont="1" applyNumberFormat="1">
      <alignment horizontal="right" vertical="bottom"/>
    </xf>
    <xf borderId="8" fillId="2" fontId="3" numFmtId="164" xfId="0" applyAlignment="1" applyBorder="1" applyFont="1" applyNumberFormat="1">
      <alignment horizontal="right" vertical="bottom"/>
    </xf>
    <xf borderId="0" fillId="2" fontId="3" numFmtId="166" xfId="0" applyAlignment="1" applyFont="1" applyNumberFormat="1">
      <alignment horizontal="right" vertical="bottom"/>
    </xf>
    <xf borderId="0" fillId="7" fontId="17" numFmtId="166" xfId="0" applyAlignment="1" applyFont="1" applyNumberFormat="1">
      <alignment horizontal="right" vertical="bottom"/>
    </xf>
    <xf borderId="8" fillId="7" fontId="3" numFmtId="164" xfId="0" applyAlignment="1" applyBorder="1" applyFont="1" applyNumberFormat="1">
      <alignment horizontal="right" vertical="bottom"/>
    </xf>
    <xf borderId="0" fillId="7" fontId="15" numFmtId="164" xfId="0" applyAlignment="1" applyFont="1" applyNumberFormat="1">
      <alignment horizontal="right" vertical="bottom"/>
    </xf>
    <xf borderId="8" fillId="7" fontId="15" numFmtId="164" xfId="0" applyAlignment="1" applyBorder="1" applyFont="1" applyNumberFormat="1">
      <alignment horizontal="right" vertical="bottom"/>
    </xf>
    <xf borderId="0" fillId="8" fontId="12" numFmtId="164" xfId="0" applyAlignment="1" applyFont="1" applyNumberFormat="1">
      <alignment horizontal="right" vertical="bottom"/>
    </xf>
    <xf borderId="0" fillId="8" fontId="3" numFmtId="164" xfId="0" applyAlignment="1" applyFont="1" applyNumberFormat="1">
      <alignment horizontal="right" vertical="bottom"/>
    </xf>
    <xf borderId="0" fillId="2" fontId="3" numFmtId="164" xfId="0" applyAlignment="1" applyFont="1" applyNumberFormat="1">
      <alignment horizontal="center" vertical="bottom"/>
    </xf>
    <xf borderId="0" fillId="8" fontId="0" numFmtId="164" xfId="0" applyFont="1" applyNumberFormat="1"/>
    <xf borderId="8" fillId="8" fontId="3" numFmtId="164" xfId="0" applyAlignment="1" applyBorder="1" applyFont="1" applyNumberFormat="1">
      <alignment horizontal="right" vertical="bottom"/>
    </xf>
    <xf borderId="0" fillId="3" fontId="15" numFmtId="171" xfId="0" applyAlignment="1" applyFont="1" applyNumberFormat="1">
      <alignment horizontal="center" readingOrder="0"/>
    </xf>
    <xf borderId="0" fillId="10" fontId="3" numFmtId="172" xfId="0" applyAlignment="1" applyFill="1" applyFont="1" applyNumberFormat="1">
      <alignment horizontal="right" vertical="bottom"/>
    </xf>
    <xf borderId="0" fillId="3" fontId="3" numFmtId="171" xfId="0" applyAlignment="1" applyFont="1" applyNumberFormat="1">
      <alignment horizontal="center"/>
    </xf>
    <xf borderId="8" fillId="2" fontId="3" numFmtId="2" xfId="0" applyAlignment="1" applyBorder="1" applyFont="1" applyNumberFormat="1">
      <alignment horizontal="right" vertical="bottom"/>
    </xf>
    <xf borderId="14" fillId="6" fontId="3" numFmtId="167" xfId="0" applyAlignment="1" applyBorder="1" applyFont="1" applyNumberFormat="1">
      <alignment horizontal="right" vertical="bottom"/>
    </xf>
    <xf borderId="15" fillId="5" fontId="3" numFmtId="167" xfId="0" applyAlignment="1" applyBorder="1" applyFont="1" applyNumberFormat="1">
      <alignment horizontal="right" vertical="bottom"/>
    </xf>
    <xf borderId="14" fillId="5" fontId="3" numFmtId="167" xfId="0" applyAlignment="1" applyBorder="1" applyFont="1" applyNumberFormat="1">
      <alignment horizontal="right" vertical="bottom"/>
    </xf>
    <xf borderId="15" fillId="3" fontId="3" numFmtId="1" xfId="0" applyAlignment="1" applyBorder="1" applyFont="1" applyNumberFormat="1">
      <alignment horizontal="right" vertical="bottom"/>
    </xf>
    <xf borderId="15" fillId="5" fontId="3" numFmtId="164" xfId="0" applyAlignment="1" applyBorder="1" applyFont="1" applyNumberFormat="1">
      <alignment horizontal="right" vertical="bottom"/>
    </xf>
    <xf borderId="15" fillId="3" fontId="3" numFmtId="164" xfId="0" applyAlignment="1" applyBorder="1" applyFont="1" applyNumberFormat="1">
      <alignment horizontal="right" vertical="bottom"/>
    </xf>
    <xf borderId="15" fillId="2" fontId="3" numFmtId="164" xfId="0" applyAlignment="1" applyBorder="1" applyFont="1" applyNumberFormat="1">
      <alignment horizontal="right" vertical="bottom"/>
    </xf>
    <xf borderId="14" fillId="2" fontId="3" numFmtId="2" xfId="0" applyAlignment="1" applyBorder="1" applyFont="1" applyNumberFormat="1">
      <alignment horizontal="right" vertical="bottom"/>
    </xf>
    <xf borderId="15" fillId="4" fontId="3" numFmtId="172" xfId="0" applyAlignment="1" applyBorder="1" applyFont="1" applyNumberFormat="1">
      <alignment horizontal="right" vertical="bottom"/>
    </xf>
    <xf borderId="15" fillId="3" fontId="3" numFmtId="171" xfId="0" applyAlignment="1" applyBorder="1" applyFont="1" applyNumberFormat="1">
      <alignment horizontal="center"/>
    </xf>
    <xf borderId="15" fillId="2" fontId="15" numFmtId="174" xfId="0" applyAlignment="1" applyBorder="1" applyFont="1" applyNumberFormat="1">
      <alignment horizontal="center"/>
    </xf>
    <xf borderId="15" fillId="2" fontId="3" numFmtId="172" xfId="0" applyAlignment="1" applyBorder="1" applyFont="1" applyNumberFormat="1">
      <alignment horizontal="right" vertical="bottom"/>
    </xf>
    <xf borderId="15" fillId="2" fontId="3" numFmtId="174" xfId="0" applyAlignment="1" applyBorder="1" applyFont="1" applyNumberFormat="1">
      <alignment horizontal="right" vertical="bottom"/>
    </xf>
    <xf borderId="14" fillId="2" fontId="3" numFmtId="164" xfId="0" applyAlignment="1" applyBorder="1" applyFont="1" applyNumberFormat="1">
      <alignment horizontal="right" vertical="bottom"/>
    </xf>
    <xf borderId="15" fillId="2" fontId="3" numFmtId="166" xfId="0" applyAlignment="1" applyBorder="1" applyFont="1" applyNumberFormat="1">
      <alignment horizontal="right" vertical="bottom"/>
    </xf>
    <xf borderId="15" fillId="7" fontId="17" numFmtId="166" xfId="0" applyAlignment="1" applyBorder="1" applyFont="1" applyNumberFormat="1">
      <alignment horizontal="right" vertical="bottom"/>
    </xf>
    <xf borderId="14" fillId="7" fontId="3" numFmtId="164" xfId="0" applyAlignment="1" applyBorder="1" applyFont="1" applyNumberFormat="1">
      <alignment horizontal="right" vertical="bottom"/>
    </xf>
    <xf borderId="15" fillId="7" fontId="15" numFmtId="164" xfId="0" applyAlignment="1" applyBorder="1" applyFont="1" applyNumberFormat="1">
      <alignment horizontal="right" vertical="bottom"/>
    </xf>
    <xf borderId="14" fillId="7" fontId="15" numFmtId="164" xfId="0" applyAlignment="1" applyBorder="1" applyFont="1" applyNumberFormat="1">
      <alignment horizontal="right" vertical="bottom"/>
    </xf>
    <xf borderId="15" fillId="2" fontId="3" numFmtId="164" xfId="0" applyAlignment="1" applyBorder="1" applyFont="1" applyNumberFormat="1">
      <alignment horizontal="center" vertical="bottom"/>
    </xf>
    <xf borderId="15" fillId="8" fontId="3" numFmtId="164" xfId="0" applyAlignment="1" applyBorder="1" applyFont="1" applyNumberFormat="1">
      <alignment horizontal="right" vertical="bottom"/>
    </xf>
    <xf borderId="15" fillId="8" fontId="0" numFmtId="164" xfId="0" applyBorder="1" applyFont="1" applyNumberFormat="1"/>
    <xf borderId="14" fillId="8" fontId="3" numFmtId="164" xfId="0" applyAlignment="1" applyBorder="1" applyFont="1" applyNumberFormat="1">
      <alignment horizontal="right" vertical="bottom"/>
    </xf>
    <xf borderId="0" fillId="0" fontId="2" numFmtId="0" xfId="0" applyFont="1"/>
    <xf borderId="7" fillId="0" fontId="2" numFmtId="0" xfId="0" applyBorder="1" applyFont="1"/>
    <xf borderId="0" fillId="0" fontId="12" numFmtId="0" xfId="0" applyFont="1"/>
    <xf borderId="9" fillId="0" fontId="2" numFmtId="0" xfId="0" applyBorder="1" applyFont="1"/>
    <xf borderId="9" fillId="2" fontId="2" numFmtId="1" xfId="0" applyBorder="1" applyFont="1" applyNumberFormat="1"/>
    <xf borderId="12" fillId="0" fontId="2" numFmtId="0" xfId="0" applyBorder="1" applyFont="1"/>
    <xf borderId="10" fillId="2" fontId="2" numFmtId="164" xfId="0" applyBorder="1" applyFont="1" applyNumberFormat="1"/>
    <xf borderId="9" fillId="2" fontId="2" numFmtId="172" xfId="0" applyBorder="1" applyFont="1" applyNumberFormat="1"/>
    <xf borderId="10" fillId="0" fontId="2" numFmtId="0" xfId="0" applyAlignment="1" applyBorder="1" applyFont="1">
      <alignment readingOrder="0"/>
    </xf>
    <xf borderId="10" fillId="2" fontId="2" numFmtId="166" xfId="0" applyBorder="1" applyFont="1" applyNumberFormat="1"/>
    <xf borderId="12" fillId="2" fontId="2" numFmtId="166" xfId="0" applyBorder="1" applyFont="1" applyNumberFormat="1"/>
    <xf borderId="9" fillId="7" fontId="2" numFmtId="166" xfId="0" applyBorder="1" applyFont="1" applyNumberFormat="1"/>
    <xf borderId="10" fillId="7" fontId="2" numFmtId="164" xfId="0" applyBorder="1" applyFont="1" applyNumberFormat="1"/>
    <xf borderId="9" fillId="7" fontId="2" numFmtId="164" xfId="0" applyBorder="1" applyFont="1" applyNumberFormat="1"/>
    <xf borderId="12" fillId="7" fontId="2" numFmtId="164" xfId="0" applyBorder="1" applyFont="1" applyNumberFormat="1"/>
    <xf borderId="10" fillId="8" fontId="12" numFmtId="164" xfId="0" applyBorder="1" applyFont="1" applyNumberFormat="1"/>
    <xf borderId="7" fillId="0" fontId="18" numFmtId="0" xfId="0" applyAlignment="1" applyBorder="1" applyFont="1">
      <alignment horizontal="center" readingOrder="0"/>
    </xf>
    <xf borderId="7" fillId="0" fontId="18" numFmtId="164" xfId="0" applyAlignment="1" applyBorder="1" applyFont="1" applyNumberFormat="1">
      <alignment horizontal="center" readingOrder="0"/>
    </xf>
    <xf borderId="6" fillId="0" fontId="18" numFmtId="0" xfId="0" applyAlignment="1" applyBorder="1" applyFont="1">
      <alignment horizontal="center" readingOrder="0"/>
    </xf>
    <xf borderId="4" fillId="0" fontId="18" numFmtId="171" xfId="0" applyAlignment="1" applyBorder="1" applyFont="1" applyNumberFormat="1">
      <alignment horizontal="center" readingOrder="0"/>
    </xf>
    <xf borderId="6" fillId="0" fontId="18" numFmtId="164" xfId="0" applyAlignment="1" applyBorder="1" applyFont="1" applyNumberFormat="1">
      <alignment horizontal="center" readingOrder="0"/>
    </xf>
    <xf borderId="4" fillId="0" fontId="18" numFmtId="49" xfId="0" applyAlignment="1" applyBorder="1" applyFont="1" applyNumberFormat="1">
      <alignment horizontal="center" readingOrder="0"/>
    </xf>
    <xf borderId="6" fillId="0" fontId="18" numFmtId="0" xfId="0" applyAlignment="1" applyBorder="1" applyFont="1">
      <alignment horizontal="center" readingOrder="0"/>
    </xf>
    <xf borderId="8" fillId="0" fontId="12" numFmtId="0" xfId="0" applyAlignment="1" applyBorder="1" applyFont="1">
      <alignment horizontal="center" readingOrder="0"/>
    </xf>
    <xf borderId="0" fillId="0" fontId="12" numFmtId="0" xfId="0" applyAlignment="1" applyFont="1">
      <alignment horizontal="center" readingOrder="0"/>
    </xf>
    <xf borderId="2" fillId="0" fontId="12" numFmtId="0" xfId="0" applyAlignment="1" applyBorder="1" applyFont="1">
      <alignment readingOrder="0"/>
    </xf>
    <xf borderId="7" fillId="0" fontId="12" numFmtId="0" xfId="0" applyAlignment="1" applyBorder="1" applyFont="1">
      <alignment horizontal="center" readingOrder="0"/>
    </xf>
    <xf borderId="2" fillId="0" fontId="12" numFmtId="171" xfId="0" applyAlignment="1" applyBorder="1" applyFont="1" applyNumberFormat="1">
      <alignment readingOrder="0"/>
    </xf>
    <xf borderId="8" fillId="0" fontId="12" numFmtId="171" xfId="0" applyAlignment="1" applyBorder="1" applyFont="1" applyNumberFormat="1">
      <alignment readingOrder="0"/>
    </xf>
    <xf borderId="13" fillId="0" fontId="2" numFmtId="171" xfId="0" applyAlignment="1" applyBorder="1" applyFont="1" applyNumberFormat="1">
      <alignment horizontal="center" readingOrder="0"/>
    </xf>
    <xf borderId="15" fillId="0" fontId="11" numFmtId="0" xfId="0" applyBorder="1" applyFont="1"/>
    <xf borderId="14" fillId="0" fontId="11" numFmtId="0" xfId="0" applyBorder="1" applyFont="1"/>
    <xf borderId="0" fillId="0" fontId="12" numFmtId="164" xfId="0" applyAlignment="1" applyFont="1" applyNumberFormat="1">
      <alignment horizontal="center" readingOrder="0"/>
    </xf>
    <xf borderId="7" fillId="0" fontId="2" numFmtId="164" xfId="0" applyAlignment="1" applyBorder="1" applyFont="1" applyNumberFormat="1">
      <alignment horizontal="center" readingOrder="0"/>
    </xf>
    <xf borderId="0" fillId="0" fontId="12" numFmtId="0" xfId="0" applyAlignment="1" applyFont="1">
      <alignment horizontal="center" readingOrder="0"/>
    </xf>
    <xf borderId="5" fillId="0" fontId="12" numFmtId="0" xfId="0" applyAlignment="1" applyBorder="1" applyFont="1">
      <alignment readingOrder="0"/>
    </xf>
    <xf borderId="10" fillId="0" fontId="12" numFmtId="0" xfId="0" applyAlignment="1" applyBorder="1" applyFont="1">
      <alignment readingOrder="0"/>
    </xf>
    <xf borderId="4" fillId="0" fontId="12" numFmtId="0" xfId="0" applyAlignment="1" applyBorder="1" applyFont="1">
      <alignment readingOrder="0"/>
    </xf>
    <xf borderId="11" fillId="0" fontId="12" numFmtId="0" xfId="0" applyAlignment="1" applyBorder="1" applyFont="1">
      <alignment readingOrder="0"/>
    </xf>
    <xf borderId="6" fillId="0" fontId="12" numFmtId="0" xfId="0" applyAlignment="1" applyBorder="1" applyFont="1">
      <alignment horizontal="center" readingOrder="0"/>
    </xf>
    <xf borderId="9" fillId="0" fontId="2" numFmtId="171" xfId="0" applyAlignment="1" applyBorder="1" applyFont="1" applyNumberFormat="1">
      <alignment readingOrder="0"/>
    </xf>
    <xf borderId="5" fillId="0" fontId="12" numFmtId="49" xfId="0" applyAlignment="1" applyBorder="1" applyFont="1" applyNumberFormat="1">
      <alignment readingOrder="0"/>
    </xf>
    <xf borderId="8" fillId="0" fontId="2" numFmtId="171" xfId="0" applyAlignment="1" applyBorder="1" applyFont="1" applyNumberFormat="1">
      <alignment readingOrder="0"/>
    </xf>
    <xf borderId="4" fillId="0" fontId="12" numFmtId="164" xfId="0" applyAlignment="1" applyBorder="1" applyFont="1" applyNumberFormat="1">
      <alignment readingOrder="0"/>
    </xf>
    <xf borderId="5" fillId="0" fontId="12" numFmtId="164" xfId="0" applyAlignment="1" applyBorder="1" applyFont="1" applyNumberFormat="1">
      <alignment readingOrder="0"/>
    </xf>
    <xf borderId="9" fillId="0" fontId="12" numFmtId="0" xfId="0" applyAlignment="1" applyBorder="1" applyFont="1">
      <alignment horizontal="center" readingOrder="0"/>
    </xf>
    <xf borderId="10" fillId="0" fontId="12" numFmtId="0" xfId="0" applyAlignment="1" applyBorder="1" applyFont="1">
      <alignment horizontal="center" readingOrder="0"/>
    </xf>
    <xf borderId="4" fillId="0" fontId="12" numFmtId="0" xfId="0" applyAlignment="1" applyBorder="1" applyFont="1">
      <alignment readingOrder="0"/>
    </xf>
    <xf borderId="6" fillId="0" fontId="12" numFmtId="0" xfId="0" applyAlignment="1" applyBorder="1" applyFont="1">
      <alignment readingOrder="0"/>
    </xf>
    <xf borderId="5" fillId="0" fontId="12" numFmtId="0" xfId="0" applyAlignment="1" applyBorder="1" applyFont="1">
      <alignment readingOrder="0"/>
    </xf>
    <xf borderId="9" fillId="2" fontId="2" numFmtId="171" xfId="0" applyBorder="1" applyFont="1" applyNumberFormat="1"/>
    <xf borderId="10" fillId="7" fontId="2" numFmtId="166" xfId="0" applyBorder="1" applyFont="1" applyNumberFormat="1"/>
    <xf borderId="10" fillId="0" fontId="3" numFmtId="0" xfId="0" applyAlignment="1" applyBorder="1" applyFont="1">
      <alignment vertical="bottom"/>
    </xf>
    <xf borderId="10" fillId="0" fontId="3" numFmtId="0" xfId="0" applyAlignment="1" applyBorder="1" applyFont="1">
      <alignment horizontal="center"/>
    </xf>
    <xf borderId="10" fillId="0" fontId="3" numFmtId="0" xfId="0" applyAlignment="1" applyBorder="1" applyFont="1">
      <alignment horizontal="right" readingOrder="0" vertical="bottom"/>
    </xf>
    <xf borderId="8" fillId="6" fontId="3" numFmtId="49" xfId="0" applyAlignment="1" applyBorder="1" applyFont="1" applyNumberFormat="1">
      <alignment vertical="bottom"/>
    </xf>
    <xf borderId="0" fillId="6" fontId="3" numFmtId="167" xfId="0" applyAlignment="1" applyFont="1" applyNumberFormat="1">
      <alignment horizontal="right" vertical="bottom"/>
    </xf>
    <xf borderId="8" fillId="5" fontId="3" numFmtId="164" xfId="0" applyAlignment="1" applyBorder="1" applyFont="1" applyNumberFormat="1">
      <alignment horizontal="right" vertical="bottom"/>
    </xf>
    <xf borderId="2" fillId="4" fontId="3" numFmtId="1" xfId="0" applyAlignment="1" applyBorder="1" applyFont="1" applyNumberFormat="1">
      <alignment horizontal="right" vertical="bottom"/>
    </xf>
    <xf borderId="0" fillId="4" fontId="3" numFmtId="171" xfId="0" applyAlignment="1" applyFont="1" applyNumberFormat="1">
      <alignment horizontal="right" vertical="bottom"/>
    </xf>
    <xf borderId="0" fillId="7" fontId="3" numFmtId="166" xfId="0" applyAlignment="1" applyFont="1" applyNumberFormat="1">
      <alignment horizontal="right" vertical="bottom"/>
    </xf>
    <xf borderId="0" fillId="7" fontId="3" numFmtId="164" xfId="0" applyAlignment="1" applyFont="1" applyNumberFormat="1">
      <alignment horizontal="right" vertical="bottom"/>
    </xf>
    <xf borderId="7" fillId="8" fontId="3" numFmtId="164" xfId="0" applyAlignment="1" applyBorder="1" applyFont="1" applyNumberFormat="1">
      <alignment horizontal="right" readingOrder="0" vertical="bottom"/>
    </xf>
    <xf borderId="0" fillId="3" fontId="3" numFmtId="171" xfId="0" applyAlignment="1" applyFont="1" applyNumberFormat="1">
      <alignment horizontal="center" readingOrder="0"/>
    </xf>
    <xf borderId="0" fillId="10" fontId="3" numFmtId="171" xfId="0" applyAlignment="1" applyFont="1" applyNumberFormat="1">
      <alignment horizontal="right" vertical="bottom"/>
    </xf>
    <xf borderId="0" fillId="6" fontId="3" numFmtId="167" xfId="0" applyAlignment="1" applyFont="1" applyNumberFormat="1">
      <alignment vertical="bottom"/>
    </xf>
    <xf borderId="8" fillId="11" fontId="3" numFmtId="167" xfId="0" applyAlignment="1" applyBorder="1" applyFill="1" applyFont="1" applyNumberFormat="1">
      <alignment horizontal="right" vertical="bottom"/>
    </xf>
    <xf borderId="14" fillId="6" fontId="3" numFmtId="49" xfId="0" applyAlignment="1" applyBorder="1" applyFont="1" applyNumberFormat="1">
      <alignment vertical="bottom"/>
    </xf>
    <xf borderId="15" fillId="6" fontId="3" numFmtId="167" xfId="0" applyAlignment="1" applyBorder="1" applyFont="1" applyNumberFormat="1">
      <alignment horizontal="right" vertical="bottom"/>
    </xf>
    <xf borderId="14" fillId="5" fontId="3" numFmtId="164" xfId="0" applyAlignment="1" applyBorder="1" applyFont="1" applyNumberFormat="1">
      <alignment horizontal="right" vertical="bottom"/>
    </xf>
    <xf borderId="3" fillId="4" fontId="3" numFmtId="1" xfId="0" applyAlignment="1" applyBorder="1" applyFont="1" applyNumberFormat="1">
      <alignment horizontal="right" vertical="bottom"/>
    </xf>
    <xf borderId="15" fillId="4" fontId="3" numFmtId="171" xfId="0" applyAlignment="1" applyBorder="1" applyFont="1" applyNumberFormat="1">
      <alignment horizontal="right" vertical="bottom"/>
    </xf>
    <xf borderId="15" fillId="7" fontId="3" numFmtId="166" xfId="0" applyAlignment="1" applyBorder="1" applyFont="1" applyNumberFormat="1">
      <alignment horizontal="right" vertical="bottom"/>
    </xf>
    <xf borderId="15" fillId="7" fontId="3" numFmtId="164" xfId="0" applyAlignment="1" applyBorder="1" applyFont="1" applyNumberFormat="1">
      <alignment horizontal="right" vertical="bottom"/>
    </xf>
    <xf borderId="13" fillId="8" fontId="3" numFmtId="164" xfId="0" applyAlignment="1" applyBorder="1" applyFont="1" applyNumberFormat="1">
      <alignment horizontal="right" readingOrder="0" vertical="bottom"/>
    </xf>
    <xf borderId="13" fillId="2" fontId="2" numFmtId="164" xfId="0" applyBorder="1" applyFont="1" applyNumberFormat="1"/>
    <xf borderId="0" fillId="5" fontId="12" numFmtId="164" xfId="0" applyAlignment="1" applyFont="1" applyNumberFormat="1">
      <alignment readingOrder="0"/>
    </xf>
    <xf borderId="0" fillId="5" fontId="12" numFmtId="164" xfId="0" applyFont="1" applyNumberFormat="1"/>
    <xf borderId="0" fillId="2" fontId="2" numFmtId="174" xfId="0" applyFont="1" applyNumberFormat="1"/>
    <xf borderId="0" fillId="9" fontId="19" numFmtId="49" xfId="0" applyAlignment="1" applyFont="1" applyNumberFormat="1">
      <alignment readingOrder="0"/>
    </xf>
    <xf borderId="0" fillId="5" fontId="2" numFmtId="174" xfId="0" applyAlignment="1" applyFont="1" applyNumberFormat="1">
      <alignment readingOrder="0"/>
    </xf>
    <xf borderId="0" fillId="5" fontId="12" numFmtId="172" xfId="0" applyAlignment="1" applyFont="1" applyNumberFormat="1">
      <alignment readingOrder="0"/>
    </xf>
    <xf borderId="0" fillId="5" fontId="2" numFmtId="174" xfId="0" applyAlignment="1" applyFont="1" applyNumberFormat="1">
      <alignment readingOrder="0"/>
    </xf>
    <xf borderId="0" fillId="2" fontId="2" numFmtId="174" xfId="0" applyAlignment="1" applyFont="1" applyNumberFormat="1">
      <alignment readingOrder="0"/>
    </xf>
    <xf borderId="0" fillId="5" fontId="2" numFmtId="9" xfId="0" applyAlignment="1" applyFont="1" applyNumberFormat="1">
      <alignment readingOrder="0"/>
    </xf>
    <xf borderId="0" fillId="0" fontId="12" numFmtId="164" xfId="0" applyAlignment="1" applyFont="1" applyNumberFormat="1">
      <alignment readingOrder="0"/>
    </xf>
    <xf borderId="0" fillId="0" fontId="1" numFmtId="49" xfId="0" applyAlignment="1" applyFont="1" applyNumberFormat="1">
      <alignment horizontal="left" readingOrder="0"/>
    </xf>
    <xf borderId="0" fillId="0" fontId="8" numFmtId="49" xfId="0" applyAlignment="1" applyFont="1" applyNumberFormat="1">
      <alignment readingOrder="0"/>
    </xf>
    <xf borderId="0" fillId="9" fontId="0" numFmtId="164" xfId="0" applyFont="1" applyNumberFormat="1"/>
    <xf borderId="0" fillId="5" fontId="12" numFmtId="164" xfId="0" applyAlignment="1" applyFont="1" applyNumberFormat="1">
      <alignment horizontal="right" vertical="bottom"/>
    </xf>
    <xf borderId="0" fillId="0" fontId="12" numFmtId="164" xfId="0" applyAlignment="1" applyFont="1" applyNumberFormat="1">
      <alignment horizontal="right" vertical="bottom"/>
    </xf>
    <xf borderId="0" fillId="0" fontId="15" numFmtId="49" xfId="0" applyFont="1" applyNumberFormat="1"/>
    <xf borderId="0" fillId="0" fontId="12" numFmtId="175" xfId="0" applyAlignment="1" applyFont="1" applyNumberFormat="1">
      <alignment readingOrder="0"/>
    </xf>
    <xf borderId="0" fillId="0" fontId="12" numFmtId="175" xfId="0" applyAlignment="1" applyFont="1" applyNumberFormat="1">
      <alignment horizontal="right" readingOrder="0"/>
    </xf>
    <xf borderId="0" fillId="0" fontId="12" numFmtId="49" xfId="0" applyFont="1" applyNumberFormat="1"/>
    <xf borderId="0" fillId="2" fontId="0" numFmtId="164" xfId="0" applyFont="1" applyNumberFormat="1"/>
    <xf borderId="1" fillId="0" fontId="2" numFmtId="49" xfId="0" applyAlignment="1" applyBorder="1" applyFont="1" applyNumberFormat="1">
      <alignment readingOrder="0"/>
    </xf>
    <xf borderId="0" fillId="0" fontId="2" numFmtId="49" xfId="0" applyAlignment="1" applyFont="1" applyNumberFormat="1">
      <alignment horizontal="center" readingOrder="0"/>
    </xf>
    <xf borderId="0" fillId="2" fontId="12" numFmtId="164" xfId="0" applyAlignment="1" applyFont="1" applyNumberFormat="1">
      <alignment horizontal="right" readingOrder="0"/>
    </xf>
    <xf borderId="2" fillId="2" fontId="2" numFmtId="49" xfId="0" applyAlignment="1" applyBorder="1" applyFont="1" applyNumberFormat="1">
      <alignment horizontal="center" readingOrder="0"/>
    </xf>
    <xf borderId="3" fillId="2" fontId="2" numFmtId="49" xfId="0" applyAlignment="1" applyBorder="1" applyFont="1" applyNumberFormat="1">
      <alignment horizontal="center" readingOrder="0"/>
    </xf>
    <xf borderId="0" fillId="0" fontId="7" numFmtId="49" xfId="0" applyAlignment="1" applyFont="1" applyNumberFormat="1">
      <alignment horizontal="center" readingOrder="0"/>
    </xf>
    <xf borderId="0" fillId="0" fontId="20" numFmtId="49" xfId="0" applyAlignment="1" applyFont="1" applyNumberFormat="1">
      <alignment horizontal="center" readingOrder="0"/>
    </xf>
    <xf borderId="0" fillId="9" fontId="21" numFmtId="164" xfId="0" applyAlignment="1" applyFont="1" applyNumberFormat="1">
      <alignment horizontal="right" readingOrder="0"/>
    </xf>
    <xf borderId="0" fillId="0" fontId="1" numFmtId="9" xfId="0" applyAlignment="1" applyFont="1" applyNumberFormat="1">
      <alignment readingOrder="0"/>
    </xf>
    <xf borderId="0" fillId="0" fontId="12" numFmtId="164" xfId="0" applyFont="1" applyNumberFormat="1"/>
    <xf borderId="0" fillId="0" fontId="2" numFmtId="9" xfId="0" applyFont="1" applyNumberFormat="1"/>
    <xf borderId="0" fillId="0" fontId="12" numFmtId="164" xfId="0" applyAlignment="1" applyFont="1" applyNumberFormat="1">
      <alignment horizontal="right" readingOrder="0"/>
    </xf>
    <xf borderId="0" fillId="0" fontId="1" numFmtId="9" xfId="0" applyAlignment="1" applyFont="1" applyNumberFormat="1">
      <alignment horizontal="right" readingOrder="0"/>
    </xf>
    <xf borderId="0" fillId="0" fontId="22" numFmtId="9" xfId="0" applyAlignment="1" applyFont="1" applyNumberFormat="1">
      <alignment readingOrder="0"/>
    </xf>
    <xf borderId="0" fillId="0" fontId="0" numFmtId="164" xfId="0" applyAlignment="1" applyFont="1" applyNumberFormat="1">
      <alignment readingOrder="0"/>
    </xf>
    <xf borderId="0" fillId="0" fontId="0" numFmtId="49" xfId="0" applyAlignment="1" applyFont="1" applyNumberFormat="1">
      <alignment readingOrder="0"/>
    </xf>
  </cellXfs>
  <cellStyles count="1">
    <cellStyle xfId="0" name="Normal" builtinId="0"/>
  </cellStyles>
  <dxfs count="10">
    <dxf>
      <font>
        <color rgb="FFFF0000"/>
      </font>
      <fill>
        <patternFill patternType="none"/>
      </fill>
      <border/>
    </dxf>
    <dxf>
      <font/>
      <fill>
        <patternFill patternType="solid">
          <fgColor rgb="FFDED5BA"/>
          <bgColor rgb="FFDED5BA"/>
        </patternFill>
      </fill>
      <border/>
    </dxf>
    <dxf>
      <font>
        <color rgb="FFE69138"/>
      </font>
      <fill>
        <patternFill patternType="none"/>
      </fill>
      <border/>
    </dxf>
    <dxf>
      <font/>
      <fill>
        <patternFill patternType="solid">
          <fgColor rgb="FFB7E1CD"/>
          <bgColor rgb="FFB7E1CD"/>
        </patternFill>
      </fill>
      <border/>
    </dxf>
    <dxf>
      <font/>
      <fill>
        <patternFill patternType="solid">
          <fgColor rgb="FFFF0000"/>
          <bgColor rgb="FFFF0000"/>
        </patternFill>
      </fill>
      <border/>
    </dxf>
    <dxf>
      <font/>
      <fill>
        <patternFill patternType="solid">
          <fgColor rgb="FFFCE5CD"/>
          <bgColor rgb="FFFCE5CD"/>
        </patternFill>
      </fill>
      <border/>
    </dxf>
    <dxf>
      <font/>
      <fill>
        <patternFill patternType="solid">
          <fgColor rgb="FFFFFFFF"/>
          <bgColor rgb="FFFFFFFF"/>
        </patternFill>
      </fill>
      <border/>
    </dxf>
    <dxf>
      <font/>
      <fill>
        <patternFill patternType="solid">
          <fgColor rgb="FFA2C4C9"/>
          <bgColor rgb="FFA2C4C9"/>
        </patternFill>
      </fill>
      <border/>
    </dxf>
    <dxf>
      <font>
        <color rgb="FFD0E0E3"/>
      </font>
      <fill>
        <patternFill patternType="none"/>
      </fill>
      <border/>
    </dxf>
    <dxf>
      <font>
        <color rgb="FF000000"/>
      </font>
      <fill>
        <patternFill patternType="solid">
          <fgColor rgb="FFD0E0E3"/>
          <bgColor rgb="FFD0E0E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us.etrade.com/etx/sp/stockplan" TargetMode="External"/><Relationship Id="rId3" Type="http://schemas.openxmlformats.org/officeDocument/2006/relationships/hyperlink" Target="https://us.etrade.com/e/t/accounts/txnhistory" TargetMode="External"/><Relationship Id="rId4" Type="http://schemas.openxmlformats.org/officeDocument/2006/relationships/hyperlink" Target="https://github.com/hickeng/financial/releases/tag/v0.1.3"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16.5"/>
    <col customWidth="1" min="3" max="3" width="14.0"/>
    <col customWidth="1" min="4" max="4" width="21.25"/>
    <col customWidth="1" min="5" max="5" width="14.0"/>
    <col customWidth="1" min="6" max="6" width="11.63"/>
    <col customWidth="1" min="7" max="7" width="13.38"/>
    <col customWidth="1" min="8" max="8" width="18.0"/>
    <col customWidth="1" min="9" max="9" width="9.25"/>
    <col customWidth="1" min="10" max="10" width="20.38"/>
    <col customWidth="1" min="11" max="11" width="32.25"/>
  </cols>
  <sheetData>
    <row r="1">
      <c r="A1" s="1" t="str">
        <f>"Colour Coding"</f>
        <v>Colour Coding</v>
      </c>
      <c r="B1" s="2"/>
      <c r="C1" s="3" t="s">
        <v>0</v>
      </c>
      <c r="D1" s="2"/>
      <c r="E1" s="4"/>
      <c r="F1" s="2"/>
      <c r="G1" s="2"/>
      <c r="H1" s="2"/>
      <c r="I1" s="2"/>
      <c r="J1" s="2"/>
      <c r="K1" s="2"/>
      <c r="L1" s="2"/>
      <c r="M1" s="2"/>
      <c r="N1" s="2"/>
      <c r="O1" s="2"/>
      <c r="P1" s="2"/>
    </row>
    <row r="2">
      <c r="A2" s="5" t="s">
        <v>1</v>
      </c>
      <c r="B2" s="2"/>
      <c r="C2" s="6" t="s">
        <v>2</v>
      </c>
      <c r="D2" s="7"/>
      <c r="E2" s="2"/>
      <c r="F2" s="2"/>
      <c r="G2" s="2"/>
      <c r="H2" s="2"/>
      <c r="I2" s="2"/>
      <c r="J2" s="2"/>
      <c r="K2" s="2"/>
      <c r="L2" s="2"/>
      <c r="M2" s="2"/>
      <c r="N2" s="2"/>
      <c r="O2" s="2"/>
      <c r="P2" s="2"/>
    </row>
    <row r="3">
      <c r="A3" s="8" t="s">
        <v>3</v>
      </c>
      <c r="B3" s="2"/>
      <c r="C3" s="9" t="s">
        <v>4</v>
      </c>
      <c r="D3" s="7"/>
      <c r="E3" s="2"/>
      <c r="F3" s="2"/>
      <c r="G3" s="2"/>
      <c r="H3" s="2"/>
      <c r="I3" s="2"/>
      <c r="J3" s="2"/>
      <c r="K3" s="2"/>
      <c r="L3" s="2"/>
      <c r="M3" s="2"/>
      <c r="N3" s="2"/>
      <c r="O3" s="2"/>
      <c r="P3" s="2"/>
    </row>
    <row r="4">
      <c r="A4" s="10" t="s">
        <v>5</v>
      </c>
      <c r="B4" s="2"/>
      <c r="C4" s="11" t="s">
        <v>6</v>
      </c>
      <c r="D4" s="7"/>
      <c r="E4" s="2"/>
      <c r="F4" s="2"/>
      <c r="G4" s="2"/>
      <c r="H4" s="2"/>
      <c r="I4" s="2"/>
      <c r="J4" s="2"/>
      <c r="K4" s="2"/>
      <c r="L4" s="2"/>
      <c r="M4" s="2"/>
      <c r="N4" s="2"/>
      <c r="O4" s="2"/>
      <c r="P4" s="2"/>
    </row>
    <row r="5">
      <c r="A5" s="12" t="s">
        <v>7</v>
      </c>
      <c r="B5" s="2"/>
      <c r="C5" s="7"/>
      <c r="D5" s="6" t="s">
        <v>8</v>
      </c>
      <c r="E5" s="2"/>
      <c r="F5" s="2"/>
      <c r="G5" s="2"/>
      <c r="H5" s="2"/>
      <c r="I5" s="2"/>
      <c r="J5" s="2"/>
      <c r="K5" s="2"/>
      <c r="L5" s="2"/>
      <c r="M5" s="2"/>
      <c r="N5" s="2"/>
      <c r="O5" s="2"/>
      <c r="P5" s="2"/>
    </row>
    <row r="6">
      <c r="A6" s="13" t="s">
        <v>9</v>
      </c>
      <c r="B6" s="2"/>
      <c r="C6" s="7"/>
      <c r="D6" s="6" t="s">
        <v>10</v>
      </c>
      <c r="E6" s="2"/>
      <c r="F6" s="2"/>
      <c r="G6" s="2"/>
      <c r="H6" s="2"/>
      <c r="I6" s="2"/>
      <c r="J6" s="2"/>
      <c r="K6" s="2"/>
      <c r="L6" s="2"/>
      <c r="M6" s="2"/>
      <c r="N6" s="2"/>
      <c r="O6" s="2"/>
      <c r="P6" s="2"/>
    </row>
    <row r="7">
      <c r="A7" s="14" t="s">
        <v>11</v>
      </c>
      <c r="B7" s="2"/>
      <c r="C7" s="7"/>
      <c r="D7" s="6" t="s">
        <v>12</v>
      </c>
      <c r="E7" s="2"/>
      <c r="F7" s="2"/>
      <c r="G7" s="2"/>
      <c r="H7" s="2"/>
      <c r="I7" s="2"/>
      <c r="J7" s="2"/>
      <c r="K7" s="2"/>
      <c r="L7" s="2"/>
      <c r="M7" s="2"/>
      <c r="N7" s="2"/>
      <c r="O7" s="2"/>
      <c r="P7" s="2"/>
    </row>
    <row r="8">
      <c r="A8" s="15" t="str">
        <f>"Calculated - intermediate or informational"</f>
        <v>Calculated - intermediate or informational</v>
      </c>
      <c r="B8" s="2"/>
      <c r="C8" s="7"/>
      <c r="D8" s="6" t="s">
        <v>13</v>
      </c>
      <c r="E8" s="2"/>
      <c r="F8" s="2"/>
      <c r="G8" s="2"/>
      <c r="H8" s="2"/>
      <c r="I8" s="2"/>
      <c r="J8" s="2"/>
      <c r="K8" s="2"/>
      <c r="L8" s="2"/>
      <c r="M8" s="2"/>
      <c r="N8" s="2"/>
      <c r="O8" s="2"/>
      <c r="P8" s="2"/>
    </row>
    <row r="9">
      <c r="A9" s="16" t="s">
        <v>14</v>
      </c>
      <c r="B9" s="2"/>
      <c r="C9" s="17" t="s">
        <v>15</v>
      </c>
      <c r="D9" s="7"/>
      <c r="E9" s="2"/>
      <c r="F9" s="2"/>
      <c r="G9" s="2"/>
      <c r="H9" s="2"/>
      <c r="I9" s="2"/>
      <c r="J9" s="2"/>
      <c r="K9" s="2"/>
      <c r="L9" s="2"/>
      <c r="M9" s="2"/>
      <c r="N9" s="2"/>
      <c r="O9" s="2"/>
      <c r="P9" s="2"/>
    </row>
    <row r="10">
      <c r="A10" s="18" t="s">
        <v>16</v>
      </c>
      <c r="B10" s="2"/>
      <c r="C10" s="19" t="s">
        <v>17</v>
      </c>
      <c r="D10" s="7"/>
      <c r="E10" s="2"/>
      <c r="F10" s="2"/>
      <c r="G10" s="2"/>
      <c r="H10" s="2"/>
      <c r="I10" s="2"/>
      <c r="J10" s="2"/>
      <c r="K10" s="2"/>
      <c r="L10" s="2"/>
      <c r="M10" s="2"/>
      <c r="N10" s="2"/>
      <c r="O10" s="2"/>
      <c r="P10" s="2"/>
    </row>
    <row r="11">
      <c r="A11" s="2"/>
      <c r="B11" s="2"/>
      <c r="C11" s="19" t="s">
        <v>18</v>
      </c>
      <c r="D11" s="7"/>
      <c r="E11" s="2"/>
      <c r="F11" s="2"/>
      <c r="G11" s="2"/>
      <c r="H11" s="2"/>
      <c r="I11" s="2"/>
      <c r="J11" s="2"/>
      <c r="K11" s="2"/>
      <c r="L11" s="2"/>
      <c r="M11" s="2"/>
      <c r="N11" s="2"/>
      <c r="O11" s="2"/>
      <c r="P11" s="2"/>
    </row>
    <row r="12">
      <c r="A12" s="20" t="s">
        <v>19</v>
      </c>
      <c r="B12" s="2"/>
      <c r="C12" s="19" t="s">
        <v>20</v>
      </c>
      <c r="D12" s="7"/>
      <c r="E12" s="2"/>
      <c r="F12" s="2"/>
      <c r="G12" s="2"/>
      <c r="H12" s="2"/>
      <c r="I12" s="2"/>
      <c r="J12" s="2"/>
      <c r="K12" s="2"/>
      <c r="L12" s="2"/>
      <c r="M12" s="2"/>
      <c r="N12" s="2"/>
      <c r="O12" s="2"/>
      <c r="P12" s="2"/>
    </row>
    <row r="13">
      <c r="A13" s="2"/>
      <c r="B13" s="2"/>
      <c r="C13" s="19" t="s">
        <v>21</v>
      </c>
      <c r="D13" s="7"/>
      <c r="E13" s="2"/>
      <c r="F13" s="2"/>
      <c r="G13" s="2"/>
      <c r="H13" s="2"/>
      <c r="I13" s="2"/>
      <c r="J13" s="2"/>
      <c r="K13" s="2"/>
      <c r="L13" s="2"/>
      <c r="M13" s="2"/>
      <c r="N13" s="2"/>
      <c r="O13" s="2"/>
      <c r="P13" s="2"/>
    </row>
    <row r="14">
      <c r="A14" s="2"/>
      <c r="B14" s="2"/>
      <c r="C14" s="7"/>
      <c r="D14" s="6" t="s">
        <v>22</v>
      </c>
      <c r="E14" s="2"/>
      <c r="F14" s="2"/>
      <c r="G14" s="2"/>
      <c r="H14" s="2"/>
      <c r="I14" s="2"/>
      <c r="J14" s="2"/>
      <c r="K14" s="2"/>
      <c r="L14" s="2"/>
      <c r="M14" s="2"/>
      <c r="N14" s="2"/>
      <c r="O14" s="2"/>
      <c r="P14" s="2"/>
    </row>
    <row r="15">
      <c r="A15" s="2"/>
      <c r="B15" s="2"/>
      <c r="C15" s="7"/>
      <c r="D15" s="6" t="s">
        <v>23</v>
      </c>
      <c r="E15" s="2"/>
      <c r="F15" s="2"/>
      <c r="G15" s="2"/>
      <c r="H15" s="2"/>
      <c r="I15" s="2"/>
      <c r="J15" s="2"/>
      <c r="K15" s="2"/>
      <c r="L15" s="2"/>
      <c r="M15" s="2"/>
      <c r="N15" s="2"/>
      <c r="O15" s="2"/>
      <c r="P15" s="2"/>
    </row>
    <row r="16">
      <c r="A16" s="2"/>
      <c r="B16" s="2"/>
      <c r="C16" s="7"/>
      <c r="D16" s="6" t="s">
        <v>24</v>
      </c>
      <c r="E16" s="2"/>
      <c r="F16" s="2"/>
      <c r="G16" s="2"/>
      <c r="H16" s="2"/>
      <c r="I16" s="2"/>
      <c r="J16" s="2"/>
      <c r="K16" s="2"/>
      <c r="L16" s="2"/>
      <c r="M16" s="2"/>
      <c r="N16" s="2"/>
      <c r="O16" s="2"/>
      <c r="P16" s="2"/>
    </row>
    <row r="17">
      <c r="A17" s="2"/>
      <c r="B17" s="2"/>
      <c r="C17" s="19" t="s">
        <v>25</v>
      </c>
      <c r="D17" s="7"/>
      <c r="E17" s="2"/>
      <c r="F17" s="2"/>
      <c r="G17" s="2"/>
      <c r="H17" s="2"/>
      <c r="I17" s="2"/>
      <c r="J17" s="2"/>
      <c r="K17" s="2"/>
      <c r="L17" s="2"/>
      <c r="M17" s="2"/>
      <c r="N17" s="2"/>
      <c r="O17" s="2"/>
      <c r="P17" s="2"/>
    </row>
    <row r="18">
      <c r="A18" s="2"/>
      <c r="B18" s="2"/>
      <c r="C18" s="7"/>
      <c r="D18" s="6" t="s">
        <v>26</v>
      </c>
      <c r="E18" s="2"/>
      <c r="F18" s="2"/>
      <c r="G18" s="2"/>
      <c r="H18" s="2"/>
      <c r="I18" s="2"/>
      <c r="J18" s="2"/>
      <c r="K18" s="2"/>
      <c r="L18" s="2"/>
      <c r="M18" s="2"/>
      <c r="N18" s="2"/>
      <c r="O18" s="2"/>
      <c r="P18" s="2"/>
    </row>
    <row r="19">
      <c r="A19" s="2"/>
      <c r="B19" s="2"/>
      <c r="C19" s="19" t="s">
        <v>27</v>
      </c>
      <c r="D19" s="7"/>
      <c r="E19" s="2"/>
      <c r="F19" s="2"/>
      <c r="G19" s="2"/>
      <c r="H19" s="2"/>
      <c r="I19" s="2"/>
      <c r="J19" s="2"/>
      <c r="K19" s="2"/>
      <c r="L19" s="2"/>
      <c r="M19" s="2"/>
      <c r="N19" s="2"/>
      <c r="O19" s="2"/>
      <c r="P19" s="2"/>
    </row>
    <row r="20">
      <c r="A20" s="2"/>
      <c r="B20" s="2"/>
      <c r="C20" s="19" t="s">
        <v>28</v>
      </c>
      <c r="D20" s="7"/>
      <c r="E20" s="2"/>
      <c r="F20" s="2"/>
      <c r="G20" s="2"/>
      <c r="H20" s="2"/>
      <c r="I20" s="2"/>
      <c r="J20" s="2"/>
      <c r="K20" s="2"/>
      <c r="L20" s="2"/>
      <c r="M20" s="2"/>
      <c r="N20" s="2"/>
      <c r="O20" s="2"/>
      <c r="P20" s="2"/>
    </row>
    <row r="21">
      <c r="A21" s="2"/>
      <c r="B21" s="2"/>
      <c r="C21" s="2"/>
      <c r="D21" s="2"/>
      <c r="E21" s="2"/>
      <c r="F21" s="2"/>
      <c r="G21" s="2"/>
      <c r="H21" s="2"/>
      <c r="I21" s="2"/>
      <c r="J21" s="2"/>
      <c r="K21" s="2"/>
      <c r="L21" s="2"/>
      <c r="M21" s="2"/>
      <c r="N21" s="2"/>
      <c r="O21" s="2"/>
      <c r="P21" s="2"/>
    </row>
    <row r="22">
      <c r="A22" s="21" t="s">
        <v>29</v>
      </c>
      <c r="B22" s="22"/>
      <c r="C22" s="2"/>
      <c r="D22" s="21" t="s">
        <v>30</v>
      </c>
      <c r="E22" s="23"/>
      <c r="F22" s="23"/>
      <c r="G22" s="23"/>
      <c r="H22" s="22"/>
      <c r="I22" s="2"/>
      <c r="J22" s="21" t="s">
        <v>31</v>
      </c>
      <c r="K22" s="23"/>
      <c r="L22" s="24"/>
      <c r="M22" s="24"/>
      <c r="N22" s="24"/>
      <c r="O22" s="24"/>
      <c r="P22" s="25"/>
    </row>
    <row r="23">
      <c r="A23" s="26"/>
      <c r="B23" s="27"/>
      <c r="C23" s="2"/>
      <c r="D23" s="28"/>
      <c r="E23" s="2"/>
      <c r="F23" s="2"/>
      <c r="G23" s="2"/>
      <c r="H23" s="29"/>
      <c r="I23" s="2"/>
      <c r="J23" s="28"/>
      <c r="K23" s="2"/>
      <c r="L23" s="2"/>
      <c r="M23" s="2"/>
      <c r="N23" s="2"/>
      <c r="O23" s="2"/>
      <c r="P23" s="29"/>
    </row>
    <row r="24">
      <c r="A24" s="30" t="s">
        <v>32</v>
      </c>
      <c r="B24" s="31"/>
      <c r="C24" s="2"/>
      <c r="D24" s="32" t="s">
        <v>33</v>
      </c>
      <c r="E24" s="33" t="s">
        <v>34</v>
      </c>
      <c r="F24" s="33" t="s">
        <v>35</v>
      </c>
      <c r="G24" s="34" t="s">
        <v>36</v>
      </c>
      <c r="H24" s="35" t="s">
        <v>37</v>
      </c>
      <c r="I24" s="2"/>
      <c r="J24" s="28"/>
      <c r="K24" s="2"/>
      <c r="L24" s="3" t="s">
        <v>38</v>
      </c>
      <c r="M24" s="36" t="s">
        <v>39</v>
      </c>
      <c r="N24" s="2"/>
      <c r="O24" s="2"/>
      <c r="P24" s="29"/>
    </row>
    <row r="25">
      <c r="A25" s="26" t="s">
        <v>40</v>
      </c>
      <c r="B25" s="37"/>
      <c r="C25" s="2"/>
      <c r="D25" s="38" t="s">
        <v>41</v>
      </c>
      <c r="E25" s="39" t="s">
        <v>42</v>
      </c>
      <c r="F25" s="40">
        <v>24.0</v>
      </c>
      <c r="G25" s="41"/>
      <c r="H25" s="42" t="s">
        <v>43</v>
      </c>
      <c r="I25" s="2"/>
      <c r="J25" s="26" t="s">
        <v>44</v>
      </c>
      <c r="K25" s="43" t="s">
        <v>45</v>
      </c>
      <c r="L25" s="44">
        <f>Reference!B18</f>
        <v>979.5</v>
      </c>
      <c r="M25" s="45">
        <v>123.45</v>
      </c>
      <c r="N25" s="2"/>
      <c r="O25" s="2"/>
      <c r="P25" s="29"/>
    </row>
    <row r="26">
      <c r="A26" s="46" t="s">
        <v>46</v>
      </c>
      <c r="B26" s="47"/>
      <c r="C26" s="2"/>
      <c r="D26" s="48" t="s">
        <v>47</v>
      </c>
      <c r="E26" s="49" t="s">
        <v>48</v>
      </c>
      <c r="F26" s="50">
        <v>1.0</v>
      </c>
      <c r="G26" s="51"/>
      <c r="H26" s="52" t="s">
        <v>49</v>
      </c>
      <c r="I26" s="2"/>
      <c r="J26" s="26" t="s">
        <v>50</v>
      </c>
      <c r="K26" s="43" t="s">
        <v>51</v>
      </c>
      <c r="L26" s="2"/>
      <c r="M26" s="53"/>
      <c r="N26" s="2"/>
      <c r="O26" s="2"/>
      <c r="P26" s="29"/>
    </row>
    <row r="27">
      <c r="A27" s="26"/>
      <c r="B27" s="52"/>
      <c r="C27" s="36"/>
      <c r="D27" s="48" t="s">
        <v>47</v>
      </c>
      <c r="E27" s="49" t="s">
        <v>48</v>
      </c>
      <c r="F27" s="50">
        <v>2.0</v>
      </c>
      <c r="G27" s="51"/>
      <c r="H27" s="52" t="s">
        <v>52</v>
      </c>
      <c r="I27" s="2"/>
      <c r="J27" s="26" t="s">
        <v>53</v>
      </c>
      <c r="K27" s="43" t="s">
        <v>54</v>
      </c>
      <c r="L27" s="44">
        <f>Reference!B23</f>
        <v>904.79</v>
      </c>
      <c r="M27" s="45">
        <v>123.45</v>
      </c>
      <c r="N27" s="2"/>
      <c r="O27" s="2"/>
      <c r="P27" s="29"/>
    </row>
    <row r="28">
      <c r="A28" s="54" t="s">
        <v>55</v>
      </c>
      <c r="B28" s="52"/>
      <c r="C28" s="36"/>
      <c r="D28" s="48" t="s">
        <v>47</v>
      </c>
      <c r="E28" s="49" t="s">
        <v>48</v>
      </c>
      <c r="F28" s="50">
        <v>16.0</v>
      </c>
      <c r="G28" s="51"/>
      <c r="H28" s="52" t="s">
        <v>56</v>
      </c>
      <c r="I28" s="2"/>
      <c r="J28" s="55" t="s">
        <v>57</v>
      </c>
      <c r="K28" s="56" t="s">
        <v>58</v>
      </c>
      <c r="L28" s="57" t="s">
        <v>59</v>
      </c>
      <c r="M28" s="58">
        <f>IFERROR(__xludf.DUMMYFUNCTION("GOOGLEFINANCE(""AVGO"")"),1296.23)</f>
        <v>1296.23</v>
      </c>
      <c r="N28" s="2"/>
      <c r="O28" s="2"/>
      <c r="P28" s="29"/>
    </row>
    <row r="29">
      <c r="A29" s="26" t="s">
        <v>60</v>
      </c>
      <c r="B29" s="59"/>
      <c r="C29" s="36"/>
      <c r="D29" s="48" t="s">
        <v>47</v>
      </c>
      <c r="E29" s="49" t="s">
        <v>48</v>
      </c>
      <c r="F29" s="50">
        <v>17.0</v>
      </c>
      <c r="G29" s="51"/>
      <c r="H29" s="52" t="s">
        <v>61</v>
      </c>
      <c r="I29" s="2"/>
      <c r="J29" s="26"/>
      <c r="K29" s="53"/>
      <c r="L29" s="2"/>
      <c r="M29" s="2"/>
      <c r="N29" s="2"/>
      <c r="O29" s="2"/>
      <c r="P29" s="29"/>
    </row>
    <row r="30">
      <c r="A30" s="26" t="s">
        <v>62</v>
      </c>
      <c r="B30" s="60"/>
      <c r="C30" s="36"/>
      <c r="D30" s="48"/>
      <c r="E30" s="49"/>
      <c r="F30" s="50"/>
      <c r="G30" s="61"/>
      <c r="H30" s="52"/>
      <c r="I30" s="2"/>
      <c r="J30" s="26" t="s">
        <v>63</v>
      </c>
      <c r="K30" s="45"/>
      <c r="L30" s="2"/>
      <c r="M30" s="2"/>
      <c r="N30" s="2"/>
      <c r="O30" s="2"/>
      <c r="P30" s="29"/>
    </row>
    <row r="31">
      <c r="A31" s="46" t="s">
        <v>64</v>
      </c>
      <c r="B31" s="62"/>
      <c r="C31" s="36"/>
      <c r="D31" s="63"/>
      <c r="E31" s="64"/>
      <c r="F31" s="64"/>
      <c r="G31" s="64"/>
      <c r="H31" s="65"/>
      <c r="I31" s="2"/>
      <c r="J31" s="26" t="s">
        <v>65</v>
      </c>
      <c r="K31" s="45"/>
      <c r="L31" s="2"/>
      <c r="M31" s="2"/>
      <c r="N31" s="2"/>
      <c r="O31" s="2"/>
      <c r="P31" s="29"/>
    </row>
    <row r="32">
      <c r="C32" s="36"/>
      <c r="D32" s="49"/>
      <c r="E32" s="49"/>
      <c r="F32" s="49"/>
      <c r="G32" s="66"/>
      <c r="H32" s="53"/>
      <c r="I32" s="2"/>
      <c r="J32" s="26" t="s">
        <v>66</v>
      </c>
      <c r="K32" s="45"/>
      <c r="L32" s="2"/>
      <c r="M32" s="2"/>
      <c r="N32" s="2"/>
      <c r="O32" s="2"/>
      <c r="P32" s="29"/>
    </row>
    <row r="33">
      <c r="C33" s="36"/>
      <c r="D33" s="36"/>
      <c r="E33" s="36"/>
      <c r="F33" s="36"/>
      <c r="G33" s="36"/>
      <c r="H33" s="2"/>
      <c r="I33" s="2"/>
      <c r="J33" s="26" t="s">
        <v>67</v>
      </c>
      <c r="K33" s="67" t="s">
        <v>68</v>
      </c>
      <c r="L33" s="3"/>
      <c r="M33" s="2"/>
      <c r="N33" s="2"/>
      <c r="O33" s="2"/>
      <c r="P33" s="29"/>
    </row>
    <row r="34">
      <c r="A34" s="2"/>
      <c r="B34" s="2"/>
      <c r="C34" s="36"/>
      <c r="D34" s="36"/>
      <c r="E34" s="36"/>
      <c r="F34" s="36"/>
      <c r="G34" s="36"/>
      <c r="H34" s="2"/>
      <c r="I34" s="2"/>
      <c r="J34" s="26" t="s">
        <v>69</v>
      </c>
      <c r="K34" s="67" t="s">
        <v>70</v>
      </c>
      <c r="L34" s="68">
        <f>SWITCH(K34, "By status", SWITCH(K33,"Single",Reference!B36,"Joint",Reference!C36,"Head of household",Reference!D36), "Custom",M34)</f>
        <v>13850</v>
      </c>
      <c r="M34" s="69"/>
      <c r="N34" s="53" t="s">
        <v>71</v>
      </c>
      <c r="O34" s="2"/>
      <c r="P34" s="29"/>
    </row>
    <row r="35">
      <c r="A35" s="2"/>
      <c r="B35" s="2"/>
      <c r="C35" s="36"/>
      <c r="D35" s="36"/>
      <c r="E35" s="36"/>
      <c r="F35" s="36"/>
      <c r="G35" s="36"/>
      <c r="H35" s="2"/>
      <c r="I35" s="2"/>
      <c r="J35" s="28"/>
      <c r="K35" s="2"/>
      <c r="L35" s="2"/>
      <c r="M35" s="2"/>
      <c r="N35" s="2"/>
      <c r="O35" s="2"/>
      <c r="P35" s="29"/>
    </row>
    <row r="36">
      <c r="A36" s="21" t="s">
        <v>72</v>
      </c>
      <c r="B36" s="70"/>
      <c r="C36" s="70"/>
      <c r="D36" s="70"/>
      <c r="E36" s="70"/>
      <c r="F36" s="70"/>
      <c r="G36" s="23"/>
      <c r="H36" s="22"/>
      <c r="I36" s="2"/>
      <c r="J36" s="46" t="s">
        <v>73</v>
      </c>
      <c r="K36" s="71" t="s">
        <v>74</v>
      </c>
      <c r="L36" s="72"/>
      <c r="M36" s="72"/>
      <c r="N36" s="72"/>
      <c r="O36" s="72"/>
      <c r="P36" s="73"/>
    </row>
    <row r="37">
      <c r="A37" s="28"/>
      <c r="B37" s="3"/>
      <c r="C37" s="74"/>
      <c r="D37" s="74"/>
      <c r="E37" s="74"/>
      <c r="F37" s="74"/>
      <c r="G37" s="2"/>
      <c r="H37" s="73"/>
      <c r="I37" s="2"/>
      <c r="J37" s="2"/>
      <c r="K37" s="2"/>
      <c r="L37" s="2"/>
      <c r="M37" s="2"/>
      <c r="N37" s="2"/>
      <c r="O37" s="2"/>
      <c r="P37" s="2"/>
    </row>
    <row r="38">
      <c r="A38" s="21" t="s">
        <v>75</v>
      </c>
      <c r="B38" s="75"/>
      <c r="C38" s="70"/>
      <c r="D38" s="70"/>
      <c r="E38" s="70"/>
      <c r="F38" s="70"/>
      <c r="G38" s="23"/>
      <c r="H38" s="29"/>
      <c r="I38" s="2"/>
      <c r="J38" s="2"/>
      <c r="K38" s="2"/>
      <c r="L38" s="2"/>
      <c r="M38" s="2"/>
      <c r="N38" s="2"/>
      <c r="O38" s="3"/>
      <c r="P38" s="3"/>
    </row>
    <row r="39">
      <c r="A39" s="2"/>
      <c r="B39" s="2"/>
      <c r="C39" s="2"/>
      <c r="D39" s="2"/>
      <c r="E39" s="2"/>
      <c r="F39" s="2"/>
      <c r="G39" s="2"/>
      <c r="H39" s="29"/>
      <c r="I39" s="2"/>
      <c r="J39" s="2"/>
      <c r="K39" s="2"/>
      <c r="L39" s="2"/>
      <c r="M39" s="2"/>
      <c r="N39" s="2"/>
      <c r="O39" s="3"/>
      <c r="P39" s="2"/>
      <c r="Q39" s="76"/>
      <c r="R39" s="76"/>
      <c r="T39" s="77"/>
    </row>
    <row r="40">
      <c r="A40" s="2"/>
      <c r="B40" s="74" t="s">
        <v>76</v>
      </c>
      <c r="C40" s="74" t="s">
        <v>77</v>
      </c>
      <c r="D40" s="74" t="s">
        <v>78</v>
      </c>
      <c r="E40" s="74" t="s">
        <v>79</v>
      </c>
      <c r="F40" s="74" t="s">
        <v>80</v>
      </c>
      <c r="G40" s="3" t="s">
        <v>81</v>
      </c>
      <c r="H40" s="29"/>
      <c r="I40" s="2"/>
      <c r="J40" s="2"/>
      <c r="K40" s="2"/>
      <c r="L40" s="2"/>
      <c r="M40" s="53" t="s">
        <v>82</v>
      </c>
      <c r="N40" s="2"/>
      <c r="O40" s="3"/>
      <c r="P40" s="2"/>
      <c r="R40" s="76"/>
    </row>
    <row r="41">
      <c r="A41" s="21" t="s">
        <v>83</v>
      </c>
      <c r="B41" s="78"/>
      <c r="C41" s="79">
        <f>MOD(ESPP!AB5+RSU!Y5,1)</f>
        <v>0</v>
      </c>
      <c r="D41" s="80"/>
      <c r="E41" s="80"/>
      <c r="F41" s="81">
        <f>ROUNDDOWN(ESPP!AB5+RSU!Y5)</f>
        <v>0</v>
      </c>
      <c r="G41" s="82"/>
      <c r="H41" s="29"/>
      <c r="I41" s="2"/>
      <c r="J41" s="2"/>
      <c r="K41" s="2"/>
      <c r="L41" s="2"/>
      <c r="M41" s="2"/>
      <c r="N41" s="2"/>
      <c r="O41" s="3"/>
      <c r="P41" s="2"/>
      <c r="T41" s="83"/>
    </row>
    <row r="42">
      <c r="A42" s="84" t="s">
        <v>84</v>
      </c>
      <c r="B42" s="85">
        <f>Reference!B31</f>
        <v>0</v>
      </c>
      <c r="C42" s="86">
        <f>ROUND(C41*Reference!B23,2)</f>
        <v>0</v>
      </c>
      <c r="D42" s="87">
        <f>ESPP!AG5+RSU!AD5</f>
        <v>0</v>
      </c>
      <c r="E42" s="87">
        <f>ESPP!AH5+RSU!AE5</f>
        <v>0</v>
      </c>
      <c r="F42" s="88">
        <f>F41*Reference!B18</f>
        <v>0</v>
      </c>
      <c r="G42" s="65"/>
      <c r="H42" s="29"/>
      <c r="I42" s="2"/>
      <c r="J42" s="2"/>
      <c r="K42" s="53"/>
      <c r="L42" s="2"/>
      <c r="M42" s="2"/>
      <c r="N42" s="2"/>
      <c r="O42" s="3"/>
      <c r="P42" s="2"/>
      <c r="R42" s="89"/>
      <c r="T42" s="83"/>
    </row>
    <row r="43">
      <c r="A43" s="28"/>
      <c r="B43" s="28"/>
      <c r="C43" s="2"/>
      <c r="G43" s="90"/>
      <c r="H43" s="29"/>
      <c r="I43" s="2"/>
      <c r="J43" s="2"/>
      <c r="K43" s="53"/>
      <c r="L43" s="2"/>
      <c r="M43" s="2"/>
      <c r="N43" s="2"/>
      <c r="O43" s="2"/>
      <c r="P43" s="2"/>
      <c r="Q43" s="91"/>
      <c r="R43" s="89"/>
      <c r="S43" s="83"/>
    </row>
    <row r="44">
      <c r="A44" s="92" t="s">
        <v>85</v>
      </c>
      <c r="B44" s="93"/>
      <c r="C44" s="94"/>
      <c r="D44" s="95">
        <f>RSU!AH5</f>
        <v>0</v>
      </c>
      <c r="E44" s="96">
        <f>RSU!AI5+ESPP!AN5</f>
        <v>0</v>
      </c>
      <c r="F44" s="97"/>
      <c r="G44" s="98">
        <f>ESPP!AL5</f>
        <v>0</v>
      </c>
      <c r="H44" s="29"/>
      <c r="I44" s="2"/>
      <c r="J44" s="2"/>
      <c r="K44" s="2"/>
      <c r="L44" s="2"/>
      <c r="M44" s="2"/>
      <c r="N44" s="2"/>
      <c r="O44" s="2"/>
      <c r="P44" s="2"/>
      <c r="R44" s="89"/>
      <c r="S44" s="83"/>
    </row>
    <row r="45">
      <c r="A45" s="2"/>
      <c r="B45" s="2"/>
      <c r="C45" s="2"/>
      <c r="D45" s="2"/>
      <c r="E45" s="2"/>
      <c r="F45" s="2"/>
      <c r="G45" s="2"/>
      <c r="H45" s="29"/>
      <c r="I45" s="2"/>
      <c r="J45" s="2"/>
      <c r="K45" s="2"/>
      <c r="L45" s="2"/>
      <c r="M45" s="2"/>
      <c r="N45" s="2"/>
      <c r="O45" s="2"/>
      <c r="P45" s="2"/>
    </row>
    <row r="46">
      <c r="A46" s="2"/>
      <c r="B46" s="2"/>
      <c r="C46" s="2"/>
      <c r="D46" s="2"/>
      <c r="E46" s="2"/>
      <c r="F46" s="2"/>
      <c r="G46" s="2"/>
      <c r="H46" s="29"/>
      <c r="I46" s="2"/>
      <c r="J46" s="2"/>
      <c r="K46" s="2"/>
      <c r="L46" s="2"/>
      <c r="M46" s="2"/>
      <c r="N46" s="2"/>
      <c r="O46" s="2"/>
      <c r="P46" s="2"/>
    </row>
    <row r="47">
      <c r="A47" s="2"/>
      <c r="B47" s="2"/>
      <c r="C47" s="2"/>
      <c r="D47" s="2"/>
      <c r="E47" s="2"/>
      <c r="F47" s="2"/>
      <c r="G47" s="2"/>
      <c r="H47" s="29"/>
      <c r="I47" s="2"/>
      <c r="J47" s="2"/>
      <c r="K47" s="2"/>
      <c r="L47" s="2"/>
      <c r="M47" s="2"/>
      <c r="N47" s="2"/>
      <c r="O47" s="2"/>
      <c r="P47" s="2"/>
    </row>
    <row r="48">
      <c r="A48" s="75" t="s">
        <v>86</v>
      </c>
      <c r="B48" s="99" t="s">
        <v>87</v>
      </c>
      <c r="C48" s="100" t="s">
        <v>88</v>
      </c>
      <c r="D48" s="101"/>
      <c r="E48" s="101"/>
      <c r="F48" s="101"/>
      <c r="G48" s="101"/>
      <c r="H48" s="102"/>
      <c r="I48" s="2"/>
      <c r="J48" s="2"/>
      <c r="K48" s="2"/>
      <c r="L48" s="2"/>
      <c r="M48" s="2"/>
      <c r="N48" s="2"/>
      <c r="O48" s="2"/>
      <c r="P48" s="2"/>
    </row>
    <row r="49">
      <c r="A49" s="2"/>
      <c r="B49" s="74"/>
      <c r="C49" s="103" t="s">
        <v>89</v>
      </c>
      <c r="D49" s="74"/>
      <c r="E49" s="74"/>
      <c r="F49" s="74"/>
      <c r="G49" s="2"/>
      <c r="H49" s="29"/>
      <c r="I49" s="2"/>
      <c r="J49" s="2"/>
      <c r="K49" s="2"/>
      <c r="L49" s="2"/>
      <c r="M49" s="2"/>
      <c r="N49" s="2"/>
      <c r="O49" s="2"/>
      <c r="P49" s="2"/>
    </row>
    <row r="50">
      <c r="A50" s="2"/>
      <c r="B50" s="74"/>
      <c r="C50" s="74"/>
      <c r="D50" s="74"/>
      <c r="E50" s="74"/>
      <c r="F50" s="74"/>
      <c r="G50" s="2"/>
      <c r="H50" s="29"/>
      <c r="I50" s="2"/>
      <c r="J50" s="2"/>
      <c r="K50" s="2"/>
      <c r="L50" s="2"/>
      <c r="M50" s="2"/>
      <c r="N50" s="2"/>
      <c r="O50" s="2"/>
      <c r="P50" s="2"/>
    </row>
    <row r="51">
      <c r="A51" s="28"/>
      <c r="B51" s="74" t="s">
        <v>90</v>
      </c>
      <c r="D51" s="74" t="s">
        <v>91</v>
      </c>
      <c r="F51" s="74" t="s">
        <v>92</v>
      </c>
      <c r="H51" s="29"/>
      <c r="I51" s="2"/>
      <c r="J51" s="2"/>
      <c r="K51" s="2"/>
      <c r="L51" s="2"/>
      <c r="M51" s="2"/>
      <c r="N51" s="2"/>
      <c r="O51" s="2"/>
      <c r="P51" s="2"/>
      <c r="Q51" s="2"/>
    </row>
    <row r="52">
      <c r="A52" s="84"/>
      <c r="B52" s="104" t="s">
        <v>93</v>
      </c>
      <c r="C52" s="105" t="s">
        <v>94</v>
      </c>
      <c r="D52" s="106" t="s">
        <v>95</v>
      </c>
      <c r="E52" s="107" t="s">
        <v>96</v>
      </c>
      <c r="F52" s="104" t="s">
        <v>97</v>
      </c>
      <c r="G52" s="107" t="s">
        <v>98</v>
      </c>
      <c r="H52" s="29"/>
      <c r="I52" s="2"/>
      <c r="J52" s="2"/>
      <c r="K52" s="2"/>
      <c r="L52" s="2"/>
      <c r="M52" s="2"/>
      <c r="N52" s="2"/>
      <c r="O52" s="2"/>
      <c r="P52" s="2"/>
      <c r="Q52" s="2"/>
    </row>
    <row r="53">
      <c r="A53" s="84" t="s">
        <v>99</v>
      </c>
      <c r="B53" s="108">
        <f>C54+C55</f>
        <v>0</v>
      </c>
      <c r="C53" s="109"/>
      <c r="D53" s="108">
        <f>1.1*G25</f>
        <v>0</v>
      </c>
      <c r="E53" s="110">
        <f>D53-G27</f>
        <v>0</v>
      </c>
      <c r="F53" s="111">
        <v>0.0</v>
      </c>
      <c r="G53" s="112">
        <f>B53-G27-F53</f>
        <v>0</v>
      </c>
      <c r="H53" s="29"/>
      <c r="I53" s="2"/>
      <c r="J53" s="2"/>
      <c r="K53" s="2"/>
      <c r="L53" s="2"/>
      <c r="M53" s="2"/>
      <c r="N53" s="2"/>
      <c r="O53" s="2"/>
      <c r="P53" s="2"/>
      <c r="Q53" s="2"/>
    </row>
    <row r="54">
      <c r="A54" s="84" t="s">
        <v>100</v>
      </c>
      <c r="B54" s="113"/>
      <c r="C54" s="114">
        <f>Reference!B57</f>
        <v>0</v>
      </c>
      <c r="D54" s="28"/>
      <c r="E54" s="29"/>
      <c r="F54" s="115"/>
      <c r="G54" s="90"/>
      <c r="H54" s="29"/>
      <c r="I54" s="2"/>
      <c r="J54" s="2"/>
      <c r="K54" s="2"/>
      <c r="L54" s="2"/>
      <c r="M54" s="2"/>
      <c r="N54" s="2"/>
      <c r="O54" s="2"/>
      <c r="P54" s="2"/>
      <c r="Q54" s="2"/>
    </row>
    <row r="55">
      <c r="A55" s="84" t="s">
        <v>101</v>
      </c>
      <c r="B55" s="113"/>
      <c r="C55" s="114">
        <f>Reference!B58</f>
        <v>0</v>
      </c>
      <c r="D55" s="28"/>
      <c r="E55" s="29"/>
      <c r="F55" s="115"/>
      <c r="G55" s="90"/>
      <c r="H55" s="29"/>
      <c r="I55" s="2"/>
      <c r="J55" s="2"/>
      <c r="K55" s="2"/>
      <c r="L55" s="2"/>
      <c r="M55" s="2"/>
      <c r="N55" s="2"/>
      <c r="O55" s="2"/>
      <c r="P55" s="2"/>
      <c r="Q55" s="2"/>
    </row>
    <row r="56">
      <c r="A56" s="84" t="s">
        <v>102</v>
      </c>
      <c r="B56" s="116">
        <f>Reference!B59</f>
        <v>0</v>
      </c>
      <c r="C56" s="109"/>
      <c r="D56" s="117">
        <f>0.9 * B56</f>
        <v>0</v>
      </c>
      <c r="E56" s="118">
        <f>D56-G29</f>
        <v>0</v>
      </c>
      <c r="F56" s="119"/>
      <c r="G56" s="120">
        <f>B56-G29-F56</f>
        <v>0</v>
      </c>
      <c r="H56" s="29"/>
      <c r="I56" s="2"/>
      <c r="J56" s="2"/>
      <c r="K56" s="2"/>
      <c r="L56" s="2"/>
      <c r="M56" s="2"/>
      <c r="N56" s="2"/>
      <c r="O56" s="2"/>
      <c r="P56" s="2"/>
      <c r="Q56" s="2"/>
    </row>
    <row r="57">
      <c r="A57" s="121" t="s">
        <v>103</v>
      </c>
      <c r="B57" s="116">
        <f>B53+B56</f>
        <v>0</v>
      </c>
      <c r="C57" s="122"/>
      <c r="D57" s="122">
        <f t="shared" ref="D57:G57" si="1">SUM(D53:D56)</f>
        <v>0</v>
      </c>
      <c r="E57" s="123">
        <f t="shared" si="1"/>
        <v>0</v>
      </c>
      <c r="F57" s="124">
        <f t="shared" si="1"/>
        <v>0</v>
      </c>
      <c r="G57" s="125">
        <f t="shared" si="1"/>
        <v>0</v>
      </c>
      <c r="H57" s="73"/>
      <c r="I57" s="2"/>
      <c r="J57" s="2"/>
      <c r="K57" s="2"/>
      <c r="L57" s="2"/>
      <c r="M57" s="2"/>
      <c r="N57" s="2"/>
      <c r="O57" s="2"/>
      <c r="P57" s="2"/>
      <c r="Q57" s="2"/>
    </row>
    <row r="58">
      <c r="A58" s="2"/>
      <c r="B58" s="2"/>
      <c r="C58" s="2"/>
      <c r="D58" s="2"/>
      <c r="E58" s="2"/>
      <c r="F58" s="2"/>
      <c r="G58" s="2"/>
      <c r="H58" s="2"/>
      <c r="I58" s="2"/>
      <c r="J58" s="2"/>
      <c r="K58" s="2"/>
      <c r="L58" s="2"/>
      <c r="M58" s="2"/>
      <c r="N58" s="2"/>
      <c r="O58" s="2"/>
      <c r="P58" s="2"/>
    </row>
    <row r="59">
      <c r="A59" s="2"/>
      <c r="B59" s="2"/>
      <c r="C59" s="2"/>
      <c r="D59" s="2"/>
      <c r="E59" s="2"/>
      <c r="F59" s="2"/>
      <c r="G59" s="2"/>
      <c r="H59" s="2"/>
      <c r="I59" s="2"/>
    </row>
    <row r="60">
      <c r="A60" s="2"/>
      <c r="B60" s="2"/>
      <c r="C60" s="2"/>
      <c r="D60" s="2"/>
      <c r="E60" s="4"/>
      <c r="F60" s="2"/>
      <c r="G60" s="2"/>
      <c r="H60" s="2"/>
      <c r="I60" s="2"/>
    </row>
    <row r="65">
      <c r="B65" s="83"/>
      <c r="C65" s="83"/>
      <c r="D65" s="83"/>
    </row>
    <row r="69">
      <c r="C69" s="126"/>
      <c r="D69" s="126"/>
    </row>
    <row r="70">
      <c r="B70" s="127"/>
      <c r="C70" s="83"/>
      <c r="D70" s="83"/>
      <c r="E70" s="83"/>
      <c r="F70" s="83"/>
    </row>
    <row r="71">
      <c r="B71" s="83"/>
      <c r="C71" s="128"/>
    </row>
    <row r="72">
      <c r="B72" s="129"/>
      <c r="C72" s="127"/>
    </row>
    <row r="73">
      <c r="C73" s="83"/>
      <c r="D73" s="83"/>
      <c r="E73" s="127"/>
      <c r="F73" s="127"/>
    </row>
    <row r="74">
      <c r="C74" s="83"/>
      <c r="D74" s="83"/>
      <c r="E74" s="127"/>
      <c r="F74" s="127"/>
    </row>
    <row r="75">
      <c r="C75" s="130"/>
      <c r="D75" s="131"/>
      <c r="E75" s="132"/>
      <c r="F75" s="133"/>
    </row>
    <row r="76">
      <c r="B76" s="134"/>
      <c r="C76" s="83"/>
      <c r="D76" s="83"/>
      <c r="E76" s="83"/>
      <c r="F76" s="83"/>
    </row>
    <row r="77">
      <c r="B77" s="135"/>
      <c r="C77" s="83"/>
      <c r="D77" s="83"/>
      <c r="E77" s="83"/>
      <c r="F77" s="83"/>
    </row>
    <row r="78">
      <c r="B78" s="83"/>
      <c r="C78" s="83"/>
      <c r="D78" s="83"/>
      <c r="E78" s="83"/>
      <c r="F78" s="83"/>
    </row>
    <row r="79">
      <c r="B79" s="83"/>
      <c r="C79" s="83"/>
      <c r="D79" s="83"/>
      <c r="E79" s="83"/>
      <c r="F79" s="83"/>
    </row>
    <row r="80">
      <c r="B80" s="136"/>
      <c r="C80" s="83"/>
      <c r="D80" s="83"/>
      <c r="E80" s="83"/>
      <c r="F80" s="83"/>
    </row>
    <row r="81">
      <c r="B81" s="83"/>
      <c r="C81" s="83"/>
      <c r="D81" s="83"/>
      <c r="E81" s="83"/>
      <c r="F81" s="83"/>
    </row>
    <row r="82">
      <c r="C82" s="83"/>
      <c r="D82" s="83"/>
      <c r="E82" s="83"/>
      <c r="F82" s="83"/>
    </row>
    <row r="83">
      <c r="C83" s="83"/>
      <c r="D83" s="83"/>
      <c r="E83" s="83"/>
      <c r="F83" s="83"/>
    </row>
    <row r="84">
      <c r="B84" s="91"/>
      <c r="C84" s="83"/>
      <c r="D84" s="83"/>
      <c r="E84" s="83"/>
      <c r="F84" s="83"/>
    </row>
    <row r="85">
      <c r="B85" s="137"/>
      <c r="C85" s="83"/>
      <c r="D85" s="83"/>
      <c r="E85" s="83"/>
      <c r="F85" s="83"/>
    </row>
    <row r="86">
      <c r="C86" s="127"/>
      <c r="E86" s="83"/>
      <c r="F86" s="83"/>
    </row>
    <row r="87">
      <c r="B87" s="138"/>
      <c r="C87" s="127"/>
    </row>
    <row r="90">
      <c r="C90" s="127"/>
      <c r="D90" s="127"/>
      <c r="E90" s="127"/>
      <c r="F90" s="135"/>
      <c r="G90" s="135"/>
    </row>
    <row r="91">
      <c r="B91" s="83"/>
    </row>
    <row r="98">
      <c r="C98" s="76"/>
      <c r="D98" s="76"/>
      <c r="E98" s="139"/>
      <c r="F98" s="76"/>
    </row>
    <row r="99">
      <c r="C99" s="76"/>
      <c r="D99" s="76"/>
      <c r="E99" s="139"/>
      <c r="F99" s="76"/>
    </row>
    <row r="100">
      <c r="C100" s="140"/>
      <c r="D100" s="140"/>
      <c r="E100" s="83"/>
      <c r="F100" s="83"/>
    </row>
    <row r="101">
      <c r="C101" s="83"/>
      <c r="D101" s="83"/>
      <c r="E101" s="83"/>
      <c r="F101" s="127"/>
    </row>
    <row r="102">
      <c r="C102" s="83"/>
      <c r="D102" s="83"/>
      <c r="E102" s="83"/>
      <c r="F102" s="141"/>
    </row>
    <row r="103">
      <c r="C103" s="83"/>
      <c r="D103" s="83"/>
      <c r="E103" s="83"/>
      <c r="F103" s="141"/>
    </row>
  </sheetData>
  <mergeCells count="4">
    <mergeCell ref="C48:H48"/>
    <mergeCell ref="B51:C51"/>
    <mergeCell ref="D51:E51"/>
    <mergeCell ref="F51:G51"/>
  </mergeCells>
  <conditionalFormatting sqref="B29">
    <cfRule type="cellIs" dxfId="0" priority="1" operator="notEqual">
      <formula>B25+B26</formula>
    </cfRule>
  </conditionalFormatting>
  <conditionalFormatting sqref="B30">
    <cfRule type="containsBlanks" dxfId="1" priority="2">
      <formula>LEN(TRIM(B30))=0</formula>
    </cfRule>
  </conditionalFormatting>
  <conditionalFormatting sqref="B30">
    <cfRule type="expression" dxfId="0" priority="3">
      <formula>AND(EQ(K27, "eTrade"), NE(B30,C42))</formula>
    </cfRule>
  </conditionalFormatting>
  <conditionalFormatting sqref="B30">
    <cfRule type="expression" dxfId="2" priority="4">
      <formula>NE(K27,"eTrade")</formula>
    </cfRule>
  </conditionalFormatting>
  <conditionalFormatting sqref="B31">
    <cfRule type="cellIs" dxfId="0" priority="5" operator="notEqual">
      <formula>B42</formula>
    </cfRule>
  </conditionalFormatting>
  <conditionalFormatting sqref="G42">
    <cfRule type="notContainsBlanks" dxfId="3" priority="6">
      <formula>LEN(TRIM(G42))&gt;0</formula>
    </cfRule>
  </conditionalFormatting>
  <conditionalFormatting sqref="F41">
    <cfRule type="cellIs" dxfId="4" priority="7" operator="notEqual">
      <formula>ROUNDDOWN(B26 * indirect("Reference!$B$6"))</formula>
    </cfRule>
  </conditionalFormatting>
  <dataValidations>
    <dataValidation type="list" allowBlank="1" showErrorMessage="1" sqref="K25">
      <formula1>"Mean,Close,High,Low,Custom"</formula1>
    </dataValidation>
    <dataValidation type="list" allowBlank="1" showErrorMessage="1" sqref="K27">
      <formula1>"eTrade,Form 8937,Custom"</formula1>
    </dataValidation>
    <dataValidation type="decimal" operator="equal" allowBlank="1" showDropDown="1" sqref="B29">
      <formula1>B25+B26</formula1>
    </dataValidation>
    <dataValidation type="list" allowBlank="1" showErrorMessage="1" sqref="K34">
      <formula1>"By status,Custom"</formula1>
    </dataValidation>
    <dataValidation type="list" allowBlank="1" showInputMessage="1" prompt="Click and enter a value from the list of items" sqref="K28">
      <formula1>"last year,today,2024-03-01,2024-05-01,2024-06-01,2024-08-01,2024-09-01"</formula1>
    </dataValidation>
    <dataValidation type="decimal" operator="greaterThan" allowBlank="1" showDropDown="1" showErrorMessage="1" sqref="M28">
      <formula1>0.0</formula1>
    </dataValidation>
    <dataValidation type="decimal" operator="equal" allowBlank="1" showDropDown="1" showInputMessage="1" prompt="Check at least one box to select a lot for the fraction to associate with" sqref="C41">
      <formula1>ESPP!AD28+RSU!AA86</formula1>
    </dataValidation>
    <dataValidation type="list" allowBlank="1" showErrorMessage="1" sqref="K33">
      <formula1>"Single,Joint,Head of household"</formula1>
    </dataValidation>
    <dataValidation type="list" allowBlank="1" showErrorMessage="1" sqref="K26">
      <formula1>"Calculated from Necessary Inputs,Calculated from manual share qty,Manual per-lot ratio"</formula1>
    </dataValidation>
    <dataValidation type="list" allowBlank="1" showErrorMessage="1" sqref="K36">
      <formula1>"per-share"</formula1>
    </dataValidation>
  </dataValidations>
  <hyperlinks>
    <hyperlink r:id="rId2" location="/myAccount/stockPlanConfirmations" ref="C3"/>
    <hyperlink r:id="rId3" ref="C4"/>
    <hyperlink r:id="rId4" ref="A12"/>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18.13"/>
    <col customWidth="1" min="4" max="4" width="14.75"/>
    <col customWidth="1" min="5" max="5" width="19.25"/>
    <col customWidth="1" min="6" max="6" width="20.38"/>
    <col customWidth="1" min="7" max="7" width="16.88"/>
    <col customWidth="1" hidden="1" min="8" max="8" width="23.25"/>
    <col customWidth="1" min="9" max="9" width="20.0"/>
    <col customWidth="1" hidden="1" min="10" max="10" width="14.75"/>
    <col customWidth="1" hidden="1" min="11" max="11" width="11.63"/>
    <col customWidth="1" hidden="1" min="12" max="12" width="20.13"/>
    <col customWidth="1" min="13" max="13" width="24.38"/>
    <col customWidth="1" hidden="1" min="15" max="16" width="23.75"/>
    <col customWidth="1" min="17" max="17" width="23.75"/>
    <col customWidth="1" hidden="1" min="18" max="18" width="12.5"/>
    <col customWidth="1" hidden="1" min="19" max="20" width="17.38"/>
    <col customWidth="1" hidden="1" min="21" max="22" width="28.0"/>
    <col customWidth="1" hidden="1" min="23" max="23" width="23.38"/>
    <col customWidth="1" hidden="1" min="24" max="24" width="21.0"/>
    <col customWidth="1" hidden="1" min="25" max="25" width="13.0"/>
    <col customWidth="1" hidden="1" min="26" max="28" width="17.38"/>
    <col customWidth="1" hidden="1" min="29" max="29" width="23.75"/>
    <col hidden="1" min="30" max="30" width="12.63"/>
    <col customWidth="1" min="33" max="33" width="19.63"/>
    <col customWidth="1" min="34" max="34" width="12.13"/>
    <col customWidth="1" min="35" max="35" width="19.75"/>
    <col customWidth="1" min="36" max="36" width="23.38"/>
    <col customWidth="1" hidden="1" min="37" max="37" width="7.63"/>
    <col customWidth="1" min="38" max="38" width="19.88"/>
    <col customWidth="1" hidden="1" min="39" max="39" width="18.13"/>
    <col customWidth="1" min="40" max="40" width="18.13"/>
  </cols>
  <sheetData>
    <row r="1">
      <c r="A1" s="142" t="s">
        <v>1</v>
      </c>
      <c r="Q1" s="143"/>
      <c r="R1" s="76" t="s">
        <v>104</v>
      </c>
      <c r="AN1" s="143"/>
    </row>
    <row r="2">
      <c r="A2" s="144" t="s">
        <v>105</v>
      </c>
      <c r="B2" s="101"/>
      <c r="C2" s="101"/>
      <c r="D2" s="101"/>
      <c r="E2" s="101"/>
      <c r="F2" s="101"/>
      <c r="G2" s="101"/>
      <c r="H2" s="101"/>
      <c r="I2" s="101"/>
      <c r="J2" s="101"/>
      <c r="K2" s="101"/>
      <c r="L2" s="102"/>
      <c r="M2" s="145" t="s">
        <v>106</v>
      </c>
      <c r="N2" s="101"/>
      <c r="O2" s="146"/>
      <c r="P2" s="101"/>
      <c r="Q2" s="102"/>
      <c r="R2" s="147" t="s">
        <v>107</v>
      </c>
      <c r="S2" s="101"/>
      <c r="T2" s="101"/>
      <c r="U2" s="101"/>
      <c r="V2" s="101"/>
      <c r="W2" s="101"/>
      <c r="X2" s="101"/>
      <c r="Y2" s="101"/>
      <c r="Z2" s="101"/>
      <c r="AA2" s="101"/>
      <c r="AB2" s="101"/>
      <c r="AC2" s="101"/>
      <c r="AD2" s="148"/>
      <c r="AE2" s="147" t="s">
        <v>108</v>
      </c>
      <c r="AF2" s="101"/>
      <c r="AG2" s="101"/>
      <c r="AH2" s="102"/>
      <c r="AI2" s="149" t="s">
        <v>109</v>
      </c>
      <c r="AJ2" s="101"/>
      <c r="AK2" s="101"/>
      <c r="AL2" s="101"/>
      <c r="AM2" s="101"/>
      <c r="AN2" s="102"/>
    </row>
    <row r="3">
      <c r="A3" s="150"/>
      <c r="B3" s="57" t="s">
        <v>110</v>
      </c>
      <c r="H3" s="151" t="s">
        <v>111</v>
      </c>
      <c r="I3" s="57" t="s">
        <v>112</v>
      </c>
      <c r="L3" s="143"/>
      <c r="M3" s="152" t="s">
        <v>113</v>
      </c>
      <c r="N3" s="153" t="s">
        <v>114</v>
      </c>
      <c r="O3" s="154" t="s">
        <v>115</v>
      </c>
      <c r="Q3" s="143"/>
      <c r="R3" s="89" t="s">
        <v>116</v>
      </c>
      <c r="U3" s="89"/>
      <c r="V3" s="89" t="s">
        <v>117</v>
      </c>
      <c r="X3" s="127" t="s">
        <v>118</v>
      </c>
      <c r="Y3" s="89" t="s">
        <v>119</v>
      </c>
      <c r="AB3" s="89"/>
      <c r="AC3" s="89" t="s">
        <v>120</v>
      </c>
      <c r="AD3" s="155"/>
      <c r="AE3" s="57" t="s">
        <v>121</v>
      </c>
      <c r="AF3" s="143"/>
      <c r="AG3" s="57" t="s">
        <v>122</v>
      </c>
      <c r="AH3" s="143"/>
      <c r="AI3" s="156" t="s">
        <v>123</v>
      </c>
      <c r="AN3" s="143"/>
    </row>
    <row r="4">
      <c r="A4" s="157" t="s">
        <v>124</v>
      </c>
      <c r="B4" s="158" t="s">
        <v>125</v>
      </c>
      <c r="C4" s="159" t="s">
        <v>126</v>
      </c>
      <c r="D4" s="160" t="s">
        <v>127</v>
      </c>
      <c r="E4" s="161" t="s">
        <v>128</v>
      </c>
      <c r="F4" s="159" t="s">
        <v>129</v>
      </c>
      <c r="G4" s="159" t="s">
        <v>130</v>
      </c>
      <c r="H4" s="162" t="s">
        <v>131</v>
      </c>
      <c r="I4" s="159" t="s">
        <v>132</v>
      </c>
      <c r="J4" s="159" t="s">
        <v>133</v>
      </c>
      <c r="K4" s="159" t="s">
        <v>134</v>
      </c>
      <c r="L4" s="157" t="s">
        <v>135</v>
      </c>
      <c r="M4" s="163" t="s">
        <v>136</v>
      </c>
      <c r="N4" s="164"/>
      <c r="O4" s="163" t="s">
        <v>137</v>
      </c>
      <c r="P4" s="164" t="s">
        <v>138</v>
      </c>
      <c r="Q4" s="165" t="s">
        <v>139</v>
      </c>
      <c r="R4" s="161" t="s">
        <v>140</v>
      </c>
      <c r="S4" s="166" t="s">
        <v>141</v>
      </c>
      <c r="T4" s="166" t="s">
        <v>142</v>
      </c>
      <c r="U4" s="167" t="s">
        <v>143</v>
      </c>
      <c r="V4" s="161" t="s">
        <v>144</v>
      </c>
      <c r="W4" s="167" t="s">
        <v>145</v>
      </c>
      <c r="X4" s="161" t="s">
        <v>146</v>
      </c>
      <c r="Y4" s="168" t="s">
        <v>140</v>
      </c>
      <c r="Z4" s="161" t="s">
        <v>147</v>
      </c>
      <c r="AA4" s="161" t="s">
        <v>142</v>
      </c>
      <c r="AB4" s="167" t="s">
        <v>148</v>
      </c>
      <c r="AC4" s="161" t="s">
        <v>149</v>
      </c>
      <c r="AD4" s="169" t="s">
        <v>150</v>
      </c>
      <c r="AE4" s="170" t="s">
        <v>151</v>
      </c>
      <c r="AF4" s="167" t="s">
        <v>75</v>
      </c>
      <c r="AG4" s="161" t="s">
        <v>152</v>
      </c>
      <c r="AH4" s="171" t="s">
        <v>153</v>
      </c>
      <c r="AI4" s="172" t="s">
        <v>154</v>
      </c>
      <c r="AJ4" s="173" t="s">
        <v>155</v>
      </c>
      <c r="AK4" s="173" t="s">
        <v>156</v>
      </c>
      <c r="AL4" s="173" t="s">
        <v>157</v>
      </c>
      <c r="AM4" s="174" t="s">
        <v>158</v>
      </c>
      <c r="AN4" s="171" t="s">
        <v>159</v>
      </c>
    </row>
    <row r="5">
      <c r="A5" s="175"/>
      <c r="B5" s="80"/>
      <c r="C5" s="80"/>
      <c r="D5" s="176">
        <f>SUM(D7:D26)</f>
        <v>0</v>
      </c>
      <c r="E5" s="80"/>
      <c r="F5" s="80"/>
      <c r="G5" s="82"/>
      <c r="H5" s="177">
        <f>SUM(H7:H26)</f>
        <v>0</v>
      </c>
      <c r="I5" s="80"/>
      <c r="J5" s="80"/>
      <c r="K5" s="80"/>
      <c r="L5" s="80"/>
      <c r="M5" s="178">
        <f>SUM(M7:M26)</f>
        <v>0</v>
      </c>
      <c r="N5" s="82">
        <f>COUNTIF(N7:N26, TRUE)</f>
        <v>0</v>
      </c>
      <c r="O5" s="80"/>
      <c r="P5" s="80"/>
      <c r="Q5" s="80"/>
      <c r="R5" s="177">
        <f t="shared" ref="R5:U5" si="1">SUM(R7:R26)</f>
        <v>0</v>
      </c>
      <c r="S5" s="177">
        <f t="shared" si="1"/>
        <v>0</v>
      </c>
      <c r="T5" s="177">
        <f t="shared" si="1"/>
        <v>0</v>
      </c>
      <c r="U5" s="177">
        <f t="shared" si="1"/>
        <v>0</v>
      </c>
      <c r="V5" s="80"/>
      <c r="W5" s="80"/>
      <c r="X5" s="80"/>
      <c r="Y5" s="79">
        <f t="shared" ref="Y5:AH5" si="2">SUM(Y7:Y26)</f>
        <v>0</v>
      </c>
      <c r="Z5" s="79">
        <f t="shared" si="2"/>
        <v>0</v>
      </c>
      <c r="AA5" s="79">
        <f t="shared" si="2"/>
        <v>0</v>
      </c>
      <c r="AB5" s="179">
        <f t="shared" si="2"/>
        <v>0</v>
      </c>
      <c r="AC5" s="177">
        <f t="shared" si="2"/>
        <v>0</v>
      </c>
      <c r="AD5" s="180">
        <f t="shared" si="2"/>
        <v>0</v>
      </c>
      <c r="AE5" s="181">
        <f t="shared" si="2"/>
        <v>0</v>
      </c>
      <c r="AF5" s="182">
        <f t="shared" si="2"/>
        <v>0</v>
      </c>
      <c r="AG5" s="108">
        <f t="shared" si="2"/>
        <v>0</v>
      </c>
      <c r="AH5" s="110">
        <f t="shared" si="2"/>
        <v>0</v>
      </c>
      <c r="AI5" s="80"/>
      <c r="AJ5" s="183">
        <f>SUM(AJ28)</f>
        <v>0</v>
      </c>
      <c r="AK5" s="183"/>
      <c r="AL5" s="183">
        <f t="shared" ref="AL5:AN5" si="3">SUM(AL7:AL26)</f>
        <v>0</v>
      </c>
      <c r="AM5" s="184">
        <f t="shared" si="3"/>
        <v>0</v>
      </c>
      <c r="AN5" s="185">
        <f t="shared" si="3"/>
        <v>0</v>
      </c>
    </row>
    <row r="6">
      <c r="A6" s="186"/>
      <c r="B6" s="186"/>
      <c r="C6" s="186"/>
      <c r="D6" s="186"/>
      <c r="E6" s="186"/>
      <c r="F6" s="186"/>
      <c r="G6" s="186"/>
      <c r="H6" s="186"/>
      <c r="I6" s="186"/>
      <c r="J6" s="186"/>
      <c r="K6" s="186"/>
      <c r="L6" s="186"/>
      <c r="M6" s="186"/>
      <c r="N6" s="187"/>
      <c r="O6" s="187"/>
      <c r="P6" s="187"/>
      <c r="Q6" s="188"/>
      <c r="R6" s="186"/>
      <c r="S6" s="186"/>
      <c r="T6" s="186"/>
      <c r="U6" s="186"/>
      <c r="V6" s="186"/>
      <c r="W6" s="186"/>
      <c r="X6" s="186"/>
      <c r="Y6" s="186"/>
      <c r="Z6" s="186"/>
      <c r="AA6" s="186"/>
      <c r="AB6" s="186"/>
      <c r="AC6" s="186"/>
      <c r="AD6" s="186"/>
      <c r="AE6" s="189"/>
      <c r="AF6" s="186"/>
      <c r="AG6" s="190"/>
      <c r="AH6" s="190"/>
      <c r="AI6" s="190"/>
      <c r="AJ6" s="186"/>
      <c r="AK6" s="191"/>
      <c r="AL6" s="186"/>
      <c r="AM6" s="192"/>
      <c r="AN6" s="186"/>
    </row>
    <row r="7">
      <c r="A7" s="193">
        <f t="shared" ref="A7:A26" si="4">B7</f>
        <v>41122</v>
      </c>
      <c r="B7" s="194">
        <v>41122.0</v>
      </c>
      <c r="C7" s="195">
        <v>41305.0</v>
      </c>
      <c r="D7" s="196"/>
      <c r="E7" s="197">
        <v>89.0</v>
      </c>
      <c r="F7" s="197">
        <v>76.48</v>
      </c>
      <c r="G7" s="198"/>
      <c r="H7" s="199">
        <f t="shared" ref="H7:H26" si="5">D7*L7</f>
        <v>0</v>
      </c>
      <c r="I7" s="198">
        <v>0.0</v>
      </c>
      <c r="J7" s="199">
        <f t="shared" ref="J7:J26" si="6">I7+G7</f>
        <v>0</v>
      </c>
      <c r="K7" s="199">
        <f t="shared" ref="K7:K26" si="7">J7-H7</f>
        <v>0</v>
      </c>
      <c r="L7" s="200">
        <f t="shared" ref="L7:L13" si="8">0.85*MIN(E7,F7)</f>
        <v>65.008</v>
      </c>
      <c r="M7" s="201"/>
      <c r="N7" s="202" t="b">
        <v>0</v>
      </c>
      <c r="O7" s="203">
        <f t="shared" ref="O7:O26" si="9">iferror(M7/(0.252*D7),0)</f>
        <v>0</v>
      </c>
      <c r="P7" s="203">
        <f>SWITCH(Q7,"cash",Reference!$E$5,"shares",Reference!$E$6,"balance",Reference!$E$7)</f>
        <v>0</v>
      </c>
      <c r="Q7" s="204" t="s">
        <v>160</v>
      </c>
      <c r="R7" s="199">
        <f>Reference!$B$4*Reference!$B$3*$D7</f>
        <v>0</v>
      </c>
      <c r="S7" s="199">
        <f>iferror(LET(ratio, O7,(1-ratio) * Reference!$B$3 * $D7),0)</f>
        <v>0</v>
      </c>
      <c r="T7" s="199">
        <f>iferror(LET(ratio, P7,(1-ratio) * Reference!$B$3 * $D7),0)</f>
        <v>0</v>
      </c>
      <c r="U7" s="199">
        <f>SWITCH(Reference!$E$4,"eTradeHoldingRatio", R7, "eTradeLotQtyRatio",S7, "manualLotRatio", T7)</f>
        <v>0</v>
      </c>
      <c r="V7" s="199">
        <f>IF(C7&lt;Reference!$B$26,Reference!$C$26,0)</f>
        <v>10.18</v>
      </c>
      <c r="W7" s="199">
        <f>IF(C7&lt;Reference!$B$27,Reference!$C$27,0)</f>
        <v>16.87</v>
      </c>
      <c r="X7" s="199">
        <f t="shared" ref="X7:X26" si="10">(L7 /0.85)-V7-W7</f>
        <v>49.43</v>
      </c>
      <c r="Y7" s="205">
        <f>$D7*Reference!$B$5*Reference!$B$6</f>
        <v>0</v>
      </c>
      <c r="Z7" s="205">
        <f>$D7*O7*Reference!$B$6</f>
        <v>0</v>
      </c>
      <c r="AA7" s="206">
        <f>$D7*P7*Reference!$B$6</f>
        <v>0</v>
      </c>
      <c r="AB7" s="206">
        <f>SWITCH(Reference!$E$4,"eTradeHoldingRatio", Y7, "eTradeLotQtyRatio",Z7, "manualLotRatio", AA7)</f>
        <v>0</v>
      </c>
      <c r="AC7" s="207">
        <f>MAX(U7+(AB7*Reference!$B$18)-(D7*X7),0)</f>
        <v>0</v>
      </c>
      <c r="AD7" s="208">
        <f>IF(N7,Summary!$C$41/ ($N$28+RSU!J$86), 0)</f>
        <v>0</v>
      </c>
      <c r="AE7" s="209">
        <f>IF(N7,(Reference!$B$23 - AI7) * AD7, 0)</f>
        <v>0</v>
      </c>
      <c r="AF7" s="210">
        <f t="shared" ref="AF7:AF26" si="11">MIN(U7,AC7)</f>
        <v>0</v>
      </c>
      <c r="AG7" s="211">
        <f>IF(DATEDIF(C7,Reference!$B$28,"Y")&gt;=1,0,AE7+AF7)+iferror(((AL7/D7)*AD7),0)</f>
        <v>0</v>
      </c>
      <c r="AH7" s="212">
        <f>IF(DATEDIF(C7,Reference!$B$28,"Y")&gt;=1,AE7+AF7,0)</f>
        <v>0</v>
      </c>
      <c r="AI7" s="213" t="str">
        <f t="shared" ref="AI7:AI26" si="12">IFERROR(((X7*D7) - U7 + AF7 + IF(AK7, 0, AL7))/AB7, "n/a")</f>
        <v>n/a</v>
      </c>
      <c r="AJ7" s="214">
        <f>iferror((Reference!$B$10-AI7)*(AB7) - AD7, 0)</f>
        <v>0</v>
      </c>
      <c r="AK7" s="215" t="b">
        <f>AND(DATEDIF(B7,Reference!$B$29,"Y")&gt;=1, DATEDIF(A7, Reference!$B$29, "Y")&gt;=2)</f>
        <v>1</v>
      </c>
      <c r="AL7" s="214">
        <f t="shared" ref="AL7:AL26" si="13">IF(AK7,D7*0.15*MIN(E7,F7),D7*(F7-L7))</f>
        <v>0</v>
      </c>
      <c r="AM7" s="216">
        <f>IF(DATEDIF(C7,Reference!$B$29,"Y")&gt;=1,0,AG7)</f>
        <v>0</v>
      </c>
      <c r="AN7" s="217">
        <f t="shared" ref="AN7:AN26" si="14">AJ7</f>
        <v>0</v>
      </c>
    </row>
    <row r="8">
      <c r="A8" s="193">
        <f t="shared" si="4"/>
        <v>41306</v>
      </c>
      <c r="B8" s="194">
        <v>41306.0</v>
      </c>
      <c r="C8" s="195">
        <f t="shared" ref="C8:C10" si="15">DATE(YEAR(C7),MONTH(C7)+6,DAY(C7))</f>
        <v>41486</v>
      </c>
      <c r="D8" s="196"/>
      <c r="E8" s="197">
        <v>78.79</v>
      </c>
      <c r="F8" s="197">
        <v>82.19</v>
      </c>
      <c r="G8" s="198"/>
      <c r="H8" s="199">
        <f t="shared" si="5"/>
        <v>0</v>
      </c>
      <c r="I8" s="197">
        <f t="shared" ref="I8:I26" si="16">K7</f>
        <v>0</v>
      </c>
      <c r="J8" s="199">
        <f t="shared" si="6"/>
        <v>0</v>
      </c>
      <c r="K8" s="199">
        <f t="shared" si="7"/>
        <v>0</v>
      </c>
      <c r="L8" s="200">
        <f t="shared" si="8"/>
        <v>66.9715</v>
      </c>
      <c r="M8" s="201"/>
      <c r="N8" s="202" t="b">
        <v>0</v>
      </c>
      <c r="O8" s="203">
        <f t="shared" si="9"/>
        <v>0</v>
      </c>
      <c r="P8" s="203">
        <f>SWITCH(Q8,"cash",Reference!$E$5,"shares",Reference!$E$6,"balance",Reference!$E$7)</f>
        <v>0</v>
      </c>
      <c r="Q8" s="204" t="s">
        <v>160</v>
      </c>
      <c r="R8" s="199">
        <f>Reference!$B$4*Reference!$B$3*D8</f>
        <v>0</v>
      </c>
      <c r="S8" s="199">
        <f>iferror(LET(ratio, O8,(1-ratio) * Reference!$B$3 * D8),0)</f>
        <v>0</v>
      </c>
      <c r="T8" s="199">
        <f>iferror(LET(ratio, P8,(1-ratio) * Reference!$B$3 * $D8),0)</f>
        <v>0</v>
      </c>
      <c r="U8" s="199">
        <f>SWITCH(Reference!$E$4,"eTradeHoldingRatio", R8, "eTradeLotQtyRatio",S8, "manualLotRatio", T8)</f>
        <v>0</v>
      </c>
      <c r="V8" s="199">
        <f>IF(C8&lt;Reference!$B$26,Reference!$C$26,0)</f>
        <v>10.18</v>
      </c>
      <c r="W8" s="199">
        <f>IF(C8&lt;Reference!$B$27,Reference!$C$27,0)</f>
        <v>16.87</v>
      </c>
      <c r="X8" s="199">
        <f t="shared" si="10"/>
        <v>51.74</v>
      </c>
      <c r="Y8" s="205">
        <f>D8*Reference!$B$5*Reference!$B$6</f>
        <v>0</v>
      </c>
      <c r="Z8" s="205">
        <f>$D8*O8*Reference!$B$6</f>
        <v>0</v>
      </c>
      <c r="AA8" s="206">
        <f>$D8*P8*Reference!$B$6</f>
        <v>0</v>
      </c>
      <c r="AB8" s="206">
        <f>SWITCH(Reference!$E$4,"eTradeHoldingRatio", Y8, "eTradeLotQtyRatio",Z8, "manualLotRatio", AA8)</f>
        <v>0</v>
      </c>
      <c r="AC8" s="207">
        <f>MAX(U8+(AB8*Reference!$B$18)-(D8*X8),0)</f>
        <v>0</v>
      </c>
      <c r="AD8" s="208">
        <f>IF(N8,Summary!$C$41/ ($N$28+RSU!J$86), 0)</f>
        <v>0</v>
      </c>
      <c r="AE8" s="209">
        <f>IF(N8,(Reference!$B$23 - AI8) * AD8, 0)</f>
        <v>0</v>
      </c>
      <c r="AF8" s="210">
        <f t="shared" si="11"/>
        <v>0</v>
      </c>
      <c r="AG8" s="211">
        <f>IF(DATEDIF(C8,Reference!$B$28,"Y")&gt;=1,0,AE8+AF8)+iferror(((AL8/D8)*AD8),0)</f>
        <v>0</v>
      </c>
      <c r="AH8" s="212">
        <f>IF(DATEDIF(C8,Reference!$B$28,"Y")&gt;=1,AE8+AF8,0)</f>
        <v>0</v>
      </c>
      <c r="AI8" s="213" t="str">
        <f t="shared" si="12"/>
        <v>n/a</v>
      </c>
      <c r="AJ8" s="214">
        <f>iferror((Reference!$B$10-AI8)*(AB8) - AD8, 0)</f>
        <v>0</v>
      </c>
      <c r="AK8" s="215" t="b">
        <f>AND(DATEDIF(B8,Reference!$B$29,"Y")&gt;=1, DATEDIF(A8, Reference!$B$29, "Y")&gt;=2)</f>
        <v>1</v>
      </c>
      <c r="AL8" s="214">
        <f t="shared" si="13"/>
        <v>0</v>
      </c>
      <c r="AM8" s="216">
        <f>IF(DATEDIF(C8,Reference!$B$29,"Y")&gt;=1,0,AG8)</f>
        <v>0</v>
      </c>
      <c r="AN8" s="217">
        <f t="shared" si="14"/>
        <v>0</v>
      </c>
    </row>
    <row r="9">
      <c r="A9" s="193">
        <f t="shared" si="4"/>
        <v>41487</v>
      </c>
      <c r="B9" s="194">
        <v>41487.0</v>
      </c>
      <c r="C9" s="195">
        <f t="shared" si="15"/>
        <v>41670</v>
      </c>
      <c r="D9" s="196"/>
      <c r="E9" s="197">
        <v>82.1</v>
      </c>
      <c r="F9" s="197">
        <v>90.14</v>
      </c>
      <c r="G9" s="198"/>
      <c r="H9" s="199">
        <f t="shared" si="5"/>
        <v>0</v>
      </c>
      <c r="I9" s="197">
        <f t="shared" si="16"/>
        <v>0</v>
      </c>
      <c r="J9" s="199">
        <f t="shared" si="6"/>
        <v>0</v>
      </c>
      <c r="K9" s="199">
        <f t="shared" si="7"/>
        <v>0</v>
      </c>
      <c r="L9" s="200">
        <f t="shared" si="8"/>
        <v>69.785</v>
      </c>
      <c r="M9" s="201"/>
      <c r="N9" s="218" t="b">
        <v>0</v>
      </c>
      <c r="O9" s="203">
        <f t="shared" si="9"/>
        <v>0</v>
      </c>
      <c r="P9" s="203">
        <f>SWITCH(Q9,"cash",Reference!$E$5,"shares",Reference!$E$6,"balance",Reference!$E$7)</f>
        <v>0</v>
      </c>
      <c r="Q9" s="204" t="s">
        <v>160</v>
      </c>
      <c r="R9" s="199">
        <f>Reference!$B$4*Reference!$B$3*D9</f>
        <v>0</v>
      </c>
      <c r="S9" s="199">
        <f>iferror(LET(ratio, O9,(1-ratio) * Reference!$B$3 * D9),0)</f>
        <v>0</v>
      </c>
      <c r="T9" s="199">
        <f>iferror(LET(ratio, P9,(1-ratio) * Reference!$B$3 * $D9),0)</f>
        <v>0</v>
      </c>
      <c r="U9" s="199">
        <f>SWITCH(Reference!$E$4,"eTradeHoldingRatio", R9, "eTradeLotQtyRatio",S9, "manualLotRatio", T9)</f>
        <v>0</v>
      </c>
      <c r="V9" s="199">
        <f>IF(C9&lt;Reference!$B$26,Reference!$C$26,0)</f>
        <v>10.18</v>
      </c>
      <c r="W9" s="199">
        <f>IF(C9&lt;Reference!$B$27,Reference!$C$27,0)</f>
        <v>16.87</v>
      </c>
      <c r="X9" s="199">
        <f t="shared" si="10"/>
        <v>55.05</v>
      </c>
      <c r="Y9" s="205">
        <f>D9*Reference!$B$5*Reference!$B$6</f>
        <v>0</v>
      </c>
      <c r="Z9" s="205">
        <f>$D9*O9*Reference!$B$6</f>
        <v>0</v>
      </c>
      <c r="AA9" s="206">
        <f>$D9*P9*Reference!$B$6</f>
        <v>0</v>
      </c>
      <c r="AB9" s="206">
        <f>SWITCH(Reference!$E$4,"eTradeHoldingRatio", Y9, "eTradeLotQtyRatio",Z9, "manualLotRatio", AA9)</f>
        <v>0</v>
      </c>
      <c r="AC9" s="207">
        <f>MAX(U9+(AB9*Reference!$B$18)-(D9*X9),0)</f>
        <v>0</v>
      </c>
      <c r="AD9" s="208">
        <f>IF(N9,Summary!$C$41/ ($N$28+RSU!J$86), 0)</f>
        <v>0</v>
      </c>
      <c r="AE9" s="209">
        <f>IF(N9,(Reference!$B$23 - AI9) * AD9, 0)</f>
        <v>0</v>
      </c>
      <c r="AF9" s="210">
        <f t="shared" si="11"/>
        <v>0</v>
      </c>
      <c r="AG9" s="211">
        <f>IF(DATEDIF(C9,Reference!$B$28,"Y")&gt;=1,0,AE9+AF9)+iferror(((AL9/D9)*AD9),0)</f>
        <v>0</v>
      </c>
      <c r="AH9" s="212">
        <f>IF(DATEDIF(C9,Reference!$B$28,"Y")&gt;=1,AE9+AF9,0)</f>
        <v>0</v>
      </c>
      <c r="AI9" s="213" t="str">
        <f t="shared" si="12"/>
        <v>n/a</v>
      </c>
      <c r="AJ9" s="214">
        <f>iferror((Reference!$B$10-AI9)*(AB9) - AD9, 0)</f>
        <v>0</v>
      </c>
      <c r="AK9" s="215" t="b">
        <f>AND(DATEDIF(B9,Reference!$B$29,"Y")&gt;=1, DATEDIF(A9, Reference!$B$29, "Y")&gt;=2)</f>
        <v>1</v>
      </c>
      <c r="AL9" s="214">
        <f t="shared" si="13"/>
        <v>0</v>
      </c>
      <c r="AM9" s="216">
        <f>IF(DATEDIF(C9,Reference!$B$29,"Y")&gt;=1,0,AG9)</f>
        <v>0</v>
      </c>
      <c r="AN9" s="217">
        <f t="shared" si="14"/>
        <v>0</v>
      </c>
    </row>
    <row r="10">
      <c r="A10" s="193">
        <f t="shared" si="4"/>
        <v>41671</v>
      </c>
      <c r="B10" s="194">
        <v>41671.0</v>
      </c>
      <c r="C10" s="195">
        <f t="shared" si="15"/>
        <v>41851</v>
      </c>
      <c r="D10" s="196"/>
      <c r="E10" s="197">
        <v>90.14</v>
      </c>
      <c r="F10" s="197">
        <v>99.36</v>
      </c>
      <c r="G10" s="198"/>
      <c r="H10" s="199">
        <f t="shared" si="5"/>
        <v>0</v>
      </c>
      <c r="I10" s="197">
        <f t="shared" si="16"/>
        <v>0</v>
      </c>
      <c r="J10" s="199">
        <f t="shared" si="6"/>
        <v>0</v>
      </c>
      <c r="K10" s="199">
        <f t="shared" si="7"/>
        <v>0</v>
      </c>
      <c r="L10" s="200">
        <f t="shared" si="8"/>
        <v>76.619</v>
      </c>
      <c r="M10" s="201"/>
      <c r="N10" s="202" t="b">
        <v>0</v>
      </c>
      <c r="O10" s="203">
        <f t="shared" si="9"/>
        <v>0</v>
      </c>
      <c r="P10" s="203">
        <f>SWITCH(Q10,"cash",Reference!$E$5,"shares",Reference!$E$6,"balance",Reference!$E$7)</f>
        <v>0</v>
      </c>
      <c r="Q10" s="204" t="s">
        <v>160</v>
      </c>
      <c r="R10" s="199">
        <f>Reference!$B$4*Reference!$B$3*D10</f>
        <v>0</v>
      </c>
      <c r="S10" s="199">
        <f>iferror(LET(ratio, O10,(1-ratio) * Reference!$B$3 * D10),0)</f>
        <v>0</v>
      </c>
      <c r="T10" s="199">
        <f>iferror(LET(ratio, P10,(1-ratio) * Reference!$B$3 * $D10),0)</f>
        <v>0</v>
      </c>
      <c r="U10" s="199">
        <f>SWITCH(Reference!$E$4,"eTradeHoldingRatio", R10, "eTradeLotQtyRatio",S10, "manualLotRatio", T10)</f>
        <v>0</v>
      </c>
      <c r="V10" s="199">
        <f>IF(C10&lt;Reference!$B$26,Reference!$C$26,0)</f>
        <v>10.18</v>
      </c>
      <c r="W10" s="199">
        <f>IF(C10&lt;Reference!$B$27,Reference!$C$27,0)</f>
        <v>16.87</v>
      </c>
      <c r="X10" s="199">
        <f t="shared" si="10"/>
        <v>63.09</v>
      </c>
      <c r="Y10" s="205">
        <f>D10*Reference!$B$5*Reference!$B$6</f>
        <v>0</v>
      </c>
      <c r="Z10" s="205">
        <f>$D10*O10*Reference!$B$6</f>
        <v>0</v>
      </c>
      <c r="AA10" s="206">
        <f>$D10*P10*Reference!$B$6</f>
        <v>0</v>
      </c>
      <c r="AB10" s="206">
        <f>SWITCH(Reference!$E$4,"eTradeHoldingRatio", Y10, "eTradeLotQtyRatio",Z10, "manualLotRatio", AA10)</f>
        <v>0</v>
      </c>
      <c r="AC10" s="207">
        <f>MAX(U10+(AB10*Reference!$B$18)-(D10*X10),0)</f>
        <v>0</v>
      </c>
      <c r="AD10" s="208">
        <f>IF(N10,Summary!$C$41/ ($N$28+RSU!J$86), 0)</f>
        <v>0</v>
      </c>
      <c r="AE10" s="209">
        <f>IF(N10,(Reference!$B$23 - AI10) * AD10, 0)</f>
        <v>0</v>
      </c>
      <c r="AF10" s="210">
        <f t="shared" si="11"/>
        <v>0</v>
      </c>
      <c r="AG10" s="211">
        <f>IF(DATEDIF(C10,Reference!$B$28,"Y")&gt;=1,0,AE10+AF10)+iferror(((AL10/D10)*AD10),0)</f>
        <v>0</v>
      </c>
      <c r="AH10" s="212">
        <f>IF(DATEDIF(C10,Reference!$B$28,"Y")&gt;=1,AE10+AF10,0)</f>
        <v>0</v>
      </c>
      <c r="AI10" s="213" t="str">
        <f t="shared" si="12"/>
        <v>n/a</v>
      </c>
      <c r="AJ10" s="214">
        <f>iferror((Reference!$B$10-AI10)*(AB10) - AD10, 0)</f>
        <v>0</v>
      </c>
      <c r="AK10" s="215" t="b">
        <f>AND(DATEDIF(B10,Reference!$B$29,"Y")&gt;=1, DATEDIF(A10, Reference!$B$29, "Y")&gt;=2)</f>
        <v>1</v>
      </c>
      <c r="AL10" s="214">
        <f t="shared" si="13"/>
        <v>0</v>
      </c>
      <c r="AM10" s="216">
        <f>IF(DATEDIF(C10,Reference!$B$29,"Y")&gt;=1,0,AG10)</f>
        <v>0</v>
      </c>
      <c r="AN10" s="217">
        <f t="shared" si="14"/>
        <v>0</v>
      </c>
    </row>
    <row r="11">
      <c r="A11" s="193">
        <f t="shared" si="4"/>
        <v>41852</v>
      </c>
      <c r="B11" s="194">
        <v>41852.0</v>
      </c>
      <c r="C11" s="195">
        <v>42035.0</v>
      </c>
      <c r="D11" s="196"/>
      <c r="E11" s="197">
        <v>98.33</v>
      </c>
      <c r="F11" s="197">
        <v>77.1</v>
      </c>
      <c r="G11" s="198"/>
      <c r="H11" s="199">
        <f t="shared" si="5"/>
        <v>0</v>
      </c>
      <c r="I11" s="197">
        <f t="shared" si="16"/>
        <v>0</v>
      </c>
      <c r="J11" s="199">
        <f t="shared" si="6"/>
        <v>0</v>
      </c>
      <c r="K11" s="199">
        <f t="shared" si="7"/>
        <v>0</v>
      </c>
      <c r="L11" s="200">
        <f t="shared" si="8"/>
        <v>65.535</v>
      </c>
      <c r="M11" s="219"/>
      <c r="N11" s="218" t="b">
        <v>0</v>
      </c>
      <c r="O11" s="203">
        <f t="shared" si="9"/>
        <v>0</v>
      </c>
      <c r="P11" s="203">
        <f>SWITCH(Q11,"cash",Reference!$E$5,"shares",Reference!$E$6,"balance",Reference!$E$7)</f>
        <v>0</v>
      </c>
      <c r="Q11" s="204" t="s">
        <v>160</v>
      </c>
      <c r="R11" s="199">
        <f>Reference!$B$4*Reference!$B$3*D11</f>
        <v>0</v>
      </c>
      <c r="S11" s="199">
        <f>iferror(LET(ratio, O11,(1-ratio) * Reference!$B$3 * D11),0)</f>
        <v>0</v>
      </c>
      <c r="T11" s="199">
        <f>iferror(LET(ratio, P11,(1-ratio) * Reference!$B$3 * $D11),0)</f>
        <v>0</v>
      </c>
      <c r="U11" s="199">
        <f>SWITCH(Reference!$E$4,"eTradeHoldingRatio", R11, "eTradeLotQtyRatio",S11, "manualLotRatio", T11)</f>
        <v>0</v>
      </c>
      <c r="V11" s="199">
        <f>IF(C11&lt;Reference!$B$26,Reference!$C$26,0)</f>
        <v>10.18</v>
      </c>
      <c r="W11" s="199">
        <f>IF(C11&lt;Reference!$B$27,Reference!$C$27,0)</f>
        <v>16.87</v>
      </c>
      <c r="X11" s="199">
        <f t="shared" si="10"/>
        <v>50.05</v>
      </c>
      <c r="Y11" s="205">
        <f>D11*Reference!$B$5*Reference!$B$6</f>
        <v>0</v>
      </c>
      <c r="Z11" s="205">
        <f>$D11*O11*Reference!$B$6</f>
        <v>0</v>
      </c>
      <c r="AA11" s="206">
        <f>$D11*P11*Reference!$B$6</f>
        <v>0</v>
      </c>
      <c r="AB11" s="206">
        <f>SWITCH(Reference!$E$4,"eTradeHoldingRatio", Y11, "eTradeLotQtyRatio",Z11, "manualLotRatio", AA11)</f>
        <v>0</v>
      </c>
      <c r="AC11" s="207">
        <f>MAX(U11+(AB11*Reference!$B$18)-(D11*X11),0)</f>
        <v>0</v>
      </c>
      <c r="AD11" s="208">
        <f>IF(N11,Summary!$C$41/ ($N$28+RSU!J$86), 0)</f>
        <v>0</v>
      </c>
      <c r="AE11" s="209">
        <f>IF(N11,(Reference!$B$23 - AI11) * AD11, 0)</f>
        <v>0</v>
      </c>
      <c r="AF11" s="210">
        <f t="shared" si="11"/>
        <v>0</v>
      </c>
      <c r="AG11" s="211">
        <f>IF(DATEDIF(C11,Reference!$B$28,"Y")&gt;=1,0,AE11+AF11)+iferror(((AL11/D11)*AD11),0)</f>
        <v>0</v>
      </c>
      <c r="AH11" s="212">
        <f>IF(DATEDIF(C11,Reference!$B$28,"Y")&gt;=1,AE11+AF11,0)</f>
        <v>0</v>
      </c>
      <c r="AI11" s="213" t="str">
        <f t="shared" si="12"/>
        <v>n/a</v>
      </c>
      <c r="AJ11" s="214">
        <f>iferror((Reference!$B$10-AI11)*(AB11) - AD11, 0)</f>
        <v>0</v>
      </c>
      <c r="AK11" s="215" t="b">
        <f>AND(DATEDIF(B11,Reference!$B$29,"Y")&gt;=1, DATEDIF(A11, Reference!$B$29, "Y")&gt;=2)</f>
        <v>1</v>
      </c>
      <c r="AL11" s="214">
        <f t="shared" si="13"/>
        <v>0</v>
      </c>
      <c r="AM11" s="216">
        <f>IF(DATEDIF(C11,Reference!$B$29,"Y")&gt;=1,0,AG11)</f>
        <v>0</v>
      </c>
      <c r="AN11" s="217">
        <f t="shared" si="14"/>
        <v>0</v>
      </c>
    </row>
    <row r="12">
      <c r="A12" s="193">
        <f t="shared" si="4"/>
        <v>42036</v>
      </c>
      <c r="B12" s="194">
        <v>42036.0</v>
      </c>
      <c r="C12" s="195">
        <f t="shared" ref="C12:C14" si="17">DATE(YEAR(C11),MONTH(C11)+6,DAY(C11))</f>
        <v>42216</v>
      </c>
      <c r="D12" s="196"/>
      <c r="E12" s="197">
        <v>77.1</v>
      </c>
      <c r="F12" s="197">
        <v>89.13</v>
      </c>
      <c r="G12" s="198"/>
      <c r="H12" s="199">
        <f t="shared" si="5"/>
        <v>0</v>
      </c>
      <c r="I12" s="197">
        <f t="shared" si="16"/>
        <v>0</v>
      </c>
      <c r="J12" s="199">
        <f t="shared" si="6"/>
        <v>0</v>
      </c>
      <c r="K12" s="199">
        <f t="shared" si="7"/>
        <v>0</v>
      </c>
      <c r="L12" s="200">
        <f t="shared" si="8"/>
        <v>65.535</v>
      </c>
      <c r="M12" s="201"/>
      <c r="N12" s="218" t="b">
        <v>0</v>
      </c>
      <c r="O12" s="203">
        <f t="shared" si="9"/>
        <v>0</v>
      </c>
      <c r="P12" s="203">
        <f>SWITCH(Q12,"cash",Reference!$E$5,"shares",Reference!$E$6,"balance",Reference!$E$7)</f>
        <v>0</v>
      </c>
      <c r="Q12" s="204" t="s">
        <v>160</v>
      </c>
      <c r="R12" s="199">
        <f>Reference!$B$4*Reference!$B$3*D12</f>
        <v>0</v>
      </c>
      <c r="S12" s="199">
        <f>iferror(LET(ratio, O12,(1-ratio) * Reference!$B$3 * D12),0)</f>
        <v>0</v>
      </c>
      <c r="T12" s="199">
        <f>iferror(LET(ratio, P12,(1-ratio) * Reference!$B$3 * $D12),0)</f>
        <v>0</v>
      </c>
      <c r="U12" s="199">
        <f>SWITCH(Reference!$E$4,"eTradeHoldingRatio", R12, "eTradeLotQtyRatio",S12, "manualLotRatio", T12)</f>
        <v>0</v>
      </c>
      <c r="V12" s="199">
        <f>IF(C12&lt;Reference!$B$26,Reference!$C$26,0)</f>
        <v>10.18</v>
      </c>
      <c r="W12" s="199">
        <f>IF(C12&lt;Reference!$B$27,Reference!$C$27,0)</f>
        <v>16.87</v>
      </c>
      <c r="X12" s="199">
        <f t="shared" si="10"/>
        <v>50.05</v>
      </c>
      <c r="Y12" s="205">
        <f>D12*Reference!$B$5*Reference!$B$6</f>
        <v>0</v>
      </c>
      <c r="Z12" s="205">
        <f>$D12*O12*Reference!$B$6</f>
        <v>0</v>
      </c>
      <c r="AA12" s="206">
        <f>$D12*P12*Reference!$B$6</f>
        <v>0</v>
      </c>
      <c r="AB12" s="206">
        <f>SWITCH(Reference!$E$4,"eTradeHoldingRatio", Y12, "eTradeLotQtyRatio",Z12, "manualLotRatio", AA12)</f>
        <v>0</v>
      </c>
      <c r="AC12" s="207">
        <f>MAX(U12+(AB12*Reference!$B$18)-(D12*X12),0)</f>
        <v>0</v>
      </c>
      <c r="AD12" s="208">
        <f>IF(N12,Summary!$C$41/ ($N$28+RSU!J$86), 0)</f>
        <v>0</v>
      </c>
      <c r="AE12" s="209">
        <f>IF(N12,(Reference!$B$23 - AI12) * AD12, 0)</f>
        <v>0</v>
      </c>
      <c r="AF12" s="210">
        <f t="shared" si="11"/>
        <v>0</v>
      </c>
      <c r="AG12" s="211">
        <f>IF(DATEDIF(C12,Reference!$B$28,"Y")&gt;=1,0,AE12+AF12)+iferror(((AL12/D12)*AD12),0)</f>
        <v>0</v>
      </c>
      <c r="AH12" s="212">
        <f>IF(DATEDIF(C12,Reference!$B$28,"Y")&gt;=1,AE12+AF12,0)</f>
        <v>0</v>
      </c>
      <c r="AI12" s="213" t="str">
        <f t="shared" si="12"/>
        <v>n/a</v>
      </c>
      <c r="AJ12" s="214">
        <f>iferror((Reference!$B$10-AI12)*(AB12) - AD12, 0)</f>
        <v>0</v>
      </c>
      <c r="AK12" s="215" t="b">
        <f>AND(DATEDIF(B12,Reference!$B$29,"Y")&gt;=1, DATEDIF(A12, Reference!$B$29, "Y")&gt;=2)</f>
        <v>1</v>
      </c>
      <c r="AL12" s="214">
        <f t="shared" si="13"/>
        <v>0</v>
      </c>
      <c r="AM12" s="216">
        <f>IF(DATEDIF(C12,Reference!$B$29,"Y")&gt;=1,0,AG12)</f>
        <v>0</v>
      </c>
      <c r="AN12" s="217">
        <f t="shared" si="14"/>
        <v>0</v>
      </c>
    </row>
    <row r="13">
      <c r="A13" s="193">
        <f t="shared" si="4"/>
        <v>42217</v>
      </c>
      <c r="B13" s="194">
        <v>42217.0</v>
      </c>
      <c r="C13" s="195">
        <f t="shared" si="17"/>
        <v>42400</v>
      </c>
      <c r="D13" s="196"/>
      <c r="E13" s="197">
        <v>89.13</v>
      </c>
      <c r="F13" s="197">
        <v>45.75</v>
      </c>
      <c r="G13" s="198"/>
      <c r="H13" s="199">
        <f t="shared" si="5"/>
        <v>0</v>
      </c>
      <c r="I13" s="197">
        <f t="shared" si="16"/>
        <v>0</v>
      </c>
      <c r="J13" s="199">
        <f t="shared" si="6"/>
        <v>0</v>
      </c>
      <c r="K13" s="199">
        <f t="shared" si="7"/>
        <v>0</v>
      </c>
      <c r="L13" s="200">
        <f t="shared" si="8"/>
        <v>38.8875</v>
      </c>
      <c r="M13" s="201"/>
      <c r="N13" s="220" t="b">
        <v>0</v>
      </c>
      <c r="O13" s="203">
        <f t="shared" si="9"/>
        <v>0</v>
      </c>
      <c r="P13" s="203">
        <f>SWITCH(Q13,"cash",Reference!$E$5,"shares",Reference!$E$6,"balance",Reference!$E$7)</f>
        <v>0</v>
      </c>
      <c r="Q13" s="204" t="s">
        <v>160</v>
      </c>
      <c r="R13" s="199">
        <f>Reference!$B$4*Reference!$B$3*D13</f>
        <v>0</v>
      </c>
      <c r="S13" s="199">
        <f>iferror(LET(ratio, O13,(1-ratio) * Reference!$B$3 * D13),0)</f>
        <v>0</v>
      </c>
      <c r="T13" s="199">
        <f>iferror(LET(ratio, P13,(1-ratio) * Reference!$B$3 * $D13),0)</f>
        <v>0</v>
      </c>
      <c r="U13" s="199">
        <f>SWITCH(Reference!$E$4,"eTradeHoldingRatio", R13, "eTradeLotQtyRatio",S13, "manualLotRatio", T13)</f>
        <v>0</v>
      </c>
      <c r="V13" s="199">
        <f>IF(C13&lt;Reference!$B$26,Reference!$C$26,0)</f>
        <v>10.18</v>
      </c>
      <c r="W13" s="199">
        <f>IF(C13&lt;Reference!$B$27,Reference!$C$27,0)</f>
        <v>16.87</v>
      </c>
      <c r="X13" s="199">
        <f t="shared" si="10"/>
        <v>18.7</v>
      </c>
      <c r="Y13" s="205">
        <f>D13*Reference!$B$5*Reference!$B$6</f>
        <v>0</v>
      </c>
      <c r="Z13" s="205">
        <f>$D13*O13*Reference!$B$6</f>
        <v>0</v>
      </c>
      <c r="AA13" s="206">
        <f>$D13*P13*Reference!$B$6</f>
        <v>0</v>
      </c>
      <c r="AB13" s="206">
        <f>SWITCH(Reference!$E$4,"eTradeHoldingRatio", Y13, "eTradeLotQtyRatio",Z13, "manualLotRatio", AA13)</f>
        <v>0</v>
      </c>
      <c r="AC13" s="207">
        <f>MAX(U13+(AB13*Reference!$B$18)-(D13*X13),0)</f>
        <v>0</v>
      </c>
      <c r="AD13" s="208">
        <f>IF(N13,Summary!$C$41/ ($N$28+RSU!J$86), 0)</f>
        <v>0</v>
      </c>
      <c r="AE13" s="209">
        <f>IF(N13,(Reference!$B$23 - AI13) * AD13, 0)</f>
        <v>0</v>
      </c>
      <c r="AF13" s="210">
        <f t="shared" si="11"/>
        <v>0</v>
      </c>
      <c r="AG13" s="211">
        <f>IF(DATEDIF(C13,Reference!$B$28,"Y")&gt;=1,0,AE13+AF13)+iferror(((AL13/D13)*AD13),0)</f>
        <v>0</v>
      </c>
      <c r="AH13" s="212">
        <f>IF(DATEDIF(C13,Reference!$B$28,"Y")&gt;=1,AE13+AF13,0)</f>
        <v>0</v>
      </c>
      <c r="AI13" s="213" t="str">
        <f t="shared" si="12"/>
        <v>n/a</v>
      </c>
      <c r="AJ13" s="214">
        <f>iferror((Reference!$B$10-AI13)*(AB13) - AD13, 0)</f>
        <v>0</v>
      </c>
      <c r="AK13" s="215" t="b">
        <f>AND(DATEDIF(B13,Reference!$B$29,"Y")&gt;=1, DATEDIF(A13, Reference!$B$29, "Y")&gt;=2)</f>
        <v>1</v>
      </c>
      <c r="AL13" s="214">
        <f t="shared" si="13"/>
        <v>0</v>
      </c>
      <c r="AM13" s="216">
        <f>IF(DATEDIF(C13,Reference!$B$29,"Y")&gt;=1,0,AG13)</f>
        <v>0</v>
      </c>
      <c r="AN13" s="217">
        <f t="shared" si="14"/>
        <v>0</v>
      </c>
    </row>
    <row r="14">
      <c r="A14" s="193">
        <f t="shared" si="4"/>
        <v>42401</v>
      </c>
      <c r="B14" s="194">
        <v>42401.0</v>
      </c>
      <c r="C14" s="195">
        <f t="shared" si="17"/>
        <v>42582</v>
      </c>
      <c r="D14" s="196"/>
      <c r="E14" s="197">
        <v>45.49</v>
      </c>
      <c r="F14" s="197">
        <v>72.98</v>
      </c>
      <c r="G14" s="198"/>
      <c r="H14" s="199">
        <f t="shared" si="5"/>
        <v>0</v>
      </c>
      <c r="I14" s="197">
        <f t="shared" si="16"/>
        <v>0</v>
      </c>
      <c r="J14" s="199">
        <f t="shared" si="6"/>
        <v>0</v>
      </c>
      <c r="K14" s="199">
        <f t="shared" si="7"/>
        <v>0</v>
      </c>
      <c r="L14" s="221">
        <f t="shared" ref="L14:L26" si="18">ROUND(0.85*MIN(E14,F14),2)</f>
        <v>38.67</v>
      </c>
      <c r="M14" s="219"/>
      <c r="N14" s="220" t="b">
        <v>0</v>
      </c>
      <c r="O14" s="203">
        <f t="shared" si="9"/>
        <v>0</v>
      </c>
      <c r="P14" s="203">
        <f>SWITCH(Q14,"cash",Reference!$E$5,"shares",Reference!$E$6,"balance",Reference!$E$7)</f>
        <v>0</v>
      </c>
      <c r="Q14" s="204" t="s">
        <v>160</v>
      </c>
      <c r="R14" s="199">
        <f>Reference!$B$4*Reference!$B$3*D14</f>
        <v>0</v>
      </c>
      <c r="S14" s="199">
        <f>iferror(LET(ratio, O14,(1-ratio) * Reference!$B$3 * D14),0)</f>
        <v>0</v>
      </c>
      <c r="T14" s="199">
        <f>iferror(LET(ratio, P14,(1-ratio) * Reference!$B$3 * $D14),0)</f>
        <v>0</v>
      </c>
      <c r="U14" s="199">
        <f>SWITCH(Reference!$E$4,"eTradeHoldingRatio", R14, "eTradeLotQtyRatio",S14, "manualLotRatio", T14)</f>
        <v>0</v>
      </c>
      <c r="V14" s="199">
        <f>IF(C14&lt;Reference!$B$26,Reference!$C$26,0)</f>
        <v>10.18</v>
      </c>
      <c r="W14" s="199">
        <f>IF(C14&lt;Reference!$B$27,Reference!$C$27,0)</f>
        <v>16.87</v>
      </c>
      <c r="X14" s="199">
        <f t="shared" si="10"/>
        <v>18.44411765</v>
      </c>
      <c r="Y14" s="205">
        <f>D14*Reference!$B$5*Reference!$B$6</f>
        <v>0</v>
      </c>
      <c r="Z14" s="205">
        <f>$D14*O14*Reference!$B$6</f>
        <v>0</v>
      </c>
      <c r="AA14" s="206">
        <f>$D14*P14*Reference!$B$6</f>
        <v>0</v>
      </c>
      <c r="AB14" s="206">
        <f>SWITCH(Reference!$E$4,"eTradeHoldingRatio", Y14, "eTradeLotQtyRatio",Z14, "manualLotRatio", AA14)</f>
        <v>0</v>
      </c>
      <c r="AC14" s="207">
        <f>MAX(U14+(AB14*Reference!$B$18)-(D14*X14),0)</f>
        <v>0</v>
      </c>
      <c r="AD14" s="208">
        <f>IF(N14,Summary!$C$41/ ($N$28+RSU!J$86), 0)</f>
        <v>0</v>
      </c>
      <c r="AE14" s="209">
        <f>IF(N14,(Reference!$B$23 - AI14) * AD14, 0)</f>
        <v>0</v>
      </c>
      <c r="AF14" s="210">
        <f t="shared" si="11"/>
        <v>0</v>
      </c>
      <c r="AG14" s="211">
        <f>IF(DATEDIF(C14,Reference!$B$28,"Y")&gt;=1,0,AE14+AF14)+iferror(((AL14/D14)*AD14),0)</f>
        <v>0</v>
      </c>
      <c r="AH14" s="212">
        <f>IF(DATEDIF(C14,Reference!$B$28,"Y")&gt;=1,AE14+AF14,0)</f>
        <v>0</v>
      </c>
      <c r="AI14" s="213" t="str">
        <f t="shared" si="12"/>
        <v>n/a</v>
      </c>
      <c r="AJ14" s="214">
        <f>iferror((Reference!$B$10-AI14)*(AB14) - AD14, 0)</f>
        <v>0</v>
      </c>
      <c r="AK14" s="215" t="b">
        <f>AND(DATEDIF(B14,Reference!$B$29,"Y")&gt;=1, DATEDIF(A14, Reference!$B$29, "Y")&gt;=2)</f>
        <v>1</v>
      </c>
      <c r="AL14" s="214">
        <f t="shared" si="13"/>
        <v>0</v>
      </c>
      <c r="AM14" s="216">
        <f>IF(DATEDIF(C14,Reference!$B$29,"Y")&gt;=1,0,AG14)</f>
        <v>0</v>
      </c>
      <c r="AN14" s="217">
        <f t="shared" si="14"/>
        <v>0</v>
      </c>
    </row>
    <row r="15">
      <c r="A15" s="193">
        <f t="shared" si="4"/>
        <v>42401</v>
      </c>
      <c r="B15" s="194">
        <v>42401.0</v>
      </c>
      <c r="C15" s="195">
        <v>42766.0</v>
      </c>
      <c r="D15" s="196"/>
      <c r="E15" s="197">
        <v>45.49</v>
      </c>
      <c r="F15" s="197">
        <v>87.54</v>
      </c>
      <c r="G15" s="198"/>
      <c r="H15" s="199">
        <f t="shared" si="5"/>
        <v>0</v>
      </c>
      <c r="I15" s="197">
        <f t="shared" si="16"/>
        <v>0</v>
      </c>
      <c r="J15" s="199">
        <f t="shared" si="6"/>
        <v>0</v>
      </c>
      <c r="K15" s="199">
        <f t="shared" si="7"/>
        <v>0</v>
      </c>
      <c r="L15" s="221">
        <f t="shared" si="18"/>
        <v>38.67</v>
      </c>
      <c r="M15" s="219"/>
      <c r="N15" s="220" t="b">
        <v>0</v>
      </c>
      <c r="O15" s="203">
        <f t="shared" si="9"/>
        <v>0</v>
      </c>
      <c r="P15" s="203">
        <f>SWITCH(Q15,"cash",Reference!$E$5,"shares",Reference!$E$6,"balance",Reference!$E$7)</f>
        <v>0</v>
      </c>
      <c r="Q15" s="204" t="s">
        <v>160</v>
      </c>
      <c r="R15" s="199">
        <f>Reference!$B$4*Reference!$B$3*D15</f>
        <v>0</v>
      </c>
      <c r="S15" s="199">
        <f>iferror(LET(ratio, O15,(1-ratio) * Reference!$B$3 * D15),0)</f>
        <v>0</v>
      </c>
      <c r="T15" s="199">
        <f>iferror(LET(ratio, P15,(1-ratio) * Reference!$B$3 * $D15),0)</f>
        <v>0</v>
      </c>
      <c r="U15" s="199">
        <f>SWITCH(Reference!$E$4,"eTradeHoldingRatio", R15, "eTradeLotQtyRatio",S15, "manualLotRatio", T15)</f>
        <v>0</v>
      </c>
      <c r="V15" s="199">
        <f>IF(C15&lt;Reference!$B$26,Reference!$C$26,0)</f>
        <v>10.18</v>
      </c>
      <c r="W15" s="199">
        <f>IF(C15&lt;Reference!$B$27,Reference!$C$27,0)</f>
        <v>16.87</v>
      </c>
      <c r="X15" s="199">
        <f t="shared" si="10"/>
        <v>18.44411765</v>
      </c>
      <c r="Y15" s="205">
        <f>D15*Reference!$B$5*Reference!$B$6</f>
        <v>0</v>
      </c>
      <c r="Z15" s="205">
        <f>$D15*O15*Reference!$B$6</f>
        <v>0</v>
      </c>
      <c r="AA15" s="206">
        <f>$D15*P15*Reference!$B$6</f>
        <v>0</v>
      </c>
      <c r="AB15" s="206">
        <f>SWITCH(Reference!$E$4,"eTradeHoldingRatio", Y15, "eTradeLotQtyRatio",Z15, "manualLotRatio", AA15)</f>
        <v>0</v>
      </c>
      <c r="AC15" s="207">
        <f>MAX(U15+(AB15*Reference!$B$18)-(D15*X15),0)</f>
        <v>0</v>
      </c>
      <c r="AD15" s="208">
        <f>IF(N15,Summary!$C$41/ ($N$28+RSU!J$86), 0)</f>
        <v>0</v>
      </c>
      <c r="AE15" s="209">
        <f>IF(N15,(Reference!$B$23 - AI15) * AD15, 0)</f>
        <v>0</v>
      </c>
      <c r="AF15" s="210">
        <f t="shared" si="11"/>
        <v>0</v>
      </c>
      <c r="AG15" s="211">
        <f>IF(DATEDIF(C15,Reference!$B$28,"Y")&gt;=1,0,AE15+AF15)+iferror(((AL15/D15)*AD15),0)</f>
        <v>0</v>
      </c>
      <c r="AH15" s="212">
        <f>IF(DATEDIF(C15,Reference!$B$28,"Y")&gt;=1,AE15+AF15,0)</f>
        <v>0</v>
      </c>
      <c r="AI15" s="213" t="str">
        <f t="shared" si="12"/>
        <v>n/a</v>
      </c>
      <c r="AJ15" s="214">
        <f>iferror((Reference!$B$10-AI15)*(AB15) - AD15, 0)</f>
        <v>0</v>
      </c>
      <c r="AK15" s="215" t="b">
        <f>AND(DATEDIF(B15,Reference!$B$29,"Y")&gt;=1, DATEDIF(A15, Reference!$B$29, "Y")&gt;=2)</f>
        <v>1</v>
      </c>
      <c r="AL15" s="214">
        <f t="shared" si="13"/>
        <v>0</v>
      </c>
      <c r="AM15" s="216">
        <f>IF(DATEDIF(C15,Reference!$B$29,"Y")&gt;=1,0,AG15)</f>
        <v>0</v>
      </c>
      <c r="AN15" s="217">
        <f t="shared" si="14"/>
        <v>0</v>
      </c>
    </row>
    <row r="16">
      <c r="A16" s="193">
        <f t="shared" si="4"/>
        <v>42767</v>
      </c>
      <c r="B16" s="194">
        <v>42767.0</v>
      </c>
      <c r="C16" s="195">
        <v>42947.0</v>
      </c>
      <c r="D16" s="196"/>
      <c r="E16" s="197">
        <v>87.19</v>
      </c>
      <c r="F16" s="197">
        <v>92.71</v>
      </c>
      <c r="G16" s="198"/>
      <c r="H16" s="199">
        <f t="shared" si="5"/>
        <v>0</v>
      </c>
      <c r="I16" s="197">
        <f t="shared" si="16"/>
        <v>0</v>
      </c>
      <c r="J16" s="199">
        <f t="shared" si="6"/>
        <v>0</v>
      </c>
      <c r="K16" s="199">
        <f t="shared" si="7"/>
        <v>0</v>
      </c>
      <c r="L16" s="221">
        <f t="shared" si="18"/>
        <v>74.11</v>
      </c>
      <c r="M16" s="201"/>
      <c r="N16" s="220" t="b">
        <v>0</v>
      </c>
      <c r="O16" s="203">
        <f t="shared" si="9"/>
        <v>0</v>
      </c>
      <c r="P16" s="203">
        <f>SWITCH(Q16,"cash",Reference!$E$5,"shares",Reference!$E$6,"balance",Reference!$E$7)</f>
        <v>0</v>
      </c>
      <c r="Q16" s="204" t="s">
        <v>160</v>
      </c>
      <c r="R16" s="199">
        <f>Reference!$B$4*Reference!$B$3*D16</f>
        <v>0</v>
      </c>
      <c r="S16" s="199">
        <f>iferror(LET(ratio, O16,(1-ratio) * Reference!$B$3 * D16),0)</f>
        <v>0</v>
      </c>
      <c r="T16" s="199">
        <f>iferror(LET(ratio, P16,(1-ratio) * Reference!$B$3 * $D16),0)</f>
        <v>0</v>
      </c>
      <c r="U16" s="199">
        <f>SWITCH(Reference!$E$4,"eTradeHoldingRatio", R16, "eTradeLotQtyRatio",S16, "manualLotRatio", T16)</f>
        <v>0</v>
      </c>
      <c r="V16" s="199">
        <f>IF(C16&lt;Reference!$B$26,Reference!$C$26,0)</f>
        <v>10.18</v>
      </c>
      <c r="W16" s="199">
        <f>IF(C16&lt;Reference!$B$27,Reference!$C$27,0)</f>
        <v>16.87</v>
      </c>
      <c r="X16" s="199">
        <f t="shared" si="10"/>
        <v>60.13823529</v>
      </c>
      <c r="Y16" s="205">
        <f>D16*Reference!$B$5*Reference!$B$6</f>
        <v>0</v>
      </c>
      <c r="Z16" s="205">
        <f>$D16*O16*Reference!$B$6</f>
        <v>0</v>
      </c>
      <c r="AA16" s="206">
        <f>$D16*P16*Reference!$B$6</f>
        <v>0</v>
      </c>
      <c r="AB16" s="206">
        <f>SWITCH(Reference!$E$4,"eTradeHoldingRatio", Y16, "eTradeLotQtyRatio",Z16, "manualLotRatio", AA16)</f>
        <v>0</v>
      </c>
      <c r="AC16" s="207">
        <f>MAX(U16+(AB16*Reference!$B$18)-(D16*X16),0)</f>
        <v>0</v>
      </c>
      <c r="AD16" s="208">
        <f>IF(N16,Summary!$C$41/ ($N$28+RSU!J$86), 0)</f>
        <v>0</v>
      </c>
      <c r="AE16" s="209">
        <f>IF(N16,(Reference!$B$23 - AI16) * AD16, 0)</f>
        <v>0</v>
      </c>
      <c r="AF16" s="210">
        <f t="shared" si="11"/>
        <v>0</v>
      </c>
      <c r="AG16" s="211">
        <f>IF(DATEDIF(C16,Reference!$B$28,"Y")&gt;=1,0,AE16+AF16)+iferror(((AL16/D16)*AD16),0)</f>
        <v>0</v>
      </c>
      <c r="AH16" s="212">
        <f>IF(DATEDIF(C16,Reference!$B$28,"Y")&gt;=1,AE16+AF16,0)</f>
        <v>0</v>
      </c>
      <c r="AI16" s="213" t="str">
        <f t="shared" si="12"/>
        <v>n/a</v>
      </c>
      <c r="AJ16" s="214">
        <f>iferror((Reference!$B$10-AI16)*(AB16) - AD16, 0)</f>
        <v>0</v>
      </c>
      <c r="AK16" s="215" t="b">
        <f>AND(DATEDIF(B16,Reference!$B$29,"Y")&gt;=1, DATEDIF(A16, Reference!$B$29, "Y")&gt;=2)</f>
        <v>1</v>
      </c>
      <c r="AL16" s="214">
        <f t="shared" si="13"/>
        <v>0</v>
      </c>
      <c r="AM16" s="216">
        <f>IF(DATEDIF(C16,Reference!$B$29,"Y")&gt;=1,0,AG16)</f>
        <v>0</v>
      </c>
      <c r="AN16" s="217">
        <f t="shared" si="14"/>
        <v>0</v>
      </c>
    </row>
    <row r="17">
      <c r="A17" s="193">
        <f t="shared" si="4"/>
        <v>42767</v>
      </c>
      <c r="B17" s="194">
        <v>42767.0</v>
      </c>
      <c r="C17" s="195">
        <v>43159.0</v>
      </c>
      <c r="D17" s="196"/>
      <c r="E17" s="197">
        <v>87.19</v>
      </c>
      <c r="F17" s="197">
        <v>131.75</v>
      </c>
      <c r="G17" s="198"/>
      <c r="H17" s="199">
        <f t="shared" si="5"/>
        <v>0</v>
      </c>
      <c r="I17" s="197">
        <f t="shared" si="16"/>
        <v>0</v>
      </c>
      <c r="J17" s="199">
        <f t="shared" si="6"/>
        <v>0</v>
      </c>
      <c r="K17" s="199">
        <f t="shared" si="7"/>
        <v>0</v>
      </c>
      <c r="L17" s="221">
        <f t="shared" si="18"/>
        <v>74.11</v>
      </c>
      <c r="M17" s="201"/>
      <c r="N17" s="220" t="b">
        <v>0</v>
      </c>
      <c r="O17" s="203">
        <f t="shared" si="9"/>
        <v>0</v>
      </c>
      <c r="P17" s="203">
        <f>SWITCH(Q17,"cash",Reference!$E$5,"shares",Reference!$E$6,"balance",Reference!$E$7)</f>
        <v>0</v>
      </c>
      <c r="Q17" s="204" t="s">
        <v>160</v>
      </c>
      <c r="R17" s="199">
        <f>Reference!$B$4*Reference!$B$3*D17</f>
        <v>0</v>
      </c>
      <c r="S17" s="199">
        <f>iferror(LET(ratio, O17,(1-ratio) * Reference!$B$3 * D17),0)</f>
        <v>0</v>
      </c>
      <c r="T17" s="199">
        <f>iferror(LET(ratio, P17,(1-ratio) * Reference!$B$3 * $D17),0)</f>
        <v>0</v>
      </c>
      <c r="U17" s="199">
        <f>SWITCH(Reference!$E$4,"eTradeHoldingRatio", R17, "eTradeLotQtyRatio",S17, "manualLotRatio", T17)</f>
        <v>0</v>
      </c>
      <c r="V17" s="199">
        <f>IF(C17&lt;Reference!$B$26,Reference!$C$26,0)</f>
        <v>10.18</v>
      </c>
      <c r="W17" s="199">
        <f>IF(C17&lt;Reference!$B$27,Reference!$C$27,0)</f>
        <v>16.87</v>
      </c>
      <c r="X17" s="199">
        <f t="shared" si="10"/>
        <v>60.13823529</v>
      </c>
      <c r="Y17" s="205">
        <f>D17*Reference!$B$5*Reference!$B$6</f>
        <v>0</v>
      </c>
      <c r="Z17" s="205">
        <f>$D17*O17*Reference!$B$6</f>
        <v>0</v>
      </c>
      <c r="AA17" s="206">
        <f>$D17*P17*Reference!$B$6</f>
        <v>0</v>
      </c>
      <c r="AB17" s="206">
        <f>SWITCH(Reference!$E$4,"eTradeHoldingRatio", Y17, "eTradeLotQtyRatio",Z17, "manualLotRatio", AA17)</f>
        <v>0</v>
      </c>
      <c r="AC17" s="207">
        <f>MAX(U17+(AB17*Reference!$B$18)-(D17*X17),0)</f>
        <v>0</v>
      </c>
      <c r="AD17" s="208">
        <f>IF(N17,Summary!$C$41/ ($N$28+RSU!J$86), 0)</f>
        <v>0</v>
      </c>
      <c r="AE17" s="209">
        <f>IF(N17,(Reference!$B$23 - AI17) * AD17, 0)</f>
        <v>0</v>
      </c>
      <c r="AF17" s="210">
        <f t="shared" si="11"/>
        <v>0</v>
      </c>
      <c r="AG17" s="211">
        <f>IF(DATEDIF(C17,Reference!$B$28,"Y")&gt;=1,0,AE17+AF17)+iferror(((AL17/D17)*AD17),0)</f>
        <v>0</v>
      </c>
      <c r="AH17" s="212">
        <f>IF(DATEDIF(C17,Reference!$B$28,"Y")&gt;=1,AE17+AF17,0)</f>
        <v>0</v>
      </c>
      <c r="AI17" s="213" t="str">
        <f t="shared" si="12"/>
        <v>n/a</v>
      </c>
      <c r="AJ17" s="214">
        <f>iferror((Reference!$B$10-AI17)*(AB17) - AD17, 0)</f>
        <v>0</v>
      </c>
      <c r="AK17" s="215" t="b">
        <f>AND(DATEDIF(B17,Reference!$B$29,"Y")&gt;=1, DATEDIF(A17, Reference!$B$29, "Y")&gt;=2)</f>
        <v>1</v>
      </c>
      <c r="AL17" s="214">
        <f t="shared" si="13"/>
        <v>0</v>
      </c>
      <c r="AM17" s="216">
        <f>IF(DATEDIF(C17,Reference!$B$29,"Y")&gt;=1,0,AG17)</f>
        <v>0</v>
      </c>
      <c r="AN17" s="217">
        <f t="shared" si="14"/>
        <v>0</v>
      </c>
    </row>
    <row r="18">
      <c r="A18" s="193">
        <f t="shared" si="4"/>
        <v>43160</v>
      </c>
      <c r="B18" s="194">
        <v>43160.0</v>
      </c>
      <c r="C18" s="195">
        <v>43343.0</v>
      </c>
      <c r="D18" s="196"/>
      <c r="E18" s="197">
        <v>123.66</v>
      </c>
      <c r="F18" s="197">
        <v>153.26</v>
      </c>
      <c r="G18" s="198"/>
      <c r="H18" s="199">
        <f t="shared" si="5"/>
        <v>0</v>
      </c>
      <c r="I18" s="197">
        <f t="shared" si="16"/>
        <v>0</v>
      </c>
      <c r="J18" s="199">
        <f t="shared" si="6"/>
        <v>0</v>
      </c>
      <c r="K18" s="199">
        <f t="shared" si="7"/>
        <v>0</v>
      </c>
      <c r="L18" s="221">
        <f t="shared" si="18"/>
        <v>105.11</v>
      </c>
      <c r="M18" s="201"/>
      <c r="N18" s="220" t="b">
        <v>0</v>
      </c>
      <c r="O18" s="203">
        <f t="shared" si="9"/>
        <v>0</v>
      </c>
      <c r="P18" s="203">
        <f>SWITCH(Q18,"cash",Reference!$E$5,"shares",Reference!$E$6,"balance",Reference!$E$7)</f>
        <v>0</v>
      </c>
      <c r="Q18" s="204" t="s">
        <v>160</v>
      </c>
      <c r="R18" s="199">
        <f>Reference!$B$4*Reference!$B$3*D18</f>
        <v>0</v>
      </c>
      <c r="S18" s="199">
        <f>iferror(LET(ratio, O18,(1-ratio) * Reference!$B$3 * D18),0)</f>
        <v>0</v>
      </c>
      <c r="T18" s="199">
        <f>iferror(LET(ratio, P18,(1-ratio) * Reference!$B$3 * $D18),0)</f>
        <v>0</v>
      </c>
      <c r="U18" s="199">
        <f>SWITCH(Reference!$E$4,"eTradeHoldingRatio", R18, "eTradeLotQtyRatio",S18, "manualLotRatio", T18)</f>
        <v>0</v>
      </c>
      <c r="V18" s="199">
        <f>IF(C18&lt;Reference!$B$26,Reference!$C$26,0)</f>
        <v>10.18</v>
      </c>
      <c r="W18" s="199">
        <f>IF(C18&lt;Reference!$B$27,Reference!$C$27,0)</f>
        <v>16.87</v>
      </c>
      <c r="X18" s="199">
        <f t="shared" si="10"/>
        <v>96.60882353</v>
      </c>
      <c r="Y18" s="205">
        <f>D18*Reference!$B$5*Reference!$B$6</f>
        <v>0</v>
      </c>
      <c r="Z18" s="205">
        <f>$D18*O18*Reference!$B$6</f>
        <v>0</v>
      </c>
      <c r="AA18" s="206">
        <f>$D18*P18*Reference!$B$6</f>
        <v>0</v>
      </c>
      <c r="AB18" s="206">
        <f>SWITCH(Reference!$E$4,"eTradeHoldingRatio", Y18, "eTradeLotQtyRatio",Z18, "manualLotRatio", AA18)</f>
        <v>0</v>
      </c>
      <c r="AC18" s="207">
        <f>MAX(U18+(AB18*Reference!$B$18)-(D18*X18),0)</f>
        <v>0</v>
      </c>
      <c r="AD18" s="208">
        <f>IF(N18,Summary!$C$41/ ($N$28+RSU!J$86), 0)</f>
        <v>0</v>
      </c>
      <c r="AE18" s="209">
        <f>IF(N18,(Reference!$B$23 - AI18) * AD18, 0)</f>
        <v>0</v>
      </c>
      <c r="AF18" s="210">
        <f t="shared" si="11"/>
        <v>0</v>
      </c>
      <c r="AG18" s="211">
        <f>IF(DATEDIF(C18,Reference!$B$28,"Y")&gt;=1,0,AE18+AF18)+iferror(((AL18/D18)*AD18),0)</f>
        <v>0</v>
      </c>
      <c r="AH18" s="212">
        <f>IF(DATEDIF(C18,Reference!$B$28,"Y")&gt;=1,AE18+AF18,0)</f>
        <v>0</v>
      </c>
      <c r="AI18" s="213" t="str">
        <f t="shared" si="12"/>
        <v>n/a</v>
      </c>
      <c r="AJ18" s="214">
        <f>iferror((Reference!$B$10-AI18)*(AB18) - AD18, 0)</f>
        <v>0</v>
      </c>
      <c r="AK18" s="215" t="b">
        <f>AND(DATEDIF(B18,Reference!$B$29,"Y")&gt;=1, DATEDIF(A18, Reference!$B$29, "Y")&gt;=2)</f>
        <v>1</v>
      </c>
      <c r="AL18" s="214">
        <f t="shared" si="13"/>
        <v>0</v>
      </c>
      <c r="AM18" s="216">
        <f>IF(DATEDIF(C18,Reference!$B$29,"Y")&gt;=1,0,AG18)</f>
        <v>0</v>
      </c>
      <c r="AN18" s="217">
        <f t="shared" si="14"/>
        <v>0</v>
      </c>
    </row>
    <row r="19">
      <c r="A19" s="193">
        <f t="shared" si="4"/>
        <v>43160</v>
      </c>
      <c r="B19" s="194">
        <v>43160.0</v>
      </c>
      <c r="C19" s="195">
        <v>43524.0</v>
      </c>
      <c r="D19" s="196"/>
      <c r="E19" s="197">
        <v>123.66</v>
      </c>
      <c r="F19" s="197">
        <v>171.81</v>
      </c>
      <c r="G19" s="198"/>
      <c r="H19" s="199">
        <f t="shared" si="5"/>
        <v>0</v>
      </c>
      <c r="I19" s="197">
        <f t="shared" si="16"/>
        <v>0</v>
      </c>
      <c r="J19" s="199">
        <f t="shared" si="6"/>
        <v>0</v>
      </c>
      <c r="K19" s="199">
        <f t="shared" si="7"/>
        <v>0</v>
      </c>
      <c r="L19" s="221">
        <f t="shared" si="18"/>
        <v>105.11</v>
      </c>
      <c r="M19" s="201"/>
      <c r="N19" s="220" t="b">
        <v>0</v>
      </c>
      <c r="O19" s="203">
        <f t="shared" si="9"/>
        <v>0</v>
      </c>
      <c r="P19" s="203">
        <f>SWITCH(Q19,"cash",Reference!$E$5,"shares",Reference!$E$6,"balance",Reference!$E$7)</f>
        <v>0</v>
      </c>
      <c r="Q19" s="204" t="s">
        <v>160</v>
      </c>
      <c r="R19" s="199">
        <f>Reference!$B$4*Reference!$B$3*D19</f>
        <v>0</v>
      </c>
      <c r="S19" s="199">
        <f>iferror(LET(ratio, O19,(1-ratio) * Reference!$B$3 * D19),0)</f>
        <v>0</v>
      </c>
      <c r="T19" s="199">
        <f>iferror(LET(ratio, P19,(1-ratio) * Reference!$B$3 * $D19),0)</f>
        <v>0</v>
      </c>
      <c r="U19" s="199">
        <f>SWITCH(Reference!$E$4,"eTradeHoldingRatio", R19, "eTradeLotQtyRatio",S19, "manualLotRatio", T19)</f>
        <v>0</v>
      </c>
      <c r="V19" s="199">
        <f>IF(C19&lt;Reference!$B$26,Reference!$C$26,0)</f>
        <v>0</v>
      </c>
      <c r="W19" s="199">
        <f>IF(C19&lt;Reference!$B$27,Reference!$C$27,0)</f>
        <v>16.87</v>
      </c>
      <c r="X19" s="199">
        <f t="shared" si="10"/>
        <v>106.7888235</v>
      </c>
      <c r="Y19" s="205">
        <f>D19*Reference!$B$5*Reference!$B$6</f>
        <v>0</v>
      </c>
      <c r="Z19" s="205">
        <f>$D19*O19*Reference!$B$6</f>
        <v>0</v>
      </c>
      <c r="AA19" s="206">
        <f>$D19*P19*Reference!$B$6</f>
        <v>0</v>
      </c>
      <c r="AB19" s="206">
        <f>SWITCH(Reference!$E$4,"eTradeHoldingRatio", Y19, "eTradeLotQtyRatio",Z19, "manualLotRatio", AA19)</f>
        <v>0</v>
      </c>
      <c r="AC19" s="207">
        <f>MAX(U19+(AB19*Reference!$B$18)-(D19*X19),0)</f>
        <v>0</v>
      </c>
      <c r="AD19" s="208">
        <f>IF(N19,Summary!$C$41/ ($N$28+RSU!J$86), 0)</f>
        <v>0</v>
      </c>
      <c r="AE19" s="209">
        <f>IF(N19,(Reference!$B$23 - AI19) * AD19, 0)</f>
        <v>0</v>
      </c>
      <c r="AF19" s="210">
        <f t="shared" si="11"/>
        <v>0</v>
      </c>
      <c r="AG19" s="211">
        <f>IF(DATEDIF(C19,Reference!$B$28,"Y")&gt;=1,0,AE19+AF19)+iferror(((AL19/D19)*AD19),0)</f>
        <v>0</v>
      </c>
      <c r="AH19" s="212">
        <f>IF(DATEDIF(C19,Reference!$B$28,"Y")&gt;=1,AE19+AF19,0)</f>
        <v>0</v>
      </c>
      <c r="AI19" s="213" t="str">
        <f t="shared" si="12"/>
        <v>n/a</v>
      </c>
      <c r="AJ19" s="214">
        <f>iferror((Reference!$B$10-AI19)*(AB19) - AD19, 0)</f>
        <v>0</v>
      </c>
      <c r="AK19" s="215" t="b">
        <f>AND(DATEDIF(B19,Reference!$B$29,"Y")&gt;=1, DATEDIF(A19, Reference!$B$29, "Y")&gt;=2)</f>
        <v>1</v>
      </c>
      <c r="AL19" s="214">
        <f t="shared" si="13"/>
        <v>0</v>
      </c>
      <c r="AM19" s="216">
        <f>IF(DATEDIF(C19,Reference!$B$29,"Y")&gt;=1,0,AG19)</f>
        <v>0</v>
      </c>
      <c r="AN19" s="217">
        <f t="shared" si="14"/>
        <v>0</v>
      </c>
    </row>
    <row r="20">
      <c r="A20" s="193">
        <f t="shared" si="4"/>
        <v>43525</v>
      </c>
      <c r="B20" s="194">
        <v>43525.0</v>
      </c>
      <c r="C20" s="195">
        <v>43708.0</v>
      </c>
      <c r="D20" s="196"/>
      <c r="E20" s="197">
        <v>178.2</v>
      </c>
      <c r="F20" s="197">
        <v>141.44</v>
      </c>
      <c r="G20" s="198"/>
      <c r="H20" s="199">
        <f t="shared" si="5"/>
        <v>0</v>
      </c>
      <c r="I20" s="197">
        <f t="shared" si="16"/>
        <v>0</v>
      </c>
      <c r="J20" s="199">
        <f t="shared" si="6"/>
        <v>0</v>
      </c>
      <c r="K20" s="199">
        <f t="shared" si="7"/>
        <v>0</v>
      </c>
      <c r="L20" s="221">
        <f t="shared" si="18"/>
        <v>120.22</v>
      </c>
      <c r="M20" s="219"/>
      <c r="N20" s="220" t="b">
        <v>0</v>
      </c>
      <c r="O20" s="203">
        <f t="shared" si="9"/>
        <v>0</v>
      </c>
      <c r="P20" s="203">
        <f>SWITCH(Q20,"cash",Reference!$E$5,"shares",Reference!$E$6,"balance",Reference!$E$7)</f>
        <v>0</v>
      </c>
      <c r="Q20" s="204" t="s">
        <v>160</v>
      </c>
      <c r="R20" s="199">
        <f>Reference!$B$4*Reference!$B$3*D20</f>
        <v>0</v>
      </c>
      <c r="S20" s="199">
        <f>iferror(LET(ratio, O20,(1-ratio) * Reference!$B$3 * D20),0)</f>
        <v>0</v>
      </c>
      <c r="T20" s="199">
        <f>iferror(LET(ratio, P20,(1-ratio) * Reference!$B$3 * $D20),0)</f>
        <v>0</v>
      </c>
      <c r="U20" s="199">
        <f>SWITCH(Reference!$E$4,"eTradeHoldingRatio", R20, "eTradeLotQtyRatio",S20, "manualLotRatio", T20)</f>
        <v>0</v>
      </c>
      <c r="V20" s="199">
        <f>IF(C20&lt;Reference!$B$26,Reference!$C$26,0)</f>
        <v>0</v>
      </c>
      <c r="W20" s="199">
        <f>IF(C20&lt;Reference!$B$27,Reference!$C$27,0)</f>
        <v>16.87</v>
      </c>
      <c r="X20" s="199">
        <f t="shared" si="10"/>
        <v>124.5652941</v>
      </c>
      <c r="Y20" s="205">
        <f>D20*Reference!$B$5*Reference!$B$6</f>
        <v>0</v>
      </c>
      <c r="Z20" s="205">
        <f>$D20*O20*Reference!$B$6</f>
        <v>0</v>
      </c>
      <c r="AA20" s="206">
        <f>$D20*P20*Reference!$B$6</f>
        <v>0</v>
      </c>
      <c r="AB20" s="206">
        <f>SWITCH(Reference!$E$4,"eTradeHoldingRatio", Y20, "eTradeLotQtyRatio",Z20, "manualLotRatio", AA20)</f>
        <v>0</v>
      </c>
      <c r="AC20" s="207">
        <f>MAX(U20+(AB20*Reference!$B$18)-(D20*X20),0)</f>
        <v>0</v>
      </c>
      <c r="AD20" s="208">
        <f>IF(N20,Summary!$C$41/ ($N$28+RSU!J$86), 0)</f>
        <v>0</v>
      </c>
      <c r="AE20" s="209">
        <f>IF(N20,(Reference!$B$23 - AI20) * AD20, 0)</f>
        <v>0</v>
      </c>
      <c r="AF20" s="210">
        <f t="shared" si="11"/>
        <v>0</v>
      </c>
      <c r="AG20" s="211">
        <f>IF(DATEDIF(C20,Reference!$B$28,"Y")&gt;=1,0,AE20+AF20)+iferror(((AL20/D20)*AD20),0)</f>
        <v>0</v>
      </c>
      <c r="AH20" s="212">
        <f>IF(DATEDIF(C20,Reference!$B$28,"Y")&gt;=1,AE20+AF20,0)</f>
        <v>0</v>
      </c>
      <c r="AI20" s="213" t="str">
        <f t="shared" si="12"/>
        <v>n/a</v>
      </c>
      <c r="AJ20" s="214">
        <f>iferror((Reference!$B$10-AI20)*(AB20) - AD20, 0)</f>
        <v>0</v>
      </c>
      <c r="AK20" s="215" t="b">
        <f>AND(DATEDIF(B20,Reference!$B$29,"Y")&gt;=1, DATEDIF(A20, Reference!$B$29, "Y")&gt;=2)</f>
        <v>1</v>
      </c>
      <c r="AL20" s="214">
        <f t="shared" si="13"/>
        <v>0</v>
      </c>
      <c r="AM20" s="216">
        <f>IF(DATEDIF(C20,Reference!$B$29,"Y")&gt;=1,0,AG20)</f>
        <v>0</v>
      </c>
      <c r="AN20" s="217">
        <f t="shared" si="14"/>
        <v>0</v>
      </c>
    </row>
    <row r="21">
      <c r="A21" s="193">
        <f t="shared" si="4"/>
        <v>43709</v>
      </c>
      <c r="B21" s="194">
        <v>43709.0</v>
      </c>
      <c r="C21" s="195">
        <v>43890.0</v>
      </c>
      <c r="D21" s="196"/>
      <c r="E21" s="197">
        <v>141.44</v>
      </c>
      <c r="F21" s="197">
        <v>120.52</v>
      </c>
      <c r="G21" s="198"/>
      <c r="H21" s="199">
        <f t="shared" si="5"/>
        <v>0</v>
      </c>
      <c r="I21" s="197">
        <f t="shared" si="16"/>
        <v>0</v>
      </c>
      <c r="J21" s="199">
        <f t="shared" si="6"/>
        <v>0</v>
      </c>
      <c r="K21" s="199">
        <f t="shared" si="7"/>
        <v>0</v>
      </c>
      <c r="L21" s="221">
        <f t="shared" si="18"/>
        <v>102.44</v>
      </c>
      <c r="M21" s="219"/>
      <c r="N21" s="220" t="b">
        <v>0</v>
      </c>
      <c r="O21" s="203">
        <f t="shared" si="9"/>
        <v>0</v>
      </c>
      <c r="P21" s="203">
        <f>SWITCH(Q21,"cash",Reference!$E$5,"shares",Reference!$E$6,"balance",Reference!$E$7)</f>
        <v>0</v>
      </c>
      <c r="Q21" s="204" t="s">
        <v>160</v>
      </c>
      <c r="R21" s="199">
        <f>Reference!$B$4*Reference!$B$3*D21</f>
        <v>0</v>
      </c>
      <c r="S21" s="199">
        <f>iferror(LET(ratio, O21,(1-ratio) * Reference!$B$3 * D21),0)</f>
        <v>0</v>
      </c>
      <c r="T21" s="199">
        <f>iferror(LET(ratio, P21,(1-ratio) * Reference!$B$3 * $D21),0)</f>
        <v>0</v>
      </c>
      <c r="U21" s="199">
        <f>SWITCH(Reference!$E$4,"eTradeHoldingRatio", R21, "eTradeLotQtyRatio",S21, "manualLotRatio", T21)</f>
        <v>0</v>
      </c>
      <c r="V21" s="199">
        <f>IF(C21&lt;Reference!$B$26,Reference!$C$26,0)</f>
        <v>0</v>
      </c>
      <c r="W21" s="199">
        <f>IF(C21&lt;Reference!$B$27,Reference!$C$27,0)</f>
        <v>16.87</v>
      </c>
      <c r="X21" s="199">
        <f t="shared" si="10"/>
        <v>103.6476471</v>
      </c>
      <c r="Y21" s="205">
        <f>D21*Reference!$B$5*Reference!$B$6</f>
        <v>0</v>
      </c>
      <c r="Z21" s="205">
        <f>$D21*O21*Reference!$B$6</f>
        <v>0</v>
      </c>
      <c r="AA21" s="206">
        <f>$D21*P21*Reference!$B$6</f>
        <v>0</v>
      </c>
      <c r="AB21" s="206">
        <f>SWITCH(Reference!$E$4,"eTradeHoldingRatio", Y21, "eTradeLotQtyRatio",Z21, "manualLotRatio", AA21)</f>
        <v>0</v>
      </c>
      <c r="AC21" s="207">
        <f>MAX(U21+(AB21*Reference!$B$18)-(D21*X21),0)</f>
        <v>0</v>
      </c>
      <c r="AD21" s="208">
        <f>IF(N21,Summary!$C$41/ ($N$28+RSU!J$86), 0)</f>
        <v>0</v>
      </c>
      <c r="AE21" s="209">
        <f>IF(N21,(Reference!$B$23 - AI21) * AD21, 0)</f>
        <v>0</v>
      </c>
      <c r="AF21" s="210">
        <f t="shared" si="11"/>
        <v>0</v>
      </c>
      <c r="AG21" s="211">
        <f>IF(DATEDIF(C21,Reference!$B$28,"Y")&gt;=1,0,AE21+AF21)+iferror(((AL21/D21)*AD21),0)</f>
        <v>0</v>
      </c>
      <c r="AH21" s="212">
        <f>IF(DATEDIF(C21,Reference!$B$28,"Y")&gt;=1,AE21+AF21,0)</f>
        <v>0</v>
      </c>
      <c r="AI21" s="213" t="str">
        <f t="shared" si="12"/>
        <v>n/a</v>
      </c>
      <c r="AJ21" s="214">
        <f>iferror((Reference!$B$10-AI21)*(AB21) - AD21, 0)</f>
        <v>0</v>
      </c>
      <c r="AK21" s="215" t="b">
        <f>AND(DATEDIF(B21,Reference!$B$29,"Y")&gt;=1, DATEDIF(A21, Reference!$B$29, "Y")&gt;=2)</f>
        <v>1</v>
      </c>
      <c r="AL21" s="214">
        <f t="shared" si="13"/>
        <v>0</v>
      </c>
      <c r="AM21" s="216">
        <f>IF(DATEDIF(C21,Reference!$B$29,"Y")&gt;=1,0,AG21)</f>
        <v>0</v>
      </c>
      <c r="AN21" s="217">
        <f t="shared" si="14"/>
        <v>0</v>
      </c>
    </row>
    <row r="22">
      <c r="A22" s="193">
        <f t="shared" si="4"/>
        <v>43891</v>
      </c>
      <c r="B22" s="194">
        <v>43891.0</v>
      </c>
      <c r="C22" s="195">
        <v>44074.0</v>
      </c>
      <c r="D22" s="196"/>
      <c r="E22" s="197">
        <v>120.52</v>
      </c>
      <c r="F22" s="197">
        <v>144.44</v>
      </c>
      <c r="G22" s="198"/>
      <c r="H22" s="199">
        <f t="shared" si="5"/>
        <v>0</v>
      </c>
      <c r="I22" s="197">
        <f t="shared" si="16"/>
        <v>0</v>
      </c>
      <c r="J22" s="199">
        <f t="shared" si="6"/>
        <v>0</v>
      </c>
      <c r="K22" s="199">
        <f t="shared" si="7"/>
        <v>0</v>
      </c>
      <c r="L22" s="221">
        <f t="shared" si="18"/>
        <v>102.44</v>
      </c>
      <c r="M22" s="201"/>
      <c r="N22" s="220" t="b">
        <v>0</v>
      </c>
      <c r="O22" s="203">
        <f t="shared" si="9"/>
        <v>0</v>
      </c>
      <c r="P22" s="203">
        <f>SWITCH(Q22,"cash",Reference!$E$5,"shares",Reference!$E$6,"balance",Reference!$E$7)</f>
        <v>0</v>
      </c>
      <c r="Q22" s="204" t="s">
        <v>160</v>
      </c>
      <c r="R22" s="199">
        <f>Reference!$B$4*Reference!$B$3*D22</f>
        <v>0</v>
      </c>
      <c r="S22" s="199">
        <f>iferror(LET(ratio, O22,(1-ratio) * Reference!$B$3 * D22),0)</f>
        <v>0</v>
      </c>
      <c r="T22" s="199">
        <f>iferror(LET(ratio, P22,(1-ratio) * Reference!$B$3 * $D22),0)</f>
        <v>0</v>
      </c>
      <c r="U22" s="199">
        <f>SWITCH(Reference!$E$4,"eTradeHoldingRatio", R22, "eTradeLotQtyRatio",S22, "manualLotRatio", T22)</f>
        <v>0</v>
      </c>
      <c r="V22" s="199">
        <f>IF(C22&lt;Reference!$B$26,Reference!$C$26,0)</f>
        <v>0</v>
      </c>
      <c r="W22" s="199">
        <f>IF(C22&lt;Reference!$B$27,Reference!$C$27,0)</f>
        <v>16.87</v>
      </c>
      <c r="X22" s="199">
        <f t="shared" si="10"/>
        <v>103.6476471</v>
      </c>
      <c r="Y22" s="205">
        <f>D22*Reference!$B$5*Reference!$B$6</f>
        <v>0</v>
      </c>
      <c r="Z22" s="205">
        <f>$D22*O22*Reference!$B$6</f>
        <v>0</v>
      </c>
      <c r="AA22" s="206">
        <f>$D22*P22*Reference!$B$6</f>
        <v>0</v>
      </c>
      <c r="AB22" s="206">
        <f>SWITCH(Reference!$E$4,"eTradeHoldingRatio", Y22, "eTradeLotQtyRatio",Z22, "manualLotRatio", AA22)</f>
        <v>0</v>
      </c>
      <c r="AC22" s="207">
        <f>MAX(U22+(AB22*Reference!$B$18)-(D22*X22),0)</f>
        <v>0</v>
      </c>
      <c r="AD22" s="208">
        <f>IF(N22,Summary!$C$41/ ($N$28+RSU!J$86), 0)</f>
        <v>0</v>
      </c>
      <c r="AE22" s="209">
        <f>IF(N22,(Reference!$B$23 - AI22) * AD22, 0)</f>
        <v>0</v>
      </c>
      <c r="AF22" s="210">
        <f t="shared" si="11"/>
        <v>0</v>
      </c>
      <c r="AG22" s="211">
        <f>IF(DATEDIF(C22,Reference!$B$28,"Y")&gt;=1,0,AE22+AF22)+iferror(((AL22/D22)*AD22),0)</f>
        <v>0</v>
      </c>
      <c r="AH22" s="212">
        <f>IF(DATEDIF(C22,Reference!$B$28,"Y")&gt;=1,AE22+AF22,0)</f>
        <v>0</v>
      </c>
      <c r="AI22" s="213" t="str">
        <f t="shared" si="12"/>
        <v>n/a</v>
      </c>
      <c r="AJ22" s="214">
        <f>iferror((Reference!$B$10-AI22)*(AB22) - AD22, 0)</f>
        <v>0</v>
      </c>
      <c r="AK22" s="215" t="b">
        <f>AND(DATEDIF(B22,Reference!$B$29,"Y")&gt;=1, DATEDIF(A22, Reference!$B$29, "Y")&gt;=2)</f>
        <v>1</v>
      </c>
      <c r="AL22" s="214">
        <f t="shared" si="13"/>
        <v>0</v>
      </c>
      <c r="AM22" s="216">
        <f>IF(DATEDIF(C22,Reference!$B$29,"Y")&gt;=1,0,AG22)</f>
        <v>0</v>
      </c>
      <c r="AN22" s="217">
        <f t="shared" si="14"/>
        <v>0</v>
      </c>
    </row>
    <row r="23">
      <c r="A23" s="193">
        <f t="shared" si="4"/>
        <v>43891</v>
      </c>
      <c r="B23" s="194">
        <v>43891.0</v>
      </c>
      <c r="C23" s="195">
        <v>44255.0</v>
      </c>
      <c r="D23" s="196"/>
      <c r="E23" s="197">
        <v>120.52</v>
      </c>
      <c r="F23" s="197">
        <v>138.21</v>
      </c>
      <c r="G23" s="198"/>
      <c r="H23" s="199">
        <f t="shared" si="5"/>
        <v>0</v>
      </c>
      <c r="I23" s="197">
        <f t="shared" si="16"/>
        <v>0</v>
      </c>
      <c r="J23" s="199">
        <f t="shared" si="6"/>
        <v>0</v>
      </c>
      <c r="K23" s="199">
        <f t="shared" si="7"/>
        <v>0</v>
      </c>
      <c r="L23" s="221">
        <f t="shared" si="18"/>
        <v>102.44</v>
      </c>
      <c r="M23" s="219"/>
      <c r="N23" s="220" t="b">
        <v>0</v>
      </c>
      <c r="O23" s="203">
        <f t="shared" si="9"/>
        <v>0</v>
      </c>
      <c r="P23" s="203">
        <f>SWITCH(Q23,"cash",Reference!$E$5,"shares",Reference!$E$6,"balance",Reference!$E$7)</f>
        <v>0</v>
      </c>
      <c r="Q23" s="204" t="s">
        <v>160</v>
      </c>
      <c r="R23" s="199">
        <f>Reference!$B$4*Reference!$B$3*D23</f>
        <v>0</v>
      </c>
      <c r="S23" s="199">
        <f>iferror(LET(ratio, O23,(1-ratio) * Reference!$B$3 * D23),0)</f>
        <v>0</v>
      </c>
      <c r="T23" s="199">
        <f>iferror(LET(ratio, P23,(1-ratio) * Reference!$B$3 * $D23),0)</f>
        <v>0</v>
      </c>
      <c r="U23" s="199">
        <f>SWITCH(Reference!$E$4,"eTradeHoldingRatio", R23, "eTradeLotQtyRatio",S23, "manualLotRatio", T23)</f>
        <v>0</v>
      </c>
      <c r="V23" s="199">
        <f>IF(C23&lt;Reference!$B$26,Reference!$C$26,0)</f>
        <v>0</v>
      </c>
      <c r="W23" s="199">
        <f>IF(C23&lt;Reference!$B$27,Reference!$C$27,0)</f>
        <v>16.87</v>
      </c>
      <c r="X23" s="199">
        <f t="shared" si="10"/>
        <v>103.6476471</v>
      </c>
      <c r="Y23" s="205">
        <f>D23*Reference!$B$5*Reference!$B$6</f>
        <v>0</v>
      </c>
      <c r="Z23" s="205">
        <f>$D23*O23*Reference!$B$6</f>
        <v>0</v>
      </c>
      <c r="AA23" s="206">
        <f>$D23*P23*Reference!$B$6</f>
        <v>0</v>
      </c>
      <c r="AB23" s="206">
        <f>SWITCH(Reference!$E$4,"eTradeHoldingRatio", Y23, "eTradeLotQtyRatio",Z23, "manualLotRatio", AA23)</f>
        <v>0</v>
      </c>
      <c r="AC23" s="207">
        <f>MAX(U23+(AB23*Reference!$B$18)-(D23*X23),0)</f>
        <v>0</v>
      </c>
      <c r="AD23" s="208">
        <f>IF(N23,Summary!$C$41/ ($N$28+RSU!J$86), 0)</f>
        <v>0</v>
      </c>
      <c r="AE23" s="209">
        <f>IF(N23,(Reference!$B$23 - AI23) * AD23, 0)</f>
        <v>0</v>
      </c>
      <c r="AF23" s="210">
        <f t="shared" si="11"/>
        <v>0</v>
      </c>
      <c r="AG23" s="211">
        <f>IF(DATEDIF(C23,Reference!$B$28,"Y")&gt;=1,0,AE23+AF23)+iferror(((AL23/D23)*AD23),0)</f>
        <v>0</v>
      </c>
      <c r="AH23" s="212">
        <f>IF(DATEDIF(C23,Reference!$B$28,"Y")&gt;=1,AE23+AF23,0)</f>
        <v>0</v>
      </c>
      <c r="AI23" s="213" t="str">
        <f t="shared" si="12"/>
        <v>n/a</v>
      </c>
      <c r="AJ23" s="214">
        <f>iferror((Reference!$B$10-AI23)*(AB23) - AD23, 0)</f>
        <v>0</v>
      </c>
      <c r="AK23" s="215" t="b">
        <f>AND(DATEDIF(B23,Reference!$B$29,"Y")&gt;=1, DATEDIF(A23, Reference!$B$29, "Y")&gt;=2)</f>
        <v>1</v>
      </c>
      <c r="AL23" s="214">
        <f t="shared" si="13"/>
        <v>0</v>
      </c>
      <c r="AM23" s="216">
        <f>IF(DATEDIF(C23,Reference!$B$29,"Y")&gt;=1,0,AG23)</f>
        <v>0</v>
      </c>
      <c r="AN23" s="217">
        <f t="shared" si="14"/>
        <v>0</v>
      </c>
    </row>
    <row r="24">
      <c r="A24" s="193">
        <f t="shared" si="4"/>
        <v>44256</v>
      </c>
      <c r="B24" s="194">
        <v>44256.0</v>
      </c>
      <c r="C24" s="195">
        <v>44439.0</v>
      </c>
      <c r="D24" s="196"/>
      <c r="E24" s="197">
        <v>140.41</v>
      </c>
      <c r="F24" s="197">
        <v>148.87</v>
      </c>
      <c r="G24" s="198"/>
      <c r="H24" s="199">
        <f t="shared" si="5"/>
        <v>0</v>
      </c>
      <c r="I24" s="197">
        <f t="shared" si="16"/>
        <v>0</v>
      </c>
      <c r="J24" s="199">
        <f t="shared" si="6"/>
        <v>0</v>
      </c>
      <c r="K24" s="199">
        <f t="shared" si="7"/>
        <v>0</v>
      </c>
      <c r="L24" s="221">
        <f t="shared" si="18"/>
        <v>119.35</v>
      </c>
      <c r="M24" s="201"/>
      <c r="N24" s="220" t="b">
        <v>0</v>
      </c>
      <c r="O24" s="203">
        <f t="shared" si="9"/>
        <v>0</v>
      </c>
      <c r="P24" s="203">
        <f>SWITCH(Q24,"cash",Reference!$E$5,"shares",Reference!$E$6,"balance",Reference!$E$7)</f>
        <v>0</v>
      </c>
      <c r="Q24" s="204" t="s">
        <v>160</v>
      </c>
      <c r="R24" s="199">
        <f>Reference!$B$4*Reference!$B$3*D24</f>
        <v>0</v>
      </c>
      <c r="S24" s="199">
        <f>iferror(LET(ratio, O24,(1-ratio) * Reference!$B$3 * D24),0)</f>
        <v>0</v>
      </c>
      <c r="T24" s="199">
        <f>iferror(LET(ratio, P24,(1-ratio) * Reference!$B$3 * $D24),0)</f>
        <v>0</v>
      </c>
      <c r="U24" s="199">
        <f>SWITCH(Reference!$E$4,"eTradeHoldingRatio", R24, "eTradeLotQtyRatio",S24, "manualLotRatio", T24)</f>
        <v>0</v>
      </c>
      <c r="V24" s="199">
        <f>IF(C24&lt;Reference!$B$26,Reference!$C$26,0)</f>
        <v>0</v>
      </c>
      <c r="W24" s="199">
        <f>IF(C24&lt;Reference!$B$27,Reference!$C$27,0)</f>
        <v>16.87</v>
      </c>
      <c r="X24" s="199">
        <f t="shared" si="10"/>
        <v>123.5417647</v>
      </c>
      <c r="Y24" s="205">
        <f>D24*Reference!$B$5*Reference!$B$6</f>
        <v>0</v>
      </c>
      <c r="Z24" s="205">
        <f>$D24*O24*Reference!$B$6</f>
        <v>0</v>
      </c>
      <c r="AA24" s="206">
        <f>$D24*P24*Reference!$B$6</f>
        <v>0</v>
      </c>
      <c r="AB24" s="206">
        <f>SWITCH(Reference!$E$4,"eTradeHoldingRatio", Y24, "eTradeLotQtyRatio",Z24, "manualLotRatio", AA24)</f>
        <v>0</v>
      </c>
      <c r="AC24" s="207">
        <f>MAX(U24+(AB24*Reference!$B$18)-(D24*X24),0)</f>
        <v>0</v>
      </c>
      <c r="AD24" s="208">
        <f>IF(N24,Summary!$C$41/ ($N$28+RSU!J$86), 0)</f>
        <v>0</v>
      </c>
      <c r="AE24" s="209">
        <f>IF(N24,(Reference!$B$23 - AI24) * AD24, 0)</f>
        <v>0</v>
      </c>
      <c r="AF24" s="210">
        <f t="shared" si="11"/>
        <v>0</v>
      </c>
      <c r="AG24" s="211">
        <f>IF(DATEDIF(C24,Reference!$B$28,"Y")&gt;=1,0,AE24+AF24)+iferror(((AL24/D24)*AD24),0)</f>
        <v>0</v>
      </c>
      <c r="AH24" s="212">
        <f>IF(DATEDIF(C24,Reference!$B$28,"Y")&gt;=1,AE24+AF24,0)</f>
        <v>0</v>
      </c>
      <c r="AI24" s="213" t="str">
        <f t="shared" si="12"/>
        <v>n/a</v>
      </c>
      <c r="AJ24" s="214">
        <f>iferror((Reference!$B$10-AI24)*(AB24) - AD24, 0)</f>
        <v>0</v>
      </c>
      <c r="AK24" s="215" t="b">
        <f>AND(DATEDIF(B24,Reference!$B$29,"Y")&gt;=1, DATEDIF(A24, Reference!$B$29, "Y")&gt;=2)</f>
        <v>1</v>
      </c>
      <c r="AL24" s="214">
        <f t="shared" si="13"/>
        <v>0</v>
      </c>
      <c r="AM24" s="216">
        <f>IF(DATEDIF(C24,Reference!$B$29,"Y")&gt;=1,0,AG24)</f>
        <v>0</v>
      </c>
      <c r="AN24" s="217">
        <f t="shared" si="14"/>
        <v>0</v>
      </c>
    </row>
    <row r="25">
      <c r="A25" s="193">
        <f t="shared" si="4"/>
        <v>44256</v>
      </c>
      <c r="B25" s="194">
        <v>44256.0</v>
      </c>
      <c r="C25" s="195">
        <v>44620.0</v>
      </c>
      <c r="D25" s="196"/>
      <c r="E25" s="197">
        <v>140.41</v>
      </c>
      <c r="F25" s="197">
        <v>117.32</v>
      </c>
      <c r="G25" s="198"/>
      <c r="H25" s="199">
        <f t="shared" si="5"/>
        <v>0</v>
      </c>
      <c r="I25" s="197">
        <f t="shared" si="16"/>
        <v>0</v>
      </c>
      <c r="J25" s="199">
        <f t="shared" si="6"/>
        <v>0</v>
      </c>
      <c r="K25" s="199">
        <f t="shared" si="7"/>
        <v>0</v>
      </c>
      <c r="L25" s="221">
        <f t="shared" si="18"/>
        <v>99.72</v>
      </c>
      <c r="M25" s="201"/>
      <c r="N25" s="220" t="b">
        <v>0</v>
      </c>
      <c r="O25" s="203">
        <f t="shared" si="9"/>
        <v>0</v>
      </c>
      <c r="P25" s="203">
        <f>SWITCH(Q25,"cash",Reference!$E$5,"shares",Reference!$E$6,"balance",Reference!$E$7)</f>
        <v>0</v>
      </c>
      <c r="Q25" s="204" t="s">
        <v>160</v>
      </c>
      <c r="R25" s="199">
        <f>Reference!$B$4*Reference!$B$3*D25</f>
        <v>0</v>
      </c>
      <c r="S25" s="199">
        <f>iferror(LET(ratio, O25,(1-ratio) * Reference!$B$3 * D25),0)</f>
        <v>0</v>
      </c>
      <c r="T25" s="199">
        <f>iferror(LET(ratio, P25,(1-ratio) * Reference!$B$3 * $D25),0)</f>
        <v>0</v>
      </c>
      <c r="U25" s="199">
        <f>SWITCH(Reference!$E$4,"eTradeHoldingRatio", R25, "eTradeLotQtyRatio",S25, "manualLotRatio", T25)</f>
        <v>0</v>
      </c>
      <c r="V25" s="199">
        <f>IF(C25&lt;Reference!$B$26,Reference!$C$26,0)</f>
        <v>0</v>
      </c>
      <c r="W25" s="199">
        <f>IF(C25&lt;Reference!$B$27,Reference!$C$27,0)</f>
        <v>0</v>
      </c>
      <c r="X25" s="199">
        <f t="shared" si="10"/>
        <v>117.3176471</v>
      </c>
      <c r="Y25" s="205">
        <f>D25*Reference!$B$5*Reference!$B$6</f>
        <v>0</v>
      </c>
      <c r="Z25" s="205">
        <f>$D25*O25*Reference!$B$6</f>
        <v>0</v>
      </c>
      <c r="AA25" s="206">
        <f>$D25*P25*Reference!$B$6</f>
        <v>0</v>
      </c>
      <c r="AB25" s="206">
        <f>SWITCH(Reference!$E$4,"eTradeHoldingRatio", Y25, "eTradeLotQtyRatio",Z25, "manualLotRatio", AA25)</f>
        <v>0</v>
      </c>
      <c r="AC25" s="207">
        <f>MAX(U25+(AB25*Reference!$B$18)-(D25*X25),0)</f>
        <v>0</v>
      </c>
      <c r="AD25" s="208">
        <f>IF(N25,Summary!$C$41/ ($N$28+RSU!J$86), 0)</f>
        <v>0</v>
      </c>
      <c r="AE25" s="209">
        <f>IF(N25,(Reference!$B$23 - AI25) * AD25, 0)</f>
        <v>0</v>
      </c>
      <c r="AF25" s="210">
        <f t="shared" si="11"/>
        <v>0</v>
      </c>
      <c r="AG25" s="211">
        <f>IF(DATEDIF(C25,Reference!$B$28,"Y")&gt;=1,0,AE25+AF25)+iferror(((AL25/D25)*AD25),0)</f>
        <v>0</v>
      </c>
      <c r="AH25" s="212">
        <f>IF(DATEDIF(C25,Reference!$B$28,"Y")&gt;=1,AE25+AF25,0)</f>
        <v>0</v>
      </c>
      <c r="AI25" s="213" t="str">
        <f t="shared" si="12"/>
        <v>n/a</v>
      </c>
      <c r="AJ25" s="214">
        <f>iferror((Reference!$B$10-AI25)*(AB25) - AD25, 0)</f>
        <v>0</v>
      </c>
      <c r="AK25" s="215" t="b">
        <f>AND(DATEDIF(B25,Reference!$B$29,"Y")&gt;=1, DATEDIF(A25, Reference!$B$29, "Y")&gt;=2)</f>
        <v>1</v>
      </c>
      <c r="AL25" s="214">
        <f t="shared" si="13"/>
        <v>0</v>
      </c>
      <c r="AM25" s="216">
        <f>IF(DATEDIF(C25,Reference!$B$29,"Y")&gt;=1,0,AG25)</f>
        <v>0</v>
      </c>
      <c r="AN25" s="217">
        <f t="shared" si="14"/>
        <v>0</v>
      </c>
    </row>
    <row r="26">
      <c r="A26" s="222">
        <f t="shared" si="4"/>
        <v>44621</v>
      </c>
      <c r="B26" s="223">
        <v>44621.0</v>
      </c>
      <c r="C26" s="224">
        <v>44804.0</v>
      </c>
      <c r="D26" s="225"/>
      <c r="E26" s="226">
        <v>115.91</v>
      </c>
      <c r="F26" s="226">
        <v>116.03</v>
      </c>
      <c r="G26" s="227"/>
      <c r="H26" s="228">
        <f t="shared" si="5"/>
        <v>0</v>
      </c>
      <c r="I26" s="226">
        <f t="shared" si="16"/>
        <v>0</v>
      </c>
      <c r="J26" s="228">
        <f t="shared" si="6"/>
        <v>0</v>
      </c>
      <c r="K26" s="228">
        <f t="shared" si="7"/>
        <v>0</v>
      </c>
      <c r="L26" s="229">
        <f t="shared" si="18"/>
        <v>98.52</v>
      </c>
      <c r="M26" s="230"/>
      <c r="N26" s="231" t="b">
        <v>0</v>
      </c>
      <c r="O26" s="232">
        <f t="shared" si="9"/>
        <v>0</v>
      </c>
      <c r="P26" s="232">
        <f>SWITCH(Q26,"cash",Reference!$E$5,"shares",Reference!$E$6,"balance",Reference!$E$7)</f>
        <v>0</v>
      </c>
      <c r="Q26" s="204" t="s">
        <v>160</v>
      </c>
      <c r="R26" s="228">
        <f>Reference!$B$4*Reference!$B$3*D26</f>
        <v>0</v>
      </c>
      <c r="S26" s="228">
        <f>iferror(LET(ratio, O26,(1-ratio) * Reference!$B$3 * D26),0)</f>
        <v>0</v>
      </c>
      <c r="T26" s="228">
        <f>iferror(LET(ratio, P26,(1-ratio) * Reference!$B$3 * $D26),0)</f>
        <v>0</v>
      </c>
      <c r="U26" s="228">
        <f>SWITCH(Reference!$E$4,"eTradeHoldingRatio", R26, "eTradeLotQtyRatio",S26, "manualLotRatio", T26)</f>
        <v>0</v>
      </c>
      <c r="V26" s="228">
        <f>IF(C26&lt;Reference!$B$26,Reference!$C$26,0)</f>
        <v>0</v>
      </c>
      <c r="W26" s="228">
        <f>IF(C26&lt;Reference!$B$27,Reference!$C$27,0)</f>
        <v>0</v>
      </c>
      <c r="X26" s="228">
        <f t="shared" si="10"/>
        <v>115.9058824</v>
      </c>
      <c r="Y26" s="233">
        <f>D26*Reference!$B$5*Reference!$B$6</f>
        <v>0</v>
      </c>
      <c r="Z26" s="233">
        <f>$D26*O26*Reference!$B$6</f>
        <v>0</v>
      </c>
      <c r="AA26" s="234">
        <f>$D26*P26*Reference!$B$6</f>
        <v>0</v>
      </c>
      <c r="AB26" s="234">
        <f>SWITCH(Reference!$E$4,"eTradeHoldingRatio", Y26, "eTradeLotQtyRatio",Z26, "manualLotRatio", AA26)</f>
        <v>0</v>
      </c>
      <c r="AC26" s="235">
        <f>MAX(U26+(AB26*Reference!$B$18)-(D26*X26),0)</f>
        <v>0</v>
      </c>
      <c r="AD26" s="236">
        <f>IF(N26,Summary!$C$41/ ($N$28+RSU!J$86), 0)</f>
        <v>0</v>
      </c>
      <c r="AE26" s="237">
        <f>IF(N26,(Reference!$B$23 - AI26) * AD26, 0)</f>
        <v>0</v>
      </c>
      <c r="AF26" s="238">
        <f t="shared" si="11"/>
        <v>0</v>
      </c>
      <c r="AG26" s="239">
        <f>IF(DATEDIF(C26,Reference!$B$28,"Y")&gt;=1,0,AE26+AF26)+iferror(((AL26/D26)*AD26),0)</f>
        <v>0</v>
      </c>
      <c r="AH26" s="240">
        <f>IF(DATEDIF(C26,Reference!$B$28,"Y")&gt;=1,AE26+AF26,0)</f>
        <v>0</v>
      </c>
      <c r="AI26" s="213" t="str">
        <f t="shared" si="12"/>
        <v>n/a</v>
      </c>
      <c r="AJ26" s="214">
        <f>iferror((Reference!$B$10-AI26)*(AB26) - AD26, 0)</f>
        <v>0</v>
      </c>
      <c r="AK26" s="241" t="b">
        <f>AND(DATEDIF(B26,Reference!$B$29,"Y")&gt;=1, DATEDIF(A26, Reference!$B$29, "Y")&gt;=2)</f>
        <v>0</v>
      </c>
      <c r="AL26" s="242">
        <f t="shared" si="13"/>
        <v>0</v>
      </c>
      <c r="AM26" s="243">
        <f>IF(DATEDIF(C26,Reference!$B$29,"Y")&gt;=1,0,AG26)</f>
        <v>0</v>
      </c>
      <c r="AN26" s="244">
        <f t="shared" si="14"/>
        <v>0</v>
      </c>
    </row>
    <row r="27">
      <c r="A27" s="245"/>
      <c r="B27" s="245"/>
      <c r="C27" s="245"/>
      <c r="D27" s="245"/>
      <c r="E27" s="245"/>
      <c r="F27" s="245"/>
      <c r="G27" s="245"/>
      <c r="H27" s="245"/>
      <c r="I27" s="245"/>
      <c r="J27" s="245"/>
      <c r="K27" s="245"/>
      <c r="L27" s="245"/>
      <c r="M27" s="245"/>
      <c r="N27" s="245"/>
      <c r="O27" s="245"/>
      <c r="P27" s="245"/>
      <c r="Q27" s="135" t="s">
        <v>160</v>
      </c>
      <c r="R27" s="246"/>
      <c r="S27" s="245"/>
      <c r="T27" s="245"/>
      <c r="U27" s="245"/>
      <c r="V27" s="245"/>
      <c r="W27" s="245"/>
      <c r="X27" s="245"/>
      <c r="Y27" s="245"/>
      <c r="Z27" s="245"/>
      <c r="AA27" s="245"/>
      <c r="AB27" s="245"/>
      <c r="AC27" s="245"/>
      <c r="AD27" s="245"/>
      <c r="AE27" s="245"/>
      <c r="AF27" s="245"/>
      <c r="AG27" s="245"/>
      <c r="AH27" s="245"/>
      <c r="AI27" s="245"/>
      <c r="AJ27" s="245"/>
      <c r="AK27" s="245"/>
      <c r="AL27" s="245"/>
      <c r="AM27" s="247"/>
      <c r="AN27" s="245"/>
    </row>
    <row r="28">
      <c r="A28" s="248"/>
      <c r="B28" s="97"/>
      <c r="C28" s="97"/>
      <c r="D28" s="249">
        <f>SUM(D7:D26)</f>
        <v>0</v>
      </c>
      <c r="E28" s="97"/>
      <c r="F28" s="97"/>
      <c r="G28" s="250"/>
      <c r="H28" s="251">
        <f>SUM(H7:H26)</f>
        <v>0</v>
      </c>
      <c r="I28" s="97"/>
      <c r="J28" s="97"/>
      <c r="K28" s="97"/>
      <c r="L28" s="97"/>
      <c r="M28" s="252">
        <f>SUM(M7:M26)</f>
        <v>0</v>
      </c>
      <c r="N28" s="250">
        <f>COUNTIF(N7:N26, TRUE)</f>
        <v>0</v>
      </c>
      <c r="O28" s="97"/>
      <c r="P28" s="97"/>
      <c r="Q28" s="253" t="s">
        <v>160</v>
      </c>
      <c r="R28" s="251">
        <f t="shared" ref="R28:U28" si="19">SUM(R7:R26)</f>
        <v>0</v>
      </c>
      <c r="S28" s="251">
        <f t="shared" si="19"/>
        <v>0</v>
      </c>
      <c r="T28" s="251">
        <f t="shared" si="19"/>
        <v>0</v>
      </c>
      <c r="U28" s="251">
        <f t="shared" si="19"/>
        <v>0</v>
      </c>
      <c r="V28" s="97"/>
      <c r="W28" s="97"/>
      <c r="X28" s="97"/>
      <c r="Y28" s="254">
        <f t="shared" ref="Y28:AH28" si="20">SUM(Y7:Y26)</f>
        <v>0</v>
      </c>
      <c r="Z28" s="254">
        <f t="shared" si="20"/>
        <v>0</v>
      </c>
      <c r="AA28" s="254">
        <f t="shared" si="20"/>
        <v>0</v>
      </c>
      <c r="AB28" s="255">
        <f t="shared" si="20"/>
        <v>0</v>
      </c>
      <c r="AC28" s="251">
        <f t="shared" si="20"/>
        <v>0</v>
      </c>
      <c r="AD28" s="256">
        <f t="shared" si="20"/>
        <v>0</v>
      </c>
      <c r="AE28" s="257">
        <f t="shared" si="20"/>
        <v>0</v>
      </c>
      <c r="AF28" s="123">
        <f t="shared" si="20"/>
        <v>0</v>
      </c>
      <c r="AG28" s="258">
        <f t="shared" si="20"/>
        <v>0</v>
      </c>
      <c r="AH28" s="259">
        <f t="shared" si="20"/>
        <v>0</v>
      </c>
      <c r="AI28" s="97"/>
      <c r="AJ28" s="96">
        <f>SUM(AJ7:AJ26)</f>
        <v>0</v>
      </c>
      <c r="AK28" s="96"/>
      <c r="AL28" s="96">
        <f t="shared" ref="AL28:AN28" si="21">SUM(AL7:AL26)</f>
        <v>0</v>
      </c>
      <c r="AM28" s="260">
        <f t="shared" si="21"/>
        <v>0</v>
      </c>
      <c r="AN28" s="98">
        <f t="shared" si="21"/>
        <v>0</v>
      </c>
    </row>
  </sheetData>
  <mergeCells count="17">
    <mergeCell ref="A1:Q1"/>
    <mergeCell ref="R1:AN1"/>
    <mergeCell ref="M2:N2"/>
    <mergeCell ref="O2:Q2"/>
    <mergeCell ref="R2:AC2"/>
    <mergeCell ref="AE2:AH2"/>
    <mergeCell ref="AI2:AN2"/>
    <mergeCell ref="AE3:AF3"/>
    <mergeCell ref="AG3:AH3"/>
    <mergeCell ref="AI3:AN3"/>
    <mergeCell ref="A2:L2"/>
    <mergeCell ref="B3:G3"/>
    <mergeCell ref="I3:L3"/>
    <mergeCell ref="O3:Q3"/>
    <mergeCell ref="R3:T3"/>
    <mergeCell ref="V3:W3"/>
    <mergeCell ref="Y3:AA3"/>
  </mergeCells>
  <conditionalFormatting sqref="M7:M26">
    <cfRule type="cellIs" dxfId="5" priority="1" operator="notEqual">
      <formula>ROUND(Y7,3)</formula>
    </cfRule>
  </conditionalFormatting>
  <conditionalFormatting sqref="AF7:AF26">
    <cfRule type="containsBlanks" dxfId="6" priority="2">
      <formula>LEN(TRIM(AF7))=0</formula>
    </cfRule>
  </conditionalFormatting>
  <conditionalFormatting sqref="AF7:AF26">
    <cfRule type="cellIs" dxfId="7" priority="3" operator="notEqual">
      <formula>U7</formula>
    </cfRule>
  </conditionalFormatting>
  <conditionalFormatting sqref="AE7:AE26">
    <cfRule type="cellIs" dxfId="8" priority="4" operator="equal">
      <formula>0</formula>
    </cfRule>
  </conditionalFormatting>
  <conditionalFormatting sqref="AE7:AE26">
    <cfRule type="cellIs" dxfId="9" priority="5" operator="notEqual">
      <formula>0</formula>
    </cfRule>
  </conditionalFormatting>
  <dataValidations>
    <dataValidation type="decimal" operator="greaterThanOrEqual" allowBlank="1" showDropDown="1" showErrorMessage="1" sqref="D7:D26 G7:G26 M7:M26">
      <formula1>0.0</formula1>
    </dataValidation>
    <dataValidation type="list" allowBlank="1" showErrorMessage="1" sqref="Q7:Q26">
      <formula1>"balance,cash,shares"</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9.5"/>
    <col customWidth="1" min="3" max="3" width="21.13"/>
    <col customWidth="1" min="4" max="4" width="14.75"/>
    <col customWidth="1" min="5" max="5" width="19.25"/>
    <col customWidth="1" min="6" max="6" width="24.75"/>
    <col customWidth="1" hidden="1" min="7" max="7" width="21.25"/>
    <col customWidth="1" hidden="1" min="8" max="8" width="15.63"/>
    <col customWidth="1" min="9" max="9" width="24.38"/>
    <col customWidth="1" min="10" max="10" width="12.25"/>
    <col customWidth="1" hidden="1" min="11" max="11" width="15.5"/>
    <col customWidth="1" hidden="1" min="12" max="12" width="11.63"/>
    <col customWidth="1" min="13" max="13" width="14.38"/>
    <col customWidth="1" hidden="1" min="14" max="14" width="12.5"/>
    <col customWidth="1" hidden="1" min="15" max="15" width="17.38"/>
    <col customWidth="1" hidden="1" min="16" max="16" width="11.63"/>
    <col customWidth="1" hidden="1" min="17" max="17" width="11.38"/>
    <col customWidth="1" hidden="1" min="18" max="18" width="28.0"/>
    <col customWidth="1" hidden="1" min="19" max="19" width="23.38"/>
    <col customWidth="1" hidden="1" min="20" max="20" width="21.0"/>
    <col customWidth="1" hidden="1" min="21" max="25" width="18.88"/>
    <col customWidth="1" hidden="1" min="26" max="26" width="23.75"/>
    <col hidden="1" min="27" max="27" width="12.63"/>
    <col customWidth="1" min="30" max="30" width="19.63"/>
    <col customWidth="1" min="31" max="31" width="12.13"/>
    <col customWidth="1" min="32" max="32" width="19.75"/>
    <col customWidth="1" min="33" max="33" width="23.38"/>
    <col customWidth="1" min="34" max="34" width="18.75"/>
    <col customWidth="1" min="35" max="35" width="18.5"/>
  </cols>
  <sheetData>
    <row r="1">
      <c r="A1" s="261" t="s">
        <v>1</v>
      </c>
      <c r="N1" s="262" t="s">
        <v>104</v>
      </c>
      <c r="AI1" s="143"/>
    </row>
    <row r="2">
      <c r="A2" s="263" t="s">
        <v>161</v>
      </c>
      <c r="B2" s="101"/>
      <c r="C2" s="101"/>
      <c r="D2" s="101"/>
      <c r="E2" s="101"/>
      <c r="F2" s="101"/>
      <c r="G2" s="101"/>
      <c r="H2" s="102"/>
      <c r="I2" s="264" t="s">
        <v>106</v>
      </c>
      <c r="J2" s="102"/>
      <c r="K2" s="146"/>
      <c r="L2" s="101"/>
      <c r="M2" s="102"/>
      <c r="N2" s="265" t="s">
        <v>107</v>
      </c>
      <c r="O2" s="101"/>
      <c r="P2" s="101"/>
      <c r="Q2" s="101"/>
      <c r="R2" s="101"/>
      <c r="S2" s="101"/>
      <c r="T2" s="101"/>
      <c r="U2" s="101"/>
      <c r="V2" s="101"/>
      <c r="W2" s="101"/>
      <c r="X2" s="101"/>
      <c r="Y2" s="101"/>
      <c r="Z2" s="101"/>
      <c r="AA2" s="266"/>
      <c r="AB2" s="265" t="s">
        <v>108</v>
      </c>
      <c r="AC2" s="101"/>
      <c r="AD2" s="101"/>
      <c r="AE2" s="102"/>
      <c r="AF2" s="267" t="s">
        <v>109</v>
      </c>
      <c r="AG2" s="101"/>
      <c r="AH2" s="101"/>
      <c r="AI2" s="102"/>
    </row>
    <row r="3">
      <c r="A3" s="268"/>
      <c r="B3" s="269" t="s">
        <v>110</v>
      </c>
      <c r="F3" s="270" t="s">
        <v>162</v>
      </c>
      <c r="G3" s="271" t="s">
        <v>111</v>
      </c>
      <c r="H3" s="143"/>
      <c r="I3" s="272" t="s">
        <v>113</v>
      </c>
      <c r="J3" s="273" t="s">
        <v>114</v>
      </c>
      <c r="K3" s="274" t="s">
        <v>115</v>
      </c>
      <c r="L3" s="275"/>
      <c r="M3" s="276"/>
      <c r="N3" s="89" t="s">
        <v>116</v>
      </c>
      <c r="Q3" s="143"/>
      <c r="R3" s="277" t="s">
        <v>117</v>
      </c>
      <c r="S3" s="143"/>
      <c r="T3" s="277" t="s">
        <v>163</v>
      </c>
      <c r="V3" s="278" t="s">
        <v>119</v>
      </c>
      <c r="Y3" s="143"/>
      <c r="Z3" s="277" t="s">
        <v>120</v>
      </c>
      <c r="AA3" s="271"/>
      <c r="AB3" s="269" t="s">
        <v>121</v>
      </c>
      <c r="AC3" s="143"/>
      <c r="AD3" s="269" t="s">
        <v>122</v>
      </c>
      <c r="AE3" s="143"/>
      <c r="AF3" s="279" t="s">
        <v>123</v>
      </c>
      <c r="AI3" s="143"/>
    </row>
    <row r="4">
      <c r="A4" s="280" t="s">
        <v>164</v>
      </c>
      <c r="B4" s="281" t="s">
        <v>165</v>
      </c>
      <c r="C4" s="281" t="s">
        <v>166</v>
      </c>
      <c r="D4" s="282" t="s">
        <v>167</v>
      </c>
      <c r="E4" s="166" t="s">
        <v>168</v>
      </c>
      <c r="F4" s="283" t="s">
        <v>169</v>
      </c>
      <c r="G4" s="284" t="s">
        <v>170</v>
      </c>
      <c r="H4" s="280" t="s">
        <v>171</v>
      </c>
      <c r="I4" s="285" t="s">
        <v>136</v>
      </c>
      <c r="J4" s="286"/>
      <c r="K4" s="153" t="s">
        <v>137</v>
      </c>
      <c r="L4" s="153" t="s">
        <v>138</v>
      </c>
      <c r="M4" s="287" t="s">
        <v>139</v>
      </c>
      <c r="N4" s="161" t="s">
        <v>140</v>
      </c>
      <c r="O4" s="166" t="s">
        <v>141</v>
      </c>
      <c r="P4" s="166" t="s">
        <v>142</v>
      </c>
      <c r="Q4" s="166" t="s">
        <v>143</v>
      </c>
      <c r="R4" s="288" t="s">
        <v>144</v>
      </c>
      <c r="S4" s="289" t="s">
        <v>145</v>
      </c>
      <c r="T4" s="166" t="s">
        <v>146</v>
      </c>
      <c r="U4" s="166" t="s">
        <v>172</v>
      </c>
      <c r="V4" s="168" t="s">
        <v>140</v>
      </c>
      <c r="W4" s="161" t="s">
        <v>147</v>
      </c>
      <c r="X4" s="161" t="s">
        <v>142</v>
      </c>
      <c r="Y4" s="167" t="s">
        <v>148</v>
      </c>
      <c r="Z4" s="288" t="s">
        <v>149</v>
      </c>
      <c r="AA4" s="290" t="s">
        <v>150</v>
      </c>
      <c r="AB4" s="291" t="s">
        <v>151</v>
      </c>
      <c r="AC4" s="289" t="s">
        <v>75</v>
      </c>
      <c r="AD4" s="166" t="s">
        <v>152</v>
      </c>
      <c r="AE4" s="174" t="s">
        <v>153</v>
      </c>
      <c r="AF4" s="292" t="s">
        <v>154</v>
      </c>
      <c r="AG4" s="293" t="s">
        <v>155</v>
      </c>
      <c r="AH4" s="174" t="s">
        <v>158</v>
      </c>
      <c r="AI4" s="294" t="s">
        <v>159</v>
      </c>
    </row>
    <row r="5">
      <c r="A5" s="248"/>
      <c r="B5" s="97"/>
      <c r="C5" s="97"/>
      <c r="D5" s="249">
        <f>SUM(D7:D84)</f>
        <v>0</v>
      </c>
      <c r="E5" s="97"/>
      <c r="F5" s="97"/>
      <c r="G5" s="122">
        <f t="shared" ref="G5:I5" si="1">SUM(G7:G84)</f>
        <v>0</v>
      </c>
      <c r="H5" s="251">
        <f t="shared" si="1"/>
        <v>0</v>
      </c>
      <c r="I5" s="295">
        <f t="shared" si="1"/>
        <v>0</v>
      </c>
      <c r="J5" s="97">
        <f>COUNTIF(#REF!, TRUE)</f>
        <v>0</v>
      </c>
      <c r="K5" s="97"/>
      <c r="L5" s="97"/>
      <c r="M5" s="97"/>
      <c r="N5" s="122">
        <f t="shared" ref="N5:Q5" si="2">SUM(N7:N84)</f>
        <v>0</v>
      </c>
      <c r="O5" s="122">
        <f t="shared" si="2"/>
        <v>0</v>
      </c>
      <c r="P5" s="122">
        <f t="shared" si="2"/>
        <v>0</v>
      </c>
      <c r="Q5" s="122">
        <f t="shared" si="2"/>
        <v>0</v>
      </c>
      <c r="R5" s="97"/>
      <c r="S5" s="97"/>
      <c r="T5" s="97"/>
      <c r="U5" s="251">
        <f t="shared" ref="U5:AE5" si="3">SUM(U7:U84)</f>
        <v>0</v>
      </c>
      <c r="V5" s="254">
        <f t="shared" si="3"/>
        <v>0</v>
      </c>
      <c r="W5" s="254">
        <f t="shared" si="3"/>
        <v>0</v>
      </c>
      <c r="X5" s="254">
        <f t="shared" si="3"/>
        <v>0</v>
      </c>
      <c r="Y5" s="254">
        <f t="shared" si="3"/>
        <v>0</v>
      </c>
      <c r="Z5" s="251">
        <f t="shared" si="3"/>
        <v>0</v>
      </c>
      <c r="AA5" s="296">
        <f t="shared" si="3"/>
        <v>0</v>
      </c>
      <c r="AB5" s="296">
        <f t="shared" si="3"/>
        <v>0</v>
      </c>
      <c r="AC5" s="251">
        <f t="shared" si="3"/>
        <v>0</v>
      </c>
      <c r="AD5" s="258">
        <f t="shared" si="3"/>
        <v>0</v>
      </c>
      <c r="AE5" s="258">
        <f t="shared" si="3"/>
        <v>0</v>
      </c>
      <c r="AF5" s="248"/>
      <c r="AG5" s="96">
        <f t="shared" ref="AG5:AI5" si="4">SUM(AG7:AG84)</f>
        <v>0</v>
      </c>
      <c r="AH5" s="96">
        <f t="shared" si="4"/>
        <v>0</v>
      </c>
      <c r="AI5" s="96">
        <f t="shared" si="4"/>
        <v>0</v>
      </c>
    </row>
    <row r="6">
      <c r="A6" s="297"/>
      <c r="B6" s="186"/>
      <c r="C6" s="186"/>
      <c r="D6" s="186"/>
      <c r="E6" s="186"/>
      <c r="F6" s="186"/>
      <c r="G6" s="186"/>
      <c r="H6" s="186"/>
      <c r="I6" s="186"/>
      <c r="J6" s="298"/>
      <c r="K6" s="187"/>
      <c r="L6" s="187"/>
      <c r="M6" s="188"/>
      <c r="N6" s="186"/>
      <c r="O6" s="186"/>
      <c r="P6" s="186"/>
      <c r="Q6" s="186"/>
      <c r="R6" s="186"/>
      <c r="S6" s="186"/>
      <c r="T6" s="186"/>
      <c r="U6" s="186"/>
      <c r="V6" s="186"/>
      <c r="W6" s="186"/>
      <c r="X6" s="186"/>
      <c r="Y6" s="186"/>
      <c r="Z6" s="186"/>
      <c r="AA6" s="186"/>
      <c r="AB6" s="186"/>
      <c r="AC6" s="186"/>
      <c r="AD6" s="186"/>
      <c r="AE6" s="186"/>
      <c r="AF6" s="299"/>
      <c r="AG6" s="186"/>
      <c r="AH6" s="186"/>
      <c r="AI6" s="186"/>
    </row>
    <row r="7">
      <c r="A7" s="300"/>
      <c r="B7" s="301">
        <v>40953.0</v>
      </c>
      <c r="C7" s="195">
        <v>41487.0</v>
      </c>
      <c r="D7" s="196"/>
      <c r="E7" s="302">
        <v>82.1</v>
      </c>
      <c r="F7" s="303"/>
      <c r="G7" s="199">
        <f t="shared" ref="G7:G84" si="5">D7*E7</f>
        <v>0</v>
      </c>
      <c r="H7" s="207">
        <f t="shared" ref="H7:H84" si="6">F7*E7</f>
        <v>0</v>
      </c>
      <c r="I7" s="304"/>
      <c r="J7" s="220" t="b">
        <v>0</v>
      </c>
      <c r="K7" s="203">
        <f t="shared" ref="K7:K84" si="7">iferror(I7/(0.252*D7),0)</f>
        <v>0</v>
      </c>
      <c r="L7" s="203">
        <f>SWITCH(M7,"cash",Reference!E$5,"shares",Reference!$E$6,"balance",Reference!$E$7)</f>
        <v>0</v>
      </c>
      <c r="M7" s="204" t="s">
        <v>160</v>
      </c>
      <c r="N7" s="199">
        <f>Reference!$B$4*Reference!$B$3*$D7</f>
        <v>0</v>
      </c>
      <c r="O7" s="199">
        <f>iferror(LET(ratio, K7,(1-ratio) * Reference!$B$3 * $D7),0)</f>
        <v>0</v>
      </c>
      <c r="P7" s="199">
        <f>iferror(LET(ratio, L7,(1-ratio) * Reference!$B$3 * $D7),0)</f>
        <v>0</v>
      </c>
      <c r="Q7" s="199">
        <f>SWITCH(Reference!$E$4,"eTradeHoldingRatio",N7, "eTradeLotQtyRatio",O7,"manualLotRatio",P7)</f>
        <v>0</v>
      </c>
      <c r="R7" s="199">
        <f>IF(C7&lt;Reference!$B$26,Reference!$C$26,0)</f>
        <v>10.18</v>
      </c>
      <c r="S7" s="199">
        <f>IF(C7&lt;Reference!$B$27,Reference!$C$27,0)</f>
        <v>16.87</v>
      </c>
      <c r="T7" s="199">
        <f t="shared" ref="T7:T84" si="8">E7-R7-S7</f>
        <v>55.05</v>
      </c>
      <c r="U7" s="205">
        <f t="shared" ref="U7:U84" si="9">T7*D7</f>
        <v>0</v>
      </c>
      <c r="V7" s="205">
        <f>$D7*Reference!$B$5*Reference!$B$6</f>
        <v>0</v>
      </c>
      <c r="W7" s="205">
        <f>$D7*K7*Reference!$B$6</f>
        <v>0</v>
      </c>
      <c r="X7" s="205">
        <f>$D7*L7*Reference!$B$6</f>
        <v>0</v>
      </c>
      <c r="Y7" s="205">
        <f>SWITCH(Reference!$E$4,"eTradeHoldingRatio",V7, "eTradeLotQtyRatio",W7,"manualLotRatio",X7)</f>
        <v>0</v>
      </c>
      <c r="Z7" s="207">
        <f>MAX(Q7+(Y7*Reference!$B$18)-U7,0)</f>
        <v>0</v>
      </c>
      <c r="AA7" s="208">
        <f>IF(J7,Summary!$C$41/ (J$86+ESPP!$N$28), 0)</f>
        <v>0</v>
      </c>
      <c r="AB7" s="305">
        <f>IF(J7,(Reference!$B$23 - AF7) * AA7, 0)</f>
        <v>0</v>
      </c>
      <c r="AC7" s="210">
        <f t="shared" ref="AC7:AC84" si="10">MIN(Q7,Z7)</f>
        <v>0</v>
      </c>
      <c r="AD7" s="306">
        <f>IF(DATEDIF(C7,Reference!$B$28,"Y")&gt;=1,0,AC7+AB7)</f>
        <v>0</v>
      </c>
      <c r="AE7" s="306">
        <f>IF(DATEDIF(C7,Reference!$B$28,"Y")&gt;=1,AC7+AB7,0)</f>
        <v>0</v>
      </c>
      <c r="AF7" s="307" t="str">
        <f t="shared" ref="AF7:AF84" si="11">iferror((U7 - Q7 + AC7)/Y7,"n/a")</f>
        <v>n/a</v>
      </c>
      <c r="AG7" s="214">
        <f>iferror((Reference!$B$10-AF7)*Y7 - AA7, 0)</f>
        <v>0</v>
      </c>
      <c r="AH7" s="214">
        <f>IF(DATEDIF(C7,Reference!$B$29,"Y")&gt;=1,0,AG7)</f>
        <v>0</v>
      </c>
      <c r="AI7" s="217">
        <f>IF(DATEDIF(C7,Reference!$B$29,"Y")&gt;=1,AG7,0)</f>
        <v>0</v>
      </c>
    </row>
    <row r="8">
      <c r="A8" s="300"/>
      <c r="B8" s="301">
        <v>40953.0</v>
      </c>
      <c r="C8" s="195">
        <v>41671.0</v>
      </c>
      <c r="D8" s="196"/>
      <c r="E8" s="302">
        <v>90.14</v>
      </c>
      <c r="F8" s="303"/>
      <c r="G8" s="199">
        <f t="shared" si="5"/>
        <v>0</v>
      </c>
      <c r="H8" s="207">
        <f t="shared" si="6"/>
        <v>0</v>
      </c>
      <c r="I8" s="304"/>
      <c r="J8" s="220" t="b">
        <v>0</v>
      </c>
      <c r="K8" s="203">
        <f t="shared" si="7"/>
        <v>0</v>
      </c>
      <c r="L8" s="203">
        <f>SWITCH(M8,"cash",Reference!E$5,"shares",Reference!$E$6,"balance",Reference!$E$7)</f>
        <v>0</v>
      </c>
      <c r="M8" s="204" t="s">
        <v>160</v>
      </c>
      <c r="N8" s="199">
        <f>Reference!$B$4*Reference!$B$3*D8</f>
        <v>0</v>
      </c>
      <c r="O8" s="199">
        <f>iferror(LET(ratio, K8,(1-ratio) * Reference!$B$3 * $D8),0)</f>
        <v>0</v>
      </c>
      <c r="P8" s="199">
        <f>iferror(LET(ratio, L8,(1-ratio) * Reference!$B$3 * $D8),0)</f>
        <v>0</v>
      </c>
      <c r="Q8" s="199">
        <f>SWITCH(Reference!$E$4,"eTradeHoldingRatio",N8, "eTradeLotQtyRatio",O8,"manualLotRatio",P8)</f>
        <v>0</v>
      </c>
      <c r="R8" s="199">
        <f>IF(C8&lt;Reference!$B$26,Reference!$C$26,0)</f>
        <v>10.18</v>
      </c>
      <c r="S8" s="199">
        <f>IF(C8&lt;Reference!$B$27,Reference!$C$27,0)</f>
        <v>16.87</v>
      </c>
      <c r="T8" s="199">
        <f t="shared" si="8"/>
        <v>63.09</v>
      </c>
      <c r="U8" s="205">
        <f t="shared" si="9"/>
        <v>0</v>
      </c>
      <c r="V8" s="205">
        <f>$D8*Reference!$B$5*Reference!$B$6</f>
        <v>0</v>
      </c>
      <c r="W8" s="205">
        <f>$D8*K8*Reference!$B$6</f>
        <v>0</v>
      </c>
      <c r="X8" s="205">
        <f>$D8*L8*Reference!$B$6</f>
        <v>0</v>
      </c>
      <c r="Y8" s="205">
        <f>SWITCH(Reference!$E$4,"eTradeHoldingRatio",V8, "eTradeLotQtyRatio",W8,"manualLotRatio",X8)</f>
        <v>0</v>
      </c>
      <c r="Z8" s="207">
        <f>MAX(Q8+(Y8*Reference!$B$18)-U8,0)</f>
        <v>0</v>
      </c>
      <c r="AA8" s="208">
        <f>IF(J8,Summary!$C$41/ (J$86+ESPP!$N$28), 0)</f>
        <v>0</v>
      </c>
      <c r="AB8" s="305">
        <f>IF(J8,(Reference!$B$23 - AF8) * AA8, 0)</f>
        <v>0</v>
      </c>
      <c r="AC8" s="210">
        <f t="shared" si="10"/>
        <v>0</v>
      </c>
      <c r="AD8" s="306">
        <f>IF(DATEDIF(C8,Reference!$B$28,"Y")&gt;=1,0,AC8+AB8)</f>
        <v>0</v>
      </c>
      <c r="AE8" s="306">
        <f>IF(DATEDIF(C8,Reference!$B$28,"Y")&gt;=1,AC8+AB8,0)</f>
        <v>0</v>
      </c>
      <c r="AF8" s="307" t="str">
        <f t="shared" si="11"/>
        <v>n/a</v>
      </c>
      <c r="AG8" s="214">
        <f>iferror((Reference!$B$10-AF8)*Y8 - AA8, 0)</f>
        <v>0</v>
      </c>
      <c r="AH8" s="214">
        <f>IF(DATEDIF(C8,Reference!$B$29,"Y")&gt;=1,0,AG8)</f>
        <v>0</v>
      </c>
      <c r="AI8" s="217">
        <f>IF(DATEDIF(C8,Reference!$B$29,"Y")&gt;=1,AG8,0)</f>
        <v>0</v>
      </c>
    </row>
    <row r="9">
      <c r="A9" s="300" t="s">
        <v>173</v>
      </c>
      <c r="B9" s="301">
        <v>40953.0</v>
      </c>
      <c r="C9" s="195">
        <v>41852.0</v>
      </c>
      <c r="D9" s="196"/>
      <c r="E9" s="302">
        <v>98.33</v>
      </c>
      <c r="F9" s="303"/>
      <c r="G9" s="199">
        <f t="shared" si="5"/>
        <v>0</v>
      </c>
      <c r="H9" s="207">
        <f t="shared" si="6"/>
        <v>0</v>
      </c>
      <c r="I9" s="304"/>
      <c r="J9" s="308" t="b">
        <v>0</v>
      </c>
      <c r="K9" s="203">
        <f t="shared" si="7"/>
        <v>0</v>
      </c>
      <c r="L9" s="203">
        <f>SWITCH(M9,"cash",Reference!E$5,"shares",Reference!$E$6,"balance",Reference!$E$7)</f>
        <v>0</v>
      </c>
      <c r="M9" s="204" t="s">
        <v>160</v>
      </c>
      <c r="N9" s="199">
        <f>LET(ratio,Reference!$B$4, ratio*Reference!$B$3*D9)</f>
        <v>0</v>
      </c>
      <c r="O9" s="199">
        <f>iferror(LET(ratio, K9,(1-ratio) * Reference!$B$3 * $D9),0)</f>
        <v>0</v>
      </c>
      <c r="P9" s="199">
        <f>iferror(LET(ratio, L9,(1-ratio) * Reference!$B$3 * $D9),0)</f>
        <v>0</v>
      </c>
      <c r="Q9" s="199">
        <f>SWITCH(Reference!$E$4,"eTradeHoldingRatio",N9, "eTradeLotQtyRatio",O9,"manualLotRatio",P9)</f>
        <v>0</v>
      </c>
      <c r="R9" s="199">
        <f>IF(C9&lt;Reference!$B$26,Reference!$C$26,0)</f>
        <v>10.18</v>
      </c>
      <c r="S9" s="199">
        <f>IF(C9&lt;Reference!$B$27,Reference!$C$27,0)</f>
        <v>16.87</v>
      </c>
      <c r="T9" s="199">
        <f t="shared" si="8"/>
        <v>71.28</v>
      </c>
      <c r="U9" s="205">
        <f t="shared" si="9"/>
        <v>0</v>
      </c>
      <c r="V9" s="205">
        <f>$D9*Reference!$B$5*Reference!$B$6</f>
        <v>0</v>
      </c>
      <c r="W9" s="205">
        <f>$D9*K9*Reference!$B$6</f>
        <v>0</v>
      </c>
      <c r="X9" s="206">
        <f>$D9*L9*Reference!$B$6</f>
        <v>0</v>
      </c>
      <c r="Y9" s="206">
        <f>SWITCH(Reference!$E$4,"eTradeHoldingRatio",V9, "eTradeLotQtyRatio",W9,"manualLotRatio",X9)</f>
        <v>0</v>
      </c>
      <c r="Z9" s="207">
        <f>MAX(Q9+(Y9*Reference!$B$18)-U9,0)</f>
        <v>0</v>
      </c>
      <c r="AA9" s="208">
        <f>IF(J9,Summary!$C$41/ (J$86+ESPP!$N$28), 0)</f>
        <v>0</v>
      </c>
      <c r="AB9" s="305">
        <f>IF(J9,(Reference!$B$23 - AF9) * AA9, 0)</f>
        <v>0</v>
      </c>
      <c r="AC9" s="210">
        <f t="shared" si="10"/>
        <v>0</v>
      </c>
      <c r="AD9" s="306">
        <f>IF(DATEDIF(C9,Reference!$B$28,"Y")&gt;=1,0,AC9+AB9)</f>
        <v>0</v>
      </c>
      <c r="AE9" s="306">
        <f>IF(DATEDIF(C9,Reference!$B$28,"Y")&gt;=1,AC9+AB9,0)</f>
        <v>0</v>
      </c>
      <c r="AF9" s="307" t="str">
        <f t="shared" si="11"/>
        <v>n/a</v>
      </c>
      <c r="AG9" s="214">
        <f>iferror((Reference!$B$10-AF9)*Y9 - AA9, 0)</f>
        <v>0</v>
      </c>
      <c r="AH9" s="214">
        <f>IF(DATEDIF(C9,Reference!$B$29,"Y")&gt;=1,0,AG9)</f>
        <v>0</v>
      </c>
      <c r="AI9" s="217">
        <f>IF(DATEDIF(C9,Reference!$B$29,"Y")&gt;=1,AG9,0)</f>
        <v>0</v>
      </c>
    </row>
    <row r="10">
      <c r="A10" s="300" t="s">
        <v>173</v>
      </c>
      <c r="B10" s="301">
        <v>40953.0</v>
      </c>
      <c r="C10" s="195">
        <v>42036.0</v>
      </c>
      <c r="D10" s="196"/>
      <c r="E10" s="302">
        <v>77.1</v>
      </c>
      <c r="F10" s="303"/>
      <c r="G10" s="199">
        <f t="shared" si="5"/>
        <v>0</v>
      </c>
      <c r="H10" s="207">
        <f t="shared" si="6"/>
        <v>0</v>
      </c>
      <c r="I10" s="309"/>
      <c r="J10" s="220" t="b">
        <v>0</v>
      </c>
      <c r="K10" s="203">
        <f t="shared" si="7"/>
        <v>0</v>
      </c>
      <c r="L10" s="203">
        <f>SWITCH(M10,"cash",Reference!E$5,"shares",Reference!$E$6,"balance",Reference!$E$7)</f>
        <v>0</v>
      </c>
      <c r="M10" s="204" t="s">
        <v>160</v>
      </c>
      <c r="N10" s="199">
        <f>LET(ratio,Reference!$B$4, ratio*Reference!$B$3*D10)</f>
        <v>0</v>
      </c>
      <c r="O10" s="199">
        <f>iferror(LET(ratio, K10,(1-ratio) * Reference!$B$3 * $D10),0)</f>
        <v>0</v>
      </c>
      <c r="P10" s="199">
        <f>iferror(LET(ratio, L10,(1-ratio) * Reference!$B$3 * $D10),0)</f>
        <v>0</v>
      </c>
      <c r="Q10" s="199">
        <f>SWITCH(Reference!$E$4,"eTradeHoldingRatio",N10, "eTradeLotQtyRatio",O10,"manualLotRatio",P10)</f>
        <v>0</v>
      </c>
      <c r="R10" s="199">
        <f>IF(C10&lt;Reference!$B$26,Reference!$C$26,0)</f>
        <v>10.18</v>
      </c>
      <c r="S10" s="199">
        <f>IF(C10&lt;Reference!$B$27,Reference!$C$27,0)</f>
        <v>16.87</v>
      </c>
      <c r="T10" s="199">
        <f t="shared" si="8"/>
        <v>50.05</v>
      </c>
      <c r="U10" s="205">
        <f t="shared" si="9"/>
        <v>0</v>
      </c>
      <c r="V10" s="205">
        <f>$D10*Reference!$B$5*Reference!$B$6</f>
        <v>0</v>
      </c>
      <c r="W10" s="205">
        <f>$D10*K10*Reference!$B$6</f>
        <v>0</v>
      </c>
      <c r="X10" s="206">
        <f>$D10*L10*Reference!$B$6</f>
        <v>0</v>
      </c>
      <c r="Y10" s="206">
        <f>SWITCH(Reference!$E$4,"eTradeHoldingRatio",V10, "eTradeLotQtyRatio",W10,"manualLotRatio",X10)</f>
        <v>0</v>
      </c>
      <c r="Z10" s="207">
        <f>MAX(Q10+(Y10*Reference!$B$18)-U10,0)</f>
        <v>0</v>
      </c>
      <c r="AA10" s="208">
        <f>IF(J10,Summary!$C$41/ (J$86+ESPP!$N$28), 0)</f>
        <v>0</v>
      </c>
      <c r="AB10" s="305">
        <f>IF(J10,(Reference!$B$23 - AF10) * AA10, 0)</f>
        <v>0</v>
      </c>
      <c r="AC10" s="210">
        <f t="shared" si="10"/>
        <v>0</v>
      </c>
      <c r="AD10" s="306">
        <f>IF(DATEDIF(C10,Reference!$B$28,"Y")&gt;=1,0,AC10+AB10)</f>
        <v>0</v>
      </c>
      <c r="AE10" s="306">
        <f>IF(DATEDIF(C10,Reference!$B$28,"Y")&gt;=1,AC10+AB10,0)</f>
        <v>0</v>
      </c>
      <c r="AF10" s="307" t="str">
        <f t="shared" si="11"/>
        <v>n/a</v>
      </c>
      <c r="AG10" s="214">
        <f>iferror((Reference!$B$10-AF10)*Y10 - AA10, 0)</f>
        <v>0</v>
      </c>
      <c r="AH10" s="214">
        <f>IF(DATEDIF(C10,Reference!$B$29,"Y")&gt;=1,0,AG10)</f>
        <v>0</v>
      </c>
      <c r="AI10" s="217">
        <f>IF(DATEDIF(C10,Reference!$B$29,"Y")&gt;=1,AG10,0)</f>
        <v>0</v>
      </c>
    </row>
    <row r="11">
      <c r="A11" s="300" t="s">
        <v>174</v>
      </c>
      <c r="B11" s="301">
        <v>41803.0</v>
      </c>
      <c r="C11" s="195">
        <v>42125.0</v>
      </c>
      <c r="D11" s="196"/>
      <c r="E11" s="302">
        <v>87.47</v>
      </c>
      <c r="F11" s="303"/>
      <c r="G11" s="199">
        <f t="shared" si="5"/>
        <v>0</v>
      </c>
      <c r="H11" s="207">
        <f t="shared" si="6"/>
        <v>0</v>
      </c>
      <c r="I11" s="304"/>
      <c r="J11" s="220" t="b">
        <v>0</v>
      </c>
      <c r="K11" s="203">
        <f t="shared" si="7"/>
        <v>0</v>
      </c>
      <c r="L11" s="203">
        <f>SWITCH(M11,"cash",Reference!E$5,"shares",Reference!$E$6,"balance",Reference!$E$7)</f>
        <v>0</v>
      </c>
      <c r="M11" s="204" t="s">
        <v>160</v>
      </c>
      <c r="N11" s="199">
        <f>LET(ratio,Reference!$B$4, ratio*Reference!$B$3*D11)</f>
        <v>0</v>
      </c>
      <c r="O11" s="199">
        <f>iferror(LET(ratio, K11,(1-ratio) * Reference!$B$3 * $D11),0)</f>
        <v>0</v>
      </c>
      <c r="P11" s="199">
        <f>iferror(LET(ratio, L11,(1-ratio) * Reference!$B$3 * $D11),0)</f>
        <v>0</v>
      </c>
      <c r="Q11" s="199">
        <f>SWITCH(Reference!$E$4,"eTradeHoldingRatio",N11, "eTradeLotQtyRatio",O11,"manualLotRatio",P11)</f>
        <v>0</v>
      </c>
      <c r="R11" s="199">
        <f>IF(C11&lt;Reference!$B$26,Reference!$C$26,0)</f>
        <v>10.18</v>
      </c>
      <c r="S11" s="199">
        <f>IF(C11&lt;Reference!$B$27,Reference!$C$27,0)</f>
        <v>16.87</v>
      </c>
      <c r="T11" s="199">
        <f t="shared" si="8"/>
        <v>60.42</v>
      </c>
      <c r="U11" s="205">
        <f t="shared" si="9"/>
        <v>0</v>
      </c>
      <c r="V11" s="205">
        <f>$D11*Reference!$B$5*Reference!$B$6</f>
        <v>0</v>
      </c>
      <c r="W11" s="205">
        <f>$D11*K11*Reference!$B$6</f>
        <v>0</v>
      </c>
      <c r="X11" s="206">
        <f>$D11*L11*Reference!$B$6</f>
        <v>0</v>
      </c>
      <c r="Y11" s="206">
        <f>SWITCH(Reference!$E$4,"eTradeHoldingRatio",V11, "eTradeLotQtyRatio",W11,"manualLotRatio",X11)</f>
        <v>0</v>
      </c>
      <c r="Z11" s="207">
        <f>MAX(Q11+(Y11*Reference!$B$18)-U11,0)</f>
        <v>0</v>
      </c>
      <c r="AA11" s="208">
        <f>IF(J11,Summary!$C$41/ (J$86+ESPP!$N$28), 0)</f>
        <v>0</v>
      </c>
      <c r="AB11" s="305">
        <f>IF(J11,(Reference!$B$23 - AF11) * AA11, 0)</f>
        <v>0</v>
      </c>
      <c r="AC11" s="210">
        <f t="shared" si="10"/>
        <v>0</v>
      </c>
      <c r="AD11" s="306">
        <f>IF(DATEDIF(C11,Reference!$B$28,"Y")&gt;=1,0,AC11+AB11)</f>
        <v>0</v>
      </c>
      <c r="AE11" s="306">
        <f>IF(DATEDIF(C11,Reference!$B$28,"Y")&gt;=1,AC11+AB11,0)</f>
        <v>0</v>
      </c>
      <c r="AF11" s="307" t="str">
        <f t="shared" si="11"/>
        <v>n/a</v>
      </c>
      <c r="AG11" s="214">
        <f>iferror((Reference!$B$10-AF11)*Y11 - AA11, 0)</f>
        <v>0</v>
      </c>
      <c r="AH11" s="214">
        <f>IF(DATEDIF(C11,Reference!$B$29,"Y")&gt;=1,0,AG11)</f>
        <v>0</v>
      </c>
      <c r="AI11" s="217">
        <f>IF(DATEDIF(C11,Reference!$B$29,"Y")&gt;=1,AG11,0)</f>
        <v>0</v>
      </c>
    </row>
    <row r="12">
      <c r="A12" s="300" t="s">
        <v>173</v>
      </c>
      <c r="B12" s="301">
        <v>40953.0</v>
      </c>
      <c r="C12" s="195">
        <v>42217.0</v>
      </c>
      <c r="D12" s="196"/>
      <c r="E12" s="302">
        <v>89.13</v>
      </c>
      <c r="F12" s="303"/>
      <c r="G12" s="199">
        <f t="shared" si="5"/>
        <v>0</v>
      </c>
      <c r="H12" s="207">
        <f t="shared" si="6"/>
        <v>0</v>
      </c>
      <c r="I12" s="304"/>
      <c r="J12" s="220" t="b">
        <v>0</v>
      </c>
      <c r="K12" s="203">
        <f t="shared" si="7"/>
        <v>0</v>
      </c>
      <c r="L12" s="203">
        <f>SWITCH(M12,"cash",Reference!E$5,"shares",Reference!$E$6,"balance",Reference!$E$7)</f>
        <v>0</v>
      </c>
      <c r="M12" s="204" t="s">
        <v>160</v>
      </c>
      <c r="N12" s="199">
        <f>LET(ratio,Reference!$B$4, ratio*Reference!$B$3*D12)</f>
        <v>0</v>
      </c>
      <c r="O12" s="199">
        <f>iferror(LET(ratio, K12,(1-ratio) * Reference!$B$3 * $D12),0)</f>
        <v>0</v>
      </c>
      <c r="P12" s="199">
        <f>iferror(LET(ratio, L12,(1-ratio) * Reference!$B$3 * $D12),0)</f>
        <v>0</v>
      </c>
      <c r="Q12" s="199">
        <f>SWITCH(Reference!$E$4,"eTradeHoldingRatio",N12, "eTradeLotQtyRatio",O12,"manualLotRatio",P12)</f>
        <v>0</v>
      </c>
      <c r="R12" s="199">
        <f>IF(C12&lt;Reference!$B$26,Reference!$C$26,0)</f>
        <v>10.18</v>
      </c>
      <c r="S12" s="199">
        <f>IF(C12&lt;Reference!$B$27,Reference!$C$27,0)</f>
        <v>16.87</v>
      </c>
      <c r="T12" s="199">
        <f t="shared" si="8"/>
        <v>62.08</v>
      </c>
      <c r="U12" s="205">
        <f t="shared" si="9"/>
        <v>0</v>
      </c>
      <c r="V12" s="205">
        <f>$D12*Reference!$B$5*Reference!$B$6</f>
        <v>0</v>
      </c>
      <c r="W12" s="205">
        <f>$D12*K12*Reference!$B$6</f>
        <v>0</v>
      </c>
      <c r="X12" s="206">
        <f>$D12*L12*Reference!$B$6</f>
        <v>0</v>
      </c>
      <c r="Y12" s="206">
        <f>SWITCH(Reference!$E$4,"eTradeHoldingRatio",V12, "eTradeLotQtyRatio",W12,"manualLotRatio",X12)</f>
        <v>0</v>
      </c>
      <c r="Z12" s="207">
        <f>MAX(Q12+(Y12*Reference!$B$18)-U12,0)</f>
        <v>0</v>
      </c>
      <c r="AA12" s="208">
        <f>IF(J12,Summary!$C$41/ (J$86+ESPP!$N$28), 0)</f>
        <v>0</v>
      </c>
      <c r="AB12" s="305">
        <f>IF(J12,(Reference!$B$23 - AF12) * AA12, 0)</f>
        <v>0</v>
      </c>
      <c r="AC12" s="210">
        <f t="shared" si="10"/>
        <v>0</v>
      </c>
      <c r="AD12" s="306">
        <f>IF(DATEDIF(C12,Reference!$B$28,"Y")&gt;=1,0,AC12+AB12)</f>
        <v>0</v>
      </c>
      <c r="AE12" s="306">
        <f>IF(DATEDIF(C12,Reference!$B$28,"Y")&gt;=1,AC12+AB12,0)</f>
        <v>0</v>
      </c>
      <c r="AF12" s="307" t="str">
        <f t="shared" si="11"/>
        <v>n/a</v>
      </c>
      <c r="AG12" s="214">
        <f>iferror((Reference!$B$10-AF12)*Y12 - AA12, 0)</f>
        <v>0</v>
      </c>
      <c r="AH12" s="214">
        <f>IF(DATEDIF(C12,Reference!$B$29,"Y")&gt;=1,0,AG12)</f>
        <v>0</v>
      </c>
      <c r="AI12" s="217">
        <f>IF(DATEDIF(C12,Reference!$B$29,"Y")&gt;=1,AG12,0)</f>
        <v>0</v>
      </c>
    </row>
    <row r="13">
      <c r="A13" s="300" t="s">
        <v>174</v>
      </c>
      <c r="B13" s="301">
        <v>41803.0</v>
      </c>
      <c r="C13" s="195">
        <v>42309.0</v>
      </c>
      <c r="D13" s="196"/>
      <c r="E13" s="302">
        <v>60.15</v>
      </c>
      <c r="F13" s="303"/>
      <c r="G13" s="199">
        <f t="shared" si="5"/>
        <v>0</v>
      </c>
      <c r="H13" s="207">
        <f t="shared" si="6"/>
        <v>0</v>
      </c>
      <c r="I13" s="304"/>
      <c r="J13" s="220" t="b">
        <v>0</v>
      </c>
      <c r="K13" s="203">
        <f t="shared" si="7"/>
        <v>0</v>
      </c>
      <c r="L13" s="203">
        <f>SWITCH(M13,"cash",Reference!E$5,"shares",Reference!$E$6,"balance",Reference!$E$7)</f>
        <v>0</v>
      </c>
      <c r="M13" s="204" t="s">
        <v>160</v>
      </c>
      <c r="N13" s="199">
        <f>LET(ratio,Reference!$B$4, ratio*Reference!$B$3*D13)</f>
        <v>0</v>
      </c>
      <c r="O13" s="199">
        <f>iferror(LET(ratio, K13,(1-ratio) * Reference!$B$3 * $D13),0)</f>
        <v>0</v>
      </c>
      <c r="P13" s="199">
        <f>iferror(LET(ratio, L13,(1-ratio) * Reference!$B$3 * $D13),0)</f>
        <v>0</v>
      </c>
      <c r="Q13" s="199">
        <f>SWITCH(Reference!$E$4,"eTradeHoldingRatio",N13, "eTradeLotQtyRatio",O13,"manualLotRatio",P13)</f>
        <v>0</v>
      </c>
      <c r="R13" s="199">
        <f>IF(C13&lt;Reference!$B$26,Reference!$C$26,0)</f>
        <v>10.18</v>
      </c>
      <c r="S13" s="199">
        <f>IF(C13&lt;Reference!$B$27,Reference!$C$27,0)</f>
        <v>16.87</v>
      </c>
      <c r="T13" s="199">
        <f t="shared" si="8"/>
        <v>33.1</v>
      </c>
      <c r="U13" s="205">
        <f t="shared" si="9"/>
        <v>0</v>
      </c>
      <c r="V13" s="205">
        <f>$D13*Reference!$B$5*Reference!$B$6</f>
        <v>0</v>
      </c>
      <c r="W13" s="205">
        <f>$D13*K13*Reference!$B$6</f>
        <v>0</v>
      </c>
      <c r="X13" s="206">
        <f>$D13*L13*Reference!$B$6</f>
        <v>0</v>
      </c>
      <c r="Y13" s="206">
        <f>SWITCH(Reference!$E$4,"eTradeHoldingRatio",V13, "eTradeLotQtyRatio",W13,"manualLotRatio",X13)</f>
        <v>0</v>
      </c>
      <c r="Z13" s="207">
        <f>MAX(Q13+(Y13*Reference!$B$18)-U13,0)</f>
        <v>0</v>
      </c>
      <c r="AA13" s="208">
        <f>IF(J13,Summary!$C$41/ (J$86+ESPP!$N$28), 0)</f>
        <v>0</v>
      </c>
      <c r="AB13" s="305">
        <f>IF(J13,(Reference!$B$23 - AF13) * AA13, 0)</f>
        <v>0</v>
      </c>
      <c r="AC13" s="210">
        <f t="shared" si="10"/>
        <v>0</v>
      </c>
      <c r="AD13" s="306">
        <f>IF(DATEDIF(C13,Reference!$B$28,"Y")&gt;=1,0,AC13+AB13)</f>
        <v>0</v>
      </c>
      <c r="AE13" s="306">
        <f>IF(DATEDIF(C13,Reference!$B$28,"Y")&gt;=1,AC13+AB13,0)</f>
        <v>0</v>
      </c>
      <c r="AF13" s="307" t="str">
        <f t="shared" si="11"/>
        <v>n/a</v>
      </c>
      <c r="AG13" s="214">
        <f>iferror((Reference!$B$10-AF13)*Y13 - AA13, 0)</f>
        <v>0</v>
      </c>
      <c r="AH13" s="214">
        <f>IF(DATEDIF(C13,Reference!$B$29,"Y")&gt;=1,0,AG13)</f>
        <v>0</v>
      </c>
      <c r="AI13" s="217">
        <f>IF(DATEDIF(C13,Reference!$B$29,"Y")&gt;=1,AG13,0)</f>
        <v>0</v>
      </c>
    </row>
    <row r="14">
      <c r="A14" s="300" t="s">
        <v>173</v>
      </c>
      <c r="B14" s="301">
        <v>40953.0</v>
      </c>
      <c r="C14" s="195">
        <v>42401.0</v>
      </c>
      <c r="D14" s="196"/>
      <c r="E14" s="302">
        <v>45.49</v>
      </c>
      <c r="F14" s="303"/>
      <c r="G14" s="199">
        <f t="shared" si="5"/>
        <v>0</v>
      </c>
      <c r="H14" s="207">
        <f t="shared" si="6"/>
        <v>0</v>
      </c>
      <c r="I14" s="304"/>
      <c r="J14" s="220" t="b">
        <v>0</v>
      </c>
      <c r="K14" s="203">
        <f t="shared" si="7"/>
        <v>0</v>
      </c>
      <c r="L14" s="203">
        <f>SWITCH(M14,"cash",Reference!E$5,"shares",Reference!$E$6,"balance",Reference!$E$7)</f>
        <v>0</v>
      </c>
      <c r="M14" s="204" t="s">
        <v>160</v>
      </c>
      <c r="N14" s="199">
        <f>LET(ratio,Reference!$B$4, ratio*Reference!$B$3*D14)</f>
        <v>0</v>
      </c>
      <c r="O14" s="199">
        <f>iferror(LET(ratio, K14,(1-ratio) * Reference!$B$3 * $D14),0)</f>
        <v>0</v>
      </c>
      <c r="P14" s="199">
        <f>iferror(LET(ratio, L14,(1-ratio) * Reference!$B$3 * $D14),0)</f>
        <v>0</v>
      </c>
      <c r="Q14" s="199">
        <f>SWITCH(Reference!$E$4,"eTradeHoldingRatio",N14, "eTradeLotQtyRatio",O14,"manualLotRatio",P14)</f>
        <v>0</v>
      </c>
      <c r="R14" s="199">
        <f>IF(C14&lt;Reference!$B$26,Reference!$C$26,0)</f>
        <v>10.18</v>
      </c>
      <c r="S14" s="199">
        <f>IF(C14&lt;Reference!$B$27,Reference!$C$27,0)</f>
        <v>16.87</v>
      </c>
      <c r="T14" s="199">
        <f t="shared" si="8"/>
        <v>18.44</v>
      </c>
      <c r="U14" s="205">
        <f t="shared" si="9"/>
        <v>0</v>
      </c>
      <c r="V14" s="205">
        <f>$D14*Reference!$B$5*Reference!$B$6</f>
        <v>0</v>
      </c>
      <c r="W14" s="205">
        <f>$D14*K14*Reference!$B$6</f>
        <v>0</v>
      </c>
      <c r="X14" s="206">
        <f>$D14*L14*Reference!$B$6</f>
        <v>0</v>
      </c>
      <c r="Y14" s="206">
        <f>SWITCH(Reference!$E$4,"eTradeHoldingRatio",V14, "eTradeLotQtyRatio",W14,"manualLotRatio",X14)</f>
        <v>0</v>
      </c>
      <c r="Z14" s="207">
        <f>MAX(Q14+(Y14*Reference!$B$18)-U14,0)</f>
        <v>0</v>
      </c>
      <c r="AA14" s="208">
        <f>IF(J14,Summary!$C$41/ (J$86+ESPP!$N$28), 0)</f>
        <v>0</v>
      </c>
      <c r="AB14" s="305">
        <f>IF(J14,(Reference!$B$23 - AF14) * AA14, 0)</f>
        <v>0</v>
      </c>
      <c r="AC14" s="210">
        <f t="shared" si="10"/>
        <v>0</v>
      </c>
      <c r="AD14" s="306">
        <f>IF(DATEDIF(C14,Reference!$B$28,"Y")&gt;=1,0,AC14+AB14)</f>
        <v>0</v>
      </c>
      <c r="AE14" s="306">
        <f>IF(DATEDIF(C14,Reference!$B$28,"Y")&gt;=1,AC14+AB14,0)</f>
        <v>0</v>
      </c>
      <c r="AF14" s="307" t="str">
        <f t="shared" si="11"/>
        <v>n/a</v>
      </c>
      <c r="AG14" s="214">
        <f>iferror((Reference!$B$10-AF14)*Y14 - AA14, 0)</f>
        <v>0</v>
      </c>
      <c r="AH14" s="214">
        <f>IF(DATEDIF(C14,Reference!$B$29,"Y")&gt;=1,0,AG14)</f>
        <v>0</v>
      </c>
      <c r="AI14" s="217">
        <f>IF(DATEDIF(C14,Reference!$B$29,"Y")&gt;=1,AG14,0)</f>
        <v>0</v>
      </c>
    </row>
    <row r="15">
      <c r="A15" s="300" t="s">
        <v>174</v>
      </c>
      <c r="B15" s="301">
        <v>41803.0</v>
      </c>
      <c r="C15" s="195">
        <v>42491.0</v>
      </c>
      <c r="D15" s="196"/>
      <c r="E15" s="302">
        <v>56.91</v>
      </c>
      <c r="F15" s="303"/>
      <c r="G15" s="199">
        <f t="shared" si="5"/>
        <v>0</v>
      </c>
      <c r="H15" s="207">
        <f t="shared" si="6"/>
        <v>0</v>
      </c>
      <c r="I15" s="304"/>
      <c r="J15" s="220" t="b">
        <v>0</v>
      </c>
      <c r="K15" s="203">
        <f t="shared" si="7"/>
        <v>0</v>
      </c>
      <c r="L15" s="203">
        <f>SWITCH(M15,"cash",Reference!E$5,"shares",Reference!$E$6,"balance",Reference!$E$7)</f>
        <v>0</v>
      </c>
      <c r="M15" s="204" t="s">
        <v>160</v>
      </c>
      <c r="N15" s="199">
        <f>LET(ratio,Reference!$B$4, ratio*Reference!$B$3*D15)</f>
        <v>0</v>
      </c>
      <c r="O15" s="199">
        <f>iferror(LET(ratio, K15,(1-ratio) * Reference!$B$3 * $D15),0)</f>
        <v>0</v>
      </c>
      <c r="P15" s="199">
        <f>iferror(LET(ratio, L15,(1-ratio) * Reference!$B$3 * $D15),0)</f>
        <v>0</v>
      </c>
      <c r="Q15" s="199">
        <f>SWITCH(Reference!$E$4,"eTradeHoldingRatio",N15, "eTradeLotQtyRatio",O15,"manualLotRatio",P15)</f>
        <v>0</v>
      </c>
      <c r="R15" s="199">
        <f>IF(C15&lt;Reference!$B$26,Reference!$C$26,0)</f>
        <v>10.18</v>
      </c>
      <c r="S15" s="199">
        <f>IF(C15&lt;Reference!$B$27,Reference!$C$27,0)</f>
        <v>16.87</v>
      </c>
      <c r="T15" s="199">
        <f t="shared" si="8"/>
        <v>29.86</v>
      </c>
      <c r="U15" s="205">
        <f t="shared" si="9"/>
        <v>0</v>
      </c>
      <c r="V15" s="205">
        <f>$D15*Reference!$B$5*Reference!$B$6</f>
        <v>0</v>
      </c>
      <c r="W15" s="205">
        <f>$D15*K15*Reference!$B$6</f>
        <v>0</v>
      </c>
      <c r="X15" s="206">
        <f>$D15*L15*Reference!$B$6</f>
        <v>0</v>
      </c>
      <c r="Y15" s="206">
        <f>SWITCH(Reference!$E$4,"eTradeHoldingRatio",V15, "eTradeLotQtyRatio",W15,"manualLotRatio",X15)</f>
        <v>0</v>
      </c>
      <c r="Z15" s="207">
        <f>MAX(Q15+(Y15*Reference!$B$18)-U15,0)</f>
        <v>0</v>
      </c>
      <c r="AA15" s="208">
        <f>IF(J15,Summary!$C$41/ (J$86+ESPP!$N$28), 0)</f>
        <v>0</v>
      </c>
      <c r="AB15" s="305">
        <f>IF(J15,(Reference!$B$23 - AF15) * AA15, 0)</f>
        <v>0</v>
      </c>
      <c r="AC15" s="210">
        <f t="shared" si="10"/>
        <v>0</v>
      </c>
      <c r="AD15" s="306">
        <f>IF(DATEDIF(C15,Reference!$B$28,"Y")&gt;=1,0,AC15+AB15)</f>
        <v>0</v>
      </c>
      <c r="AE15" s="306">
        <f>IF(DATEDIF(C15,Reference!$B$28,"Y")&gt;=1,AC15+AB15,0)</f>
        <v>0</v>
      </c>
      <c r="AF15" s="307" t="str">
        <f t="shared" si="11"/>
        <v>n/a</v>
      </c>
      <c r="AG15" s="214">
        <f>iferror((Reference!$B$10-AF15)*Y15 - AA15, 0)</f>
        <v>0</v>
      </c>
      <c r="AH15" s="214">
        <f>IF(DATEDIF(C15,Reference!$B$29,"Y")&gt;=1,0,AG15)</f>
        <v>0</v>
      </c>
      <c r="AI15" s="217">
        <f>IF(DATEDIF(C15,Reference!$B$29,"Y")&gt;=1,AG15,0)</f>
        <v>0</v>
      </c>
    </row>
    <row r="16">
      <c r="A16" s="300" t="s">
        <v>175</v>
      </c>
      <c r="B16" s="301">
        <v>42170.0</v>
      </c>
      <c r="C16" s="195">
        <v>42491.0</v>
      </c>
      <c r="D16" s="196"/>
      <c r="E16" s="302">
        <v>56.91</v>
      </c>
      <c r="F16" s="303"/>
      <c r="G16" s="199">
        <f t="shared" si="5"/>
        <v>0</v>
      </c>
      <c r="H16" s="207">
        <f t="shared" si="6"/>
        <v>0</v>
      </c>
      <c r="I16" s="304"/>
      <c r="J16" s="220" t="b">
        <v>0</v>
      </c>
      <c r="K16" s="203">
        <f t="shared" si="7"/>
        <v>0</v>
      </c>
      <c r="L16" s="203">
        <f>SWITCH(M16,"cash",Reference!E$5,"shares",Reference!$E$6,"balance",Reference!$E$7)</f>
        <v>0</v>
      </c>
      <c r="M16" s="204" t="s">
        <v>160</v>
      </c>
      <c r="N16" s="199">
        <f>LET(ratio,Reference!$B$4, ratio*Reference!$B$3*D16)</f>
        <v>0</v>
      </c>
      <c r="O16" s="199">
        <f>iferror(LET(ratio, K16,(1-ratio) * Reference!$B$3 * $D16),0)</f>
        <v>0</v>
      </c>
      <c r="P16" s="199">
        <f>iferror(LET(ratio, L16,(1-ratio) * Reference!$B$3 * $D16),0)</f>
        <v>0</v>
      </c>
      <c r="Q16" s="199">
        <f>SWITCH(Reference!$E$4,"eTradeHoldingRatio",N16, "eTradeLotQtyRatio",O16,"manualLotRatio",P16)</f>
        <v>0</v>
      </c>
      <c r="R16" s="199">
        <f>IF(C16&lt;Reference!$B$26,Reference!$C$26,0)</f>
        <v>10.18</v>
      </c>
      <c r="S16" s="199">
        <f>IF(C16&lt;Reference!$B$27,Reference!$C$27,0)</f>
        <v>16.87</v>
      </c>
      <c r="T16" s="199">
        <f t="shared" si="8"/>
        <v>29.86</v>
      </c>
      <c r="U16" s="205">
        <f t="shared" si="9"/>
        <v>0</v>
      </c>
      <c r="V16" s="205">
        <f>$D16*Reference!$B$5*Reference!$B$6</f>
        <v>0</v>
      </c>
      <c r="W16" s="205">
        <f>$D16*K16*Reference!$B$6</f>
        <v>0</v>
      </c>
      <c r="X16" s="206">
        <f>$D16*L16*Reference!$B$6</f>
        <v>0</v>
      </c>
      <c r="Y16" s="206">
        <f>SWITCH(Reference!$E$4,"eTradeHoldingRatio",V16, "eTradeLotQtyRatio",W16,"manualLotRatio",X16)</f>
        <v>0</v>
      </c>
      <c r="Z16" s="207">
        <f>MAX(Q16+(Y16*Reference!$B$18)-U16,0)</f>
        <v>0</v>
      </c>
      <c r="AA16" s="208">
        <f>IF(J16,Summary!$C$41/ (J$86+ESPP!$N$28), 0)</f>
        <v>0</v>
      </c>
      <c r="AB16" s="305">
        <f>IF(J16,(Reference!$B$23 - AF16) * AA16, 0)</f>
        <v>0</v>
      </c>
      <c r="AC16" s="210">
        <f t="shared" si="10"/>
        <v>0</v>
      </c>
      <c r="AD16" s="306">
        <f>IF(DATEDIF(C16,Reference!$B$28,"Y")&gt;=1,0,AC16+AB16)</f>
        <v>0</v>
      </c>
      <c r="AE16" s="306">
        <f>IF(DATEDIF(C16,Reference!$B$28,"Y")&gt;=1,AC16+AB16,0)</f>
        <v>0</v>
      </c>
      <c r="AF16" s="307" t="str">
        <f t="shared" si="11"/>
        <v>n/a</v>
      </c>
      <c r="AG16" s="214">
        <f>iferror((Reference!$B$10-AF16)*Y16 - AA16, 0)</f>
        <v>0</v>
      </c>
      <c r="AH16" s="214">
        <f>IF(DATEDIF(C16,Reference!$B$29,"Y")&gt;=1,0,AG16)</f>
        <v>0</v>
      </c>
      <c r="AI16" s="217">
        <f>IF(DATEDIF(C16,Reference!$B$29,"Y")&gt;=1,AG16,0)</f>
        <v>0</v>
      </c>
    </row>
    <row r="17">
      <c r="A17" s="300" t="s">
        <v>174</v>
      </c>
      <c r="B17" s="301">
        <v>41803.0</v>
      </c>
      <c r="C17" s="195">
        <v>42675.0</v>
      </c>
      <c r="D17" s="196"/>
      <c r="E17" s="302">
        <v>77.97</v>
      </c>
      <c r="F17" s="303"/>
      <c r="G17" s="199">
        <f t="shared" si="5"/>
        <v>0</v>
      </c>
      <c r="H17" s="207">
        <f t="shared" si="6"/>
        <v>0</v>
      </c>
      <c r="I17" s="304"/>
      <c r="J17" s="220" t="b">
        <v>0</v>
      </c>
      <c r="K17" s="203">
        <f t="shared" si="7"/>
        <v>0</v>
      </c>
      <c r="L17" s="203">
        <f>SWITCH(M17,"cash",Reference!E$5,"shares",Reference!$E$6,"balance",Reference!$E$7)</f>
        <v>0</v>
      </c>
      <c r="M17" s="204" t="s">
        <v>160</v>
      </c>
      <c r="N17" s="199">
        <f>LET(ratio,Reference!$B$4, ratio*Reference!$B$3*D17)</f>
        <v>0</v>
      </c>
      <c r="O17" s="199">
        <f>iferror(LET(ratio, K17,(1-ratio) * Reference!$B$3 * $D17),0)</f>
        <v>0</v>
      </c>
      <c r="P17" s="199">
        <f>iferror(LET(ratio, L17,(1-ratio) * Reference!$B$3 * $D17),0)</f>
        <v>0</v>
      </c>
      <c r="Q17" s="199">
        <f>SWITCH(Reference!$E$4,"eTradeHoldingRatio",N17, "eTradeLotQtyRatio",O17,"manualLotRatio",P17)</f>
        <v>0</v>
      </c>
      <c r="R17" s="199">
        <f>IF(C17&lt;Reference!$B$26,Reference!$C$26,0)</f>
        <v>10.18</v>
      </c>
      <c r="S17" s="199">
        <f>IF(C17&lt;Reference!$B$27,Reference!$C$27,0)</f>
        <v>16.87</v>
      </c>
      <c r="T17" s="199">
        <f t="shared" si="8"/>
        <v>50.92</v>
      </c>
      <c r="U17" s="205">
        <f t="shared" si="9"/>
        <v>0</v>
      </c>
      <c r="V17" s="205">
        <f>$D17*Reference!$B$5*Reference!$B$6</f>
        <v>0</v>
      </c>
      <c r="W17" s="205">
        <f>$D17*K17*Reference!$B$6</f>
        <v>0</v>
      </c>
      <c r="X17" s="206">
        <f>$D17*L17*Reference!$B$6</f>
        <v>0</v>
      </c>
      <c r="Y17" s="206">
        <f>SWITCH(Reference!$E$4,"eTradeHoldingRatio",V17, "eTradeLotQtyRatio",W17,"manualLotRatio",X17)</f>
        <v>0</v>
      </c>
      <c r="Z17" s="207">
        <f>MAX(Q17+(Y17*Reference!$B$18)-U17,0)</f>
        <v>0</v>
      </c>
      <c r="AA17" s="208">
        <f>IF(J17,Summary!$C$41/ (J$86+ESPP!$N$28), 0)</f>
        <v>0</v>
      </c>
      <c r="AB17" s="305">
        <f>IF(J17,(Reference!$B$23 - AF17) * AA17, 0)</f>
        <v>0</v>
      </c>
      <c r="AC17" s="210">
        <f t="shared" si="10"/>
        <v>0</v>
      </c>
      <c r="AD17" s="306">
        <f>IF(DATEDIF(C17,Reference!$B$28,"Y")&gt;=1,0,AC17+AB17)</f>
        <v>0</v>
      </c>
      <c r="AE17" s="306">
        <f>IF(DATEDIF(C17,Reference!$B$28,"Y")&gt;=1,AC17+AB17,0)</f>
        <v>0</v>
      </c>
      <c r="AF17" s="307" t="str">
        <f t="shared" si="11"/>
        <v>n/a</v>
      </c>
      <c r="AG17" s="214">
        <f>iferror((Reference!$B$10-AF17)*Y17 - AA17, 0)</f>
        <v>0</v>
      </c>
      <c r="AH17" s="214">
        <f>IF(DATEDIF(C17,Reference!$B$29,"Y")&gt;=1,0,AG17)</f>
        <v>0</v>
      </c>
      <c r="AI17" s="217">
        <f>IF(DATEDIF(C17,Reference!$B$29,"Y")&gt;=1,AG17,0)</f>
        <v>0</v>
      </c>
    </row>
    <row r="18">
      <c r="A18" s="300" t="s">
        <v>175</v>
      </c>
      <c r="B18" s="301">
        <v>42170.0</v>
      </c>
      <c r="C18" s="195">
        <v>42675.0</v>
      </c>
      <c r="D18" s="196"/>
      <c r="E18" s="302">
        <v>77.97</v>
      </c>
      <c r="F18" s="303"/>
      <c r="G18" s="199">
        <f t="shared" si="5"/>
        <v>0</v>
      </c>
      <c r="H18" s="207">
        <f t="shared" si="6"/>
        <v>0</v>
      </c>
      <c r="I18" s="304"/>
      <c r="J18" s="220" t="b">
        <v>0</v>
      </c>
      <c r="K18" s="203">
        <f t="shared" si="7"/>
        <v>0</v>
      </c>
      <c r="L18" s="203">
        <f>SWITCH(M18,"cash",Reference!E$5,"shares",Reference!$E$6,"balance",Reference!$E$7)</f>
        <v>0</v>
      </c>
      <c r="M18" s="204" t="s">
        <v>160</v>
      </c>
      <c r="N18" s="199">
        <f>LET(ratio,Reference!$B$4, ratio*Reference!$B$3*D18)</f>
        <v>0</v>
      </c>
      <c r="O18" s="199">
        <f>iferror(LET(ratio, K18,(1-ratio) * Reference!$B$3 * $D18),0)</f>
        <v>0</v>
      </c>
      <c r="P18" s="199">
        <f>iferror(LET(ratio, L18,(1-ratio) * Reference!$B$3 * $D18),0)</f>
        <v>0</v>
      </c>
      <c r="Q18" s="199">
        <f>SWITCH(Reference!$E$4,"eTradeHoldingRatio",N18, "eTradeLotQtyRatio",O18,"manualLotRatio",P18)</f>
        <v>0</v>
      </c>
      <c r="R18" s="199">
        <f>IF(C18&lt;Reference!$B$26,Reference!$C$26,0)</f>
        <v>10.18</v>
      </c>
      <c r="S18" s="199">
        <f>IF(C18&lt;Reference!$B$27,Reference!$C$27,0)</f>
        <v>16.87</v>
      </c>
      <c r="T18" s="199">
        <f t="shared" si="8"/>
        <v>50.92</v>
      </c>
      <c r="U18" s="205">
        <f t="shared" si="9"/>
        <v>0</v>
      </c>
      <c r="V18" s="205">
        <f>$D18*Reference!$B$5*Reference!$B$6</f>
        <v>0</v>
      </c>
      <c r="W18" s="205">
        <f>$D18*K18*Reference!$B$6</f>
        <v>0</v>
      </c>
      <c r="X18" s="206">
        <f>$D18*L18*Reference!$B$6</f>
        <v>0</v>
      </c>
      <c r="Y18" s="206">
        <f>SWITCH(Reference!$E$4,"eTradeHoldingRatio",V18, "eTradeLotQtyRatio",W18,"manualLotRatio",X18)</f>
        <v>0</v>
      </c>
      <c r="Z18" s="207">
        <f>MAX(Q18+(Y18*Reference!$B$18)-U18,0)</f>
        <v>0</v>
      </c>
      <c r="AA18" s="208">
        <f>IF(J18,Summary!$C$41/ (J$86+ESPP!$N$28), 0)</f>
        <v>0</v>
      </c>
      <c r="AB18" s="305">
        <f>IF(J18,(Reference!$B$23 - AF18) * AA18, 0)</f>
        <v>0</v>
      </c>
      <c r="AC18" s="210">
        <f t="shared" si="10"/>
        <v>0</v>
      </c>
      <c r="AD18" s="306">
        <f>IF(DATEDIF(C18,Reference!$B$28,"Y")&gt;=1,0,AC18+AB18)</f>
        <v>0</v>
      </c>
      <c r="AE18" s="306">
        <f>IF(DATEDIF(C18,Reference!$B$28,"Y")&gt;=1,AC18+AB18,0)</f>
        <v>0</v>
      </c>
      <c r="AF18" s="307" t="str">
        <f t="shared" si="11"/>
        <v>n/a</v>
      </c>
      <c r="AG18" s="214">
        <f>iferror((Reference!$B$10-AF18)*Y18 - AA18, 0)</f>
        <v>0</v>
      </c>
      <c r="AH18" s="214">
        <f>IF(DATEDIF(C18,Reference!$B$29,"Y")&gt;=1,0,AG18)</f>
        <v>0</v>
      </c>
      <c r="AI18" s="217">
        <f>IF(DATEDIF(C18,Reference!$B$29,"Y")&gt;=1,AG18,0)</f>
        <v>0</v>
      </c>
    </row>
    <row r="19">
      <c r="A19" s="300" t="s">
        <v>176</v>
      </c>
      <c r="B19" s="301">
        <v>42342.0</v>
      </c>
      <c r="C19" s="195">
        <v>42705.0</v>
      </c>
      <c r="D19" s="196"/>
      <c r="E19" s="302">
        <v>78.04</v>
      </c>
      <c r="F19" s="303"/>
      <c r="G19" s="199">
        <f t="shared" si="5"/>
        <v>0</v>
      </c>
      <c r="H19" s="207">
        <f t="shared" si="6"/>
        <v>0</v>
      </c>
      <c r="I19" s="304"/>
      <c r="J19" s="220" t="b">
        <v>0</v>
      </c>
      <c r="K19" s="203">
        <f t="shared" si="7"/>
        <v>0</v>
      </c>
      <c r="L19" s="203">
        <f>SWITCH(M19,"cash",Reference!E$5,"shares",Reference!$E$6,"balance",Reference!$E$7)</f>
        <v>0</v>
      </c>
      <c r="M19" s="204" t="s">
        <v>160</v>
      </c>
      <c r="N19" s="199">
        <f>LET(ratio,Reference!$B$4, ratio*Reference!$B$3*D19)</f>
        <v>0</v>
      </c>
      <c r="O19" s="199">
        <f>iferror(LET(ratio, K19,(1-ratio) * Reference!$B$3 * $D19),0)</f>
        <v>0</v>
      </c>
      <c r="P19" s="199">
        <f>iferror(LET(ratio, L19,(1-ratio) * Reference!$B$3 * $D19),0)</f>
        <v>0</v>
      </c>
      <c r="Q19" s="199">
        <f>SWITCH(Reference!$E$4,"eTradeHoldingRatio",N19, "eTradeLotQtyRatio",O19,"manualLotRatio",P19)</f>
        <v>0</v>
      </c>
      <c r="R19" s="199">
        <f>IF(C19&lt;Reference!$B$26,Reference!$C$26,0)</f>
        <v>10.18</v>
      </c>
      <c r="S19" s="199">
        <f>IF(C19&lt;Reference!$B$27,Reference!$C$27,0)</f>
        <v>16.87</v>
      </c>
      <c r="T19" s="199">
        <f t="shared" si="8"/>
        <v>50.99</v>
      </c>
      <c r="U19" s="205">
        <f t="shared" si="9"/>
        <v>0</v>
      </c>
      <c r="V19" s="205">
        <f>$D19*Reference!$B$5*Reference!$B$6</f>
        <v>0</v>
      </c>
      <c r="W19" s="205">
        <f>$D19*K19*Reference!$B$6</f>
        <v>0</v>
      </c>
      <c r="X19" s="206">
        <f>$D19*L19*Reference!$B$6</f>
        <v>0</v>
      </c>
      <c r="Y19" s="206">
        <f>SWITCH(Reference!$E$4,"eTradeHoldingRatio",V19, "eTradeLotQtyRatio",W19,"manualLotRatio",X19)</f>
        <v>0</v>
      </c>
      <c r="Z19" s="207">
        <f>MAX(Q19+(Y19*Reference!$B$18)-U19,0)</f>
        <v>0</v>
      </c>
      <c r="AA19" s="208">
        <f>IF(J19,Summary!$C$41/ (J$86+ESPP!$N$28), 0)</f>
        <v>0</v>
      </c>
      <c r="AB19" s="305">
        <f>IF(J19,(Reference!$B$23 - AF19) * AA19, 0)</f>
        <v>0</v>
      </c>
      <c r="AC19" s="210">
        <f t="shared" si="10"/>
        <v>0</v>
      </c>
      <c r="AD19" s="306">
        <f>IF(DATEDIF(C19,Reference!$B$28,"Y")&gt;=1,0,AC19+AB19)</f>
        <v>0</v>
      </c>
      <c r="AE19" s="306">
        <f>IF(DATEDIF(C19,Reference!$B$28,"Y")&gt;=1,AC19+AB19,0)</f>
        <v>0</v>
      </c>
      <c r="AF19" s="307" t="str">
        <f t="shared" si="11"/>
        <v>n/a</v>
      </c>
      <c r="AG19" s="214">
        <f>iferror((Reference!$B$10-AF19)*Y19 - AA19, 0)</f>
        <v>0</v>
      </c>
      <c r="AH19" s="214">
        <f>IF(DATEDIF(C19,Reference!$B$29,"Y")&gt;=1,0,AG19)</f>
        <v>0</v>
      </c>
      <c r="AI19" s="217">
        <f>IF(DATEDIF(C19,Reference!$B$29,"Y")&gt;=1,AG19,0)</f>
        <v>0</v>
      </c>
    </row>
    <row r="20">
      <c r="A20" s="300" t="s">
        <v>174</v>
      </c>
      <c r="B20" s="301">
        <v>41803.0</v>
      </c>
      <c r="C20" s="195">
        <v>42856.0</v>
      </c>
      <c r="D20" s="196"/>
      <c r="E20" s="302">
        <v>94.58</v>
      </c>
      <c r="F20" s="303"/>
      <c r="G20" s="199">
        <f t="shared" si="5"/>
        <v>0</v>
      </c>
      <c r="H20" s="207">
        <f t="shared" si="6"/>
        <v>0</v>
      </c>
      <c r="I20" s="304"/>
      <c r="J20" s="220" t="b">
        <v>0</v>
      </c>
      <c r="K20" s="203">
        <f t="shared" si="7"/>
        <v>0</v>
      </c>
      <c r="L20" s="203">
        <f>SWITCH(M20,"cash",Reference!E$5,"shares",Reference!$E$6,"balance",Reference!$E$7)</f>
        <v>0</v>
      </c>
      <c r="M20" s="204" t="s">
        <v>160</v>
      </c>
      <c r="N20" s="199">
        <f>LET(ratio,Reference!$B$4, ratio*Reference!$B$3*D20)</f>
        <v>0</v>
      </c>
      <c r="O20" s="199">
        <f>iferror(LET(ratio, K20,(1-ratio) * Reference!$B$3 * $D20),0)</f>
        <v>0</v>
      </c>
      <c r="P20" s="199">
        <f>iferror(LET(ratio, L20,(1-ratio) * Reference!$B$3 * $D20),0)</f>
        <v>0</v>
      </c>
      <c r="Q20" s="199">
        <f>SWITCH(Reference!$E$4,"eTradeHoldingRatio",N20, "eTradeLotQtyRatio",O20,"manualLotRatio",P20)</f>
        <v>0</v>
      </c>
      <c r="R20" s="199">
        <f>IF(C20&lt;Reference!$B$26,Reference!$C$26,0)</f>
        <v>10.18</v>
      </c>
      <c r="S20" s="199">
        <f>IF(C20&lt;Reference!$B$27,Reference!$C$27,0)</f>
        <v>16.87</v>
      </c>
      <c r="T20" s="199">
        <f t="shared" si="8"/>
        <v>67.53</v>
      </c>
      <c r="U20" s="205">
        <f t="shared" si="9"/>
        <v>0</v>
      </c>
      <c r="V20" s="205">
        <f>$D20*Reference!$B$5*Reference!$B$6</f>
        <v>0</v>
      </c>
      <c r="W20" s="205">
        <f>$D20*K20*Reference!$B$6</f>
        <v>0</v>
      </c>
      <c r="X20" s="206">
        <f>$D20*L20*Reference!$B$6</f>
        <v>0</v>
      </c>
      <c r="Y20" s="206">
        <f>SWITCH(Reference!$E$4,"eTradeHoldingRatio",V20, "eTradeLotQtyRatio",W20,"manualLotRatio",X20)</f>
        <v>0</v>
      </c>
      <c r="Z20" s="207">
        <f>MAX(Q20+(Y20*Reference!$B$18)-U20,0)</f>
        <v>0</v>
      </c>
      <c r="AA20" s="208">
        <f>IF(J20,Summary!$C$41/ (J$86+ESPP!$N$28), 0)</f>
        <v>0</v>
      </c>
      <c r="AB20" s="305">
        <f>IF(J20,(Reference!$B$23 - AF20) * AA20, 0)</f>
        <v>0</v>
      </c>
      <c r="AC20" s="210">
        <f t="shared" si="10"/>
        <v>0</v>
      </c>
      <c r="AD20" s="306">
        <f>IF(DATEDIF(C20,Reference!$B$28,"Y")&gt;=1,0,AC20+AB20)</f>
        <v>0</v>
      </c>
      <c r="AE20" s="306">
        <f>IF(DATEDIF(C20,Reference!$B$28,"Y")&gt;=1,AC20+AB20,0)</f>
        <v>0</v>
      </c>
      <c r="AF20" s="307" t="str">
        <f t="shared" si="11"/>
        <v>n/a</v>
      </c>
      <c r="AG20" s="214">
        <f>iferror((Reference!$B$10-AF20)*Y20 - AA20, 0)</f>
        <v>0</v>
      </c>
      <c r="AH20" s="214">
        <f>IF(DATEDIF(C20,Reference!$B$29,"Y")&gt;=1,0,AG20)</f>
        <v>0</v>
      </c>
      <c r="AI20" s="217">
        <f>IF(DATEDIF(C20,Reference!$B$29,"Y")&gt;=1,AG20,0)</f>
        <v>0</v>
      </c>
    </row>
    <row r="21">
      <c r="A21" s="300" t="s">
        <v>175</v>
      </c>
      <c r="B21" s="301">
        <v>42170.0</v>
      </c>
      <c r="C21" s="195">
        <v>42856.0</v>
      </c>
      <c r="D21" s="196"/>
      <c r="E21" s="302">
        <v>94.58</v>
      </c>
      <c r="F21" s="303"/>
      <c r="G21" s="199">
        <f t="shared" si="5"/>
        <v>0</v>
      </c>
      <c r="H21" s="207">
        <f t="shared" si="6"/>
        <v>0</v>
      </c>
      <c r="I21" s="304"/>
      <c r="J21" s="220" t="b">
        <v>0</v>
      </c>
      <c r="K21" s="203">
        <f t="shared" si="7"/>
        <v>0</v>
      </c>
      <c r="L21" s="203">
        <f>SWITCH(M21,"cash",Reference!E$5,"shares",Reference!$E$6,"balance",Reference!$E$7)</f>
        <v>0</v>
      </c>
      <c r="M21" s="204" t="s">
        <v>160</v>
      </c>
      <c r="N21" s="199">
        <f>LET(ratio,Reference!$B$4, ratio*Reference!$B$3*D21)</f>
        <v>0</v>
      </c>
      <c r="O21" s="199">
        <f>iferror(LET(ratio, K21,(1-ratio) * Reference!$B$3 * $D21),0)</f>
        <v>0</v>
      </c>
      <c r="P21" s="199">
        <f>iferror(LET(ratio, L21,(1-ratio) * Reference!$B$3 * $D21),0)</f>
        <v>0</v>
      </c>
      <c r="Q21" s="199">
        <f>SWITCH(Reference!$E$4,"eTradeHoldingRatio",N21, "eTradeLotQtyRatio",O21,"manualLotRatio",P21)</f>
        <v>0</v>
      </c>
      <c r="R21" s="199">
        <f>IF(C21&lt;Reference!$B$26,Reference!$C$26,0)</f>
        <v>10.18</v>
      </c>
      <c r="S21" s="199">
        <f>IF(C21&lt;Reference!$B$27,Reference!$C$27,0)</f>
        <v>16.87</v>
      </c>
      <c r="T21" s="199">
        <f t="shared" si="8"/>
        <v>67.53</v>
      </c>
      <c r="U21" s="205">
        <f t="shared" si="9"/>
        <v>0</v>
      </c>
      <c r="V21" s="205">
        <f>$D21*Reference!$B$5*Reference!$B$6</f>
        <v>0</v>
      </c>
      <c r="W21" s="205">
        <f>$D21*K21*Reference!$B$6</f>
        <v>0</v>
      </c>
      <c r="X21" s="206">
        <f>$D21*L21*Reference!$B$6</f>
        <v>0</v>
      </c>
      <c r="Y21" s="206">
        <f>SWITCH(Reference!$E$4,"eTradeHoldingRatio",V21, "eTradeLotQtyRatio",W21,"manualLotRatio",X21)</f>
        <v>0</v>
      </c>
      <c r="Z21" s="207">
        <f>MAX(Q21+(Y21*Reference!$B$18)-U21,0)</f>
        <v>0</v>
      </c>
      <c r="AA21" s="208">
        <f>IF(J21,Summary!$C$41/ (J$86+ESPP!$N$28), 0)</f>
        <v>0</v>
      </c>
      <c r="AB21" s="305">
        <f>IF(J21,(Reference!$B$23 - AF21) * AA21, 0)</f>
        <v>0</v>
      </c>
      <c r="AC21" s="210">
        <f t="shared" si="10"/>
        <v>0</v>
      </c>
      <c r="AD21" s="306">
        <f>IF(DATEDIF(C21,Reference!$B$28,"Y")&gt;=1,0,AC21+AB21)</f>
        <v>0</v>
      </c>
      <c r="AE21" s="306">
        <f>IF(DATEDIF(C21,Reference!$B$28,"Y")&gt;=1,AC21+AB21,0)</f>
        <v>0</v>
      </c>
      <c r="AF21" s="307" t="str">
        <f t="shared" si="11"/>
        <v>n/a</v>
      </c>
      <c r="AG21" s="214">
        <f>iferror((Reference!$B$10-AF21)*Y21 - AA21, 0)</f>
        <v>0</v>
      </c>
      <c r="AH21" s="214">
        <f>IF(DATEDIF(C21,Reference!$B$29,"Y")&gt;=1,0,AG21)</f>
        <v>0</v>
      </c>
      <c r="AI21" s="217">
        <f>IF(DATEDIF(C21,Reference!$B$29,"Y")&gt;=1,AG21,0)</f>
        <v>0</v>
      </c>
    </row>
    <row r="22">
      <c r="A22" s="300" t="s">
        <v>177</v>
      </c>
      <c r="B22" s="301">
        <v>42489.0</v>
      </c>
      <c r="C22" s="195">
        <v>42856.0</v>
      </c>
      <c r="D22" s="196"/>
      <c r="E22" s="302">
        <v>94.58</v>
      </c>
      <c r="F22" s="303"/>
      <c r="G22" s="199">
        <f t="shared" si="5"/>
        <v>0</v>
      </c>
      <c r="H22" s="207">
        <f t="shared" si="6"/>
        <v>0</v>
      </c>
      <c r="I22" s="309"/>
      <c r="J22" s="220" t="b">
        <v>0</v>
      </c>
      <c r="K22" s="203">
        <f t="shared" si="7"/>
        <v>0</v>
      </c>
      <c r="L22" s="203">
        <f>SWITCH(M22,"cash",Reference!E$5,"shares",Reference!$E$6,"balance",Reference!$E$7)</f>
        <v>0</v>
      </c>
      <c r="M22" s="204" t="s">
        <v>160</v>
      </c>
      <c r="N22" s="199">
        <f>LET(ratio,Reference!$B$4, ratio*Reference!$B$3*D22)</f>
        <v>0</v>
      </c>
      <c r="O22" s="199">
        <f>iferror(LET(ratio, K22,(1-ratio) * Reference!$B$3 * $D22),0)</f>
        <v>0</v>
      </c>
      <c r="P22" s="199">
        <f>iferror(LET(ratio, L22,(1-ratio) * Reference!$B$3 * $D22),0)</f>
        <v>0</v>
      </c>
      <c r="Q22" s="199">
        <f>SWITCH(Reference!$E$4,"eTradeHoldingRatio",N22, "eTradeLotQtyRatio",O22,"manualLotRatio",P22)</f>
        <v>0</v>
      </c>
      <c r="R22" s="199">
        <f>IF(C22&lt;Reference!$B$26,Reference!$C$26,0)</f>
        <v>10.18</v>
      </c>
      <c r="S22" s="199">
        <f>IF(C22&lt;Reference!$B$27,Reference!$C$27,0)</f>
        <v>16.87</v>
      </c>
      <c r="T22" s="199">
        <f t="shared" si="8"/>
        <v>67.53</v>
      </c>
      <c r="U22" s="205">
        <f t="shared" si="9"/>
        <v>0</v>
      </c>
      <c r="V22" s="205">
        <f>$D22*Reference!$B$5*Reference!$B$6</f>
        <v>0</v>
      </c>
      <c r="W22" s="205">
        <f>$D22*K22*Reference!$B$6</f>
        <v>0</v>
      </c>
      <c r="X22" s="206">
        <f>$D22*L22*Reference!$B$6</f>
        <v>0</v>
      </c>
      <c r="Y22" s="206">
        <f>SWITCH(Reference!$E$4,"eTradeHoldingRatio",V22, "eTradeLotQtyRatio",W22,"manualLotRatio",X22)</f>
        <v>0</v>
      </c>
      <c r="Z22" s="207">
        <f>MAX(Q22+(Y22*Reference!$B$18)-U22,0)</f>
        <v>0</v>
      </c>
      <c r="AA22" s="208">
        <f>IF(J22,Summary!$C$41/ (J$86+ESPP!$N$28), 0)</f>
        <v>0</v>
      </c>
      <c r="AB22" s="305">
        <f>IF(J22,(Reference!$B$23 - AF22) * AA22, 0)</f>
        <v>0</v>
      </c>
      <c r="AC22" s="210">
        <f t="shared" si="10"/>
        <v>0</v>
      </c>
      <c r="AD22" s="306">
        <f>IF(DATEDIF(C22,Reference!$B$28,"Y")&gt;=1,0,AC22+AB22)</f>
        <v>0</v>
      </c>
      <c r="AE22" s="306">
        <f>IF(DATEDIF(C22,Reference!$B$28,"Y")&gt;=1,AC22+AB22,0)</f>
        <v>0</v>
      </c>
      <c r="AF22" s="307" t="str">
        <f t="shared" si="11"/>
        <v>n/a</v>
      </c>
      <c r="AG22" s="214">
        <f>iferror((Reference!$B$10-AF22)*Y22 - AA22, 0)</f>
        <v>0</v>
      </c>
      <c r="AH22" s="214">
        <f>IF(DATEDIF(C22,Reference!$B$29,"Y")&gt;=1,0,AG22)</f>
        <v>0</v>
      </c>
      <c r="AI22" s="217">
        <f>IF(DATEDIF(C22,Reference!$B$29,"Y")&gt;=1,AG22,0)</f>
        <v>0</v>
      </c>
    </row>
    <row r="23">
      <c r="A23" s="300" t="s">
        <v>176</v>
      </c>
      <c r="B23" s="301">
        <v>42342.0</v>
      </c>
      <c r="C23" s="195">
        <v>42887.0</v>
      </c>
      <c r="D23" s="196"/>
      <c r="E23" s="302">
        <v>97.4</v>
      </c>
      <c r="F23" s="303"/>
      <c r="G23" s="199">
        <f t="shared" si="5"/>
        <v>0</v>
      </c>
      <c r="H23" s="207">
        <f t="shared" si="6"/>
        <v>0</v>
      </c>
      <c r="I23" s="304"/>
      <c r="J23" s="220" t="b">
        <v>0</v>
      </c>
      <c r="K23" s="203">
        <f t="shared" si="7"/>
        <v>0</v>
      </c>
      <c r="L23" s="203">
        <f>SWITCH(M23,"cash",Reference!E$5,"shares",Reference!$E$6,"balance",Reference!$E$7)</f>
        <v>0</v>
      </c>
      <c r="M23" s="204" t="s">
        <v>160</v>
      </c>
      <c r="N23" s="199">
        <f>LET(ratio,Reference!$B$4, ratio*Reference!$B$3*D23)</f>
        <v>0</v>
      </c>
      <c r="O23" s="199">
        <f>iferror(LET(ratio, K23,(1-ratio) * Reference!$B$3 * $D23),0)</f>
        <v>0</v>
      </c>
      <c r="P23" s="199">
        <f>iferror(LET(ratio, L23,(1-ratio) * Reference!$B$3 * $D23),0)</f>
        <v>0</v>
      </c>
      <c r="Q23" s="199">
        <f>SWITCH(Reference!$E$4,"eTradeHoldingRatio",N23, "eTradeLotQtyRatio",O23,"manualLotRatio",P23)</f>
        <v>0</v>
      </c>
      <c r="R23" s="199">
        <f>IF(C23&lt;Reference!$B$26,Reference!$C$26,0)</f>
        <v>10.18</v>
      </c>
      <c r="S23" s="199">
        <f>IF(C23&lt;Reference!$B$27,Reference!$C$27,0)</f>
        <v>16.87</v>
      </c>
      <c r="T23" s="199">
        <f t="shared" si="8"/>
        <v>70.35</v>
      </c>
      <c r="U23" s="205">
        <f t="shared" si="9"/>
        <v>0</v>
      </c>
      <c r="V23" s="205">
        <f>$D23*Reference!$B$5*Reference!$B$6</f>
        <v>0</v>
      </c>
      <c r="W23" s="205">
        <f>$D23*K23*Reference!$B$6</f>
        <v>0</v>
      </c>
      <c r="X23" s="206">
        <f>$D23*L23*Reference!$B$6</f>
        <v>0</v>
      </c>
      <c r="Y23" s="206">
        <f>SWITCH(Reference!$E$4,"eTradeHoldingRatio",V23, "eTradeLotQtyRatio",W23,"manualLotRatio",X23)</f>
        <v>0</v>
      </c>
      <c r="Z23" s="207">
        <f>MAX(Q23+(Y23*Reference!$B$18)-U23,0)</f>
        <v>0</v>
      </c>
      <c r="AA23" s="208">
        <f>IF(J23,Summary!$C$41/ (J$86+ESPP!$N$28), 0)</f>
        <v>0</v>
      </c>
      <c r="AB23" s="305">
        <f>IF(J23,(Reference!$B$23 - AF23) * AA23, 0)</f>
        <v>0</v>
      </c>
      <c r="AC23" s="210">
        <f t="shared" si="10"/>
        <v>0</v>
      </c>
      <c r="AD23" s="306">
        <f>IF(DATEDIF(C23,Reference!$B$28,"Y")&gt;=1,0,AC23+AB23)</f>
        <v>0</v>
      </c>
      <c r="AE23" s="306">
        <f>IF(DATEDIF(C23,Reference!$B$28,"Y")&gt;=1,AC23+AB23,0)</f>
        <v>0</v>
      </c>
      <c r="AF23" s="307" t="str">
        <f t="shared" si="11"/>
        <v>n/a</v>
      </c>
      <c r="AG23" s="214">
        <f>iferror((Reference!$B$10-AF23)*Y23 - AA23, 0)</f>
        <v>0</v>
      </c>
      <c r="AH23" s="214">
        <f>IF(DATEDIF(C23,Reference!$B$29,"Y")&gt;=1,0,AG23)</f>
        <v>0</v>
      </c>
      <c r="AI23" s="217">
        <f>IF(DATEDIF(C23,Reference!$B$29,"Y")&gt;=1,AG23,0)</f>
        <v>0</v>
      </c>
    </row>
    <row r="24">
      <c r="A24" s="300" t="s">
        <v>174</v>
      </c>
      <c r="B24" s="301">
        <v>41803.0</v>
      </c>
      <c r="C24" s="195">
        <v>43040.0</v>
      </c>
      <c r="D24" s="196"/>
      <c r="E24" s="302">
        <v>119.12</v>
      </c>
      <c r="F24" s="303"/>
      <c r="G24" s="199">
        <f t="shared" si="5"/>
        <v>0</v>
      </c>
      <c r="H24" s="207">
        <f t="shared" si="6"/>
        <v>0</v>
      </c>
      <c r="I24" s="304"/>
      <c r="J24" s="220" t="b">
        <v>0</v>
      </c>
      <c r="K24" s="203">
        <f t="shared" si="7"/>
        <v>0</v>
      </c>
      <c r="L24" s="203">
        <f>SWITCH(M24,"cash",Reference!E$5,"shares",Reference!$E$6,"balance",Reference!$E$7)</f>
        <v>0</v>
      </c>
      <c r="M24" s="204" t="s">
        <v>160</v>
      </c>
      <c r="N24" s="199">
        <f>LET(ratio,Reference!$B$4, ratio*Reference!$B$3*D24)</f>
        <v>0</v>
      </c>
      <c r="O24" s="199">
        <f>iferror(LET(ratio, K24,(1-ratio) * Reference!$B$3 * $D24),0)</f>
        <v>0</v>
      </c>
      <c r="P24" s="199">
        <f>iferror(LET(ratio, L24,(1-ratio) * Reference!$B$3 * $D24),0)</f>
        <v>0</v>
      </c>
      <c r="Q24" s="199">
        <f>SWITCH(Reference!$E$4,"eTradeHoldingRatio",N24, "eTradeLotQtyRatio",O24,"manualLotRatio",P24)</f>
        <v>0</v>
      </c>
      <c r="R24" s="199">
        <f>IF(C24&lt;Reference!$B$26,Reference!$C$26,0)</f>
        <v>10.18</v>
      </c>
      <c r="S24" s="199">
        <f>IF(C24&lt;Reference!$B$27,Reference!$C$27,0)</f>
        <v>16.87</v>
      </c>
      <c r="T24" s="199">
        <f t="shared" si="8"/>
        <v>92.07</v>
      </c>
      <c r="U24" s="205">
        <f t="shared" si="9"/>
        <v>0</v>
      </c>
      <c r="V24" s="205">
        <f>$D24*Reference!$B$5*Reference!$B$6</f>
        <v>0</v>
      </c>
      <c r="W24" s="205">
        <f>$D24*K24*Reference!$B$6</f>
        <v>0</v>
      </c>
      <c r="X24" s="206">
        <f>$D24*L24*Reference!$B$6</f>
        <v>0</v>
      </c>
      <c r="Y24" s="206">
        <f>SWITCH(Reference!$E$4,"eTradeHoldingRatio",V24, "eTradeLotQtyRatio",W24,"manualLotRatio",X24)</f>
        <v>0</v>
      </c>
      <c r="Z24" s="207">
        <f>MAX(Q24+(Y24*Reference!$B$18)-U24,0)</f>
        <v>0</v>
      </c>
      <c r="AA24" s="208">
        <f>IF(J24,Summary!$C$41/ (J$86+ESPP!$N$28), 0)</f>
        <v>0</v>
      </c>
      <c r="AB24" s="305">
        <f>IF(J24,(Reference!$B$23 - AF24) * AA24, 0)</f>
        <v>0</v>
      </c>
      <c r="AC24" s="210">
        <f t="shared" si="10"/>
        <v>0</v>
      </c>
      <c r="AD24" s="306">
        <f>IF(DATEDIF(C24,Reference!$B$28,"Y")&gt;=1,0,AC24+AB24)</f>
        <v>0</v>
      </c>
      <c r="AE24" s="306">
        <f>IF(DATEDIF(C24,Reference!$B$28,"Y")&gt;=1,AC24+AB24,0)</f>
        <v>0</v>
      </c>
      <c r="AF24" s="307" t="str">
        <f t="shared" si="11"/>
        <v>n/a</v>
      </c>
      <c r="AG24" s="214">
        <f>iferror((Reference!$B$10-AF24)*Y24 - AA24, 0)</f>
        <v>0</v>
      </c>
      <c r="AH24" s="214">
        <f>IF(DATEDIF(C24,Reference!$B$29,"Y")&gt;=1,0,AG24)</f>
        <v>0</v>
      </c>
      <c r="AI24" s="217">
        <f>IF(DATEDIF(C24,Reference!$B$29,"Y")&gt;=1,AG24,0)</f>
        <v>0</v>
      </c>
    </row>
    <row r="25">
      <c r="A25" s="300" t="s">
        <v>175</v>
      </c>
      <c r="B25" s="301">
        <v>42170.0</v>
      </c>
      <c r="C25" s="195">
        <v>43040.0</v>
      </c>
      <c r="D25" s="196"/>
      <c r="E25" s="302">
        <v>119.12</v>
      </c>
      <c r="F25" s="303"/>
      <c r="G25" s="199">
        <f t="shared" si="5"/>
        <v>0</v>
      </c>
      <c r="H25" s="207">
        <f t="shared" si="6"/>
        <v>0</v>
      </c>
      <c r="I25" s="309"/>
      <c r="J25" s="220" t="b">
        <v>0</v>
      </c>
      <c r="K25" s="203">
        <f t="shared" si="7"/>
        <v>0</v>
      </c>
      <c r="L25" s="203">
        <f>SWITCH(M25,"cash",Reference!E$5,"shares",Reference!$E$6,"balance",Reference!$E$7)</f>
        <v>0</v>
      </c>
      <c r="M25" s="204" t="s">
        <v>160</v>
      </c>
      <c r="N25" s="199">
        <f>LET(ratio,Reference!$B$4, ratio*Reference!$B$3*D25)</f>
        <v>0</v>
      </c>
      <c r="O25" s="199">
        <f>iferror(LET(ratio, K25,(1-ratio) * Reference!$B$3 * $D25),0)</f>
        <v>0</v>
      </c>
      <c r="P25" s="199">
        <f>iferror(LET(ratio, L25,(1-ratio) * Reference!$B$3 * $D25),0)</f>
        <v>0</v>
      </c>
      <c r="Q25" s="199">
        <f>SWITCH(Reference!$E$4,"eTradeHoldingRatio",N25, "eTradeLotQtyRatio",O25,"manualLotRatio",P25)</f>
        <v>0</v>
      </c>
      <c r="R25" s="199">
        <f>IF(C25&lt;Reference!$B$26,Reference!$C$26,0)</f>
        <v>10.18</v>
      </c>
      <c r="S25" s="199">
        <f>IF(C25&lt;Reference!$B$27,Reference!$C$27,0)</f>
        <v>16.87</v>
      </c>
      <c r="T25" s="199">
        <f t="shared" si="8"/>
        <v>92.07</v>
      </c>
      <c r="U25" s="205">
        <f t="shared" si="9"/>
        <v>0</v>
      </c>
      <c r="V25" s="205">
        <f>$D25*Reference!$B$5*Reference!$B$6</f>
        <v>0</v>
      </c>
      <c r="W25" s="205">
        <f>$D25*K25*Reference!$B$6</f>
        <v>0</v>
      </c>
      <c r="X25" s="206">
        <f>$D25*L25*Reference!$B$6</f>
        <v>0</v>
      </c>
      <c r="Y25" s="206">
        <f>SWITCH(Reference!$E$4,"eTradeHoldingRatio",V25, "eTradeLotQtyRatio",W25,"manualLotRatio",X25)</f>
        <v>0</v>
      </c>
      <c r="Z25" s="207">
        <f>MAX(Q25+(Y25*Reference!$B$18)-U25,0)</f>
        <v>0</v>
      </c>
      <c r="AA25" s="208">
        <f>IF(J25,Summary!$C$41/ (J$86+ESPP!$N$28), 0)</f>
        <v>0</v>
      </c>
      <c r="AB25" s="305">
        <f>IF(J25,(Reference!$B$23 - AF25) * AA25, 0)</f>
        <v>0</v>
      </c>
      <c r="AC25" s="210">
        <f t="shared" si="10"/>
        <v>0</v>
      </c>
      <c r="AD25" s="306">
        <f>IF(DATEDIF(C25,Reference!$B$28,"Y")&gt;=1,0,AC25+AB25)</f>
        <v>0</v>
      </c>
      <c r="AE25" s="306">
        <f>IF(DATEDIF(C25,Reference!$B$28,"Y")&gt;=1,AC25+AB25,0)</f>
        <v>0</v>
      </c>
      <c r="AF25" s="307" t="str">
        <f t="shared" si="11"/>
        <v>n/a</v>
      </c>
      <c r="AG25" s="214">
        <f>iferror((Reference!$B$10-AF25)*Y25 - AA25, 0)</f>
        <v>0</v>
      </c>
      <c r="AH25" s="214">
        <f>IF(DATEDIF(C25,Reference!$B$29,"Y")&gt;=1,0,AG25)</f>
        <v>0</v>
      </c>
      <c r="AI25" s="217">
        <f>IF(DATEDIF(C25,Reference!$B$29,"Y")&gt;=1,AG25,0)</f>
        <v>0</v>
      </c>
    </row>
    <row r="26">
      <c r="A26" s="300" t="s">
        <v>177</v>
      </c>
      <c r="B26" s="301">
        <v>42489.0</v>
      </c>
      <c r="C26" s="195">
        <v>43040.0</v>
      </c>
      <c r="D26" s="196"/>
      <c r="E26" s="302">
        <v>119.12</v>
      </c>
      <c r="F26" s="303"/>
      <c r="G26" s="199">
        <f t="shared" si="5"/>
        <v>0</v>
      </c>
      <c r="H26" s="207">
        <f t="shared" si="6"/>
        <v>0</v>
      </c>
      <c r="I26" s="304"/>
      <c r="J26" s="220" t="b">
        <v>0</v>
      </c>
      <c r="K26" s="203">
        <f t="shared" si="7"/>
        <v>0</v>
      </c>
      <c r="L26" s="203">
        <f>SWITCH(M26,"cash",Reference!E$5,"shares",Reference!$E$6,"balance",Reference!$E$7)</f>
        <v>0</v>
      </c>
      <c r="M26" s="204" t="s">
        <v>160</v>
      </c>
      <c r="N26" s="199">
        <f>LET(ratio,Reference!$B$4, ratio*Reference!$B$3*D26)</f>
        <v>0</v>
      </c>
      <c r="O26" s="199">
        <f>iferror(LET(ratio, K26,(1-ratio) * Reference!$B$3 * $D26),0)</f>
        <v>0</v>
      </c>
      <c r="P26" s="199">
        <f>iferror(LET(ratio, L26,(1-ratio) * Reference!$B$3 * $D26),0)</f>
        <v>0</v>
      </c>
      <c r="Q26" s="199">
        <f>SWITCH(Reference!$E$4,"eTradeHoldingRatio",N26, "eTradeLotQtyRatio",O26,"manualLotRatio",P26)</f>
        <v>0</v>
      </c>
      <c r="R26" s="199">
        <f>IF(C26&lt;Reference!$B$26,Reference!$C$26,0)</f>
        <v>10.18</v>
      </c>
      <c r="S26" s="199">
        <f>IF(C26&lt;Reference!$B$27,Reference!$C$27,0)</f>
        <v>16.87</v>
      </c>
      <c r="T26" s="199">
        <f t="shared" si="8"/>
        <v>92.07</v>
      </c>
      <c r="U26" s="205">
        <f t="shared" si="9"/>
        <v>0</v>
      </c>
      <c r="V26" s="205">
        <f>$D26*Reference!$B$5*Reference!$B$6</f>
        <v>0</v>
      </c>
      <c r="W26" s="205">
        <f>$D26*K26*Reference!$B$6</f>
        <v>0</v>
      </c>
      <c r="X26" s="206">
        <f>$D26*L26*Reference!$B$6</f>
        <v>0</v>
      </c>
      <c r="Y26" s="206">
        <f>SWITCH(Reference!$E$4,"eTradeHoldingRatio",V26, "eTradeLotQtyRatio",W26,"manualLotRatio",X26)</f>
        <v>0</v>
      </c>
      <c r="Z26" s="207">
        <f>MAX(Q26+(Y26*Reference!$B$18)-U26,0)</f>
        <v>0</v>
      </c>
      <c r="AA26" s="208">
        <f>IF(J26,Summary!$C$41/ (J$86+ESPP!$N$28), 0)</f>
        <v>0</v>
      </c>
      <c r="AB26" s="305">
        <f>IF(J26,(Reference!$B$23 - AF26) * AA26, 0)</f>
        <v>0</v>
      </c>
      <c r="AC26" s="210">
        <f t="shared" si="10"/>
        <v>0</v>
      </c>
      <c r="AD26" s="306">
        <f>IF(DATEDIF(C26,Reference!$B$28,"Y")&gt;=1,0,AC26+AB26)</f>
        <v>0</v>
      </c>
      <c r="AE26" s="306">
        <f>IF(DATEDIF(C26,Reference!$B$28,"Y")&gt;=1,AC26+AB26,0)</f>
        <v>0</v>
      </c>
      <c r="AF26" s="307" t="str">
        <f t="shared" si="11"/>
        <v>n/a</v>
      </c>
      <c r="AG26" s="214">
        <f>iferror((Reference!$B$10-AF26)*Y26 - AA26, 0)</f>
        <v>0</v>
      </c>
      <c r="AH26" s="214">
        <f>IF(DATEDIF(C26,Reference!$B$29,"Y")&gt;=1,0,AG26)</f>
        <v>0</v>
      </c>
      <c r="AI26" s="217">
        <f>IF(DATEDIF(C26,Reference!$B$29,"Y")&gt;=1,AG26,0)</f>
        <v>0</v>
      </c>
    </row>
    <row r="27">
      <c r="A27" s="300" t="s">
        <v>176</v>
      </c>
      <c r="B27" s="301">
        <v>42342.0</v>
      </c>
      <c r="C27" s="195">
        <v>43070.0</v>
      </c>
      <c r="D27" s="196"/>
      <c r="E27" s="302">
        <v>124.44</v>
      </c>
      <c r="F27" s="303"/>
      <c r="G27" s="199">
        <f t="shared" si="5"/>
        <v>0</v>
      </c>
      <c r="H27" s="207">
        <f t="shared" si="6"/>
        <v>0</v>
      </c>
      <c r="I27" s="304"/>
      <c r="J27" s="220" t="b">
        <v>0</v>
      </c>
      <c r="K27" s="203">
        <f t="shared" si="7"/>
        <v>0</v>
      </c>
      <c r="L27" s="203">
        <f>SWITCH(M27,"cash",Reference!E$5,"shares",Reference!$E$6,"balance",Reference!$E$7)</f>
        <v>0</v>
      </c>
      <c r="M27" s="204" t="s">
        <v>160</v>
      </c>
      <c r="N27" s="199">
        <f>LET(ratio,Reference!$B$4, ratio*Reference!$B$3*D27)</f>
        <v>0</v>
      </c>
      <c r="O27" s="199">
        <f>iferror(LET(ratio, K27,(1-ratio) * Reference!$B$3 * $D27),0)</f>
        <v>0</v>
      </c>
      <c r="P27" s="199">
        <f>iferror(LET(ratio, L27,(1-ratio) * Reference!$B$3 * $D27),0)</f>
        <v>0</v>
      </c>
      <c r="Q27" s="199">
        <f>SWITCH(Reference!$E$4,"eTradeHoldingRatio",N27, "eTradeLotQtyRatio",O27,"manualLotRatio",P27)</f>
        <v>0</v>
      </c>
      <c r="R27" s="199">
        <f>IF(C27&lt;Reference!$B$26,Reference!$C$26,0)</f>
        <v>10.18</v>
      </c>
      <c r="S27" s="199">
        <f>IF(C27&lt;Reference!$B$27,Reference!$C$27,0)</f>
        <v>16.87</v>
      </c>
      <c r="T27" s="199">
        <f t="shared" si="8"/>
        <v>97.39</v>
      </c>
      <c r="U27" s="205">
        <f t="shared" si="9"/>
        <v>0</v>
      </c>
      <c r="V27" s="205">
        <f>$D27*Reference!$B$5*Reference!$B$6</f>
        <v>0</v>
      </c>
      <c r="W27" s="205">
        <f>$D27*K27*Reference!$B$6</f>
        <v>0</v>
      </c>
      <c r="X27" s="206">
        <f>$D27*L27*Reference!$B$6</f>
        <v>0</v>
      </c>
      <c r="Y27" s="206">
        <f>SWITCH(Reference!$E$4,"eTradeHoldingRatio",V27, "eTradeLotQtyRatio",W27,"manualLotRatio",X27)</f>
        <v>0</v>
      </c>
      <c r="Z27" s="207">
        <f>MAX(Q27+(Y27*Reference!$B$18)-U27,0)</f>
        <v>0</v>
      </c>
      <c r="AA27" s="208">
        <f>IF(J27,Summary!$C$41/ (J$86+ESPP!$N$28), 0)</f>
        <v>0</v>
      </c>
      <c r="AB27" s="305">
        <f>IF(J27,(Reference!$B$23 - AF27) * AA27, 0)</f>
        <v>0</v>
      </c>
      <c r="AC27" s="210">
        <f t="shared" si="10"/>
        <v>0</v>
      </c>
      <c r="AD27" s="306">
        <f>IF(DATEDIF(C27,Reference!$B$28,"Y")&gt;=1,0,AC27+AB27)</f>
        <v>0</v>
      </c>
      <c r="AE27" s="306">
        <f>IF(DATEDIF(C27,Reference!$B$28,"Y")&gt;=1,AC27+AB27,0)</f>
        <v>0</v>
      </c>
      <c r="AF27" s="307" t="str">
        <f t="shared" si="11"/>
        <v>n/a</v>
      </c>
      <c r="AG27" s="214">
        <f>iferror((Reference!$B$10-AF27)*Y27 - AA27, 0)</f>
        <v>0</v>
      </c>
      <c r="AH27" s="214">
        <f>IF(DATEDIF(C27,Reference!$B$29,"Y")&gt;=1,0,AG27)</f>
        <v>0</v>
      </c>
      <c r="AI27" s="217">
        <f>IF(DATEDIF(C27,Reference!$B$29,"Y")&gt;=1,AG27,0)</f>
        <v>0</v>
      </c>
    </row>
    <row r="28">
      <c r="A28" s="300" t="s">
        <v>174</v>
      </c>
      <c r="B28" s="301">
        <v>41803.0</v>
      </c>
      <c r="C28" s="195">
        <v>43221.0</v>
      </c>
      <c r="D28" s="196"/>
      <c r="E28" s="302">
        <v>133.22</v>
      </c>
      <c r="F28" s="303"/>
      <c r="G28" s="199">
        <f t="shared" si="5"/>
        <v>0</v>
      </c>
      <c r="H28" s="207">
        <f t="shared" si="6"/>
        <v>0</v>
      </c>
      <c r="I28" s="309"/>
      <c r="J28" s="220" t="b">
        <v>0</v>
      </c>
      <c r="K28" s="203">
        <f t="shared" si="7"/>
        <v>0</v>
      </c>
      <c r="L28" s="203">
        <f>SWITCH(M28,"cash",Reference!E$5,"shares",Reference!$E$6,"balance",Reference!$E$7)</f>
        <v>0</v>
      </c>
      <c r="M28" s="204" t="s">
        <v>160</v>
      </c>
      <c r="N28" s="199">
        <f>LET(ratio,Reference!$B$4, ratio*Reference!$B$3*D28)</f>
        <v>0</v>
      </c>
      <c r="O28" s="199">
        <f>iferror(LET(ratio, K28,(1-ratio) * Reference!$B$3 * $D28),0)</f>
        <v>0</v>
      </c>
      <c r="P28" s="199">
        <f>iferror(LET(ratio, L28,(1-ratio) * Reference!$B$3 * $D28),0)</f>
        <v>0</v>
      </c>
      <c r="Q28" s="199">
        <f>SWITCH(Reference!$E$4,"eTradeHoldingRatio",N28, "eTradeLotQtyRatio",O28,"manualLotRatio",P28)</f>
        <v>0</v>
      </c>
      <c r="R28" s="199">
        <f>IF(C28&lt;Reference!$B$26,Reference!$C$26,0)</f>
        <v>10.18</v>
      </c>
      <c r="S28" s="199">
        <f>IF(C28&lt;Reference!$B$27,Reference!$C$27,0)</f>
        <v>16.87</v>
      </c>
      <c r="T28" s="199">
        <f t="shared" si="8"/>
        <v>106.17</v>
      </c>
      <c r="U28" s="205">
        <f t="shared" si="9"/>
        <v>0</v>
      </c>
      <c r="V28" s="205">
        <f>$D28*Reference!$B$5*Reference!$B$6</f>
        <v>0</v>
      </c>
      <c r="W28" s="205">
        <f>$D28*K28*Reference!$B$6</f>
        <v>0</v>
      </c>
      <c r="X28" s="206">
        <f>$D28*L28*Reference!$B$6</f>
        <v>0</v>
      </c>
      <c r="Y28" s="206">
        <f>SWITCH(Reference!$E$4,"eTradeHoldingRatio",V28, "eTradeLotQtyRatio",W28,"manualLotRatio",X28)</f>
        <v>0</v>
      </c>
      <c r="Z28" s="207">
        <f>MAX(Q28+(Y28*Reference!$B$18)-U28,0)</f>
        <v>0</v>
      </c>
      <c r="AA28" s="208">
        <f>IF(J28,Summary!$C$41/ (J$86+ESPP!$N$28), 0)</f>
        <v>0</v>
      </c>
      <c r="AB28" s="305">
        <f>IF(J28,(Reference!$B$23 - AF28) * AA28, 0)</f>
        <v>0</v>
      </c>
      <c r="AC28" s="210">
        <f t="shared" si="10"/>
        <v>0</v>
      </c>
      <c r="AD28" s="306">
        <f>IF(DATEDIF(C28,Reference!$B$28,"Y")&gt;=1,0,AC28+AB28)</f>
        <v>0</v>
      </c>
      <c r="AE28" s="306">
        <f>IF(DATEDIF(C28,Reference!$B$28,"Y")&gt;=1,AC28+AB28,0)</f>
        <v>0</v>
      </c>
      <c r="AF28" s="307" t="str">
        <f t="shared" si="11"/>
        <v>n/a</v>
      </c>
      <c r="AG28" s="214">
        <f>iferror((Reference!$B$10-AF28)*Y28 - AA28, 0)</f>
        <v>0</v>
      </c>
      <c r="AH28" s="214">
        <f>IF(DATEDIF(C28,Reference!$B$29,"Y")&gt;=1,0,AG28)</f>
        <v>0</v>
      </c>
      <c r="AI28" s="217">
        <f>IF(DATEDIF(C28,Reference!$B$29,"Y")&gt;=1,AG28,0)</f>
        <v>0</v>
      </c>
    </row>
    <row r="29">
      <c r="A29" s="300" t="s">
        <v>175</v>
      </c>
      <c r="B29" s="301">
        <v>42170.0</v>
      </c>
      <c r="C29" s="195">
        <v>43221.0</v>
      </c>
      <c r="D29" s="196"/>
      <c r="E29" s="302">
        <v>133.22</v>
      </c>
      <c r="F29" s="303"/>
      <c r="G29" s="199">
        <f t="shared" si="5"/>
        <v>0</v>
      </c>
      <c r="H29" s="207">
        <f t="shared" si="6"/>
        <v>0</v>
      </c>
      <c r="I29" s="304"/>
      <c r="J29" s="220" t="b">
        <v>0</v>
      </c>
      <c r="K29" s="203">
        <f t="shared" si="7"/>
        <v>0</v>
      </c>
      <c r="L29" s="203">
        <f>SWITCH(M29,"cash",Reference!E$5,"shares",Reference!$E$6,"balance",Reference!$E$7)</f>
        <v>0</v>
      </c>
      <c r="M29" s="204" t="s">
        <v>160</v>
      </c>
      <c r="N29" s="199">
        <f>LET(ratio,Reference!$B$4, ratio*Reference!$B$3*D29)</f>
        <v>0</v>
      </c>
      <c r="O29" s="199">
        <f>iferror(LET(ratio, K29,(1-ratio) * Reference!$B$3 * $D29),0)</f>
        <v>0</v>
      </c>
      <c r="P29" s="199">
        <f>iferror(LET(ratio, L29,(1-ratio) * Reference!$B$3 * $D29),0)</f>
        <v>0</v>
      </c>
      <c r="Q29" s="199">
        <f>SWITCH(Reference!$E$4,"eTradeHoldingRatio",N29, "eTradeLotQtyRatio",O29,"manualLotRatio",P29)</f>
        <v>0</v>
      </c>
      <c r="R29" s="199">
        <f>IF(C29&lt;Reference!$B$26,Reference!$C$26,0)</f>
        <v>10.18</v>
      </c>
      <c r="S29" s="199">
        <f>IF(C29&lt;Reference!$B$27,Reference!$C$27,0)</f>
        <v>16.87</v>
      </c>
      <c r="T29" s="199">
        <f t="shared" si="8"/>
        <v>106.17</v>
      </c>
      <c r="U29" s="205">
        <f t="shared" si="9"/>
        <v>0</v>
      </c>
      <c r="V29" s="205">
        <f>$D29*Reference!$B$5*Reference!$B$6</f>
        <v>0</v>
      </c>
      <c r="W29" s="205">
        <f>$D29*K29*Reference!$B$6</f>
        <v>0</v>
      </c>
      <c r="X29" s="206">
        <f>$D29*L29*Reference!$B$6</f>
        <v>0</v>
      </c>
      <c r="Y29" s="206">
        <f>SWITCH(Reference!$E$4,"eTradeHoldingRatio",V29, "eTradeLotQtyRatio",W29,"manualLotRatio",X29)</f>
        <v>0</v>
      </c>
      <c r="Z29" s="207">
        <f>MAX(Q29+(Y29*Reference!$B$18)-U29,0)</f>
        <v>0</v>
      </c>
      <c r="AA29" s="208">
        <f>IF(J29,Summary!$C$41/ (J$86+ESPP!$N$28), 0)</f>
        <v>0</v>
      </c>
      <c r="AB29" s="305">
        <f>IF(J29,(Reference!$B$23 - AF29) * AA29, 0)</f>
        <v>0</v>
      </c>
      <c r="AC29" s="210">
        <f t="shared" si="10"/>
        <v>0</v>
      </c>
      <c r="AD29" s="306">
        <f>IF(DATEDIF(C29,Reference!$B$28,"Y")&gt;=1,0,AC29+AB29)</f>
        <v>0</v>
      </c>
      <c r="AE29" s="306">
        <f>IF(DATEDIF(C29,Reference!$B$28,"Y")&gt;=1,AC29+AB29,0)</f>
        <v>0</v>
      </c>
      <c r="AF29" s="307" t="str">
        <f t="shared" si="11"/>
        <v>n/a</v>
      </c>
      <c r="AG29" s="214">
        <f>iferror((Reference!$B$10-AF29)*Y29 - AA29, 0)</f>
        <v>0</v>
      </c>
      <c r="AH29" s="214">
        <f>IF(DATEDIF(C29,Reference!$B$29,"Y")&gt;=1,0,AG29)</f>
        <v>0</v>
      </c>
      <c r="AI29" s="217">
        <f>IF(DATEDIF(C29,Reference!$B$29,"Y")&gt;=1,AG29,0)</f>
        <v>0</v>
      </c>
    </row>
    <row r="30">
      <c r="A30" s="300" t="s">
        <v>177</v>
      </c>
      <c r="B30" s="301">
        <v>42489.0</v>
      </c>
      <c r="C30" s="195">
        <v>43221.0</v>
      </c>
      <c r="D30" s="196"/>
      <c r="E30" s="302">
        <v>133.22</v>
      </c>
      <c r="F30" s="303"/>
      <c r="G30" s="199">
        <f t="shared" si="5"/>
        <v>0</v>
      </c>
      <c r="H30" s="207">
        <f t="shared" si="6"/>
        <v>0</v>
      </c>
      <c r="I30" s="309"/>
      <c r="J30" s="220" t="b">
        <v>0</v>
      </c>
      <c r="K30" s="203">
        <f t="shared" si="7"/>
        <v>0</v>
      </c>
      <c r="L30" s="203">
        <f>SWITCH(M30,"cash",Reference!E$5,"shares",Reference!$E$6,"balance",Reference!$E$7)</f>
        <v>0</v>
      </c>
      <c r="M30" s="204" t="s">
        <v>160</v>
      </c>
      <c r="N30" s="199">
        <f>LET(ratio,Reference!$B$4, ratio*Reference!$B$3*D30)</f>
        <v>0</v>
      </c>
      <c r="O30" s="199">
        <f>iferror(LET(ratio, K30,(1-ratio) * Reference!$B$3 * $D30),0)</f>
        <v>0</v>
      </c>
      <c r="P30" s="199">
        <f>iferror(LET(ratio, L30,(1-ratio) * Reference!$B$3 * $D30),0)</f>
        <v>0</v>
      </c>
      <c r="Q30" s="199">
        <f>SWITCH(Reference!$E$4,"eTradeHoldingRatio",N30, "eTradeLotQtyRatio",O30,"manualLotRatio",P30)</f>
        <v>0</v>
      </c>
      <c r="R30" s="199">
        <f>IF(C30&lt;Reference!$B$26,Reference!$C$26,0)</f>
        <v>10.18</v>
      </c>
      <c r="S30" s="199">
        <f>IF(C30&lt;Reference!$B$27,Reference!$C$27,0)</f>
        <v>16.87</v>
      </c>
      <c r="T30" s="199">
        <f t="shared" si="8"/>
        <v>106.17</v>
      </c>
      <c r="U30" s="205">
        <f t="shared" si="9"/>
        <v>0</v>
      </c>
      <c r="V30" s="205">
        <f>$D30*Reference!$B$5*Reference!$B$6</f>
        <v>0</v>
      </c>
      <c r="W30" s="205">
        <f>$D30*K30*Reference!$B$6</f>
        <v>0</v>
      </c>
      <c r="X30" s="206">
        <f>$D30*L30*Reference!$B$6</f>
        <v>0</v>
      </c>
      <c r="Y30" s="206">
        <f>SWITCH(Reference!$E$4,"eTradeHoldingRatio",V30, "eTradeLotQtyRatio",W30,"manualLotRatio",X30)</f>
        <v>0</v>
      </c>
      <c r="Z30" s="207">
        <f>MAX(Q30+(Y30*Reference!$B$18)-U30,0)</f>
        <v>0</v>
      </c>
      <c r="AA30" s="208">
        <f>IF(J30,Summary!$C$41/ (J$86+ESPP!$N$28), 0)</f>
        <v>0</v>
      </c>
      <c r="AB30" s="305">
        <f>IF(J30,(Reference!$B$23 - AF30) * AA30, 0)</f>
        <v>0</v>
      </c>
      <c r="AC30" s="210">
        <f t="shared" si="10"/>
        <v>0</v>
      </c>
      <c r="AD30" s="306">
        <f>IF(DATEDIF(C30,Reference!$B$28,"Y")&gt;=1,0,AC30+AB30)</f>
        <v>0</v>
      </c>
      <c r="AE30" s="306">
        <f>IF(DATEDIF(C30,Reference!$B$28,"Y")&gt;=1,AC30+AB30,0)</f>
        <v>0</v>
      </c>
      <c r="AF30" s="307" t="str">
        <f t="shared" si="11"/>
        <v>n/a</v>
      </c>
      <c r="AG30" s="214">
        <f>iferror((Reference!$B$10-AF30)*Y30 - AA30, 0)</f>
        <v>0</v>
      </c>
      <c r="AH30" s="214">
        <f>IF(DATEDIF(C30,Reference!$B$29,"Y")&gt;=1,0,AG30)</f>
        <v>0</v>
      </c>
      <c r="AI30" s="217">
        <f>IF(DATEDIF(C30,Reference!$B$29,"Y")&gt;=1,AG30,0)</f>
        <v>0</v>
      </c>
    </row>
    <row r="31">
      <c r="A31" s="300" t="s">
        <v>176</v>
      </c>
      <c r="B31" s="301">
        <v>42342.0</v>
      </c>
      <c r="C31" s="195">
        <v>43252.0</v>
      </c>
      <c r="D31" s="196"/>
      <c r="E31" s="302">
        <v>145.93</v>
      </c>
      <c r="F31" s="303"/>
      <c r="G31" s="199">
        <f t="shared" si="5"/>
        <v>0</v>
      </c>
      <c r="H31" s="207">
        <f t="shared" si="6"/>
        <v>0</v>
      </c>
      <c r="I31" s="304"/>
      <c r="J31" s="220" t="b">
        <v>0</v>
      </c>
      <c r="K31" s="203">
        <f t="shared" si="7"/>
        <v>0</v>
      </c>
      <c r="L31" s="203">
        <f>SWITCH(M31,"cash",Reference!E$5,"shares",Reference!$E$6,"balance",Reference!$E$7)</f>
        <v>0</v>
      </c>
      <c r="M31" s="204" t="s">
        <v>160</v>
      </c>
      <c r="N31" s="199">
        <f>LET(ratio,Reference!$B$4, ratio*Reference!$B$3*D31)</f>
        <v>0</v>
      </c>
      <c r="O31" s="199">
        <f>iferror(LET(ratio, K31,(1-ratio) * Reference!$B$3 * $D31),0)</f>
        <v>0</v>
      </c>
      <c r="P31" s="199">
        <f>iferror(LET(ratio, L31,(1-ratio) * Reference!$B$3 * $D31),0)</f>
        <v>0</v>
      </c>
      <c r="Q31" s="199">
        <f>SWITCH(Reference!$E$4,"eTradeHoldingRatio",N31, "eTradeLotQtyRatio",O31,"manualLotRatio",P31)</f>
        <v>0</v>
      </c>
      <c r="R31" s="199">
        <f>IF(C31&lt;Reference!$B$26,Reference!$C$26,0)</f>
        <v>10.18</v>
      </c>
      <c r="S31" s="199">
        <f>IF(C31&lt;Reference!$B$27,Reference!$C$27,0)</f>
        <v>16.87</v>
      </c>
      <c r="T31" s="199">
        <f t="shared" si="8"/>
        <v>118.88</v>
      </c>
      <c r="U31" s="205">
        <f t="shared" si="9"/>
        <v>0</v>
      </c>
      <c r="V31" s="205">
        <f>$D31*Reference!$B$5*Reference!$B$6</f>
        <v>0</v>
      </c>
      <c r="W31" s="205">
        <f>$D31*K31*Reference!$B$6</f>
        <v>0</v>
      </c>
      <c r="X31" s="206">
        <f>$D31*L31*Reference!$B$6</f>
        <v>0</v>
      </c>
      <c r="Y31" s="206">
        <f>SWITCH(Reference!$E$4,"eTradeHoldingRatio",V31, "eTradeLotQtyRatio",W31,"manualLotRatio",X31)</f>
        <v>0</v>
      </c>
      <c r="Z31" s="207">
        <f>MAX(Q31+(Y31*Reference!$B$18)-U31,0)</f>
        <v>0</v>
      </c>
      <c r="AA31" s="208">
        <f>IF(J31,Summary!$C$41/ (J$86+ESPP!$N$28), 0)</f>
        <v>0</v>
      </c>
      <c r="AB31" s="305">
        <f>IF(J31,(Reference!$B$23 - AF31) * AA31, 0)</f>
        <v>0</v>
      </c>
      <c r="AC31" s="210">
        <f t="shared" si="10"/>
        <v>0</v>
      </c>
      <c r="AD31" s="306">
        <f>IF(DATEDIF(C31,Reference!$B$28,"Y")&gt;=1,0,AC31+AB31)</f>
        <v>0</v>
      </c>
      <c r="AE31" s="306">
        <f>IF(DATEDIF(C31,Reference!$B$28,"Y")&gt;=1,AC31+AB31,0)</f>
        <v>0</v>
      </c>
      <c r="AF31" s="307" t="str">
        <f t="shared" si="11"/>
        <v>n/a</v>
      </c>
      <c r="AG31" s="214">
        <f>iferror((Reference!$B$10-AF31)*Y31 - AA31, 0)</f>
        <v>0</v>
      </c>
      <c r="AH31" s="214">
        <f>IF(DATEDIF(C31,Reference!$B$29,"Y")&gt;=1,0,AG31)</f>
        <v>0</v>
      </c>
      <c r="AI31" s="217">
        <f>IF(DATEDIF(C31,Reference!$B$29,"Y")&gt;=1,AG31,0)</f>
        <v>0</v>
      </c>
    </row>
    <row r="32">
      <c r="A32" s="300" t="s">
        <v>178</v>
      </c>
      <c r="B32" s="301">
        <v>42929.0</v>
      </c>
      <c r="C32" s="195">
        <v>43282.0</v>
      </c>
      <c r="D32" s="196"/>
      <c r="E32" s="302">
        <v>146.97</v>
      </c>
      <c r="F32" s="303"/>
      <c r="G32" s="199">
        <f t="shared" si="5"/>
        <v>0</v>
      </c>
      <c r="H32" s="207">
        <f t="shared" si="6"/>
        <v>0</v>
      </c>
      <c r="I32" s="304"/>
      <c r="J32" s="220" t="b">
        <v>0</v>
      </c>
      <c r="K32" s="203">
        <f t="shared" si="7"/>
        <v>0</v>
      </c>
      <c r="L32" s="203">
        <f>SWITCH(M32,"cash",Reference!E$5,"shares",Reference!$E$6,"balance",Reference!$E$7)</f>
        <v>0</v>
      </c>
      <c r="M32" s="204" t="s">
        <v>160</v>
      </c>
      <c r="N32" s="199">
        <f>LET(ratio,Reference!$B$4, ratio*Reference!$B$3*D32)</f>
        <v>0</v>
      </c>
      <c r="O32" s="199">
        <f>iferror(LET(ratio, K32,(1-ratio) * Reference!$B$3 * $D32),0)</f>
        <v>0</v>
      </c>
      <c r="P32" s="199">
        <f>iferror(LET(ratio, L32,(1-ratio) * Reference!$B$3 * $D32),0)</f>
        <v>0</v>
      </c>
      <c r="Q32" s="199">
        <f>SWITCH(Reference!$E$4,"eTradeHoldingRatio",N32, "eTradeLotQtyRatio",O32,"manualLotRatio",P32)</f>
        <v>0</v>
      </c>
      <c r="R32" s="199">
        <f>IF(C32&lt;Reference!$B$26,Reference!$C$26,0)</f>
        <v>10.18</v>
      </c>
      <c r="S32" s="199">
        <f>IF(C32&lt;Reference!$B$27,Reference!$C$27,0)</f>
        <v>16.87</v>
      </c>
      <c r="T32" s="199">
        <f t="shared" si="8"/>
        <v>119.92</v>
      </c>
      <c r="U32" s="205">
        <f t="shared" si="9"/>
        <v>0</v>
      </c>
      <c r="V32" s="205">
        <f>$D32*Reference!$B$5*Reference!$B$6</f>
        <v>0</v>
      </c>
      <c r="W32" s="205">
        <f>$D32*K32*Reference!$B$6</f>
        <v>0</v>
      </c>
      <c r="X32" s="206">
        <f>$D32*L32*Reference!$B$6</f>
        <v>0</v>
      </c>
      <c r="Y32" s="206">
        <f>SWITCH(Reference!$E$4,"eTradeHoldingRatio",V32, "eTradeLotQtyRatio",W32,"manualLotRatio",X32)</f>
        <v>0</v>
      </c>
      <c r="Z32" s="207">
        <f>MAX(Q32+(Y32*Reference!$B$18)-U32,0)</f>
        <v>0</v>
      </c>
      <c r="AA32" s="208">
        <f>IF(J32,Summary!$C$41/ (J$86+ESPP!$N$28), 0)</f>
        <v>0</v>
      </c>
      <c r="AB32" s="305">
        <f>IF(J32,(Reference!$B$23 - AF32) * AA32, 0)</f>
        <v>0</v>
      </c>
      <c r="AC32" s="210">
        <f t="shared" si="10"/>
        <v>0</v>
      </c>
      <c r="AD32" s="306">
        <f>IF(DATEDIF(C32,Reference!$B$28,"Y")&gt;=1,0,AC32+AB32)</f>
        <v>0</v>
      </c>
      <c r="AE32" s="306">
        <f>IF(DATEDIF(C32,Reference!$B$28,"Y")&gt;=1,AC32+AB32,0)</f>
        <v>0</v>
      </c>
      <c r="AF32" s="307" t="str">
        <f t="shared" si="11"/>
        <v>n/a</v>
      </c>
      <c r="AG32" s="214">
        <f>iferror((Reference!$B$10-AF32)*Y32 - AA32, 0)</f>
        <v>0</v>
      </c>
      <c r="AH32" s="214">
        <f>IF(DATEDIF(C32,Reference!$B$29,"Y")&gt;=1,0,AG32)</f>
        <v>0</v>
      </c>
      <c r="AI32" s="217">
        <f>IF(DATEDIF(C32,Reference!$B$29,"Y")&gt;=1,AG32,0)</f>
        <v>0</v>
      </c>
    </row>
    <row r="33">
      <c r="A33" s="300" t="s">
        <v>175</v>
      </c>
      <c r="B33" s="301">
        <v>42170.0</v>
      </c>
      <c r="C33" s="195">
        <v>43405.0</v>
      </c>
      <c r="D33" s="196"/>
      <c r="E33" s="302">
        <v>144.64</v>
      </c>
      <c r="F33" s="303"/>
      <c r="G33" s="199">
        <f t="shared" si="5"/>
        <v>0</v>
      </c>
      <c r="H33" s="207">
        <f t="shared" si="6"/>
        <v>0</v>
      </c>
      <c r="I33" s="304"/>
      <c r="J33" s="220" t="b">
        <v>0</v>
      </c>
      <c r="K33" s="203">
        <f t="shared" si="7"/>
        <v>0</v>
      </c>
      <c r="L33" s="203">
        <f>SWITCH(M33,"cash",Reference!E$5,"shares",Reference!$E$6,"balance",Reference!$E$7)</f>
        <v>0</v>
      </c>
      <c r="M33" s="204" t="s">
        <v>160</v>
      </c>
      <c r="N33" s="199">
        <f>LET(ratio,Reference!$B$4, ratio*Reference!$B$3*D33)</f>
        <v>0</v>
      </c>
      <c r="O33" s="199">
        <f>iferror(LET(ratio, K33,(1-ratio) * Reference!$B$3 * $D33),0)</f>
        <v>0</v>
      </c>
      <c r="P33" s="199">
        <f>iferror(LET(ratio, L33,(1-ratio) * Reference!$B$3 * $D33),0)</f>
        <v>0</v>
      </c>
      <c r="Q33" s="199">
        <f>SWITCH(Reference!$E$4,"eTradeHoldingRatio",N33, "eTradeLotQtyRatio",O33,"manualLotRatio",P33)</f>
        <v>0</v>
      </c>
      <c r="R33" s="199">
        <f>IF(C33&lt;Reference!$B$26,Reference!$C$26,0)</f>
        <v>10.18</v>
      </c>
      <c r="S33" s="199">
        <f>IF(C33&lt;Reference!$B$27,Reference!$C$27,0)</f>
        <v>16.87</v>
      </c>
      <c r="T33" s="199">
        <f t="shared" si="8"/>
        <v>117.59</v>
      </c>
      <c r="U33" s="205">
        <f t="shared" si="9"/>
        <v>0</v>
      </c>
      <c r="V33" s="205">
        <f>$D33*Reference!$B$5*Reference!$B$6</f>
        <v>0</v>
      </c>
      <c r="W33" s="205">
        <f>$D33*K33*Reference!$B$6</f>
        <v>0</v>
      </c>
      <c r="X33" s="206">
        <f>$D33*L33*Reference!$B$6</f>
        <v>0</v>
      </c>
      <c r="Y33" s="206">
        <f>SWITCH(Reference!$E$4,"eTradeHoldingRatio",V33, "eTradeLotQtyRatio",W33,"manualLotRatio",X33)</f>
        <v>0</v>
      </c>
      <c r="Z33" s="207">
        <f>MAX(Q33+(Y33*Reference!$B$18)-U33,0)</f>
        <v>0</v>
      </c>
      <c r="AA33" s="208">
        <f>IF(J33,Summary!$C$41/ (J$86+ESPP!$N$28), 0)</f>
        <v>0</v>
      </c>
      <c r="AB33" s="305">
        <f>IF(J33,(Reference!$B$23 - AF33) * AA33, 0)</f>
        <v>0</v>
      </c>
      <c r="AC33" s="210">
        <f t="shared" si="10"/>
        <v>0</v>
      </c>
      <c r="AD33" s="306">
        <f>IF(DATEDIF(C33,Reference!$B$28,"Y")&gt;=1,0,AC33+AB33)</f>
        <v>0</v>
      </c>
      <c r="AE33" s="306">
        <f>IF(DATEDIF(C33,Reference!$B$28,"Y")&gt;=1,AC33+AB33,0)</f>
        <v>0</v>
      </c>
      <c r="AF33" s="307" t="str">
        <f t="shared" si="11"/>
        <v>n/a</v>
      </c>
      <c r="AG33" s="214">
        <f>iferror((Reference!$B$10-AF33)*Y33 - AA33, 0)</f>
        <v>0</v>
      </c>
      <c r="AH33" s="214">
        <f>IF(DATEDIF(C33,Reference!$B$29,"Y")&gt;=1,0,AG33)</f>
        <v>0</v>
      </c>
      <c r="AI33" s="217">
        <f>IF(DATEDIF(C33,Reference!$B$29,"Y")&gt;=1,AG33,0)</f>
        <v>0</v>
      </c>
    </row>
    <row r="34">
      <c r="A34" s="300" t="s">
        <v>177</v>
      </c>
      <c r="B34" s="301">
        <v>42489.0</v>
      </c>
      <c r="C34" s="195">
        <v>43405.0</v>
      </c>
      <c r="D34" s="196"/>
      <c r="E34" s="302">
        <v>144.64</v>
      </c>
      <c r="F34" s="303"/>
      <c r="G34" s="199">
        <f t="shared" si="5"/>
        <v>0</v>
      </c>
      <c r="H34" s="207">
        <f t="shared" si="6"/>
        <v>0</v>
      </c>
      <c r="I34" s="304"/>
      <c r="J34" s="220" t="b">
        <v>0</v>
      </c>
      <c r="K34" s="203">
        <f t="shared" si="7"/>
        <v>0</v>
      </c>
      <c r="L34" s="203">
        <f>SWITCH(M34,"cash",Reference!E$5,"shares",Reference!$E$6,"balance",Reference!$E$7)</f>
        <v>0</v>
      </c>
      <c r="M34" s="204" t="s">
        <v>160</v>
      </c>
      <c r="N34" s="199">
        <f>LET(ratio,Reference!$B$4, ratio*Reference!$B$3*D34)</f>
        <v>0</v>
      </c>
      <c r="O34" s="199">
        <f>iferror(LET(ratio, K34,(1-ratio) * Reference!$B$3 * $D34),0)</f>
        <v>0</v>
      </c>
      <c r="P34" s="199">
        <f>iferror(LET(ratio, L34,(1-ratio) * Reference!$B$3 * $D34),0)</f>
        <v>0</v>
      </c>
      <c r="Q34" s="199">
        <f>SWITCH(Reference!$E$4,"eTradeHoldingRatio",N34, "eTradeLotQtyRatio",O34,"manualLotRatio",P34)</f>
        <v>0</v>
      </c>
      <c r="R34" s="199">
        <f>IF(C34&lt;Reference!$B$26,Reference!$C$26,0)</f>
        <v>10.18</v>
      </c>
      <c r="S34" s="199">
        <f>IF(C34&lt;Reference!$B$27,Reference!$C$27,0)</f>
        <v>16.87</v>
      </c>
      <c r="T34" s="199">
        <f t="shared" si="8"/>
        <v>117.59</v>
      </c>
      <c r="U34" s="205">
        <f t="shared" si="9"/>
        <v>0</v>
      </c>
      <c r="V34" s="205">
        <f>$D34*Reference!$B$5*Reference!$B$6</f>
        <v>0</v>
      </c>
      <c r="W34" s="205">
        <f>$D34*K34*Reference!$B$6</f>
        <v>0</v>
      </c>
      <c r="X34" s="206">
        <f>$D34*L34*Reference!$B$6</f>
        <v>0</v>
      </c>
      <c r="Y34" s="206">
        <f>SWITCH(Reference!$E$4,"eTradeHoldingRatio",V34, "eTradeLotQtyRatio",W34,"manualLotRatio",X34)</f>
        <v>0</v>
      </c>
      <c r="Z34" s="207">
        <f>MAX(Q34+(Y34*Reference!$B$18)-U34,0)</f>
        <v>0</v>
      </c>
      <c r="AA34" s="208">
        <f>IF(J34,Summary!$C$41/ (J$86+ESPP!$N$28), 0)</f>
        <v>0</v>
      </c>
      <c r="AB34" s="305">
        <f>IF(J34,(Reference!$B$23 - AF34) * AA34, 0)</f>
        <v>0</v>
      </c>
      <c r="AC34" s="210">
        <f t="shared" si="10"/>
        <v>0</v>
      </c>
      <c r="AD34" s="306">
        <f>IF(DATEDIF(C34,Reference!$B$28,"Y")&gt;=1,0,AC34+AB34)</f>
        <v>0</v>
      </c>
      <c r="AE34" s="306">
        <f>IF(DATEDIF(C34,Reference!$B$28,"Y")&gt;=1,AC34+AB34,0)</f>
        <v>0</v>
      </c>
      <c r="AF34" s="307" t="str">
        <f t="shared" si="11"/>
        <v>n/a</v>
      </c>
      <c r="AG34" s="214">
        <f>iferror((Reference!$B$10-AF34)*Y34 - AA34, 0)</f>
        <v>0</v>
      </c>
      <c r="AH34" s="214">
        <f>IF(DATEDIF(C34,Reference!$B$29,"Y")&gt;=1,0,AG34)</f>
        <v>0</v>
      </c>
      <c r="AI34" s="217">
        <f>IF(DATEDIF(C34,Reference!$B$29,"Y")&gt;=1,AG34,0)</f>
        <v>0</v>
      </c>
    </row>
    <row r="35">
      <c r="A35" s="300" t="s">
        <v>176</v>
      </c>
      <c r="B35" s="301">
        <v>42342.0</v>
      </c>
      <c r="C35" s="195">
        <v>43435.0</v>
      </c>
      <c r="D35" s="196"/>
      <c r="E35" s="302">
        <v>167.34</v>
      </c>
      <c r="F35" s="303"/>
      <c r="G35" s="199">
        <f t="shared" si="5"/>
        <v>0</v>
      </c>
      <c r="H35" s="207">
        <f t="shared" si="6"/>
        <v>0</v>
      </c>
      <c r="I35" s="304"/>
      <c r="J35" s="220" t="b">
        <v>0</v>
      </c>
      <c r="K35" s="203">
        <f t="shared" si="7"/>
        <v>0</v>
      </c>
      <c r="L35" s="203">
        <f>SWITCH(M35,"cash",Reference!E$5,"shares",Reference!$E$6,"balance",Reference!$E$7)</f>
        <v>0</v>
      </c>
      <c r="M35" s="204" t="s">
        <v>160</v>
      </c>
      <c r="N35" s="199">
        <f>LET(ratio,Reference!$B$4, ratio*Reference!$B$3*D35)</f>
        <v>0</v>
      </c>
      <c r="O35" s="199">
        <f>iferror(LET(ratio, K35,(1-ratio) * Reference!$B$3 * $D35),0)</f>
        <v>0</v>
      </c>
      <c r="P35" s="199">
        <f>iferror(LET(ratio, L35,(1-ratio) * Reference!$B$3 * $D35),0)</f>
        <v>0</v>
      </c>
      <c r="Q35" s="199">
        <f>SWITCH(Reference!$E$4,"eTradeHoldingRatio",N35, "eTradeLotQtyRatio",O35,"manualLotRatio",P35)</f>
        <v>0</v>
      </c>
      <c r="R35" s="199">
        <f>IF(C35&lt;Reference!$B$26,Reference!$C$26,0)</f>
        <v>10.18</v>
      </c>
      <c r="S35" s="199">
        <f>IF(C35&lt;Reference!$B$27,Reference!$C$27,0)</f>
        <v>16.87</v>
      </c>
      <c r="T35" s="199">
        <f t="shared" si="8"/>
        <v>140.29</v>
      </c>
      <c r="U35" s="205">
        <f t="shared" si="9"/>
        <v>0</v>
      </c>
      <c r="V35" s="205">
        <f>$D35*Reference!$B$5*Reference!$B$6</f>
        <v>0</v>
      </c>
      <c r="W35" s="205">
        <f>$D35*K35*Reference!$B$6</f>
        <v>0</v>
      </c>
      <c r="X35" s="206">
        <f>$D35*L35*Reference!$B$6</f>
        <v>0</v>
      </c>
      <c r="Y35" s="206">
        <f>SWITCH(Reference!$E$4,"eTradeHoldingRatio",V35, "eTradeLotQtyRatio",W35,"manualLotRatio",X35)</f>
        <v>0</v>
      </c>
      <c r="Z35" s="207">
        <f>MAX(Q35+(Y35*Reference!$B$18)-U35,0)</f>
        <v>0</v>
      </c>
      <c r="AA35" s="208">
        <f>IF(J35,Summary!$C$41/ (J$86+ESPP!$N$28), 0)</f>
        <v>0</v>
      </c>
      <c r="AB35" s="305">
        <f>IF(J35,(Reference!$B$23 - AF35) * AA35, 0)</f>
        <v>0</v>
      </c>
      <c r="AC35" s="210">
        <f t="shared" si="10"/>
        <v>0</v>
      </c>
      <c r="AD35" s="306">
        <f>IF(DATEDIF(C35,Reference!$B$28,"Y")&gt;=1,0,AC35+AB35)</f>
        <v>0</v>
      </c>
      <c r="AE35" s="306">
        <f>IF(DATEDIF(C35,Reference!$B$28,"Y")&gt;=1,AC35+AB35,0)</f>
        <v>0</v>
      </c>
      <c r="AF35" s="307" t="str">
        <f t="shared" si="11"/>
        <v>n/a</v>
      </c>
      <c r="AG35" s="214">
        <f>iferror((Reference!$B$10-AF35)*Y35 - AA35, 0)</f>
        <v>0</v>
      </c>
      <c r="AH35" s="214">
        <f>IF(DATEDIF(C35,Reference!$B$29,"Y")&gt;=1,0,AG35)</f>
        <v>0</v>
      </c>
      <c r="AI35" s="217">
        <f>IF(DATEDIF(C35,Reference!$B$29,"Y")&gt;=1,AG35,0)</f>
        <v>0</v>
      </c>
    </row>
    <row r="36">
      <c r="A36" s="300" t="s">
        <v>179</v>
      </c>
      <c r="B36" s="301">
        <v>43462.0</v>
      </c>
      <c r="C36" s="195">
        <v>43475.0</v>
      </c>
      <c r="D36" s="196"/>
      <c r="E36" s="302">
        <v>148.88</v>
      </c>
      <c r="F36" s="303"/>
      <c r="G36" s="199">
        <f t="shared" si="5"/>
        <v>0</v>
      </c>
      <c r="H36" s="207">
        <f t="shared" si="6"/>
        <v>0</v>
      </c>
      <c r="I36" s="304"/>
      <c r="J36" s="220" t="b">
        <v>0</v>
      </c>
      <c r="K36" s="203">
        <f t="shared" si="7"/>
        <v>0</v>
      </c>
      <c r="L36" s="203">
        <f>SWITCH(M36,"cash",Reference!E$5,"shares",Reference!$E$6,"balance",Reference!$E$7)</f>
        <v>0</v>
      </c>
      <c r="M36" s="204" t="s">
        <v>160</v>
      </c>
      <c r="N36" s="199">
        <f>LET(ratio,Reference!$B$4, ratio*Reference!$B$3*D36)</f>
        <v>0</v>
      </c>
      <c r="O36" s="199">
        <f>iferror(LET(ratio, K36,(1-ratio) * Reference!$B$3 * $D36),0)</f>
        <v>0</v>
      </c>
      <c r="P36" s="199">
        <f>iferror(LET(ratio, L36,(1-ratio) * Reference!$B$3 * $D36),0)</f>
        <v>0</v>
      </c>
      <c r="Q36" s="199">
        <f>SWITCH(Reference!$E$4,"eTradeHoldingRatio",N36, "eTradeLotQtyRatio",O36,"manualLotRatio",P36)</f>
        <v>0</v>
      </c>
      <c r="R36" s="199">
        <f>IF(C36&lt;Reference!$B$26,Reference!$C$26,0)</f>
        <v>0</v>
      </c>
      <c r="S36" s="199">
        <f>IF(C36&lt;Reference!$B$27,Reference!$C$27,0)</f>
        <v>16.87</v>
      </c>
      <c r="T36" s="199">
        <f t="shared" si="8"/>
        <v>132.01</v>
      </c>
      <c r="U36" s="205">
        <f t="shared" si="9"/>
        <v>0</v>
      </c>
      <c r="V36" s="205">
        <f>$D36*Reference!$B$5*Reference!$B$6</f>
        <v>0</v>
      </c>
      <c r="W36" s="205">
        <f>$D36*K36*Reference!$B$6</f>
        <v>0</v>
      </c>
      <c r="X36" s="206">
        <f>$D36*L36*Reference!$B$6</f>
        <v>0</v>
      </c>
      <c r="Y36" s="206">
        <f>SWITCH(Reference!$E$4,"eTradeHoldingRatio",V36, "eTradeLotQtyRatio",W36,"manualLotRatio",X36)</f>
        <v>0</v>
      </c>
      <c r="Z36" s="207">
        <f>MAX(Q36+(Y36*Reference!$B$18)-U36,0)</f>
        <v>0</v>
      </c>
      <c r="AA36" s="208">
        <f>IF(J36,Summary!$C$41/ (J$86+ESPP!$N$28), 0)</f>
        <v>0</v>
      </c>
      <c r="AB36" s="305">
        <f>IF(J36,(Reference!$B$23 - AF36) * AA36, 0)</f>
        <v>0</v>
      </c>
      <c r="AC36" s="210">
        <f t="shared" si="10"/>
        <v>0</v>
      </c>
      <c r="AD36" s="306">
        <f>IF(DATEDIF(C36,Reference!$B$28,"Y")&gt;=1,0,AC36+AB36)</f>
        <v>0</v>
      </c>
      <c r="AE36" s="306">
        <f>IF(DATEDIF(C36,Reference!$B$28,"Y")&gt;=1,AC36+AB36,0)</f>
        <v>0</v>
      </c>
      <c r="AF36" s="307" t="str">
        <f t="shared" si="11"/>
        <v>n/a</v>
      </c>
      <c r="AG36" s="214">
        <f>iferror((Reference!$B$10-AF36)*Y36 - AA36, 0)</f>
        <v>0</v>
      </c>
      <c r="AH36" s="214">
        <f>IF(DATEDIF(C36,Reference!$B$29,"Y")&gt;=1,0,AG36)</f>
        <v>0</v>
      </c>
      <c r="AI36" s="217">
        <f>IF(DATEDIF(C36,Reference!$B$29,"Y")&gt;=1,AG36,0)</f>
        <v>0</v>
      </c>
    </row>
    <row r="37">
      <c r="A37" s="300" t="s">
        <v>180</v>
      </c>
      <c r="B37" s="301">
        <v>43462.0</v>
      </c>
      <c r="C37" s="195">
        <v>43586.0</v>
      </c>
      <c r="D37" s="196"/>
      <c r="E37" s="302">
        <v>202.46</v>
      </c>
      <c r="F37" s="303"/>
      <c r="G37" s="199">
        <f t="shared" si="5"/>
        <v>0</v>
      </c>
      <c r="H37" s="207">
        <f t="shared" si="6"/>
        <v>0</v>
      </c>
      <c r="I37" s="304"/>
      <c r="J37" s="220" t="b">
        <v>0</v>
      </c>
      <c r="K37" s="203">
        <f t="shared" si="7"/>
        <v>0</v>
      </c>
      <c r="L37" s="203">
        <f>SWITCH(M37,"cash",Reference!E$5,"shares",Reference!$E$6,"balance",Reference!$E$7)</f>
        <v>0</v>
      </c>
      <c r="M37" s="204" t="s">
        <v>160</v>
      </c>
      <c r="N37" s="199">
        <f>LET(ratio,Reference!$B$4, ratio*Reference!$B$3*D37)</f>
        <v>0</v>
      </c>
      <c r="O37" s="199">
        <f>iferror(LET(ratio, K37,(1-ratio) * Reference!$B$3 * $D37),0)</f>
        <v>0</v>
      </c>
      <c r="P37" s="199">
        <f>iferror(LET(ratio, L37,(1-ratio) * Reference!$B$3 * $D37),0)</f>
        <v>0</v>
      </c>
      <c r="Q37" s="199">
        <f>SWITCH(Reference!$E$4,"eTradeHoldingRatio",N37, "eTradeLotQtyRatio",O37,"manualLotRatio",P37)</f>
        <v>0</v>
      </c>
      <c r="R37" s="199">
        <f>IF(C37&lt;Reference!$B$26,Reference!$C$26,0)</f>
        <v>0</v>
      </c>
      <c r="S37" s="199">
        <f>IF(C37&lt;Reference!$B$27,Reference!$C$27,0)</f>
        <v>16.87</v>
      </c>
      <c r="T37" s="199">
        <f t="shared" si="8"/>
        <v>185.59</v>
      </c>
      <c r="U37" s="205">
        <f t="shared" si="9"/>
        <v>0</v>
      </c>
      <c r="V37" s="205">
        <f>$D37*Reference!$B$5*Reference!$B$6</f>
        <v>0</v>
      </c>
      <c r="W37" s="205">
        <f>$D37*K37*Reference!$B$6</f>
        <v>0</v>
      </c>
      <c r="X37" s="206">
        <f>$D37*L37*Reference!$B$6</f>
        <v>0</v>
      </c>
      <c r="Y37" s="206">
        <f>SWITCH(Reference!$E$4,"eTradeHoldingRatio",V37, "eTradeLotQtyRatio",W37,"manualLotRatio",X37)</f>
        <v>0</v>
      </c>
      <c r="Z37" s="207">
        <f>MAX(Q37+(Y37*Reference!$B$18)-U37,0)</f>
        <v>0</v>
      </c>
      <c r="AA37" s="208">
        <f>IF(J37,Summary!$C$41/ (J$86+ESPP!$N$28), 0)</f>
        <v>0</v>
      </c>
      <c r="AB37" s="305">
        <f>IF(J37,(Reference!$B$23 - AF37) * AA37, 0)</f>
        <v>0</v>
      </c>
      <c r="AC37" s="210">
        <f t="shared" si="10"/>
        <v>0</v>
      </c>
      <c r="AD37" s="306">
        <f>IF(DATEDIF(C37,Reference!$B$28,"Y")&gt;=1,0,AC37+AB37)</f>
        <v>0</v>
      </c>
      <c r="AE37" s="306">
        <f>IF(DATEDIF(C37,Reference!$B$28,"Y")&gt;=1,AC37+AB37,0)</f>
        <v>0</v>
      </c>
      <c r="AF37" s="307" t="str">
        <f t="shared" si="11"/>
        <v>n/a</v>
      </c>
      <c r="AG37" s="214">
        <f>iferror((Reference!$B$10-AF37)*Y37 - AA37, 0)</f>
        <v>0</v>
      </c>
      <c r="AH37" s="214">
        <f>IF(DATEDIF(C37,Reference!$B$29,"Y")&gt;=1,0,AG37)</f>
        <v>0</v>
      </c>
      <c r="AI37" s="217">
        <f>IF(DATEDIF(C37,Reference!$B$29,"Y")&gt;=1,AG37,0)</f>
        <v>0</v>
      </c>
    </row>
    <row r="38">
      <c r="A38" s="300" t="s">
        <v>181</v>
      </c>
      <c r="B38" s="301">
        <v>43462.0</v>
      </c>
      <c r="C38" s="195">
        <v>43586.0</v>
      </c>
      <c r="D38" s="196"/>
      <c r="E38" s="302">
        <v>202.46</v>
      </c>
      <c r="F38" s="303"/>
      <c r="G38" s="199">
        <f t="shared" si="5"/>
        <v>0</v>
      </c>
      <c r="H38" s="207">
        <f t="shared" si="6"/>
        <v>0</v>
      </c>
      <c r="I38" s="304"/>
      <c r="J38" s="220" t="b">
        <v>0</v>
      </c>
      <c r="K38" s="203">
        <f t="shared" si="7"/>
        <v>0</v>
      </c>
      <c r="L38" s="203">
        <f>SWITCH(M38,"cash",Reference!E$5,"shares",Reference!$E$6,"balance",Reference!$E$7)</f>
        <v>0</v>
      </c>
      <c r="M38" s="204" t="s">
        <v>160</v>
      </c>
      <c r="N38" s="199">
        <f>LET(ratio,Reference!$B$4, ratio*Reference!$B$3*D38)</f>
        <v>0</v>
      </c>
      <c r="O38" s="199">
        <f>iferror(LET(ratio, K38,(1-ratio) * Reference!$B$3 * $D38),0)</f>
        <v>0</v>
      </c>
      <c r="P38" s="199">
        <f>iferror(LET(ratio, L38,(1-ratio) * Reference!$B$3 * $D38),0)</f>
        <v>0</v>
      </c>
      <c r="Q38" s="199">
        <f>SWITCH(Reference!$E$4,"eTradeHoldingRatio",N38, "eTradeLotQtyRatio",O38,"manualLotRatio",P38)</f>
        <v>0</v>
      </c>
      <c r="R38" s="199">
        <f>IF(C38&lt;Reference!$B$26,Reference!$C$26,0)</f>
        <v>0</v>
      </c>
      <c r="S38" s="199">
        <f>IF(C38&lt;Reference!$B$27,Reference!$C$27,0)</f>
        <v>16.87</v>
      </c>
      <c r="T38" s="199">
        <f t="shared" si="8"/>
        <v>185.59</v>
      </c>
      <c r="U38" s="205">
        <f t="shared" si="9"/>
        <v>0</v>
      </c>
      <c r="V38" s="205">
        <f>$D38*Reference!$B$5*Reference!$B$6</f>
        <v>0</v>
      </c>
      <c r="W38" s="205">
        <f>$D38*K38*Reference!$B$6</f>
        <v>0</v>
      </c>
      <c r="X38" s="206">
        <f>$D38*L38*Reference!$B$6</f>
        <v>0</v>
      </c>
      <c r="Y38" s="206">
        <f>SWITCH(Reference!$E$4,"eTradeHoldingRatio",V38, "eTradeLotQtyRatio",W38,"manualLotRatio",X38)</f>
        <v>0</v>
      </c>
      <c r="Z38" s="207">
        <f>MAX(Q38+(Y38*Reference!$B$18)-U38,0)</f>
        <v>0</v>
      </c>
      <c r="AA38" s="208">
        <f>IF(J38,Summary!$C$41/ (J$86+ESPP!$N$28), 0)</f>
        <v>0</v>
      </c>
      <c r="AB38" s="305">
        <f>IF(J38,(Reference!$B$23 - AF38) * AA38, 0)</f>
        <v>0</v>
      </c>
      <c r="AC38" s="210">
        <f t="shared" si="10"/>
        <v>0</v>
      </c>
      <c r="AD38" s="306">
        <f>IF(DATEDIF(C38,Reference!$B$28,"Y")&gt;=1,0,AC38+AB38)</f>
        <v>0</v>
      </c>
      <c r="AE38" s="306">
        <f>IF(DATEDIF(C38,Reference!$B$28,"Y")&gt;=1,AC38+AB38,0)</f>
        <v>0</v>
      </c>
      <c r="AF38" s="307" t="str">
        <f t="shared" si="11"/>
        <v>n/a</v>
      </c>
      <c r="AG38" s="214">
        <f>iferror((Reference!$B$10-AF38)*Y38 - AA38, 0)</f>
        <v>0</v>
      </c>
      <c r="AH38" s="214">
        <f>IF(DATEDIF(C38,Reference!$B$29,"Y")&gt;=1,0,AG38)</f>
        <v>0</v>
      </c>
      <c r="AI38" s="217">
        <f>IF(DATEDIF(C38,Reference!$B$29,"Y")&gt;=1,AG38,0)</f>
        <v>0</v>
      </c>
    </row>
    <row r="39">
      <c r="A39" s="300" t="s">
        <v>182</v>
      </c>
      <c r="B39" s="301">
        <v>43462.0</v>
      </c>
      <c r="C39" s="195">
        <v>43617.0</v>
      </c>
      <c r="D39" s="196"/>
      <c r="E39" s="302">
        <v>176.98</v>
      </c>
      <c r="F39" s="303"/>
      <c r="G39" s="199">
        <f t="shared" si="5"/>
        <v>0</v>
      </c>
      <c r="H39" s="207">
        <f t="shared" si="6"/>
        <v>0</v>
      </c>
      <c r="I39" s="309"/>
      <c r="J39" s="220" t="b">
        <v>0</v>
      </c>
      <c r="K39" s="203">
        <f t="shared" si="7"/>
        <v>0</v>
      </c>
      <c r="L39" s="203">
        <f>SWITCH(M39,"cash",Reference!E$5,"shares",Reference!$E$6,"balance",Reference!$E$7)</f>
        <v>0</v>
      </c>
      <c r="M39" s="204" t="s">
        <v>160</v>
      </c>
      <c r="N39" s="199">
        <f>LET(ratio,Reference!$B$4, ratio*Reference!$B$3*D39)</f>
        <v>0</v>
      </c>
      <c r="O39" s="199">
        <f>iferror(LET(ratio, K39,(1-ratio) * Reference!$B$3 * $D39),0)</f>
        <v>0</v>
      </c>
      <c r="P39" s="199">
        <f>iferror(LET(ratio, L39,(1-ratio) * Reference!$B$3 * $D39),0)</f>
        <v>0</v>
      </c>
      <c r="Q39" s="199">
        <f>SWITCH(Reference!$E$4,"eTradeHoldingRatio",N39, "eTradeLotQtyRatio",O39,"manualLotRatio",P39)</f>
        <v>0</v>
      </c>
      <c r="R39" s="199">
        <f>IF(C39&lt;Reference!$B$26,Reference!$C$26,0)</f>
        <v>0</v>
      </c>
      <c r="S39" s="199">
        <f>IF(C39&lt;Reference!$B$27,Reference!$C$27,0)</f>
        <v>16.87</v>
      </c>
      <c r="T39" s="199">
        <f t="shared" si="8"/>
        <v>160.11</v>
      </c>
      <c r="U39" s="205">
        <f t="shared" si="9"/>
        <v>0</v>
      </c>
      <c r="V39" s="205">
        <f>$D39*Reference!$B$5*Reference!$B$6</f>
        <v>0</v>
      </c>
      <c r="W39" s="205">
        <f>$D39*K39*Reference!$B$6</f>
        <v>0</v>
      </c>
      <c r="X39" s="206">
        <f>$D39*L39*Reference!$B$6</f>
        <v>0</v>
      </c>
      <c r="Y39" s="206">
        <f>SWITCH(Reference!$E$4,"eTradeHoldingRatio",V39, "eTradeLotQtyRatio",W39,"manualLotRatio",X39)</f>
        <v>0</v>
      </c>
      <c r="Z39" s="207">
        <f>MAX(Q39+(Y39*Reference!$B$18)-U39,0)</f>
        <v>0</v>
      </c>
      <c r="AA39" s="208">
        <f>IF(J39,Summary!$C$41/ (J$86+ESPP!$N$28), 0)</f>
        <v>0</v>
      </c>
      <c r="AB39" s="305">
        <f>IF(J39,(Reference!$B$23 - AF39) * AA39, 0)</f>
        <v>0</v>
      </c>
      <c r="AC39" s="210">
        <f t="shared" si="10"/>
        <v>0</v>
      </c>
      <c r="AD39" s="306">
        <f>IF(DATEDIF(C39,Reference!$B$28,"Y")&gt;=1,0,AC39+AB39)</f>
        <v>0</v>
      </c>
      <c r="AE39" s="306">
        <f>IF(DATEDIF(C39,Reference!$B$28,"Y")&gt;=1,AC39+AB39,0)</f>
        <v>0</v>
      </c>
      <c r="AF39" s="307" t="str">
        <f t="shared" si="11"/>
        <v>n/a</v>
      </c>
      <c r="AG39" s="214">
        <f>iferror((Reference!$B$10-AF39)*Y39 - AA39, 0)</f>
        <v>0</v>
      </c>
      <c r="AH39" s="214">
        <f>IF(DATEDIF(C39,Reference!$B$29,"Y")&gt;=1,0,AG39)</f>
        <v>0</v>
      </c>
      <c r="AI39" s="217">
        <f>IF(DATEDIF(C39,Reference!$B$29,"Y")&gt;=1,AG39,0)</f>
        <v>0</v>
      </c>
    </row>
    <row r="40">
      <c r="A40" s="300" t="s">
        <v>179</v>
      </c>
      <c r="B40" s="301">
        <v>43462.0</v>
      </c>
      <c r="C40" s="195">
        <v>43647.0</v>
      </c>
      <c r="D40" s="196"/>
      <c r="E40" s="302">
        <v>168.77</v>
      </c>
      <c r="F40" s="303"/>
      <c r="G40" s="199">
        <f t="shared" si="5"/>
        <v>0</v>
      </c>
      <c r="H40" s="207">
        <f t="shared" si="6"/>
        <v>0</v>
      </c>
      <c r="I40" s="304"/>
      <c r="J40" s="220" t="b">
        <v>0</v>
      </c>
      <c r="K40" s="203">
        <f t="shared" si="7"/>
        <v>0</v>
      </c>
      <c r="L40" s="203">
        <f>SWITCH(M40,"cash",Reference!E$5,"shares",Reference!$E$6,"balance",Reference!$E$7)</f>
        <v>0</v>
      </c>
      <c r="M40" s="204" t="s">
        <v>160</v>
      </c>
      <c r="N40" s="199">
        <f>LET(ratio,Reference!$B$4, ratio*Reference!$B$3*D40)</f>
        <v>0</v>
      </c>
      <c r="O40" s="199">
        <f>iferror(LET(ratio, K40,(1-ratio) * Reference!$B$3 * $D40),0)</f>
        <v>0</v>
      </c>
      <c r="P40" s="199">
        <f>iferror(LET(ratio, L40,(1-ratio) * Reference!$B$3 * $D40),0)</f>
        <v>0</v>
      </c>
      <c r="Q40" s="199">
        <f>SWITCH(Reference!$E$4,"eTradeHoldingRatio",N40, "eTradeLotQtyRatio",O40,"manualLotRatio",P40)</f>
        <v>0</v>
      </c>
      <c r="R40" s="199">
        <f>IF(C40&lt;Reference!$B$26,Reference!$C$26,0)</f>
        <v>0</v>
      </c>
      <c r="S40" s="199">
        <f>IF(C40&lt;Reference!$B$27,Reference!$C$27,0)</f>
        <v>16.87</v>
      </c>
      <c r="T40" s="199">
        <f t="shared" si="8"/>
        <v>151.9</v>
      </c>
      <c r="U40" s="205">
        <f t="shared" si="9"/>
        <v>0</v>
      </c>
      <c r="V40" s="205">
        <f>$D40*Reference!$B$5*Reference!$B$6</f>
        <v>0</v>
      </c>
      <c r="W40" s="205">
        <f>$D40*K40*Reference!$B$6</f>
        <v>0</v>
      </c>
      <c r="X40" s="206">
        <f>$D40*L40*Reference!$B$6</f>
        <v>0</v>
      </c>
      <c r="Y40" s="206">
        <f>SWITCH(Reference!$E$4,"eTradeHoldingRatio",V40, "eTradeLotQtyRatio",W40,"manualLotRatio",X40)</f>
        <v>0</v>
      </c>
      <c r="Z40" s="207">
        <f>MAX(Q40+(Y40*Reference!$B$18)-U40,0)</f>
        <v>0</v>
      </c>
      <c r="AA40" s="208">
        <f>IF(J40,Summary!$C$41/ (J$86+ESPP!$N$28), 0)</f>
        <v>0</v>
      </c>
      <c r="AB40" s="305">
        <f>IF(J40,(Reference!$B$23 - AF40) * AA40, 0)</f>
        <v>0</v>
      </c>
      <c r="AC40" s="210">
        <f t="shared" si="10"/>
        <v>0</v>
      </c>
      <c r="AD40" s="306">
        <f>IF(DATEDIF(C40,Reference!$B$28,"Y")&gt;=1,0,AC40+AB40)</f>
        <v>0</v>
      </c>
      <c r="AE40" s="306">
        <f>IF(DATEDIF(C40,Reference!$B$28,"Y")&gt;=1,AC40+AB40,0)</f>
        <v>0</v>
      </c>
      <c r="AF40" s="307" t="str">
        <f t="shared" si="11"/>
        <v>n/a</v>
      </c>
      <c r="AG40" s="214">
        <f>iferror((Reference!$B$10-AF40)*Y40 - AA40, 0)</f>
        <v>0</v>
      </c>
      <c r="AH40" s="214">
        <f>IF(DATEDIF(C40,Reference!$B$29,"Y")&gt;=1,0,AG40)</f>
        <v>0</v>
      </c>
      <c r="AI40" s="217">
        <f>IF(DATEDIF(C40,Reference!$B$29,"Y")&gt;=1,AG40,0)</f>
        <v>0</v>
      </c>
    </row>
    <row r="41">
      <c r="A41" s="300" t="s">
        <v>181</v>
      </c>
      <c r="B41" s="301">
        <v>43462.0</v>
      </c>
      <c r="C41" s="195">
        <v>43770.0</v>
      </c>
      <c r="D41" s="196"/>
      <c r="E41" s="302">
        <v>163.06</v>
      </c>
      <c r="F41" s="303"/>
      <c r="G41" s="199">
        <f t="shared" si="5"/>
        <v>0</v>
      </c>
      <c r="H41" s="207">
        <f t="shared" si="6"/>
        <v>0</v>
      </c>
      <c r="I41" s="309"/>
      <c r="J41" s="220" t="b">
        <v>0</v>
      </c>
      <c r="K41" s="203">
        <f t="shared" si="7"/>
        <v>0</v>
      </c>
      <c r="L41" s="203">
        <f>SWITCH(M41,"cash",Reference!E$5,"shares",Reference!$E$6,"balance",Reference!$E$7)</f>
        <v>0</v>
      </c>
      <c r="M41" s="204" t="s">
        <v>160</v>
      </c>
      <c r="N41" s="199">
        <f>LET(ratio,Reference!$B$4, ratio*Reference!$B$3*D41)</f>
        <v>0</v>
      </c>
      <c r="O41" s="199">
        <f>iferror(LET(ratio, K41,(1-ratio) * Reference!$B$3 * $D41),0)</f>
        <v>0</v>
      </c>
      <c r="P41" s="199">
        <f>iferror(LET(ratio, L41,(1-ratio) * Reference!$B$3 * $D41),0)</f>
        <v>0</v>
      </c>
      <c r="Q41" s="199">
        <f>SWITCH(Reference!$E$4,"eTradeHoldingRatio",N41, "eTradeLotQtyRatio",O41,"manualLotRatio",P41)</f>
        <v>0</v>
      </c>
      <c r="R41" s="199">
        <f>IF(C41&lt;Reference!$B$26,Reference!$C$26,0)</f>
        <v>0</v>
      </c>
      <c r="S41" s="199">
        <f>IF(C41&lt;Reference!$B$27,Reference!$C$27,0)</f>
        <v>16.87</v>
      </c>
      <c r="T41" s="199">
        <f t="shared" si="8"/>
        <v>146.19</v>
      </c>
      <c r="U41" s="205">
        <f t="shared" si="9"/>
        <v>0</v>
      </c>
      <c r="V41" s="205">
        <f>$D41*Reference!$B$5*Reference!$B$6</f>
        <v>0</v>
      </c>
      <c r="W41" s="205">
        <f>$D41*K41*Reference!$B$6</f>
        <v>0</v>
      </c>
      <c r="X41" s="206">
        <f>$D41*L41*Reference!$B$6</f>
        <v>0</v>
      </c>
      <c r="Y41" s="206">
        <f>SWITCH(Reference!$E$4,"eTradeHoldingRatio",V41, "eTradeLotQtyRatio",W41,"manualLotRatio",X41)</f>
        <v>0</v>
      </c>
      <c r="Z41" s="207">
        <f>MAX(Q41+(Y41*Reference!$B$18)-U41,0)</f>
        <v>0</v>
      </c>
      <c r="AA41" s="208">
        <f>IF(J41,Summary!$C$41/ (J$86+ESPP!$N$28), 0)</f>
        <v>0</v>
      </c>
      <c r="AB41" s="305">
        <f>IF(J41,(Reference!$B$23 - AF41) * AA41, 0)</f>
        <v>0</v>
      </c>
      <c r="AC41" s="210">
        <f t="shared" si="10"/>
        <v>0</v>
      </c>
      <c r="AD41" s="306">
        <f>IF(DATEDIF(C41,Reference!$B$28,"Y")&gt;=1,0,AC41+AB41)</f>
        <v>0</v>
      </c>
      <c r="AE41" s="306">
        <f>IF(DATEDIF(C41,Reference!$B$28,"Y")&gt;=1,AC41+AB41,0)</f>
        <v>0</v>
      </c>
      <c r="AF41" s="307" t="str">
        <f t="shared" si="11"/>
        <v>n/a</v>
      </c>
      <c r="AG41" s="214">
        <f>iferror((Reference!$B$10-AF41)*Y41 - AA41, 0)</f>
        <v>0</v>
      </c>
      <c r="AH41" s="214">
        <f>IF(DATEDIF(C41,Reference!$B$29,"Y")&gt;=1,0,AG41)</f>
        <v>0</v>
      </c>
      <c r="AI41" s="217">
        <f>IF(DATEDIF(C41,Reference!$B$29,"Y")&gt;=1,AG41,0)</f>
        <v>0</v>
      </c>
    </row>
    <row r="42">
      <c r="A42" s="300" t="s">
        <v>182</v>
      </c>
      <c r="B42" s="301">
        <v>43462.0</v>
      </c>
      <c r="C42" s="195">
        <v>43800.0</v>
      </c>
      <c r="D42" s="196"/>
      <c r="E42" s="302">
        <v>155.62</v>
      </c>
      <c r="F42" s="303"/>
      <c r="G42" s="199">
        <f t="shared" si="5"/>
        <v>0</v>
      </c>
      <c r="H42" s="207">
        <f t="shared" si="6"/>
        <v>0</v>
      </c>
      <c r="I42" s="309"/>
      <c r="J42" s="220" t="b">
        <v>0</v>
      </c>
      <c r="K42" s="203">
        <f t="shared" si="7"/>
        <v>0</v>
      </c>
      <c r="L42" s="203">
        <f>SWITCH(M42,"cash",Reference!E$5,"shares",Reference!$E$6,"balance",Reference!$E$7)</f>
        <v>0</v>
      </c>
      <c r="M42" s="204" t="s">
        <v>160</v>
      </c>
      <c r="N42" s="199">
        <f>LET(ratio,Reference!$B$4, ratio*Reference!$B$3*D42)</f>
        <v>0</v>
      </c>
      <c r="O42" s="199">
        <f>iferror(LET(ratio, K42,(1-ratio) * Reference!$B$3 * $D42),0)</f>
        <v>0</v>
      </c>
      <c r="P42" s="199">
        <f>iferror(LET(ratio, L42,(1-ratio) * Reference!$B$3 * $D42),0)</f>
        <v>0</v>
      </c>
      <c r="Q42" s="199">
        <f>SWITCH(Reference!$E$4,"eTradeHoldingRatio",N42, "eTradeLotQtyRatio",O42,"manualLotRatio",P42)</f>
        <v>0</v>
      </c>
      <c r="R42" s="199">
        <f>IF(C42&lt;Reference!$B$26,Reference!$C$26,0)</f>
        <v>0</v>
      </c>
      <c r="S42" s="199">
        <f>IF(C42&lt;Reference!$B$27,Reference!$C$27,0)</f>
        <v>16.87</v>
      </c>
      <c r="T42" s="199">
        <f t="shared" si="8"/>
        <v>138.75</v>
      </c>
      <c r="U42" s="205">
        <f t="shared" si="9"/>
        <v>0</v>
      </c>
      <c r="V42" s="205">
        <f>$D42*Reference!$B$5*Reference!$B$6</f>
        <v>0</v>
      </c>
      <c r="W42" s="205">
        <f>$D42*K42*Reference!$B$6</f>
        <v>0</v>
      </c>
      <c r="X42" s="206">
        <f>$D42*L42*Reference!$B$6</f>
        <v>0</v>
      </c>
      <c r="Y42" s="206">
        <f>SWITCH(Reference!$E$4,"eTradeHoldingRatio",V42, "eTradeLotQtyRatio",W42,"manualLotRatio",X42)</f>
        <v>0</v>
      </c>
      <c r="Z42" s="207">
        <f>MAX(Q42+(Y42*Reference!$B$18)-U42,0)</f>
        <v>0</v>
      </c>
      <c r="AA42" s="208">
        <f>IF(J42,Summary!$C$41/ (J$86+ESPP!$N$28), 0)</f>
        <v>0</v>
      </c>
      <c r="AB42" s="305">
        <f>IF(J42,(Reference!$B$23 - AF42) * AA42, 0)</f>
        <v>0</v>
      </c>
      <c r="AC42" s="210">
        <f t="shared" si="10"/>
        <v>0</v>
      </c>
      <c r="AD42" s="306">
        <f>IF(DATEDIF(C42,Reference!$B$28,"Y")&gt;=1,0,AC42+AB42)</f>
        <v>0</v>
      </c>
      <c r="AE42" s="306">
        <f>IF(DATEDIF(C42,Reference!$B$28,"Y")&gt;=1,AC42+AB42,0)</f>
        <v>0</v>
      </c>
      <c r="AF42" s="307" t="str">
        <f t="shared" si="11"/>
        <v>n/a</v>
      </c>
      <c r="AG42" s="214">
        <f>iferror((Reference!$B$10-AF42)*Y42 - AA42, 0)</f>
        <v>0</v>
      </c>
      <c r="AH42" s="214">
        <f>IF(DATEDIF(C42,Reference!$B$29,"Y")&gt;=1,0,AG42)</f>
        <v>0</v>
      </c>
      <c r="AI42" s="217">
        <f>IF(DATEDIF(C42,Reference!$B$29,"Y")&gt;=1,AG42,0)</f>
        <v>0</v>
      </c>
    </row>
    <row r="43">
      <c r="A43" s="300" t="s">
        <v>179</v>
      </c>
      <c r="B43" s="301">
        <v>43462.0</v>
      </c>
      <c r="C43" s="195">
        <v>43831.0</v>
      </c>
      <c r="D43" s="196"/>
      <c r="E43" s="302">
        <v>151.79</v>
      </c>
      <c r="F43" s="303"/>
      <c r="G43" s="199">
        <f t="shared" si="5"/>
        <v>0</v>
      </c>
      <c r="H43" s="207">
        <f t="shared" si="6"/>
        <v>0</v>
      </c>
      <c r="I43" s="304"/>
      <c r="J43" s="220" t="b">
        <v>0</v>
      </c>
      <c r="K43" s="203">
        <f t="shared" si="7"/>
        <v>0</v>
      </c>
      <c r="L43" s="203">
        <f>SWITCH(M43,"cash",Reference!E$5,"shares",Reference!$E$6,"balance",Reference!$E$7)</f>
        <v>0</v>
      </c>
      <c r="M43" s="204" t="s">
        <v>160</v>
      </c>
      <c r="N43" s="199">
        <f>LET(ratio,Reference!$B$4, ratio*Reference!$B$3*D43)</f>
        <v>0</v>
      </c>
      <c r="O43" s="199">
        <f>iferror(LET(ratio, K43,(1-ratio) * Reference!$B$3 * $D43),0)</f>
        <v>0</v>
      </c>
      <c r="P43" s="199">
        <f>iferror(LET(ratio, L43,(1-ratio) * Reference!$B$3 * $D43),0)</f>
        <v>0</v>
      </c>
      <c r="Q43" s="199">
        <f>SWITCH(Reference!$E$4,"eTradeHoldingRatio",N43, "eTradeLotQtyRatio",O43,"manualLotRatio",P43)</f>
        <v>0</v>
      </c>
      <c r="R43" s="199">
        <f>IF(C43&lt;Reference!$B$26,Reference!$C$26,0)</f>
        <v>0</v>
      </c>
      <c r="S43" s="199">
        <f>IF(C43&lt;Reference!$B$27,Reference!$C$27,0)</f>
        <v>16.87</v>
      </c>
      <c r="T43" s="199">
        <f t="shared" si="8"/>
        <v>134.92</v>
      </c>
      <c r="U43" s="205">
        <f t="shared" si="9"/>
        <v>0</v>
      </c>
      <c r="V43" s="205">
        <f>$D43*Reference!$B$5*Reference!$B$6</f>
        <v>0</v>
      </c>
      <c r="W43" s="205">
        <f>$D43*K43*Reference!$B$6</f>
        <v>0</v>
      </c>
      <c r="X43" s="206">
        <f>$D43*L43*Reference!$B$6</f>
        <v>0</v>
      </c>
      <c r="Y43" s="206">
        <f>SWITCH(Reference!$E$4,"eTradeHoldingRatio",V43, "eTradeLotQtyRatio",W43,"manualLotRatio",X43)</f>
        <v>0</v>
      </c>
      <c r="Z43" s="207">
        <f>MAX(Q43+(Y43*Reference!$B$18)-U43,0)</f>
        <v>0</v>
      </c>
      <c r="AA43" s="208">
        <f>IF(J43,Summary!$C$41/ (J$86+ESPP!$N$28), 0)</f>
        <v>0</v>
      </c>
      <c r="AB43" s="305">
        <f>IF(J43,(Reference!$B$23 - AF43) * AA43, 0)</f>
        <v>0</v>
      </c>
      <c r="AC43" s="210">
        <f t="shared" si="10"/>
        <v>0</v>
      </c>
      <c r="AD43" s="306">
        <f>IF(DATEDIF(C43,Reference!$B$28,"Y")&gt;=1,0,AC43+AB43)</f>
        <v>0</v>
      </c>
      <c r="AE43" s="306">
        <f>IF(DATEDIF(C43,Reference!$B$28,"Y")&gt;=1,AC43+AB43,0)</f>
        <v>0</v>
      </c>
      <c r="AF43" s="307" t="str">
        <f t="shared" si="11"/>
        <v>n/a</v>
      </c>
      <c r="AG43" s="214">
        <f>iferror((Reference!$B$10-AF43)*Y43 - AA43, 0)</f>
        <v>0</v>
      </c>
      <c r="AH43" s="214">
        <f>IF(DATEDIF(C43,Reference!$B$29,"Y")&gt;=1,0,AG43)</f>
        <v>0</v>
      </c>
      <c r="AI43" s="217">
        <f>IF(DATEDIF(C43,Reference!$B$29,"Y")&gt;=1,AG43,0)</f>
        <v>0</v>
      </c>
    </row>
    <row r="44">
      <c r="A44" s="300"/>
      <c r="B44" s="310"/>
      <c r="C44" s="195">
        <v>43862.0</v>
      </c>
      <c r="D44" s="196"/>
      <c r="E44" s="302">
        <v>148.06</v>
      </c>
      <c r="F44" s="303"/>
      <c r="G44" s="199">
        <f t="shared" si="5"/>
        <v>0</v>
      </c>
      <c r="H44" s="207">
        <f t="shared" si="6"/>
        <v>0</v>
      </c>
      <c r="I44" s="304"/>
      <c r="J44" s="220" t="b">
        <v>0</v>
      </c>
      <c r="K44" s="203">
        <f t="shared" si="7"/>
        <v>0</v>
      </c>
      <c r="L44" s="203">
        <f>SWITCH(M44,"cash",Reference!E$5,"shares",Reference!$E$6,"balance",Reference!$E$7)</f>
        <v>0</v>
      </c>
      <c r="M44" s="204" t="s">
        <v>160</v>
      </c>
      <c r="N44" s="199">
        <f>LET(ratio,Reference!$B$4, ratio*Reference!$B$3*D44)</f>
        <v>0</v>
      </c>
      <c r="O44" s="199">
        <f>iferror(LET(ratio, K44,(1-ratio) * Reference!$B$3 * $D44),0)</f>
        <v>0</v>
      </c>
      <c r="P44" s="199">
        <f>iferror(LET(ratio, L44,(1-ratio) * Reference!$B$3 * $D44),0)</f>
        <v>0</v>
      </c>
      <c r="Q44" s="199">
        <f>SWITCH(Reference!$E$4,"eTradeHoldingRatio",N44, "eTradeLotQtyRatio",O44,"manualLotRatio",P44)</f>
        <v>0</v>
      </c>
      <c r="R44" s="199">
        <f>IF(C44&lt;Reference!$B$26,Reference!$C$26,0)</f>
        <v>0</v>
      </c>
      <c r="S44" s="199">
        <f>IF(C44&lt;Reference!$B$27,Reference!$C$27,0)</f>
        <v>16.87</v>
      </c>
      <c r="T44" s="199">
        <f t="shared" si="8"/>
        <v>131.19</v>
      </c>
      <c r="U44" s="199">
        <f t="shared" si="9"/>
        <v>0</v>
      </c>
      <c r="V44" s="205">
        <f>$D44*Reference!$B$5*Reference!$B$6</f>
        <v>0</v>
      </c>
      <c r="W44" s="205">
        <f>$D44*K44*Reference!$B$6</f>
        <v>0</v>
      </c>
      <c r="X44" s="206">
        <f>$D44*L44*Reference!$B$6</f>
        <v>0</v>
      </c>
      <c r="Y44" s="206">
        <f>SWITCH(Reference!$E$4,"eTradeHoldingRatio",V44, "eTradeLotQtyRatio",W44,"manualLotRatio",X44)</f>
        <v>0</v>
      </c>
      <c r="Z44" s="207">
        <f>MAX(Q44+(Y44*Reference!$B$18)-U44,0)</f>
        <v>0</v>
      </c>
      <c r="AA44" s="208">
        <f>IF(J44,Summary!$C$41/ (J$86+ESPP!$N$28), 0)</f>
        <v>0</v>
      </c>
      <c r="AB44" s="305">
        <f>IF(J44,(Reference!$B$23 - AF44) * AA44, 0)</f>
        <v>0</v>
      </c>
      <c r="AC44" s="210">
        <f t="shared" si="10"/>
        <v>0</v>
      </c>
      <c r="AD44" s="306">
        <f>IF(DATEDIF(C44,Reference!$B$28,"Y")&gt;=1,0,AC44+AB44)</f>
        <v>0</v>
      </c>
      <c r="AE44" s="306">
        <f>IF(DATEDIF(C44,Reference!$B$28,"Y")&gt;=1,AC44+AB44,0)</f>
        <v>0</v>
      </c>
      <c r="AF44" s="307" t="str">
        <f t="shared" si="11"/>
        <v>n/a</v>
      </c>
      <c r="AG44" s="214">
        <f>iferror((Reference!$B$10-AF44)*Y44 - AA44, 0)</f>
        <v>0</v>
      </c>
      <c r="AH44" s="214">
        <f>IF(DATEDIF(C44,Reference!$B$29,"Y")&gt;=1,0,AG44)</f>
        <v>0</v>
      </c>
      <c r="AI44" s="217">
        <f>IF(DATEDIF(C44,Reference!$B$29,"Y")&gt;=1,AG44,0)</f>
        <v>0</v>
      </c>
    </row>
    <row r="45">
      <c r="A45" s="300"/>
      <c r="B45" s="310"/>
      <c r="C45" s="311">
        <v>43891.0</v>
      </c>
      <c r="D45" s="196"/>
      <c r="E45" s="197">
        <v>120.52</v>
      </c>
      <c r="F45" s="303"/>
      <c r="G45" s="199">
        <f t="shared" si="5"/>
        <v>0</v>
      </c>
      <c r="H45" s="207">
        <f t="shared" si="6"/>
        <v>0</v>
      </c>
      <c r="I45" s="304"/>
      <c r="J45" s="220" t="b">
        <v>0</v>
      </c>
      <c r="K45" s="203">
        <f t="shared" si="7"/>
        <v>0</v>
      </c>
      <c r="L45" s="203">
        <f>SWITCH(M45,"cash",Reference!E$5,"shares",Reference!$E$6,"balance",Reference!$E$7)</f>
        <v>0</v>
      </c>
      <c r="M45" s="204" t="s">
        <v>160</v>
      </c>
      <c r="N45" s="199">
        <f>LET(ratio,Reference!$B$4, ratio*Reference!$B$3*D45)</f>
        <v>0</v>
      </c>
      <c r="O45" s="199">
        <f>iferror(LET(ratio, K45,(1-ratio) * Reference!$B$3 * $D45),0)</f>
        <v>0</v>
      </c>
      <c r="P45" s="199">
        <f>iferror(LET(ratio, L45,(1-ratio) * Reference!$B$3 * $D45),0)</f>
        <v>0</v>
      </c>
      <c r="Q45" s="199">
        <f>SWITCH(Reference!$E$4,"eTradeHoldingRatio",N45, "eTradeLotQtyRatio",O45,"manualLotRatio",P45)</f>
        <v>0</v>
      </c>
      <c r="R45" s="199">
        <f>IF(C45&lt;Reference!$B$26,Reference!$C$26,0)</f>
        <v>0</v>
      </c>
      <c r="S45" s="199">
        <f>IF(C45&lt;Reference!$B$27,Reference!$C$27,0)</f>
        <v>16.87</v>
      </c>
      <c r="T45" s="199">
        <f t="shared" si="8"/>
        <v>103.65</v>
      </c>
      <c r="U45" s="199">
        <f t="shared" si="9"/>
        <v>0</v>
      </c>
      <c r="V45" s="205">
        <f>$D45*Reference!$B$5*Reference!$B$6</f>
        <v>0</v>
      </c>
      <c r="W45" s="205">
        <f>$D45*K45*Reference!$B$6</f>
        <v>0</v>
      </c>
      <c r="X45" s="206">
        <f>$D45*L45*Reference!$B$6</f>
        <v>0</v>
      </c>
      <c r="Y45" s="206">
        <f>SWITCH(Reference!$E$4,"eTradeHoldingRatio",V45, "eTradeLotQtyRatio",W45,"manualLotRatio",X45)</f>
        <v>0</v>
      </c>
      <c r="Z45" s="207">
        <f>MAX(Q45+(Y45*Reference!$B$18)-U45,0)</f>
        <v>0</v>
      </c>
      <c r="AA45" s="208">
        <f>IF(J45,Summary!$C$41/ (J$86+ESPP!$N$28), 0)</f>
        <v>0</v>
      </c>
      <c r="AB45" s="305">
        <f>IF(J45,(Reference!$B$23 - AF45) * AA45, 0)</f>
        <v>0</v>
      </c>
      <c r="AC45" s="210">
        <f t="shared" si="10"/>
        <v>0</v>
      </c>
      <c r="AD45" s="306">
        <f>IF(DATEDIF(C45,Reference!$B$28,"Y")&gt;=1,0,AC45+AB45)</f>
        <v>0</v>
      </c>
      <c r="AE45" s="306">
        <f>IF(DATEDIF(C45,Reference!$B$28,"Y")&gt;=1,AC45+AB45,0)</f>
        <v>0</v>
      </c>
      <c r="AF45" s="307" t="str">
        <f t="shared" si="11"/>
        <v>n/a</v>
      </c>
      <c r="AG45" s="214">
        <f>iferror((Reference!$B$10-AF45)*Y45 - AA45, 0)</f>
        <v>0</v>
      </c>
      <c r="AH45" s="214">
        <f>IF(DATEDIF(C45,Reference!$B$29,"Y")&gt;=1,0,AG45)</f>
        <v>0</v>
      </c>
      <c r="AI45" s="217">
        <f>IF(DATEDIF(C45,Reference!$B$29,"Y")&gt;=1,AG45,0)</f>
        <v>0</v>
      </c>
    </row>
    <row r="46">
      <c r="A46" s="300" t="s">
        <v>181</v>
      </c>
      <c r="B46" s="301">
        <v>43462.0</v>
      </c>
      <c r="C46" s="195">
        <v>43952.0</v>
      </c>
      <c r="D46" s="196"/>
      <c r="E46" s="302">
        <v>125.34</v>
      </c>
      <c r="F46" s="303"/>
      <c r="G46" s="199">
        <f t="shared" si="5"/>
        <v>0</v>
      </c>
      <c r="H46" s="207">
        <f t="shared" si="6"/>
        <v>0</v>
      </c>
      <c r="I46" s="304"/>
      <c r="J46" s="220" t="b">
        <v>0</v>
      </c>
      <c r="K46" s="203">
        <f t="shared" si="7"/>
        <v>0</v>
      </c>
      <c r="L46" s="203">
        <f>SWITCH(M46,"cash",Reference!E$5,"shares",Reference!$E$6,"balance",Reference!$E$7)</f>
        <v>0</v>
      </c>
      <c r="M46" s="204" t="s">
        <v>160</v>
      </c>
      <c r="N46" s="199">
        <f>LET(ratio,Reference!$B$4, ratio*Reference!$B$3*D46)</f>
        <v>0</v>
      </c>
      <c r="O46" s="199">
        <f>iferror(LET(ratio, K46,(1-ratio) * Reference!$B$3 * $D46),0)</f>
        <v>0</v>
      </c>
      <c r="P46" s="199">
        <f>iferror(LET(ratio, L46,(1-ratio) * Reference!$B$3 * $D46),0)</f>
        <v>0</v>
      </c>
      <c r="Q46" s="199">
        <f>SWITCH(Reference!$E$4,"eTradeHoldingRatio",N46, "eTradeLotQtyRatio",O46,"manualLotRatio",P46)</f>
        <v>0</v>
      </c>
      <c r="R46" s="199">
        <f>IF(C46&lt;Reference!$B$26,Reference!$C$26,0)</f>
        <v>0</v>
      </c>
      <c r="S46" s="199">
        <f>IF(C46&lt;Reference!$B$27,Reference!$C$27,0)</f>
        <v>16.87</v>
      </c>
      <c r="T46" s="199">
        <f t="shared" si="8"/>
        <v>108.47</v>
      </c>
      <c r="U46" s="199">
        <f t="shared" si="9"/>
        <v>0</v>
      </c>
      <c r="V46" s="205">
        <f>$D46*Reference!$B$5*Reference!$B$6</f>
        <v>0</v>
      </c>
      <c r="W46" s="205">
        <f>$D46*K46*Reference!$B$6</f>
        <v>0</v>
      </c>
      <c r="X46" s="206">
        <f>$D46*L46*Reference!$B$6</f>
        <v>0</v>
      </c>
      <c r="Y46" s="206">
        <f>SWITCH(Reference!$E$4,"eTradeHoldingRatio",V46, "eTradeLotQtyRatio",W46,"manualLotRatio",X46)</f>
        <v>0</v>
      </c>
      <c r="Z46" s="207">
        <f>MAX(Q46+(Y46*Reference!$B$18)-U46,0)</f>
        <v>0</v>
      </c>
      <c r="AA46" s="208">
        <f>IF(J46,Summary!$C$41/ (J$86+ESPP!$N$28), 0)</f>
        <v>0</v>
      </c>
      <c r="AB46" s="305">
        <f>IF(J46,(Reference!$B$23 - AF46) * AA46, 0)</f>
        <v>0</v>
      </c>
      <c r="AC46" s="210">
        <f t="shared" si="10"/>
        <v>0</v>
      </c>
      <c r="AD46" s="306">
        <f>IF(DATEDIF(C46,Reference!$B$28,"Y")&gt;=1,0,AC46+AB46)</f>
        <v>0</v>
      </c>
      <c r="AE46" s="306">
        <f>IF(DATEDIF(C46,Reference!$B$28,"Y")&gt;=1,AC46+AB46,0)</f>
        <v>0</v>
      </c>
      <c r="AF46" s="307" t="str">
        <f t="shared" si="11"/>
        <v>n/a</v>
      </c>
      <c r="AG46" s="214">
        <f>iferror((Reference!$B$10-AF46)*Y46 - AA46, 0)</f>
        <v>0</v>
      </c>
      <c r="AH46" s="214">
        <f>IF(DATEDIF(C46,Reference!$B$29,"Y")&gt;=1,0,AG46)</f>
        <v>0</v>
      </c>
      <c r="AI46" s="217">
        <f>IF(DATEDIF(C46,Reference!$B$29,"Y")&gt;=1,AG46,0)</f>
        <v>0</v>
      </c>
    </row>
    <row r="47">
      <c r="A47" s="300" t="s">
        <v>183</v>
      </c>
      <c r="B47" s="301">
        <v>43630.0</v>
      </c>
      <c r="C47" s="195">
        <v>43983.0</v>
      </c>
      <c r="D47" s="196"/>
      <c r="E47" s="302">
        <v>154.14</v>
      </c>
      <c r="F47" s="303"/>
      <c r="G47" s="199">
        <f t="shared" si="5"/>
        <v>0</v>
      </c>
      <c r="H47" s="207">
        <f t="shared" si="6"/>
        <v>0</v>
      </c>
      <c r="I47" s="309"/>
      <c r="J47" s="220" t="b">
        <v>0</v>
      </c>
      <c r="K47" s="203">
        <f t="shared" si="7"/>
        <v>0</v>
      </c>
      <c r="L47" s="203">
        <f>SWITCH(M47,"cash",Reference!E$5,"shares",Reference!$E$6,"balance",Reference!$E$7)</f>
        <v>0</v>
      </c>
      <c r="M47" s="204" t="s">
        <v>160</v>
      </c>
      <c r="N47" s="199">
        <f>LET(ratio,Reference!$B$4, ratio*Reference!$B$3*D47)</f>
        <v>0</v>
      </c>
      <c r="O47" s="199">
        <f>iferror(LET(ratio, K47,(1-ratio) * Reference!$B$3 * $D47),0)</f>
        <v>0</v>
      </c>
      <c r="P47" s="199">
        <f>iferror(LET(ratio, L47,(1-ratio) * Reference!$B$3 * $D47),0)</f>
        <v>0</v>
      </c>
      <c r="Q47" s="199">
        <f>SWITCH(Reference!$E$4,"eTradeHoldingRatio",N47, "eTradeLotQtyRatio",O47,"manualLotRatio",P47)</f>
        <v>0</v>
      </c>
      <c r="R47" s="199">
        <f>IF(C47&lt;Reference!$B$26,Reference!$C$26,0)</f>
        <v>0</v>
      </c>
      <c r="S47" s="199">
        <f>IF(C47&lt;Reference!$B$27,Reference!$C$27,0)</f>
        <v>16.87</v>
      </c>
      <c r="T47" s="199">
        <f t="shared" si="8"/>
        <v>137.27</v>
      </c>
      <c r="U47" s="199">
        <f t="shared" si="9"/>
        <v>0</v>
      </c>
      <c r="V47" s="205">
        <f>$D47*Reference!$B$5*Reference!$B$6</f>
        <v>0</v>
      </c>
      <c r="W47" s="205">
        <f>$D47*K47*Reference!$B$6</f>
        <v>0</v>
      </c>
      <c r="X47" s="206">
        <f>$D47*L47*Reference!$B$6</f>
        <v>0</v>
      </c>
      <c r="Y47" s="206">
        <f>SWITCH(Reference!$E$4,"eTradeHoldingRatio",V47, "eTradeLotQtyRatio",W47,"manualLotRatio",X47)</f>
        <v>0</v>
      </c>
      <c r="Z47" s="207">
        <f>MAX(Q47+(Y47*Reference!$B$18)-U47,0)</f>
        <v>0</v>
      </c>
      <c r="AA47" s="208">
        <f>IF(J47,Summary!$C$41/ (J$86+ESPP!$N$28), 0)</f>
        <v>0</v>
      </c>
      <c r="AB47" s="305">
        <f>IF(J47,(Reference!$B$23 - AF47) * AA47, 0)</f>
        <v>0</v>
      </c>
      <c r="AC47" s="210">
        <f t="shared" si="10"/>
        <v>0</v>
      </c>
      <c r="AD47" s="306">
        <f>IF(DATEDIF(C47,Reference!$B$28,"Y")&gt;=1,0,AC47+AB47)</f>
        <v>0</v>
      </c>
      <c r="AE47" s="306">
        <f>IF(DATEDIF(C47,Reference!$B$28,"Y")&gt;=1,AC47+AB47,0)</f>
        <v>0</v>
      </c>
      <c r="AF47" s="307" t="str">
        <f t="shared" si="11"/>
        <v>n/a</v>
      </c>
      <c r="AG47" s="214">
        <f>iferror((Reference!$B$10-AF47)*Y47 - AA47, 0)</f>
        <v>0</v>
      </c>
      <c r="AH47" s="214">
        <f>IF(DATEDIF(C47,Reference!$B$29,"Y")&gt;=1,0,AG47)</f>
        <v>0</v>
      </c>
      <c r="AI47" s="217">
        <f>IF(DATEDIF(C47,Reference!$B$29,"Y")&gt;=1,AG47,0)</f>
        <v>0</v>
      </c>
    </row>
    <row r="48">
      <c r="A48" s="300" t="s">
        <v>182</v>
      </c>
      <c r="B48" s="301">
        <v>43462.0</v>
      </c>
      <c r="C48" s="195">
        <v>43983.0</v>
      </c>
      <c r="D48" s="196"/>
      <c r="E48" s="302">
        <v>154.14</v>
      </c>
      <c r="F48" s="303"/>
      <c r="G48" s="199">
        <f t="shared" si="5"/>
        <v>0</v>
      </c>
      <c r="H48" s="207">
        <f t="shared" si="6"/>
        <v>0</v>
      </c>
      <c r="I48" s="304"/>
      <c r="J48" s="220" t="b">
        <v>0</v>
      </c>
      <c r="K48" s="203">
        <f t="shared" si="7"/>
        <v>0</v>
      </c>
      <c r="L48" s="203">
        <f>SWITCH(M48,"cash",Reference!E$5,"shares",Reference!$E$6,"balance",Reference!$E$7)</f>
        <v>0</v>
      </c>
      <c r="M48" s="204" t="s">
        <v>160</v>
      </c>
      <c r="N48" s="199">
        <f>LET(ratio,Reference!$B$4, ratio*Reference!$B$3*D48)</f>
        <v>0</v>
      </c>
      <c r="O48" s="199">
        <f>iferror(LET(ratio, K48,(1-ratio) * Reference!$B$3 * $D48),0)</f>
        <v>0</v>
      </c>
      <c r="P48" s="199">
        <f>iferror(LET(ratio, L48,(1-ratio) * Reference!$B$3 * $D48),0)</f>
        <v>0</v>
      </c>
      <c r="Q48" s="199">
        <f>SWITCH(Reference!$E$4,"eTradeHoldingRatio",N48, "eTradeLotQtyRatio",O48,"manualLotRatio",P48)</f>
        <v>0</v>
      </c>
      <c r="R48" s="199">
        <f>IF(C48&lt;Reference!$B$26,Reference!$C$26,0)</f>
        <v>0</v>
      </c>
      <c r="S48" s="199">
        <f>IF(C48&lt;Reference!$B$27,Reference!$C$27,0)</f>
        <v>16.87</v>
      </c>
      <c r="T48" s="199">
        <f t="shared" si="8"/>
        <v>137.27</v>
      </c>
      <c r="U48" s="199">
        <f t="shared" si="9"/>
        <v>0</v>
      </c>
      <c r="V48" s="205">
        <f>$D48*Reference!$B$5*Reference!$B$6</f>
        <v>0</v>
      </c>
      <c r="W48" s="205">
        <f>$D48*K48*Reference!$B$6</f>
        <v>0</v>
      </c>
      <c r="X48" s="206">
        <f>$D48*L48*Reference!$B$6</f>
        <v>0</v>
      </c>
      <c r="Y48" s="206">
        <f>SWITCH(Reference!$E$4,"eTradeHoldingRatio",V48, "eTradeLotQtyRatio",W48,"manualLotRatio",X48)</f>
        <v>0</v>
      </c>
      <c r="Z48" s="207">
        <f>MAX(Q48+(Y48*Reference!$B$18)-U48,0)</f>
        <v>0</v>
      </c>
      <c r="AA48" s="208">
        <f>IF(J48,Summary!$C$41/ (J$86+ESPP!$N$28), 0)</f>
        <v>0</v>
      </c>
      <c r="AB48" s="305">
        <f>IF(J48,(Reference!$B$23 - AF48) * AA48, 0)</f>
        <v>0</v>
      </c>
      <c r="AC48" s="210">
        <f t="shared" si="10"/>
        <v>0</v>
      </c>
      <c r="AD48" s="306">
        <f>IF(DATEDIF(C48,Reference!$B$28,"Y")&gt;=1,0,AC48+AB48)</f>
        <v>0</v>
      </c>
      <c r="AE48" s="306">
        <f>IF(DATEDIF(C48,Reference!$B$28,"Y")&gt;=1,AC48+AB48,0)</f>
        <v>0</v>
      </c>
      <c r="AF48" s="307" t="str">
        <f t="shared" si="11"/>
        <v>n/a</v>
      </c>
      <c r="AG48" s="214">
        <f>iferror((Reference!$B$10-AF48)*Y48 - AA48, 0)</f>
        <v>0</v>
      </c>
      <c r="AH48" s="214">
        <f>IF(DATEDIF(C48,Reference!$B$29,"Y")&gt;=1,0,AG48)</f>
        <v>0</v>
      </c>
      <c r="AI48" s="217">
        <f>IF(DATEDIF(C48,Reference!$B$29,"Y")&gt;=1,AG48,0)</f>
        <v>0</v>
      </c>
    </row>
    <row r="49">
      <c r="A49" s="300" t="s">
        <v>179</v>
      </c>
      <c r="B49" s="301">
        <v>43462.0</v>
      </c>
      <c r="C49" s="195">
        <v>44013.0</v>
      </c>
      <c r="D49" s="196"/>
      <c r="E49" s="302">
        <v>153.1</v>
      </c>
      <c r="F49" s="303"/>
      <c r="G49" s="199">
        <f t="shared" si="5"/>
        <v>0</v>
      </c>
      <c r="H49" s="207">
        <f t="shared" si="6"/>
        <v>0</v>
      </c>
      <c r="I49" s="304"/>
      <c r="J49" s="220" t="b">
        <v>0</v>
      </c>
      <c r="K49" s="203">
        <f t="shared" si="7"/>
        <v>0</v>
      </c>
      <c r="L49" s="203">
        <f>SWITCH(M49,"cash",Reference!E$5,"shares",Reference!$E$6,"balance",Reference!$E$7)</f>
        <v>0</v>
      </c>
      <c r="M49" s="204" t="s">
        <v>160</v>
      </c>
      <c r="N49" s="199">
        <f>LET(ratio,Reference!$B$4, ratio*Reference!$B$3*D49)</f>
        <v>0</v>
      </c>
      <c r="O49" s="199">
        <f>iferror(LET(ratio, K49,(1-ratio) * Reference!$B$3 * $D49),0)</f>
        <v>0</v>
      </c>
      <c r="P49" s="199">
        <f>iferror(LET(ratio, L49,(1-ratio) * Reference!$B$3 * $D49),0)</f>
        <v>0</v>
      </c>
      <c r="Q49" s="199">
        <f>SWITCH(Reference!$E$4,"eTradeHoldingRatio",N49, "eTradeLotQtyRatio",O49,"manualLotRatio",P49)</f>
        <v>0</v>
      </c>
      <c r="R49" s="199">
        <f>IF(C49&lt;Reference!$B$26,Reference!$C$26,0)</f>
        <v>0</v>
      </c>
      <c r="S49" s="199">
        <f>IF(C49&lt;Reference!$B$27,Reference!$C$27,0)</f>
        <v>16.87</v>
      </c>
      <c r="T49" s="199">
        <f t="shared" si="8"/>
        <v>136.23</v>
      </c>
      <c r="U49" s="199">
        <f t="shared" si="9"/>
        <v>0</v>
      </c>
      <c r="V49" s="205">
        <f>$D49*Reference!$B$5*Reference!$B$6</f>
        <v>0</v>
      </c>
      <c r="W49" s="205">
        <f>$D49*K49*Reference!$B$6</f>
        <v>0</v>
      </c>
      <c r="X49" s="206">
        <f>$D49*L49*Reference!$B$6</f>
        <v>0</v>
      </c>
      <c r="Y49" s="206">
        <f>SWITCH(Reference!$E$4,"eTradeHoldingRatio",V49, "eTradeLotQtyRatio",W49,"manualLotRatio",X49)</f>
        <v>0</v>
      </c>
      <c r="Z49" s="207">
        <f>MAX(Q49+(Y49*Reference!$B$18)-U49,0)</f>
        <v>0</v>
      </c>
      <c r="AA49" s="208">
        <f>IF(J49,Summary!$C$41/ (J$86+ESPP!$N$28), 0)</f>
        <v>0</v>
      </c>
      <c r="AB49" s="305">
        <f>IF(J49,(Reference!$B$23 - AF49) * AA49, 0)</f>
        <v>0</v>
      </c>
      <c r="AC49" s="210">
        <f t="shared" si="10"/>
        <v>0</v>
      </c>
      <c r="AD49" s="306">
        <f>IF(DATEDIF(C49,Reference!$B$28,"Y")&gt;=1,0,AC49+AB49)</f>
        <v>0</v>
      </c>
      <c r="AE49" s="306">
        <f>IF(DATEDIF(C49,Reference!$B$28,"Y")&gt;=1,AC49+AB49,0)</f>
        <v>0</v>
      </c>
      <c r="AF49" s="307" t="str">
        <f t="shared" si="11"/>
        <v>n/a</v>
      </c>
      <c r="AG49" s="214">
        <f>iferror((Reference!$B$10-AF49)*Y49 - AA49, 0)</f>
        <v>0</v>
      </c>
      <c r="AH49" s="214">
        <f>IF(DATEDIF(C49,Reference!$B$29,"Y")&gt;=1,0,AG49)</f>
        <v>0</v>
      </c>
      <c r="AI49" s="217">
        <f>IF(DATEDIF(C49,Reference!$B$29,"Y")&gt;=1,AG49,0)</f>
        <v>0</v>
      </c>
    </row>
    <row r="50">
      <c r="A50" s="300"/>
      <c r="B50" s="310"/>
      <c r="C50" s="311">
        <v>44075.0</v>
      </c>
      <c r="D50" s="196"/>
      <c r="E50" s="302">
        <v>141.28</v>
      </c>
      <c r="F50" s="303"/>
      <c r="G50" s="199">
        <f t="shared" si="5"/>
        <v>0</v>
      </c>
      <c r="H50" s="207">
        <f t="shared" si="6"/>
        <v>0</v>
      </c>
      <c r="I50" s="304"/>
      <c r="J50" s="220" t="b">
        <v>0</v>
      </c>
      <c r="K50" s="203">
        <f t="shared" si="7"/>
        <v>0</v>
      </c>
      <c r="L50" s="203">
        <f>SWITCH(M50,"cash",Reference!E$5,"shares",Reference!$E$6,"balance",Reference!$E$7)</f>
        <v>0</v>
      </c>
      <c r="M50" s="204" t="s">
        <v>160</v>
      </c>
      <c r="N50" s="199">
        <f>LET(ratio,Reference!$B$4, ratio*Reference!$B$3*D50)</f>
        <v>0</v>
      </c>
      <c r="O50" s="199">
        <f>iferror(LET(ratio, K50,(1-ratio) * Reference!$B$3 * $D50),0)</f>
        <v>0</v>
      </c>
      <c r="P50" s="199">
        <f>iferror(LET(ratio, L50,(1-ratio) * Reference!$B$3 * $D50),0)</f>
        <v>0</v>
      </c>
      <c r="Q50" s="199">
        <f>SWITCH(Reference!$E$4,"eTradeHoldingRatio",N50, "eTradeLotQtyRatio",O50,"manualLotRatio",P50)</f>
        <v>0</v>
      </c>
      <c r="R50" s="199">
        <f>IF(C50&lt;Reference!$B$26,Reference!$C$26,0)</f>
        <v>0</v>
      </c>
      <c r="S50" s="199">
        <f>IF(C50&lt;Reference!$B$27,Reference!$C$27,0)</f>
        <v>16.87</v>
      </c>
      <c r="T50" s="199">
        <f t="shared" si="8"/>
        <v>124.41</v>
      </c>
      <c r="U50" s="199">
        <f t="shared" si="9"/>
        <v>0</v>
      </c>
      <c r="V50" s="205">
        <f>$D50*Reference!$B$5*Reference!$B$6</f>
        <v>0</v>
      </c>
      <c r="W50" s="205">
        <f>$D50*K50*Reference!$B$6</f>
        <v>0</v>
      </c>
      <c r="X50" s="206">
        <f>$D50*L50*Reference!$B$6</f>
        <v>0</v>
      </c>
      <c r="Y50" s="206">
        <f>SWITCH(Reference!$E$4,"eTradeHoldingRatio",V50, "eTradeLotQtyRatio",W50,"manualLotRatio",X50)</f>
        <v>0</v>
      </c>
      <c r="Z50" s="207">
        <f>MAX(Q50+(Y50*Reference!$B$18)-U50,0)</f>
        <v>0</v>
      </c>
      <c r="AA50" s="208">
        <f>IF(J50,Summary!$C$41/ (J$86+ESPP!$N$28), 0)</f>
        <v>0</v>
      </c>
      <c r="AB50" s="305">
        <f>IF(J50,(Reference!$B$23 - AF50) * AA50, 0)</f>
        <v>0</v>
      </c>
      <c r="AC50" s="210">
        <f t="shared" si="10"/>
        <v>0</v>
      </c>
      <c r="AD50" s="306">
        <f>IF(DATEDIF(C50,Reference!$B$28,"Y")&gt;=1,0,AC50+AB50)</f>
        <v>0</v>
      </c>
      <c r="AE50" s="306">
        <f>IF(DATEDIF(C50,Reference!$B$28,"Y")&gt;=1,AC50+AB50,0)</f>
        <v>0</v>
      </c>
      <c r="AF50" s="307" t="str">
        <f t="shared" si="11"/>
        <v>n/a</v>
      </c>
      <c r="AG50" s="214">
        <f>iferror((Reference!$B$10-AF50)*Y50 - AA50, 0)</f>
        <v>0</v>
      </c>
      <c r="AH50" s="214">
        <f>IF(DATEDIF(C50,Reference!$B$29,"Y")&gt;=1,0,AG50)</f>
        <v>0</v>
      </c>
      <c r="AI50" s="217">
        <f>IF(DATEDIF(C50,Reference!$B$29,"Y")&gt;=1,AG50,0)</f>
        <v>0</v>
      </c>
    </row>
    <row r="51">
      <c r="A51" s="300" t="s">
        <v>183</v>
      </c>
      <c r="B51" s="301">
        <v>43630.0</v>
      </c>
      <c r="C51" s="195">
        <v>44166.0</v>
      </c>
      <c r="D51" s="196"/>
      <c r="E51" s="302">
        <v>140.75</v>
      </c>
      <c r="F51" s="303"/>
      <c r="G51" s="199">
        <f t="shared" si="5"/>
        <v>0</v>
      </c>
      <c r="H51" s="207">
        <f t="shared" si="6"/>
        <v>0</v>
      </c>
      <c r="I51" s="309"/>
      <c r="J51" s="220" t="b">
        <v>0</v>
      </c>
      <c r="K51" s="203">
        <f t="shared" si="7"/>
        <v>0</v>
      </c>
      <c r="L51" s="203">
        <f>SWITCH(M51,"cash",Reference!E$5,"shares",Reference!$E$6,"balance",Reference!$E$7)</f>
        <v>0</v>
      </c>
      <c r="M51" s="204" t="s">
        <v>160</v>
      </c>
      <c r="N51" s="199">
        <f>LET(ratio,Reference!$B$4, ratio*Reference!$B$3*D51)</f>
        <v>0</v>
      </c>
      <c r="O51" s="199">
        <f>iferror(LET(ratio, K51,(1-ratio) * Reference!$B$3 * $D51),0)</f>
        <v>0</v>
      </c>
      <c r="P51" s="199">
        <f>iferror(LET(ratio, L51,(1-ratio) * Reference!$B$3 * $D51),0)</f>
        <v>0</v>
      </c>
      <c r="Q51" s="199">
        <f>SWITCH(Reference!$E$4,"eTradeHoldingRatio",N51, "eTradeLotQtyRatio",O51,"manualLotRatio",P51)</f>
        <v>0</v>
      </c>
      <c r="R51" s="199">
        <f>IF(C51&lt;Reference!$B$26,Reference!$C$26,0)</f>
        <v>0</v>
      </c>
      <c r="S51" s="199">
        <f>IF(C51&lt;Reference!$B$27,Reference!$C$27,0)</f>
        <v>16.87</v>
      </c>
      <c r="T51" s="199">
        <f t="shared" si="8"/>
        <v>123.88</v>
      </c>
      <c r="U51" s="199">
        <f t="shared" si="9"/>
        <v>0</v>
      </c>
      <c r="V51" s="205">
        <f>$D51*Reference!$B$5*Reference!$B$6</f>
        <v>0</v>
      </c>
      <c r="W51" s="205">
        <f>$D51*K51*Reference!$B$6</f>
        <v>0</v>
      </c>
      <c r="X51" s="206">
        <f>$D51*L51*Reference!$B$6</f>
        <v>0</v>
      </c>
      <c r="Y51" s="206">
        <f>SWITCH(Reference!$E$4,"eTradeHoldingRatio",V51, "eTradeLotQtyRatio",W51,"manualLotRatio",X51)</f>
        <v>0</v>
      </c>
      <c r="Z51" s="207">
        <f>MAX(Q51+(Y51*Reference!$B$18)-U51,0)</f>
        <v>0</v>
      </c>
      <c r="AA51" s="208">
        <f>IF(J51,Summary!$C$41/ (J$86+ESPP!$N$28), 0)</f>
        <v>0</v>
      </c>
      <c r="AB51" s="305">
        <f>IF(J51,(Reference!$B$23 - AF51) * AA51, 0)</f>
        <v>0</v>
      </c>
      <c r="AC51" s="210">
        <f t="shared" si="10"/>
        <v>0</v>
      </c>
      <c r="AD51" s="306">
        <f>IF(DATEDIF(C51,Reference!$B$28,"Y")&gt;=1,0,AC51+AB51)</f>
        <v>0</v>
      </c>
      <c r="AE51" s="306">
        <f>IF(DATEDIF(C51,Reference!$B$28,"Y")&gt;=1,AC51+AB51,0)</f>
        <v>0</v>
      </c>
      <c r="AF51" s="307" t="str">
        <f t="shared" si="11"/>
        <v>n/a</v>
      </c>
      <c r="AG51" s="214">
        <f>iferror((Reference!$B$10-AF51)*Y51 - AA51, 0)</f>
        <v>0</v>
      </c>
      <c r="AH51" s="214">
        <f>IF(DATEDIF(C51,Reference!$B$29,"Y")&gt;=1,0,AG51)</f>
        <v>0</v>
      </c>
      <c r="AI51" s="217">
        <f>IF(DATEDIF(C51,Reference!$B$29,"Y")&gt;=1,AG51,0)</f>
        <v>0</v>
      </c>
    </row>
    <row r="52">
      <c r="A52" s="300" t="s">
        <v>182</v>
      </c>
      <c r="B52" s="301">
        <v>43462.0</v>
      </c>
      <c r="C52" s="195">
        <v>44166.0</v>
      </c>
      <c r="D52" s="196"/>
      <c r="E52" s="302">
        <v>140.75</v>
      </c>
      <c r="F52" s="303"/>
      <c r="G52" s="199">
        <f t="shared" si="5"/>
        <v>0</v>
      </c>
      <c r="H52" s="207">
        <f t="shared" si="6"/>
        <v>0</v>
      </c>
      <c r="I52" s="304"/>
      <c r="J52" s="220" t="b">
        <v>0</v>
      </c>
      <c r="K52" s="203">
        <f t="shared" si="7"/>
        <v>0</v>
      </c>
      <c r="L52" s="203">
        <f>SWITCH(M52,"cash",Reference!E$5,"shares",Reference!$E$6,"balance",Reference!$E$7)</f>
        <v>0</v>
      </c>
      <c r="M52" s="204" t="s">
        <v>160</v>
      </c>
      <c r="N52" s="199">
        <f>LET(ratio,Reference!$B$4, ratio*Reference!$B$3*D52)</f>
        <v>0</v>
      </c>
      <c r="O52" s="199">
        <f>iferror(LET(ratio, K52,(1-ratio) * Reference!$B$3 * $D52),0)</f>
        <v>0</v>
      </c>
      <c r="P52" s="199">
        <f>iferror(LET(ratio, L52,(1-ratio) * Reference!$B$3 * $D52),0)</f>
        <v>0</v>
      </c>
      <c r="Q52" s="199">
        <f>SWITCH(Reference!$E$4,"eTradeHoldingRatio",N52, "eTradeLotQtyRatio",O52,"manualLotRatio",P52)</f>
        <v>0</v>
      </c>
      <c r="R52" s="199">
        <f>IF(C52&lt;Reference!$B$26,Reference!$C$26,0)</f>
        <v>0</v>
      </c>
      <c r="S52" s="199">
        <f>IF(C52&lt;Reference!$B$27,Reference!$C$27,0)</f>
        <v>16.87</v>
      </c>
      <c r="T52" s="199">
        <f t="shared" si="8"/>
        <v>123.88</v>
      </c>
      <c r="U52" s="199">
        <f t="shared" si="9"/>
        <v>0</v>
      </c>
      <c r="V52" s="205">
        <f>$D52*Reference!$B$5*Reference!$B$6</f>
        <v>0</v>
      </c>
      <c r="W52" s="205">
        <f>$D52*K52*Reference!$B$6</f>
        <v>0</v>
      </c>
      <c r="X52" s="206">
        <f>$D52*L52*Reference!$B$6</f>
        <v>0</v>
      </c>
      <c r="Y52" s="206">
        <f>SWITCH(Reference!$E$4,"eTradeHoldingRatio",V52, "eTradeLotQtyRatio",W52,"manualLotRatio",X52)</f>
        <v>0</v>
      </c>
      <c r="Z52" s="207">
        <f>MAX(Q52+(Y52*Reference!$B$18)-U52,0)</f>
        <v>0</v>
      </c>
      <c r="AA52" s="208">
        <f>IF(J52,Summary!$C$41/ (J$86+ESPP!$N$28), 0)</f>
        <v>0</v>
      </c>
      <c r="AB52" s="305">
        <f>IF(J52,(Reference!$B$23 - AF52) * AA52, 0)</f>
        <v>0</v>
      </c>
      <c r="AC52" s="210">
        <f t="shared" si="10"/>
        <v>0</v>
      </c>
      <c r="AD52" s="306">
        <f>IF(DATEDIF(C52,Reference!$B$28,"Y")&gt;=1,0,AC52+AB52)</f>
        <v>0</v>
      </c>
      <c r="AE52" s="306">
        <f>IF(DATEDIF(C52,Reference!$B$28,"Y")&gt;=1,AC52+AB52,0)</f>
        <v>0</v>
      </c>
      <c r="AF52" s="307" t="str">
        <f t="shared" si="11"/>
        <v>n/a</v>
      </c>
      <c r="AG52" s="214">
        <f>iferror((Reference!$B$10-AF52)*Y52 - AA52, 0)</f>
        <v>0</v>
      </c>
      <c r="AH52" s="214">
        <f>IF(DATEDIF(C52,Reference!$B$29,"Y")&gt;=1,0,AG52)</f>
        <v>0</v>
      </c>
      <c r="AI52" s="217">
        <f>IF(DATEDIF(C52,Reference!$B$29,"Y")&gt;=1,AG52,0)</f>
        <v>0</v>
      </c>
    </row>
    <row r="53">
      <c r="A53" s="300" t="s">
        <v>179</v>
      </c>
      <c r="B53" s="301">
        <v>43462.0</v>
      </c>
      <c r="C53" s="195">
        <v>44197.0</v>
      </c>
      <c r="D53" s="196"/>
      <c r="E53" s="302">
        <v>140.26</v>
      </c>
      <c r="F53" s="303"/>
      <c r="G53" s="199">
        <f t="shared" si="5"/>
        <v>0</v>
      </c>
      <c r="H53" s="207">
        <f t="shared" si="6"/>
        <v>0</v>
      </c>
      <c r="I53" s="309"/>
      <c r="J53" s="220" t="b">
        <v>0</v>
      </c>
      <c r="K53" s="203">
        <f t="shared" si="7"/>
        <v>0</v>
      </c>
      <c r="L53" s="203">
        <f>SWITCH(M53,"cash",Reference!E$5,"shares",Reference!$E$6,"balance",Reference!$E$7)</f>
        <v>0</v>
      </c>
      <c r="M53" s="204" t="s">
        <v>160</v>
      </c>
      <c r="N53" s="199">
        <f>LET(ratio,Reference!$B$4, ratio*Reference!$B$3*D53)</f>
        <v>0</v>
      </c>
      <c r="O53" s="199">
        <f>iferror(LET(ratio, K53,(1-ratio) * Reference!$B$3 * $D53),0)</f>
        <v>0</v>
      </c>
      <c r="P53" s="199">
        <f>iferror(LET(ratio, L53,(1-ratio) * Reference!$B$3 * $D53),0)</f>
        <v>0</v>
      </c>
      <c r="Q53" s="199">
        <f>SWITCH(Reference!$E$4,"eTradeHoldingRatio",N53, "eTradeLotQtyRatio",O53,"manualLotRatio",P53)</f>
        <v>0</v>
      </c>
      <c r="R53" s="199">
        <f>IF(C53&lt;Reference!$B$26,Reference!$C$26,0)</f>
        <v>0</v>
      </c>
      <c r="S53" s="199">
        <f>IF(C53&lt;Reference!$B$27,Reference!$C$27,0)</f>
        <v>16.87</v>
      </c>
      <c r="T53" s="199">
        <f t="shared" si="8"/>
        <v>123.39</v>
      </c>
      <c r="U53" s="199">
        <f t="shared" si="9"/>
        <v>0</v>
      </c>
      <c r="V53" s="205">
        <f>$D53*Reference!$B$5*Reference!$B$6</f>
        <v>0</v>
      </c>
      <c r="W53" s="205">
        <f>$D53*K53*Reference!$B$6</f>
        <v>0</v>
      </c>
      <c r="X53" s="206">
        <f>$D53*L53*Reference!$B$6</f>
        <v>0</v>
      </c>
      <c r="Y53" s="206">
        <f>SWITCH(Reference!$E$4,"eTradeHoldingRatio",V53, "eTradeLotQtyRatio",W53,"manualLotRatio",X53)</f>
        <v>0</v>
      </c>
      <c r="Z53" s="207">
        <f>MAX(Q53+(Y53*Reference!$B$18)-U53,0)</f>
        <v>0</v>
      </c>
      <c r="AA53" s="208">
        <f>IF(J53,Summary!$C$41/ (J$86+ESPP!$N$28), 0)</f>
        <v>0</v>
      </c>
      <c r="AB53" s="305">
        <f>IF(J53,(Reference!$B$23 - AF53) * AA53, 0)</f>
        <v>0</v>
      </c>
      <c r="AC53" s="210">
        <f t="shared" si="10"/>
        <v>0</v>
      </c>
      <c r="AD53" s="306">
        <f>IF(DATEDIF(C53,Reference!$B$28,"Y")&gt;=1,0,AC53+AB53)</f>
        <v>0</v>
      </c>
      <c r="AE53" s="306">
        <f>IF(DATEDIF(C53,Reference!$B$28,"Y")&gt;=1,AC53+AB53,0)</f>
        <v>0</v>
      </c>
      <c r="AF53" s="307" t="str">
        <f t="shared" si="11"/>
        <v>n/a</v>
      </c>
      <c r="AG53" s="214">
        <f>iferror((Reference!$B$10-AF53)*Y53 - AA53, 0)</f>
        <v>0</v>
      </c>
      <c r="AH53" s="214">
        <f>IF(DATEDIF(C53,Reference!$B$29,"Y")&gt;=1,0,AG53)</f>
        <v>0</v>
      </c>
      <c r="AI53" s="217">
        <f>IF(DATEDIF(C53,Reference!$B$29,"Y")&gt;=1,AG53,0)</f>
        <v>0</v>
      </c>
    </row>
    <row r="54">
      <c r="A54" s="300"/>
      <c r="B54" s="310"/>
      <c r="C54" s="311">
        <v>44256.0</v>
      </c>
      <c r="D54" s="196"/>
      <c r="E54" s="302">
        <v>140.41</v>
      </c>
      <c r="F54" s="303"/>
      <c r="G54" s="199">
        <f t="shared" si="5"/>
        <v>0</v>
      </c>
      <c r="H54" s="207">
        <f t="shared" si="6"/>
        <v>0</v>
      </c>
      <c r="I54" s="304"/>
      <c r="J54" s="220" t="b">
        <v>0</v>
      </c>
      <c r="K54" s="203">
        <f t="shared" si="7"/>
        <v>0</v>
      </c>
      <c r="L54" s="203">
        <f>SWITCH(M54,"cash",Reference!E$5,"shares",Reference!$E$6,"balance",Reference!$E$7)</f>
        <v>0</v>
      </c>
      <c r="M54" s="204" t="s">
        <v>160</v>
      </c>
      <c r="N54" s="199">
        <f>LET(ratio,Reference!$B$4, ratio*Reference!$B$3*D54)</f>
        <v>0</v>
      </c>
      <c r="O54" s="199">
        <f>iferror(LET(ratio, K54,(1-ratio) * Reference!$B$3 * $D54),0)</f>
        <v>0</v>
      </c>
      <c r="P54" s="199">
        <f>iferror(LET(ratio, L54,(1-ratio) * Reference!$B$3 * $D54),0)</f>
        <v>0</v>
      </c>
      <c r="Q54" s="199">
        <f>SWITCH(Reference!$E$4,"eTradeHoldingRatio",N54, "eTradeLotQtyRatio",O54,"manualLotRatio",P54)</f>
        <v>0</v>
      </c>
      <c r="R54" s="199">
        <f>IF(C54&lt;Reference!$B$26,Reference!$C$26,0)</f>
        <v>0</v>
      </c>
      <c r="S54" s="199">
        <f>IF(C54&lt;Reference!$B$27,Reference!$C$27,0)</f>
        <v>16.87</v>
      </c>
      <c r="T54" s="199">
        <f t="shared" si="8"/>
        <v>123.54</v>
      </c>
      <c r="U54" s="199">
        <f t="shared" si="9"/>
        <v>0</v>
      </c>
      <c r="V54" s="205">
        <f>$D54*Reference!$B$5*Reference!$B$6</f>
        <v>0</v>
      </c>
      <c r="W54" s="205">
        <f>$D54*K54*Reference!$B$6</f>
        <v>0</v>
      </c>
      <c r="X54" s="206">
        <f>$D54*L54*Reference!$B$6</f>
        <v>0</v>
      </c>
      <c r="Y54" s="206">
        <f>SWITCH(Reference!$E$4,"eTradeHoldingRatio",V54, "eTradeLotQtyRatio",W54,"manualLotRatio",X54)</f>
        <v>0</v>
      </c>
      <c r="Z54" s="207">
        <f>MAX(Q54+(Y54*Reference!$B$18)-U54,0)</f>
        <v>0</v>
      </c>
      <c r="AA54" s="208">
        <f>IF(J54,Summary!$C$41/ (J$86+ESPP!$N$28), 0)</f>
        <v>0</v>
      </c>
      <c r="AB54" s="305">
        <f>IF(J54,(Reference!$B$23 - AF54) * AA54, 0)</f>
        <v>0</v>
      </c>
      <c r="AC54" s="210">
        <f t="shared" si="10"/>
        <v>0</v>
      </c>
      <c r="AD54" s="306">
        <f>IF(DATEDIF(C54,Reference!$B$28,"Y")&gt;=1,0,AC54+AB54)</f>
        <v>0</v>
      </c>
      <c r="AE54" s="306">
        <f>IF(DATEDIF(C54,Reference!$B$28,"Y")&gt;=1,AC54+AB54,0)</f>
        <v>0</v>
      </c>
      <c r="AF54" s="307" t="str">
        <f t="shared" si="11"/>
        <v>n/a</v>
      </c>
      <c r="AG54" s="214">
        <f>iferror((Reference!$B$10-AF54)*Y54 - AA54, 0)</f>
        <v>0</v>
      </c>
      <c r="AH54" s="214">
        <f>IF(DATEDIF(C54,Reference!$B$29,"Y")&gt;=1,0,AG54)</f>
        <v>0</v>
      </c>
      <c r="AI54" s="217">
        <f>IF(DATEDIF(C54,Reference!$B$29,"Y")&gt;=1,AG54,0)</f>
        <v>0</v>
      </c>
    </row>
    <row r="55">
      <c r="A55" s="300" t="s">
        <v>184</v>
      </c>
      <c r="B55" s="301">
        <v>43980.0</v>
      </c>
      <c r="C55" s="195">
        <v>44317.0</v>
      </c>
      <c r="D55" s="196"/>
      <c r="E55" s="302">
        <v>160.83</v>
      </c>
      <c r="F55" s="303"/>
      <c r="G55" s="199">
        <f t="shared" si="5"/>
        <v>0</v>
      </c>
      <c r="H55" s="207">
        <f t="shared" si="6"/>
        <v>0</v>
      </c>
      <c r="I55" s="304"/>
      <c r="J55" s="220" t="b">
        <v>0</v>
      </c>
      <c r="K55" s="203">
        <f t="shared" si="7"/>
        <v>0</v>
      </c>
      <c r="L55" s="203">
        <f>SWITCH(M55,"cash",Reference!E$5,"shares",Reference!$E$6,"balance",Reference!$E$7)</f>
        <v>0</v>
      </c>
      <c r="M55" s="204" t="s">
        <v>160</v>
      </c>
      <c r="N55" s="199">
        <f>LET(ratio,Reference!$B$4, ratio*Reference!$B$3*D55)</f>
        <v>0</v>
      </c>
      <c r="O55" s="199">
        <f>iferror(LET(ratio, K55,(1-ratio) * Reference!$B$3 * $D55),0)</f>
        <v>0</v>
      </c>
      <c r="P55" s="199">
        <f>iferror(LET(ratio, L55,(1-ratio) * Reference!$B$3 * $D55),0)</f>
        <v>0</v>
      </c>
      <c r="Q55" s="199">
        <f>SWITCH(Reference!$E$4,"eTradeHoldingRatio",N55, "eTradeLotQtyRatio",O55,"manualLotRatio",P55)</f>
        <v>0</v>
      </c>
      <c r="R55" s="199">
        <f>IF(C55&lt;Reference!$B$26,Reference!$C$26,0)</f>
        <v>0</v>
      </c>
      <c r="S55" s="199">
        <f>IF(C55&lt;Reference!$B$27,Reference!$C$27,0)</f>
        <v>16.87</v>
      </c>
      <c r="T55" s="199">
        <f t="shared" si="8"/>
        <v>143.96</v>
      </c>
      <c r="U55" s="199">
        <f t="shared" si="9"/>
        <v>0</v>
      </c>
      <c r="V55" s="205">
        <f>$D55*Reference!$B$5*Reference!$B$6</f>
        <v>0</v>
      </c>
      <c r="W55" s="205">
        <f>$D55*K55*Reference!$B$6</f>
        <v>0</v>
      </c>
      <c r="X55" s="206">
        <f>$D55*L55*Reference!$B$6</f>
        <v>0</v>
      </c>
      <c r="Y55" s="206">
        <f>SWITCH(Reference!$E$4,"eTradeHoldingRatio",V55, "eTradeLotQtyRatio",W55,"manualLotRatio",X55)</f>
        <v>0</v>
      </c>
      <c r="Z55" s="207">
        <f>MAX(Q55+(Y55*Reference!$B$18)-U55,0)</f>
        <v>0</v>
      </c>
      <c r="AA55" s="208">
        <f>IF(J55,Summary!$C$41/ (J$86+ESPP!$N$28), 0)</f>
        <v>0</v>
      </c>
      <c r="AB55" s="305">
        <f>IF(J55,(Reference!$B$23 - AF55) * AA55, 0)</f>
        <v>0</v>
      </c>
      <c r="AC55" s="210">
        <f t="shared" si="10"/>
        <v>0</v>
      </c>
      <c r="AD55" s="306">
        <f>IF(DATEDIF(C55,Reference!$B$28,"Y")&gt;=1,0,AC55+AB55)</f>
        <v>0</v>
      </c>
      <c r="AE55" s="306">
        <f>IF(DATEDIF(C55,Reference!$B$28,"Y")&gt;=1,AC55+AB55,0)</f>
        <v>0</v>
      </c>
      <c r="AF55" s="307" t="str">
        <f t="shared" si="11"/>
        <v>n/a</v>
      </c>
      <c r="AG55" s="214">
        <f>iferror((Reference!$B$10-AF55)*Y55 - AA55, 0)</f>
        <v>0</v>
      </c>
      <c r="AH55" s="214">
        <f>IF(DATEDIF(C55,Reference!$B$29,"Y")&gt;=1,0,AG55)</f>
        <v>0</v>
      </c>
      <c r="AI55" s="217">
        <f>IF(DATEDIF(C55,Reference!$B$29,"Y")&gt;=1,AG55,0)</f>
        <v>0</v>
      </c>
    </row>
    <row r="56">
      <c r="A56" s="300" t="s">
        <v>183</v>
      </c>
      <c r="B56" s="301">
        <v>43630.0</v>
      </c>
      <c r="C56" s="195">
        <v>44348.0</v>
      </c>
      <c r="D56" s="196"/>
      <c r="E56" s="302">
        <v>161.26</v>
      </c>
      <c r="F56" s="303"/>
      <c r="G56" s="199">
        <f t="shared" si="5"/>
        <v>0</v>
      </c>
      <c r="H56" s="207">
        <f t="shared" si="6"/>
        <v>0</v>
      </c>
      <c r="I56" s="304"/>
      <c r="J56" s="220" t="b">
        <v>0</v>
      </c>
      <c r="K56" s="203">
        <f t="shared" si="7"/>
        <v>0</v>
      </c>
      <c r="L56" s="203">
        <f>SWITCH(M56,"cash",Reference!E$5,"shares",Reference!$E$6,"balance",Reference!$E$7)</f>
        <v>0</v>
      </c>
      <c r="M56" s="204" t="s">
        <v>160</v>
      </c>
      <c r="N56" s="199">
        <f>LET(ratio,Reference!$B$4, ratio*Reference!$B$3*D56)</f>
        <v>0</v>
      </c>
      <c r="O56" s="199">
        <f>iferror(LET(ratio, K56,(1-ratio) * Reference!$B$3 * $D56),0)</f>
        <v>0</v>
      </c>
      <c r="P56" s="199">
        <f>iferror(LET(ratio, L56,(1-ratio) * Reference!$B$3 * $D56),0)</f>
        <v>0</v>
      </c>
      <c r="Q56" s="199">
        <f>SWITCH(Reference!$E$4,"eTradeHoldingRatio",N56, "eTradeLotQtyRatio",O56,"manualLotRatio",P56)</f>
        <v>0</v>
      </c>
      <c r="R56" s="199">
        <f>IF(C56&lt;Reference!$B$26,Reference!$C$26,0)</f>
        <v>0</v>
      </c>
      <c r="S56" s="199">
        <f>IF(C56&lt;Reference!$B$27,Reference!$C$27,0)</f>
        <v>16.87</v>
      </c>
      <c r="T56" s="199">
        <f t="shared" si="8"/>
        <v>144.39</v>
      </c>
      <c r="U56" s="199">
        <f t="shared" si="9"/>
        <v>0</v>
      </c>
      <c r="V56" s="205">
        <f>$D56*Reference!$B$5*Reference!$B$6</f>
        <v>0</v>
      </c>
      <c r="W56" s="205">
        <f>$D56*K56*Reference!$B$6</f>
        <v>0</v>
      </c>
      <c r="X56" s="206">
        <f>$D56*L56*Reference!$B$6</f>
        <v>0</v>
      </c>
      <c r="Y56" s="206">
        <f>SWITCH(Reference!$E$4,"eTradeHoldingRatio",V56, "eTradeLotQtyRatio",W56,"manualLotRatio",X56)</f>
        <v>0</v>
      </c>
      <c r="Z56" s="207">
        <f>MAX(Q56+(Y56*Reference!$B$18)-U56,0)</f>
        <v>0</v>
      </c>
      <c r="AA56" s="208">
        <f>IF(J56,Summary!$C$41/ (J$86+ESPP!$N$28), 0)</f>
        <v>0</v>
      </c>
      <c r="AB56" s="305">
        <f>IF(J56,(Reference!$B$23 - AF56) * AA56, 0)</f>
        <v>0</v>
      </c>
      <c r="AC56" s="210">
        <f t="shared" si="10"/>
        <v>0</v>
      </c>
      <c r="AD56" s="306">
        <f>IF(DATEDIF(C56,Reference!$B$28,"Y")&gt;=1,0,AC56+AB56)</f>
        <v>0</v>
      </c>
      <c r="AE56" s="306">
        <f>IF(DATEDIF(C56,Reference!$B$28,"Y")&gt;=1,AC56+AB56,0)</f>
        <v>0</v>
      </c>
      <c r="AF56" s="307" t="str">
        <f t="shared" si="11"/>
        <v>n/a</v>
      </c>
      <c r="AG56" s="214">
        <f>iferror((Reference!$B$10-AF56)*Y56 - AA56, 0)</f>
        <v>0</v>
      </c>
      <c r="AH56" s="214">
        <f>IF(DATEDIF(C56,Reference!$B$29,"Y")&gt;=1,0,AG56)</f>
        <v>0</v>
      </c>
      <c r="AI56" s="217">
        <f>IF(DATEDIF(C56,Reference!$B$29,"Y")&gt;=1,AG56,0)</f>
        <v>0</v>
      </c>
    </row>
    <row r="57">
      <c r="A57" s="300" t="s">
        <v>182</v>
      </c>
      <c r="B57" s="301">
        <v>43462.0</v>
      </c>
      <c r="C57" s="195">
        <v>44348.0</v>
      </c>
      <c r="D57" s="196"/>
      <c r="E57" s="302">
        <v>161.26</v>
      </c>
      <c r="F57" s="303"/>
      <c r="G57" s="199">
        <f t="shared" si="5"/>
        <v>0</v>
      </c>
      <c r="H57" s="207">
        <f t="shared" si="6"/>
        <v>0</v>
      </c>
      <c r="I57" s="304"/>
      <c r="J57" s="220" t="b">
        <v>0</v>
      </c>
      <c r="K57" s="203">
        <f t="shared" si="7"/>
        <v>0</v>
      </c>
      <c r="L57" s="203">
        <f>SWITCH(M57,"cash",Reference!E$5,"shares",Reference!$E$6,"balance",Reference!$E$7)</f>
        <v>0</v>
      </c>
      <c r="M57" s="204" t="s">
        <v>160</v>
      </c>
      <c r="N57" s="199">
        <f>LET(ratio,Reference!$B$4, ratio*Reference!$B$3*D57)</f>
        <v>0</v>
      </c>
      <c r="O57" s="199">
        <f>iferror(LET(ratio, K57,(1-ratio) * Reference!$B$3 * $D57),0)</f>
        <v>0</v>
      </c>
      <c r="P57" s="199">
        <f>iferror(LET(ratio, L57,(1-ratio) * Reference!$B$3 * $D57),0)</f>
        <v>0</v>
      </c>
      <c r="Q57" s="199">
        <f>SWITCH(Reference!$E$4,"eTradeHoldingRatio",N57, "eTradeLotQtyRatio",O57,"manualLotRatio",P57)</f>
        <v>0</v>
      </c>
      <c r="R57" s="199">
        <f>IF(C57&lt;Reference!$B$26,Reference!$C$26,0)</f>
        <v>0</v>
      </c>
      <c r="S57" s="199">
        <f>IF(C57&lt;Reference!$B$27,Reference!$C$27,0)</f>
        <v>16.87</v>
      </c>
      <c r="T57" s="199">
        <f t="shared" si="8"/>
        <v>144.39</v>
      </c>
      <c r="U57" s="199">
        <f t="shared" si="9"/>
        <v>0</v>
      </c>
      <c r="V57" s="205">
        <f>$D57*Reference!$B$5*Reference!$B$6</f>
        <v>0</v>
      </c>
      <c r="W57" s="205">
        <f>$D57*K57*Reference!$B$6</f>
        <v>0</v>
      </c>
      <c r="X57" s="206">
        <f>$D57*L57*Reference!$B$6</f>
        <v>0</v>
      </c>
      <c r="Y57" s="206">
        <f>SWITCH(Reference!$E$4,"eTradeHoldingRatio",V57, "eTradeLotQtyRatio",W57,"manualLotRatio",X57)</f>
        <v>0</v>
      </c>
      <c r="Z57" s="207">
        <f>MAX(Q57+(Y57*Reference!$B$18)-U57,0)</f>
        <v>0</v>
      </c>
      <c r="AA57" s="208">
        <f>IF(J57,Summary!$C$41/ (J$86+ESPP!$N$28), 0)</f>
        <v>0</v>
      </c>
      <c r="AB57" s="305">
        <f>IF(J57,(Reference!$B$23 - AF57) * AA57, 0)</f>
        <v>0</v>
      </c>
      <c r="AC57" s="210">
        <f t="shared" si="10"/>
        <v>0</v>
      </c>
      <c r="AD57" s="306">
        <f>IF(DATEDIF(C57,Reference!$B$28,"Y")&gt;=1,0,AC57+AB57)</f>
        <v>0</v>
      </c>
      <c r="AE57" s="306">
        <f>IF(DATEDIF(C57,Reference!$B$28,"Y")&gt;=1,AC57+AB57,0)</f>
        <v>0</v>
      </c>
      <c r="AF57" s="307" t="str">
        <f t="shared" si="11"/>
        <v>n/a</v>
      </c>
      <c r="AG57" s="214">
        <f>iferror((Reference!$B$10-AF57)*Y57 - AA57, 0)</f>
        <v>0</v>
      </c>
      <c r="AH57" s="214">
        <f>IF(DATEDIF(C57,Reference!$B$29,"Y")&gt;=1,0,AG57)</f>
        <v>0</v>
      </c>
      <c r="AI57" s="217">
        <f>IF(DATEDIF(C57,Reference!$B$29,"Y")&gt;=1,AG57,0)</f>
        <v>0</v>
      </c>
    </row>
    <row r="58">
      <c r="A58" s="300" t="s">
        <v>179</v>
      </c>
      <c r="B58" s="301">
        <v>43462.0</v>
      </c>
      <c r="C58" s="195">
        <v>44378.0</v>
      </c>
      <c r="D58" s="196"/>
      <c r="E58" s="302">
        <v>156.13</v>
      </c>
      <c r="F58" s="303"/>
      <c r="G58" s="199">
        <f t="shared" si="5"/>
        <v>0</v>
      </c>
      <c r="H58" s="207">
        <f t="shared" si="6"/>
        <v>0</v>
      </c>
      <c r="I58" s="304"/>
      <c r="J58" s="220" t="b">
        <v>0</v>
      </c>
      <c r="K58" s="203">
        <f t="shared" si="7"/>
        <v>0</v>
      </c>
      <c r="L58" s="203">
        <f>SWITCH(M58,"cash",Reference!E$5,"shares",Reference!$E$6,"balance",Reference!$E$7)</f>
        <v>0</v>
      </c>
      <c r="M58" s="204" t="s">
        <v>160</v>
      </c>
      <c r="N58" s="199">
        <f>LET(ratio,Reference!$B$4, ratio*Reference!$B$3*D58)</f>
        <v>0</v>
      </c>
      <c r="O58" s="199">
        <f>iferror(LET(ratio, K58,(1-ratio) * Reference!$B$3 * $D58),0)</f>
        <v>0</v>
      </c>
      <c r="P58" s="199">
        <f>iferror(LET(ratio, L58,(1-ratio) * Reference!$B$3 * $D58),0)</f>
        <v>0</v>
      </c>
      <c r="Q58" s="199">
        <f>SWITCH(Reference!$E$4,"eTradeHoldingRatio",N58, "eTradeLotQtyRatio",O58,"manualLotRatio",P58)</f>
        <v>0</v>
      </c>
      <c r="R58" s="199">
        <f>IF(C58&lt;Reference!$B$26,Reference!$C$26,0)</f>
        <v>0</v>
      </c>
      <c r="S58" s="199">
        <f>IF(C58&lt;Reference!$B$27,Reference!$C$27,0)</f>
        <v>16.87</v>
      </c>
      <c r="T58" s="199">
        <f t="shared" si="8"/>
        <v>139.26</v>
      </c>
      <c r="U58" s="199">
        <f t="shared" si="9"/>
        <v>0</v>
      </c>
      <c r="V58" s="205">
        <f>$D58*Reference!$B$5*Reference!$B$6</f>
        <v>0</v>
      </c>
      <c r="W58" s="205">
        <f>$D58*K58*Reference!$B$6</f>
        <v>0</v>
      </c>
      <c r="X58" s="206">
        <f>$D58*L58*Reference!$B$6</f>
        <v>0</v>
      </c>
      <c r="Y58" s="206">
        <f>SWITCH(Reference!$E$4,"eTradeHoldingRatio",V58, "eTradeLotQtyRatio",W58,"manualLotRatio",X58)</f>
        <v>0</v>
      </c>
      <c r="Z58" s="207">
        <f>MAX(Q58+(Y58*Reference!$B$18)-U58,0)</f>
        <v>0</v>
      </c>
      <c r="AA58" s="208">
        <f>IF(J58,Summary!$C$41/ (J$86+ESPP!$N$28), 0)</f>
        <v>0</v>
      </c>
      <c r="AB58" s="305">
        <f>IF(J58,(Reference!$B$23 - AF58) * AA58, 0)</f>
        <v>0</v>
      </c>
      <c r="AC58" s="210">
        <f t="shared" si="10"/>
        <v>0</v>
      </c>
      <c r="AD58" s="306">
        <f>IF(DATEDIF(C58,Reference!$B$28,"Y")&gt;=1,0,AC58+AB58)</f>
        <v>0</v>
      </c>
      <c r="AE58" s="306">
        <f>IF(DATEDIF(C58,Reference!$B$28,"Y")&gt;=1,AC58+AB58,0)</f>
        <v>0</v>
      </c>
      <c r="AF58" s="307" t="str">
        <f t="shared" si="11"/>
        <v>n/a</v>
      </c>
      <c r="AG58" s="214">
        <f>iferror((Reference!$B$10-AF58)*Y58 - AA58, 0)</f>
        <v>0</v>
      </c>
      <c r="AH58" s="214">
        <f>IF(DATEDIF(C58,Reference!$B$29,"Y")&gt;=1,0,AG58)</f>
        <v>0</v>
      </c>
      <c r="AI58" s="217">
        <f>IF(DATEDIF(C58,Reference!$B$29,"Y")&gt;=1,AG58,0)</f>
        <v>0</v>
      </c>
    </row>
    <row r="59">
      <c r="A59" s="300"/>
      <c r="B59" s="310"/>
      <c r="C59" s="311">
        <v>44440.0</v>
      </c>
      <c r="D59" s="196"/>
      <c r="E59" s="302">
        <v>146.86</v>
      </c>
      <c r="F59" s="303"/>
      <c r="G59" s="199">
        <f t="shared" si="5"/>
        <v>0</v>
      </c>
      <c r="H59" s="207">
        <f t="shared" si="6"/>
        <v>0</v>
      </c>
      <c r="I59" s="304"/>
      <c r="J59" s="220" t="b">
        <v>0</v>
      </c>
      <c r="K59" s="203">
        <f t="shared" si="7"/>
        <v>0</v>
      </c>
      <c r="L59" s="203">
        <f>SWITCH(M59,"cash",Reference!E$5,"shares",Reference!$E$6,"balance",Reference!$E$7)</f>
        <v>0</v>
      </c>
      <c r="M59" s="204" t="s">
        <v>160</v>
      </c>
      <c r="N59" s="199">
        <f>LET(ratio,Reference!$B$4, ratio*Reference!$B$3*D59)</f>
        <v>0</v>
      </c>
      <c r="O59" s="199">
        <f>iferror(LET(ratio, K59,(1-ratio) * Reference!$B$3 * $D59),0)</f>
        <v>0</v>
      </c>
      <c r="P59" s="199">
        <f>iferror(LET(ratio, L59,(1-ratio) * Reference!$B$3 * $D59),0)</f>
        <v>0</v>
      </c>
      <c r="Q59" s="199">
        <f>SWITCH(Reference!$E$4,"eTradeHoldingRatio",N59, "eTradeLotQtyRatio",O59,"manualLotRatio",P59)</f>
        <v>0</v>
      </c>
      <c r="R59" s="199">
        <f>IF(C59&lt;Reference!$B$26,Reference!$C$26,0)</f>
        <v>0</v>
      </c>
      <c r="S59" s="199">
        <f>IF(C59&lt;Reference!$B$27,Reference!$C$27,0)</f>
        <v>16.87</v>
      </c>
      <c r="T59" s="199">
        <f t="shared" si="8"/>
        <v>129.99</v>
      </c>
      <c r="U59" s="199">
        <f t="shared" si="9"/>
        <v>0</v>
      </c>
      <c r="V59" s="205">
        <f>$D59*Reference!$B$5*Reference!$B$6</f>
        <v>0</v>
      </c>
      <c r="W59" s="205">
        <f>$D59*K59*Reference!$B$6</f>
        <v>0</v>
      </c>
      <c r="X59" s="206">
        <f>$D59*L59*Reference!$B$6</f>
        <v>0</v>
      </c>
      <c r="Y59" s="206">
        <f>SWITCH(Reference!$E$4,"eTradeHoldingRatio",V59, "eTradeLotQtyRatio",W59,"manualLotRatio",X59)</f>
        <v>0</v>
      </c>
      <c r="Z59" s="207">
        <f>MAX(Q59+(Y59*Reference!$B$18)-U59,0)</f>
        <v>0</v>
      </c>
      <c r="AA59" s="208">
        <f>IF(J59,Summary!$C$41/ (J$86+ESPP!$N$28), 0)</f>
        <v>0</v>
      </c>
      <c r="AB59" s="305">
        <f>IF(J59,(Reference!$B$23 - AF59) * AA59, 0)</f>
        <v>0</v>
      </c>
      <c r="AC59" s="210">
        <f t="shared" si="10"/>
        <v>0</v>
      </c>
      <c r="AD59" s="306">
        <f>IF(DATEDIF(C59,Reference!$B$28,"Y")&gt;=1,0,AC59+AB59)</f>
        <v>0</v>
      </c>
      <c r="AE59" s="306">
        <f>IF(DATEDIF(C59,Reference!$B$28,"Y")&gt;=1,AC59+AB59,0)</f>
        <v>0</v>
      </c>
      <c r="AF59" s="307" t="str">
        <f t="shared" si="11"/>
        <v>n/a</v>
      </c>
      <c r="AG59" s="214">
        <f>iferror((Reference!$B$10-AF59)*Y59 - AA59, 0)</f>
        <v>0</v>
      </c>
      <c r="AH59" s="214">
        <f>IF(DATEDIF(C59,Reference!$B$29,"Y")&gt;=1,0,AG59)</f>
        <v>0</v>
      </c>
      <c r="AI59" s="217">
        <f>IF(DATEDIF(C59,Reference!$B$29,"Y")&gt;=1,AG59,0)</f>
        <v>0</v>
      </c>
    </row>
    <row r="60">
      <c r="A60" s="300" t="s">
        <v>185</v>
      </c>
      <c r="B60" s="301">
        <v>44501.0</v>
      </c>
      <c r="C60" s="195">
        <v>44511.0</v>
      </c>
      <c r="D60" s="196"/>
      <c r="E60" s="302">
        <v>124.18</v>
      </c>
      <c r="F60" s="303"/>
      <c r="G60" s="199">
        <f t="shared" si="5"/>
        <v>0</v>
      </c>
      <c r="H60" s="207">
        <f t="shared" si="6"/>
        <v>0</v>
      </c>
      <c r="I60" s="304"/>
      <c r="J60" s="220" t="b">
        <v>0</v>
      </c>
      <c r="K60" s="203">
        <f t="shared" si="7"/>
        <v>0</v>
      </c>
      <c r="L60" s="203">
        <f>SWITCH(M60,"cash",Reference!E$5,"shares",Reference!$E$6,"balance",Reference!$E$7)</f>
        <v>0</v>
      </c>
      <c r="M60" s="204" t="s">
        <v>160</v>
      </c>
      <c r="N60" s="199">
        <f>LET(ratio,Reference!$B$4, ratio*Reference!$B$3*D60)</f>
        <v>0</v>
      </c>
      <c r="O60" s="199">
        <f>iferror(LET(ratio, K60,(1-ratio) * Reference!$B$3 * $D60),0)</f>
        <v>0</v>
      </c>
      <c r="P60" s="199">
        <f>iferror(LET(ratio, L60,(1-ratio) * Reference!$B$3 * $D60),0)</f>
        <v>0</v>
      </c>
      <c r="Q60" s="199">
        <f>SWITCH(Reference!$E$4,"eTradeHoldingRatio",N60, "eTradeLotQtyRatio",O60,"manualLotRatio",P60)</f>
        <v>0</v>
      </c>
      <c r="R60" s="199">
        <f>IF(C60&lt;Reference!$B$26,Reference!$C$26,0)</f>
        <v>0</v>
      </c>
      <c r="S60" s="199">
        <f>IF(C60&lt;Reference!$B$27,Reference!$C$27,0)</f>
        <v>0</v>
      </c>
      <c r="T60" s="199">
        <f t="shared" si="8"/>
        <v>124.18</v>
      </c>
      <c r="U60" s="199">
        <f t="shared" si="9"/>
        <v>0</v>
      </c>
      <c r="V60" s="205">
        <f>$D60*Reference!$B$5*Reference!$B$6</f>
        <v>0</v>
      </c>
      <c r="W60" s="205">
        <f>$D60*K60*Reference!$B$6</f>
        <v>0</v>
      </c>
      <c r="X60" s="206">
        <f>$D60*L60*Reference!$B$6</f>
        <v>0</v>
      </c>
      <c r="Y60" s="206">
        <f>SWITCH(Reference!$E$4,"eTradeHoldingRatio",V60, "eTradeLotQtyRatio",W60,"manualLotRatio",X60)</f>
        <v>0</v>
      </c>
      <c r="Z60" s="207">
        <f>MAX(Q60+(Y60*Reference!$B$18)-U60,0)</f>
        <v>0</v>
      </c>
      <c r="AA60" s="208">
        <f>IF(J60,Summary!$C$41/ (J$86+ESPP!$N$28), 0)</f>
        <v>0</v>
      </c>
      <c r="AB60" s="305">
        <f>IF(J60,(Reference!$B$23 - AF60) * AA60, 0)</f>
        <v>0</v>
      </c>
      <c r="AC60" s="210">
        <f t="shared" si="10"/>
        <v>0</v>
      </c>
      <c r="AD60" s="306">
        <f>IF(DATEDIF(C60,Reference!$B$28,"Y")&gt;=1,0,AC60+AB60)</f>
        <v>0</v>
      </c>
      <c r="AE60" s="306">
        <f>IF(DATEDIF(C60,Reference!$B$28,"Y")&gt;=1,AC60+AB60,0)</f>
        <v>0</v>
      </c>
      <c r="AF60" s="307" t="str">
        <f t="shared" si="11"/>
        <v>n/a</v>
      </c>
      <c r="AG60" s="214">
        <f>iferror((Reference!$B$10-AF60)*Y60 - AA60, 0)</f>
        <v>0</v>
      </c>
      <c r="AH60" s="214">
        <f>IF(DATEDIF(C60,Reference!$B$29,"Y")&gt;=1,0,AG60)</f>
        <v>0</v>
      </c>
      <c r="AI60" s="217">
        <f>IF(DATEDIF(C60,Reference!$B$29,"Y")&gt;=1,AG60,0)</f>
        <v>0</v>
      </c>
    </row>
    <row r="61">
      <c r="A61" s="300" t="s">
        <v>186</v>
      </c>
      <c r="B61" s="301">
        <v>44501.0</v>
      </c>
      <c r="C61" s="195">
        <v>44531.0</v>
      </c>
      <c r="D61" s="196"/>
      <c r="E61" s="302">
        <v>114.0</v>
      </c>
      <c r="F61" s="303"/>
      <c r="G61" s="199">
        <f t="shared" si="5"/>
        <v>0</v>
      </c>
      <c r="H61" s="207">
        <f t="shared" si="6"/>
        <v>0</v>
      </c>
      <c r="I61" s="304"/>
      <c r="J61" s="220" t="b">
        <v>0</v>
      </c>
      <c r="K61" s="203">
        <f t="shared" si="7"/>
        <v>0</v>
      </c>
      <c r="L61" s="203">
        <f>SWITCH(M61,"cash",Reference!E$5,"shares",Reference!$E$6,"balance",Reference!$E$7)</f>
        <v>0</v>
      </c>
      <c r="M61" s="204" t="s">
        <v>160</v>
      </c>
      <c r="N61" s="199">
        <f>LET(ratio,Reference!$B$4, ratio*Reference!$B$3*D61)</f>
        <v>0</v>
      </c>
      <c r="O61" s="199">
        <f>iferror(LET(ratio, K61,(1-ratio) * Reference!$B$3 * $D61),0)</f>
        <v>0</v>
      </c>
      <c r="P61" s="199">
        <f>iferror(LET(ratio, L61,(1-ratio) * Reference!$B$3 * $D61),0)</f>
        <v>0</v>
      </c>
      <c r="Q61" s="199">
        <f>SWITCH(Reference!$E$4,"eTradeHoldingRatio",N61, "eTradeLotQtyRatio",O61,"manualLotRatio",P61)</f>
        <v>0</v>
      </c>
      <c r="R61" s="199">
        <f>IF(C61&lt;Reference!$B$26,Reference!$C$26,0)</f>
        <v>0</v>
      </c>
      <c r="S61" s="199">
        <f>IF(C61&lt;Reference!$B$27,Reference!$C$27,0)</f>
        <v>0</v>
      </c>
      <c r="T61" s="199">
        <f t="shared" si="8"/>
        <v>114</v>
      </c>
      <c r="U61" s="199">
        <f t="shared" si="9"/>
        <v>0</v>
      </c>
      <c r="V61" s="205">
        <f>$D61*Reference!$B$5*Reference!$B$6</f>
        <v>0</v>
      </c>
      <c r="W61" s="205">
        <f>$D61*K61*Reference!$B$6</f>
        <v>0</v>
      </c>
      <c r="X61" s="206">
        <f>$D61*L61*Reference!$B$6</f>
        <v>0</v>
      </c>
      <c r="Y61" s="206">
        <f>SWITCH(Reference!$E$4,"eTradeHoldingRatio",V61, "eTradeLotQtyRatio",W61,"manualLotRatio",X61)</f>
        <v>0</v>
      </c>
      <c r="Z61" s="207">
        <f>MAX(Q61+(Y61*Reference!$B$18)-U61,0)</f>
        <v>0</v>
      </c>
      <c r="AA61" s="208">
        <f>IF(J61,Summary!$C$41/ (J$86+ESPP!$N$28), 0)</f>
        <v>0</v>
      </c>
      <c r="AB61" s="305">
        <f>IF(J61,(Reference!$B$23 - AF61) * AA61, 0)</f>
        <v>0</v>
      </c>
      <c r="AC61" s="210">
        <f t="shared" si="10"/>
        <v>0</v>
      </c>
      <c r="AD61" s="306">
        <f>IF(DATEDIF(C61,Reference!$B$28,"Y")&gt;=1,0,AC61+AB61)</f>
        <v>0</v>
      </c>
      <c r="AE61" s="306">
        <f>IF(DATEDIF(C61,Reference!$B$28,"Y")&gt;=1,AC61+AB61,0)</f>
        <v>0</v>
      </c>
      <c r="AF61" s="307" t="str">
        <f t="shared" si="11"/>
        <v>n/a</v>
      </c>
      <c r="AG61" s="214">
        <f>iferror((Reference!$B$10-AF61)*Y61 - AA61, 0)</f>
        <v>0</v>
      </c>
      <c r="AH61" s="214">
        <f>IF(DATEDIF(C61,Reference!$B$29,"Y")&gt;=1,0,AG61)</f>
        <v>0</v>
      </c>
      <c r="AI61" s="217">
        <f>IF(DATEDIF(C61,Reference!$B$29,"Y")&gt;=1,AG61,0)</f>
        <v>0</v>
      </c>
    </row>
    <row r="62">
      <c r="A62" s="300" t="s">
        <v>187</v>
      </c>
      <c r="B62" s="301">
        <v>44501.0</v>
      </c>
      <c r="C62" s="195">
        <v>44531.0</v>
      </c>
      <c r="D62" s="196"/>
      <c r="E62" s="302">
        <v>114.0</v>
      </c>
      <c r="F62" s="303"/>
      <c r="G62" s="199">
        <f t="shared" si="5"/>
        <v>0</v>
      </c>
      <c r="H62" s="207">
        <f t="shared" si="6"/>
        <v>0</v>
      </c>
      <c r="I62" s="304"/>
      <c r="J62" s="220" t="b">
        <v>0</v>
      </c>
      <c r="K62" s="203">
        <f t="shared" si="7"/>
        <v>0</v>
      </c>
      <c r="L62" s="203">
        <f>SWITCH(M62,"cash",Reference!E$5,"shares",Reference!$E$6,"balance",Reference!$E$7)</f>
        <v>0</v>
      </c>
      <c r="M62" s="204" t="s">
        <v>160</v>
      </c>
      <c r="N62" s="199">
        <f>LET(ratio,Reference!$B$4, ratio*Reference!$B$3*D62)</f>
        <v>0</v>
      </c>
      <c r="O62" s="199">
        <f>iferror(LET(ratio, K62,(1-ratio) * Reference!$B$3 * $D62),0)</f>
        <v>0</v>
      </c>
      <c r="P62" s="199">
        <f>iferror(LET(ratio, L62,(1-ratio) * Reference!$B$3 * $D62),0)</f>
        <v>0</v>
      </c>
      <c r="Q62" s="199">
        <f>SWITCH(Reference!$E$4,"eTradeHoldingRatio",N62, "eTradeLotQtyRatio",O62,"manualLotRatio",P62)</f>
        <v>0</v>
      </c>
      <c r="R62" s="199">
        <f>IF(C62&lt;Reference!$B$26,Reference!$C$26,0)</f>
        <v>0</v>
      </c>
      <c r="S62" s="199">
        <f>IF(C62&lt;Reference!$B$27,Reference!$C$27,0)</f>
        <v>0</v>
      </c>
      <c r="T62" s="199">
        <f t="shared" si="8"/>
        <v>114</v>
      </c>
      <c r="U62" s="199">
        <f t="shared" si="9"/>
        <v>0</v>
      </c>
      <c r="V62" s="205">
        <f>$D62*Reference!$B$5*Reference!$B$6</f>
        <v>0</v>
      </c>
      <c r="W62" s="205">
        <f>$D62*K62*Reference!$B$6</f>
        <v>0</v>
      </c>
      <c r="X62" s="206">
        <f>$D62*L62*Reference!$B$6</f>
        <v>0</v>
      </c>
      <c r="Y62" s="206">
        <f>SWITCH(Reference!$E$4,"eTradeHoldingRatio",V62, "eTradeLotQtyRatio",W62,"manualLotRatio",X62)</f>
        <v>0</v>
      </c>
      <c r="Z62" s="207">
        <f>MAX(Q62+(Y62*Reference!$B$18)-U62,0)</f>
        <v>0</v>
      </c>
      <c r="AA62" s="208">
        <f>IF(J62,Summary!$C$41/ (J$86+ESPP!$N$28), 0)</f>
        <v>0</v>
      </c>
      <c r="AB62" s="305">
        <f>IF(J62,(Reference!$B$23 - AF62) * AA62, 0)</f>
        <v>0</v>
      </c>
      <c r="AC62" s="210">
        <f t="shared" si="10"/>
        <v>0</v>
      </c>
      <c r="AD62" s="306">
        <f>IF(DATEDIF(C62,Reference!$B$28,"Y")&gt;=1,0,AC62+AB62)</f>
        <v>0</v>
      </c>
      <c r="AE62" s="306">
        <f>IF(DATEDIF(C62,Reference!$B$28,"Y")&gt;=1,AC62+AB62,0)</f>
        <v>0</v>
      </c>
      <c r="AF62" s="307" t="str">
        <f t="shared" si="11"/>
        <v>n/a</v>
      </c>
      <c r="AG62" s="214">
        <f>iferror((Reference!$B$10-AF62)*Y62 - AA62, 0)</f>
        <v>0</v>
      </c>
      <c r="AH62" s="214">
        <f>IF(DATEDIF(C62,Reference!$B$29,"Y")&gt;=1,0,AG62)</f>
        <v>0</v>
      </c>
      <c r="AI62" s="217">
        <f>IF(DATEDIF(C62,Reference!$B$29,"Y")&gt;=1,AG62,0)</f>
        <v>0</v>
      </c>
    </row>
    <row r="63">
      <c r="A63" s="300"/>
      <c r="B63" s="310"/>
      <c r="C63" s="311">
        <v>44562.0</v>
      </c>
      <c r="D63" s="196"/>
      <c r="E63" s="302">
        <v>115.88</v>
      </c>
      <c r="F63" s="303"/>
      <c r="G63" s="199">
        <f t="shared" si="5"/>
        <v>0</v>
      </c>
      <c r="H63" s="207">
        <f t="shared" si="6"/>
        <v>0</v>
      </c>
      <c r="I63" s="304"/>
      <c r="J63" s="220" t="b">
        <v>0</v>
      </c>
      <c r="K63" s="203">
        <f t="shared" si="7"/>
        <v>0</v>
      </c>
      <c r="L63" s="203">
        <f>SWITCH(M63,"cash",Reference!E$5,"shares",Reference!$E$6,"balance",Reference!$E$7)</f>
        <v>0</v>
      </c>
      <c r="M63" s="204" t="s">
        <v>160</v>
      </c>
      <c r="N63" s="199">
        <f>LET(ratio,Reference!$B$4, ratio*Reference!$B$3*D63)</f>
        <v>0</v>
      </c>
      <c r="O63" s="199">
        <f>iferror(LET(ratio, K63,(1-ratio) * Reference!$B$3 * $D63),0)</f>
        <v>0</v>
      </c>
      <c r="P63" s="199">
        <f>iferror(LET(ratio, L63,(1-ratio) * Reference!$B$3 * $D63),0)</f>
        <v>0</v>
      </c>
      <c r="Q63" s="199">
        <f>SWITCH(Reference!$E$4,"eTradeHoldingRatio",N63, "eTradeLotQtyRatio",O63,"manualLotRatio",P63)</f>
        <v>0</v>
      </c>
      <c r="R63" s="199">
        <f>IF(C63&lt;Reference!$B$26,Reference!$C$26,0)</f>
        <v>0</v>
      </c>
      <c r="S63" s="199">
        <f>IF(C63&lt;Reference!$B$27,Reference!$C$27,0)</f>
        <v>0</v>
      </c>
      <c r="T63" s="199">
        <f t="shared" si="8"/>
        <v>115.88</v>
      </c>
      <c r="U63" s="199">
        <f t="shared" si="9"/>
        <v>0</v>
      </c>
      <c r="V63" s="205">
        <f>$D63*Reference!$B$5*Reference!$B$6</f>
        <v>0</v>
      </c>
      <c r="W63" s="205">
        <f>$D63*K63*Reference!$B$6</f>
        <v>0</v>
      </c>
      <c r="X63" s="206">
        <f>$D63*L63*Reference!$B$6</f>
        <v>0</v>
      </c>
      <c r="Y63" s="206">
        <f>SWITCH(Reference!$E$4,"eTradeHoldingRatio",V63, "eTradeLotQtyRatio",W63,"manualLotRatio",X63)</f>
        <v>0</v>
      </c>
      <c r="Z63" s="207">
        <f>MAX(Q63+(Y63*Reference!$B$18)-U63,0)</f>
        <v>0</v>
      </c>
      <c r="AA63" s="208">
        <f>IF(J63,Summary!$C$41/ (J$86+ESPP!$N$28), 0)</f>
        <v>0</v>
      </c>
      <c r="AB63" s="305">
        <f>IF(J63,(Reference!$B$23 - AF63) * AA63, 0)</f>
        <v>0</v>
      </c>
      <c r="AC63" s="210">
        <f t="shared" si="10"/>
        <v>0</v>
      </c>
      <c r="AD63" s="306">
        <f>IF(DATEDIF(C63,Reference!$B$28,"Y")&gt;=1,0,AC63+AB63)</f>
        <v>0</v>
      </c>
      <c r="AE63" s="306">
        <f>IF(DATEDIF(C63,Reference!$B$28,"Y")&gt;=1,AC63+AB63,0)</f>
        <v>0</v>
      </c>
      <c r="AF63" s="307" t="str">
        <f t="shared" si="11"/>
        <v>n/a</v>
      </c>
      <c r="AG63" s="214">
        <f>iferror((Reference!$B$10-AF63)*Y63 - AA63, 0)</f>
        <v>0</v>
      </c>
      <c r="AH63" s="214">
        <f>IF(DATEDIF(C63,Reference!$B$29,"Y")&gt;=1,0,AG63)</f>
        <v>0</v>
      </c>
      <c r="AI63" s="217">
        <f>IF(DATEDIF(C63,Reference!$B$29,"Y")&gt;=1,AG63,0)</f>
        <v>0</v>
      </c>
    </row>
    <row r="64">
      <c r="A64" s="300" t="s">
        <v>188</v>
      </c>
      <c r="B64" s="301">
        <v>44501.0</v>
      </c>
      <c r="C64" s="195">
        <v>44593.0</v>
      </c>
      <c r="D64" s="196"/>
      <c r="E64" s="302">
        <v>128.47</v>
      </c>
      <c r="F64" s="303"/>
      <c r="G64" s="199">
        <f t="shared" si="5"/>
        <v>0</v>
      </c>
      <c r="H64" s="207">
        <f t="shared" si="6"/>
        <v>0</v>
      </c>
      <c r="I64" s="304"/>
      <c r="J64" s="220" t="b">
        <v>0</v>
      </c>
      <c r="K64" s="203">
        <f t="shared" si="7"/>
        <v>0</v>
      </c>
      <c r="L64" s="203">
        <f>SWITCH(M64,"cash",Reference!E$5,"shares",Reference!$E$6,"balance",Reference!$E$7)</f>
        <v>0</v>
      </c>
      <c r="M64" s="204" t="s">
        <v>160</v>
      </c>
      <c r="N64" s="199">
        <f>LET(ratio,Reference!$B$4, ratio*Reference!$B$3*D64)</f>
        <v>0</v>
      </c>
      <c r="O64" s="199">
        <f>iferror(LET(ratio, K64,(1-ratio) * Reference!$B$3 * $D64),0)</f>
        <v>0</v>
      </c>
      <c r="P64" s="199">
        <f>iferror(LET(ratio, L64,(1-ratio) * Reference!$B$3 * $D64),0)</f>
        <v>0</v>
      </c>
      <c r="Q64" s="199">
        <f>SWITCH(Reference!$E$4,"eTradeHoldingRatio",N64, "eTradeLotQtyRatio",O64,"manualLotRatio",P64)</f>
        <v>0</v>
      </c>
      <c r="R64" s="199">
        <f>IF(C64&lt;Reference!$B$26,Reference!$C$26,0)</f>
        <v>0</v>
      </c>
      <c r="S64" s="199">
        <f>IF(C64&lt;Reference!$B$27,Reference!$C$27,0)</f>
        <v>0</v>
      </c>
      <c r="T64" s="199">
        <f t="shared" si="8"/>
        <v>128.47</v>
      </c>
      <c r="U64" s="199">
        <f t="shared" si="9"/>
        <v>0</v>
      </c>
      <c r="V64" s="205">
        <f>$D64*Reference!$B$5*Reference!$B$6</f>
        <v>0</v>
      </c>
      <c r="W64" s="205">
        <f>$D64*K64*Reference!$B$6</f>
        <v>0</v>
      </c>
      <c r="X64" s="206">
        <f>$D64*L64*Reference!$B$6</f>
        <v>0</v>
      </c>
      <c r="Y64" s="206">
        <f>SWITCH(Reference!$E$4,"eTradeHoldingRatio",V64, "eTradeLotQtyRatio",W64,"manualLotRatio",X64)</f>
        <v>0</v>
      </c>
      <c r="Z64" s="207">
        <f>MAX(Q64+(Y64*Reference!$B$18)-U64,0)</f>
        <v>0</v>
      </c>
      <c r="AA64" s="208">
        <f>IF(J64,Summary!$C$41/ (J$86+ESPP!$N$28), 0)</f>
        <v>0</v>
      </c>
      <c r="AB64" s="305">
        <f>IF(J64,(Reference!$B$23 - AF64) * AA64, 0)</f>
        <v>0</v>
      </c>
      <c r="AC64" s="210">
        <f t="shared" si="10"/>
        <v>0</v>
      </c>
      <c r="AD64" s="306">
        <f>IF(DATEDIF(C64,Reference!$B$28,"Y")&gt;=1,0,AC64+AB64)</f>
        <v>0</v>
      </c>
      <c r="AE64" s="306">
        <f>IF(DATEDIF(C64,Reference!$B$28,"Y")&gt;=1,AC64+AB64,0)</f>
        <v>0</v>
      </c>
      <c r="AF64" s="307" t="str">
        <f t="shared" si="11"/>
        <v>n/a</v>
      </c>
      <c r="AG64" s="214">
        <f>iferror((Reference!$B$10-AF64)*Y64 - AA64, 0)</f>
        <v>0</v>
      </c>
      <c r="AH64" s="214">
        <f>IF(DATEDIF(C64,Reference!$B$29,"Y")&gt;=1,0,AG64)</f>
        <v>0</v>
      </c>
      <c r="AI64" s="217">
        <f>IF(DATEDIF(C64,Reference!$B$29,"Y")&gt;=1,AG64,0)</f>
        <v>0</v>
      </c>
    </row>
    <row r="65">
      <c r="A65" s="300"/>
      <c r="B65" s="310"/>
      <c r="C65" s="311">
        <v>44621.0</v>
      </c>
      <c r="D65" s="196"/>
      <c r="E65" s="302">
        <v>115.91</v>
      </c>
      <c r="F65" s="303"/>
      <c r="G65" s="199">
        <f t="shared" si="5"/>
        <v>0</v>
      </c>
      <c r="H65" s="207">
        <f t="shared" si="6"/>
        <v>0</v>
      </c>
      <c r="I65" s="304"/>
      <c r="J65" s="220" t="b">
        <v>0</v>
      </c>
      <c r="K65" s="203">
        <f t="shared" si="7"/>
        <v>0</v>
      </c>
      <c r="L65" s="203">
        <f>SWITCH(M65,"cash",Reference!E$5,"shares",Reference!$E$6,"balance",Reference!$E$7)</f>
        <v>0</v>
      </c>
      <c r="M65" s="204" t="s">
        <v>160</v>
      </c>
      <c r="N65" s="199">
        <f>LET(ratio,Reference!$B$4, ratio*Reference!$B$3*D65)</f>
        <v>0</v>
      </c>
      <c r="O65" s="199">
        <f>iferror(LET(ratio, K65,(1-ratio) * Reference!$B$3 * $D65),0)</f>
        <v>0</v>
      </c>
      <c r="P65" s="199">
        <f>iferror(LET(ratio, L65,(1-ratio) * Reference!$B$3 * $D65),0)</f>
        <v>0</v>
      </c>
      <c r="Q65" s="199">
        <f>SWITCH(Reference!$E$4,"eTradeHoldingRatio",N65, "eTradeLotQtyRatio",O65,"manualLotRatio",P65)</f>
        <v>0</v>
      </c>
      <c r="R65" s="199">
        <f>IF(C65&lt;Reference!$B$26,Reference!$C$26,0)</f>
        <v>0</v>
      </c>
      <c r="S65" s="199">
        <f>IF(C65&lt;Reference!$B$27,Reference!$C$27,0)</f>
        <v>0</v>
      </c>
      <c r="T65" s="199">
        <f t="shared" si="8"/>
        <v>115.91</v>
      </c>
      <c r="U65" s="199">
        <f t="shared" si="9"/>
        <v>0</v>
      </c>
      <c r="V65" s="205">
        <f>$D65*Reference!$B$5*Reference!$B$6</f>
        <v>0</v>
      </c>
      <c r="W65" s="205">
        <f>$D65*K65*Reference!$B$6</f>
        <v>0</v>
      </c>
      <c r="X65" s="206">
        <f>$D65*L65*Reference!$B$6</f>
        <v>0</v>
      </c>
      <c r="Y65" s="206">
        <f>SWITCH(Reference!$E$4,"eTradeHoldingRatio",V65, "eTradeLotQtyRatio",W65,"manualLotRatio",X65)</f>
        <v>0</v>
      </c>
      <c r="Z65" s="207">
        <f>MAX(Q65+(Y65*Reference!$B$18)-U65,0)</f>
        <v>0</v>
      </c>
      <c r="AA65" s="208">
        <f>IF(J65,Summary!$C$41/ (J$86+ESPP!$N$28), 0)</f>
        <v>0</v>
      </c>
      <c r="AB65" s="305">
        <f>IF(J65,(Reference!$B$23 - AF65) * AA65, 0)</f>
        <v>0</v>
      </c>
      <c r="AC65" s="210">
        <f t="shared" si="10"/>
        <v>0</v>
      </c>
      <c r="AD65" s="306">
        <f>IF(DATEDIF(C65,Reference!$B$28,"Y")&gt;=1,0,AC65+AB65)</f>
        <v>0</v>
      </c>
      <c r="AE65" s="306">
        <f>IF(DATEDIF(C65,Reference!$B$28,"Y")&gt;=1,AC65+AB65,0)</f>
        <v>0</v>
      </c>
      <c r="AF65" s="307" t="str">
        <f t="shared" si="11"/>
        <v>n/a</v>
      </c>
      <c r="AG65" s="214">
        <f>iferror((Reference!$B$10-AF65)*Y65 - AA65, 0)</f>
        <v>0</v>
      </c>
      <c r="AH65" s="214">
        <f>IF(DATEDIF(C65,Reference!$B$29,"Y")&gt;=1,0,AG65)</f>
        <v>0</v>
      </c>
      <c r="AI65" s="217">
        <f>IF(DATEDIF(C65,Reference!$B$29,"Y")&gt;=1,AG65,0)</f>
        <v>0</v>
      </c>
    </row>
    <row r="66">
      <c r="A66" s="300" t="s">
        <v>185</v>
      </c>
      <c r="B66" s="301">
        <v>44501.0</v>
      </c>
      <c r="C66" s="195">
        <v>44682.0</v>
      </c>
      <c r="D66" s="196"/>
      <c r="E66" s="302">
        <v>108.04</v>
      </c>
      <c r="F66" s="303"/>
      <c r="G66" s="199">
        <f t="shared" si="5"/>
        <v>0</v>
      </c>
      <c r="H66" s="207">
        <f t="shared" si="6"/>
        <v>0</v>
      </c>
      <c r="I66" s="304"/>
      <c r="J66" s="220" t="b">
        <v>0</v>
      </c>
      <c r="K66" s="203">
        <f t="shared" si="7"/>
        <v>0</v>
      </c>
      <c r="L66" s="203">
        <f>SWITCH(M66,"cash",Reference!E$5,"shares",Reference!$E$6,"balance",Reference!$E$7)</f>
        <v>0</v>
      </c>
      <c r="M66" s="204" t="s">
        <v>160</v>
      </c>
      <c r="N66" s="199">
        <f>LET(ratio,Reference!$B$4, ratio*Reference!$B$3*D66)</f>
        <v>0</v>
      </c>
      <c r="O66" s="199">
        <f>iferror(LET(ratio, K66,(1-ratio) * Reference!$B$3 * $D66),0)</f>
        <v>0</v>
      </c>
      <c r="P66" s="199">
        <f>iferror(LET(ratio, L66,(1-ratio) * Reference!$B$3 * $D66),0)</f>
        <v>0</v>
      </c>
      <c r="Q66" s="199">
        <f>SWITCH(Reference!$E$4,"eTradeHoldingRatio",N66, "eTradeLotQtyRatio",O66,"manualLotRatio",P66)</f>
        <v>0</v>
      </c>
      <c r="R66" s="199">
        <f>IF(C66&lt;Reference!$B$26,Reference!$C$26,0)</f>
        <v>0</v>
      </c>
      <c r="S66" s="199">
        <f>IF(C66&lt;Reference!$B$27,Reference!$C$27,0)</f>
        <v>0</v>
      </c>
      <c r="T66" s="199">
        <f t="shared" si="8"/>
        <v>108.04</v>
      </c>
      <c r="U66" s="199">
        <f t="shared" si="9"/>
        <v>0</v>
      </c>
      <c r="V66" s="205">
        <f>$D66*Reference!$B$5*Reference!$B$6</f>
        <v>0</v>
      </c>
      <c r="W66" s="205">
        <f>$D66*K66*Reference!$B$6</f>
        <v>0</v>
      </c>
      <c r="X66" s="206">
        <f>$D66*L66*Reference!$B$6</f>
        <v>0</v>
      </c>
      <c r="Y66" s="206">
        <f>SWITCH(Reference!$E$4,"eTradeHoldingRatio",V66, "eTradeLotQtyRatio",W66,"manualLotRatio",X66)</f>
        <v>0</v>
      </c>
      <c r="Z66" s="207">
        <f>MAX(Q66+(Y66*Reference!$B$18)-U66,0)</f>
        <v>0</v>
      </c>
      <c r="AA66" s="208">
        <f>IF(J66,Summary!$C$41/ (J$86+ESPP!$N$28), 0)</f>
        <v>0</v>
      </c>
      <c r="AB66" s="305">
        <f>IF(J66,(Reference!$B$23 - AF66) * AA66, 0)</f>
        <v>0</v>
      </c>
      <c r="AC66" s="210">
        <f t="shared" si="10"/>
        <v>0</v>
      </c>
      <c r="AD66" s="306">
        <f>IF(DATEDIF(C66,Reference!$B$28,"Y")&gt;=1,0,AC66+AB66)</f>
        <v>0</v>
      </c>
      <c r="AE66" s="306">
        <f>IF(DATEDIF(C66,Reference!$B$28,"Y")&gt;=1,AC66+AB66,0)</f>
        <v>0</v>
      </c>
      <c r="AF66" s="307" t="str">
        <f t="shared" si="11"/>
        <v>n/a</v>
      </c>
      <c r="AG66" s="214">
        <f>iferror((Reference!$B$10-AF66)*Y66 - AA66, 0)</f>
        <v>0</v>
      </c>
      <c r="AH66" s="214">
        <f>IF(DATEDIF(C66,Reference!$B$29,"Y")&gt;=1,0,AG66)</f>
        <v>0</v>
      </c>
      <c r="AI66" s="217">
        <f>IF(DATEDIF(C66,Reference!$B$29,"Y")&gt;=1,AG66,0)</f>
        <v>0</v>
      </c>
    </row>
    <row r="67">
      <c r="A67" s="300" t="s">
        <v>188</v>
      </c>
      <c r="B67" s="301">
        <v>44501.0</v>
      </c>
      <c r="C67" s="195">
        <v>44682.0</v>
      </c>
      <c r="D67" s="196"/>
      <c r="E67" s="302">
        <v>108.04</v>
      </c>
      <c r="F67" s="303"/>
      <c r="G67" s="199">
        <f t="shared" si="5"/>
        <v>0</v>
      </c>
      <c r="H67" s="207">
        <f t="shared" si="6"/>
        <v>0</v>
      </c>
      <c r="I67" s="304"/>
      <c r="J67" s="220" t="b">
        <v>0</v>
      </c>
      <c r="K67" s="203">
        <f t="shared" si="7"/>
        <v>0</v>
      </c>
      <c r="L67" s="203">
        <f>SWITCH(M67,"cash",Reference!E$5,"shares",Reference!$E$6,"balance",Reference!$E$7)</f>
        <v>0</v>
      </c>
      <c r="M67" s="204" t="s">
        <v>160</v>
      </c>
      <c r="N67" s="199">
        <f>LET(ratio,Reference!$B$4, ratio*Reference!$B$3*D67)</f>
        <v>0</v>
      </c>
      <c r="O67" s="199">
        <f>iferror(LET(ratio, K67,(1-ratio) * Reference!$B$3 * $D67),0)</f>
        <v>0</v>
      </c>
      <c r="P67" s="199">
        <f>iferror(LET(ratio, L67,(1-ratio) * Reference!$B$3 * $D67),0)</f>
        <v>0</v>
      </c>
      <c r="Q67" s="199">
        <f>SWITCH(Reference!$E$4,"eTradeHoldingRatio",N67, "eTradeLotQtyRatio",O67,"manualLotRatio",P67)</f>
        <v>0</v>
      </c>
      <c r="R67" s="199">
        <f>IF(C67&lt;Reference!$B$26,Reference!$C$26,0)</f>
        <v>0</v>
      </c>
      <c r="S67" s="199">
        <f>IF(C67&lt;Reference!$B$27,Reference!$C$27,0)</f>
        <v>0</v>
      </c>
      <c r="T67" s="199">
        <f t="shared" si="8"/>
        <v>108.04</v>
      </c>
      <c r="U67" s="199">
        <f t="shared" si="9"/>
        <v>0</v>
      </c>
      <c r="V67" s="205">
        <f>$D67*Reference!$B$5*Reference!$B$6</f>
        <v>0</v>
      </c>
      <c r="W67" s="205">
        <f>$D67*K67*Reference!$B$6</f>
        <v>0</v>
      </c>
      <c r="X67" s="206">
        <f>$D67*L67*Reference!$B$6</f>
        <v>0</v>
      </c>
      <c r="Y67" s="206">
        <f>SWITCH(Reference!$E$4,"eTradeHoldingRatio",V67, "eTradeLotQtyRatio",W67,"manualLotRatio",X67)</f>
        <v>0</v>
      </c>
      <c r="Z67" s="207">
        <f>MAX(Q67+(Y67*Reference!$B$18)-U67,0)</f>
        <v>0</v>
      </c>
      <c r="AA67" s="208">
        <f>IF(J67,Summary!$C$41/ (J$86+ESPP!$N$28), 0)</f>
        <v>0</v>
      </c>
      <c r="AB67" s="305">
        <f>IF(J67,(Reference!$B$23 - AF67) * AA67, 0)</f>
        <v>0</v>
      </c>
      <c r="AC67" s="210">
        <f t="shared" si="10"/>
        <v>0</v>
      </c>
      <c r="AD67" s="306">
        <f>IF(DATEDIF(C67,Reference!$B$28,"Y")&gt;=1,0,AC67+AB67)</f>
        <v>0</v>
      </c>
      <c r="AE67" s="306">
        <f>IF(DATEDIF(C67,Reference!$B$28,"Y")&gt;=1,AC67+AB67,0)</f>
        <v>0</v>
      </c>
      <c r="AF67" s="307" t="str">
        <f t="shared" si="11"/>
        <v>n/a</v>
      </c>
      <c r="AG67" s="214">
        <f>iferror((Reference!$B$10-AF67)*Y67 - AA67, 0)</f>
        <v>0</v>
      </c>
      <c r="AH67" s="214">
        <f>IF(DATEDIF(C67,Reference!$B$29,"Y")&gt;=1,0,AG67)</f>
        <v>0</v>
      </c>
      <c r="AI67" s="217">
        <f>IF(DATEDIF(C67,Reference!$B$29,"Y")&gt;=1,AG67,0)</f>
        <v>0</v>
      </c>
    </row>
    <row r="68">
      <c r="A68" s="300" t="s">
        <v>186</v>
      </c>
      <c r="B68" s="301">
        <v>44501.0</v>
      </c>
      <c r="C68" s="195">
        <v>44713.0</v>
      </c>
      <c r="D68" s="196"/>
      <c r="E68" s="302">
        <v>129.41</v>
      </c>
      <c r="F68" s="303"/>
      <c r="G68" s="199">
        <f t="shared" si="5"/>
        <v>0</v>
      </c>
      <c r="H68" s="207">
        <f t="shared" si="6"/>
        <v>0</v>
      </c>
      <c r="I68" s="304"/>
      <c r="J68" s="220" t="b">
        <v>0</v>
      </c>
      <c r="K68" s="203">
        <f t="shared" si="7"/>
        <v>0</v>
      </c>
      <c r="L68" s="203">
        <f>SWITCH(M68,"cash",Reference!E$5,"shares",Reference!$E$6,"balance",Reference!$E$7)</f>
        <v>0</v>
      </c>
      <c r="M68" s="204" t="s">
        <v>160</v>
      </c>
      <c r="N68" s="199">
        <f>LET(ratio,Reference!$B$4, ratio*Reference!$B$3*D68)</f>
        <v>0</v>
      </c>
      <c r="O68" s="199">
        <f>iferror(LET(ratio, K68,(1-ratio) * Reference!$B$3 * $D68),0)</f>
        <v>0</v>
      </c>
      <c r="P68" s="199">
        <f>iferror(LET(ratio, L68,(1-ratio) * Reference!$B$3 * $D68),0)</f>
        <v>0</v>
      </c>
      <c r="Q68" s="199">
        <f>SWITCH(Reference!$E$4,"eTradeHoldingRatio",N68, "eTradeLotQtyRatio",O68,"manualLotRatio",P68)</f>
        <v>0</v>
      </c>
      <c r="R68" s="199">
        <f>IF(C68&lt;Reference!$B$26,Reference!$C$26,0)</f>
        <v>0</v>
      </c>
      <c r="S68" s="199">
        <f>IF(C68&lt;Reference!$B$27,Reference!$C$27,0)</f>
        <v>0</v>
      </c>
      <c r="T68" s="199">
        <f t="shared" si="8"/>
        <v>129.41</v>
      </c>
      <c r="U68" s="199">
        <f t="shared" si="9"/>
        <v>0</v>
      </c>
      <c r="V68" s="205">
        <f>$D68*Reference!$B$5*Reference!$B$6</f>
        <v>0</v>
      </c>
      <c r="W68" s="205">
        <f>$D68*K68*Reference!$B$6</f>
        <v>0</v>
      </c>
      <c r="X68" s="206">
        <f>$D68*L68*Reference!$B$6</f>
        <v>0</v>
      </c>
      <c r="Y68" s="206">
        <f>SWITCH(Reference!$E$4,"eTradeHoldingRatio",V68, "eTradeLotQtyRatio",W68,"manualLotRatio",X68)</f>
        <v>0</v>
      </c>
      <c r="Z68" s="207">
        <f>MAX(Q68+(Y68*Reference!$B$18)-U68,0)</f>
        <v>0</v>
      </c>
      <c r="AA68" s="208">
        <f>IF(J68,Summary!$C$41/ (J$86+ESPP!$N$28), 0)</f>
        <v>0</v>
      </c>
      <c r="AB68" s="305">
        <f>IF(J68,(Reference!$B$23 - AF68) * AA68, 0)</f>
        <v>0</v>
      </c>
      <c r="AC68" s="210">
        <f t="shared" si="10"/>
        <v>0</v>
      </c>
      <c r="AD68" s="306">
        <f>IF(DATEDIF(C68,Reference!$B$28,"Y")&gt;=1,0,AC68+AB68)</f>
        <v>0</v>
      </c>
      <c r="AE68" s="306">
        <f>IF(DATEDIF(C68,Reference!$B$28,"Y")&gt;=1,AC68+AB68,0)</f>
        <v>0</v>
      </c>
      <c r="AF68" s="307" t="str">
        <f t="shared" si="11"/>
        <v>n/a</v>
      </c>
      <c r="AG68" s="214">
        <f>iferror((Reference!$B$10-AF68)*Y68 - AA68, 0)</f>
        <v>0</v>
      </c>
      <c r="AH68" s="214">
        <f>IF(DATEDIF(C68,Reference!$B$29,"Y")&gt;=1,0,AG68)</f>
        <v>0</v>
      </c>
      <c r="AI68" s="217">
        <f>IF(DATEDIF(C68,Reference!$B$29,"Y")&gt;=1,AG68,0)</f>
        <v>0</v>
      </c>
    </row>
    <row r="69">
      <c r="A69" s="300" t="s">
        <v>187</v>
      </c>
      <c r="B69" s="301">
        <v>44501.0</v>
      </c>
      <c r="C69" s="195">
        <v>44713.0</v>
      </c>
      <c r="D69" s="196"/>
      <c r="E69" s="302">
        <v>129.41</v>
      </c>
      <c r="F69" s="303"/>
      <c r="G69" s="199">
        <f t="shared" si="5"/>
        <v>0</v>
      </c>
      <c r="H69" s="207">
        <f t="shared" si="6"/>
        <v>0</v>
      </c>
      <c r="I69" s="309"/>
      <c r="J69" s="220" t="b">
        <v>0</v>
      </c>
      <c r="K69" s="203">
        <f t="shared" si="7"/>
        <v>0</v>
      </c>
      <c r="L69" s="203">
        <f>SWITCH(M69,"cash",Reference!E$5,"shares",Reference!$E$6,"balance",Reference!$E$7)</f>
        <v>0</v>
      </c>
      <c r="M69" s="204" t="s">
        <v>160</v>
      </c>
      <c r="N69" s="199">
        <f>LET(ratio,Reference!$B$4, ratio*Reference!$B$3*D69)</f>
        <v>0</v>
      </c>
      <c r="O69" s="199">
        <f>iferror(LET(ratio, K69,(1-ratio) * Reference!$B$3 * $D69),0)</f>
        <v>0</v>
      </c>
      <c r="P69" s="199">
        <f>iferror(LET(ratio, L69,(1-ratio) * Reference!$B$3 * $D69),0)</f>
        <v>0</v>
      </c>
      <c r="Q69" s="199">
        <f>SWITCH(Reference!$E$4,"eTradeHoldingRatio",N69, "eTradeLotQtyRatio",O69,"manualLotRatio",P69)</f>
        <v>0</v>
      </c>
      <c r="R69" s="199">
        <f>IF(C69&lt;Reference!$B$26,Reference!$C$26,0)</f>
        <v>0</v>
      </c>
      <c r="S69" s="199">
        <f>IF(C69&lt;Reference!$B$27,Reference!$C$27,0)</f>
        <v>0</v>
      </c>
      <c r="T69" s="199">
        <f t="shared" si="8"/>
        <v>129.41</v>
      </c>
      <c r="U69" s="199">
        <f t="shared" si="9"/>
        <v>0</v>
      </c>
      <c r="V69" s="205">
        <f>$D69*Reference!$B$5*Reference!$B$6</f>
        <v>0</v>
      </c>
      <c r="W69" s="205">
        <f>$D69*K69*Reference!$B$6</f>
        <v>0</v>
      </c>
      <c r="X69" s="206">
        <f>$D69*L69*Reference!$B$6</f>
        <v>0</v>
      </c>
      <c r="Y69" s="206">
        <f>SWITCH(Reference!$E$4,"eTradeHoldingRatio",V69, "eTradeLotQtyRatio",W69,"manualLotRatio",X69)</f>
        <v>0</v>
      </c>
      <c r="Z69" s="207">
        <f>MAX(Q69+(Y69*Reference!$B$18)-U69,0)</f>
        <v>0</v>
      </c>
      <c r="AA69" s="208">
        <f>IF(J69,Summary!$C$41/ (J$86+ESPP!$N$28), 0)</f>
        <v>0</v>
      </c>
      <c r="AB69" s="305">
        <f>IF(J69,(Reference!$B$23 - AF69) * AA69, 0)</f>
        <v>0</v>
      </c>
      <c r="AC69" s="210">
        <f t="shared" si="10"/>
        <v>0</v>
      </c>
      <c r="AD69" s="306">
        <f>IF(DATEDIF(C69,Reference!$B$28,"Y")&gt;=1,0,AC69+AB69)</f>
        <v>0</v>
      </c>
      <c r="AE69" s="306">
        <f>IF(DATEDIF(C69,Reference!$B$28,"Y")&gt;=1,AC69+AB69,0)</f>
        <v>0</v>
      </c>
      <c r="AF69" s="307" t="str">
        <f t="shared" si="11"/>
        <v>n/a</v>
      </c>
      <c r="AG69" s="214">
        <f>iferror((Reference!$B$10-AF69)*Y69 - AA69, 0)</f>
        <v>0</v>
      </c>
      <c r="AH69" s="214">
        <f>IF(DATEDIF(C69,Reference!$B$29,"Y")&gt;=1,0,AG69)</f>
        <v>0</v>
      </c>
      <c r="AI69" s="217">
        <f>IF(DATEDIF(C69,Reference!$B$29,"Y")&gt;=1,AG69,0)</f>
        <v>0</v>
      </c>
    </row>
    <row r="70">
      <c r="A70" s="300"/>
      <c r="B70" s="310"/>
      <c r="C70" s="311">
        <v>44743.0</v>
      </c>
      <c r="D70" s="196"/>
      <c r="E70" s="302">
        <v>114.06</v>
      </c>
      <c r="F70" s="303"/>
      <c r="G70" s="199">
        <f t="shared" si="5"/>
        <v>0</v>
      </c>
      <c r="H70" s="207">
        <f t="shared" si="6"/>
        <v>0</v>
      </c>
      <c r="I70" s="304"/>
      <c r="J70" s="220" t="b">
        <v>0</v>
      </c>
      <c r="K70" s="203">
        <f t="shared" si="7"/>
        <v>0</v>
      </c>
      <c r="L70" s="203">
        <f>SWITCH(M70,"cash",Reference!E$5,"shares",Reference!$E$6,"balance",Reference!$E$7)</f>
        <v>0</v>
      </c>
      <c r="M70" s="204" t="s">
        <v>160</v>
      </c>
      <c r="N70" s="199">
        <f>LET(ratio,Reference!$B$4, ratio*Reference!$B$3*D70)</f>
        <v>0</v>
      </c>
      <c r="O70" s="199">
        <f>iferror(LET(ratio, K70,(1-ratio) * Reference!$B$3 * $D70),0)</f>
        <v>0</v>
      </c>
      <c r="P70" s="199">
        <f>iferror(LET(ratio, L70,(1-ratio) * Reference!$B$3 * $D70),0)</f>
        <v>0</v>
      </c>
      <c r="Q70" s="199">
        <f>SWITCH(Reference!$E$4,"eTradeHoldingRatio",N70, "eTradeLotQtyRatio",O70,"manualLotRatio",P70)</f>
        <v>0</v>
      </c>
      <c r="R70" s="199">
        <f>IF(C70&lt;Reference!$B$26,Reference!$C$26,0)</f>
        <v>0</v>
      </c>
      <c r="S70" s="199">
        <f>IF(C70&lt;Reference!$B$27,Reference!$C$27,0)</f>
        <v>0</v>
      </c>
      <c r="T70" s="199">
        <f t="shared" si="8"/>
        <v>114.06</v>
      </c>
      <c r="U70" s="199">
        <f t="shared" si="9"/>
        <v>0</v>
      </c>
      <c r="V70" s="205">
        <f>$D70*Reference!$B$5*Reference!$B$6</f>
        <v>0</v>
      </c>
      <c r="W70" s="205">
        <f>$D70*K70*Reference!$B$6</f>
        <v>0</v>
      </c>
      <c r="X70" s="206">
        <f>$D70*L70*Reference!$B$6</f>
        <v>0</v>
      </c>
      <c r="Y70" s="206">
        <f>SWITCH(Reference!$E$4,"eTradeHoldingRatio",V70, "eTradeLotQtyRatio",W70,"manualLotRatio",X70)</f>
        <v>0</v>
      </c>
      <c r="Z70" s="207">
        <f>MAX(Q70+(Y70*Reference!$B$18)-U70,0)</f>
        <v>0</v>
      </c>
      <c r="AA70" s="208">
        <f>IF(J70,Summary!$C$41/ (J$86+ESPP!$N$28), 0)</f>
        <v>0</v>
      </c>
      <c r="AB70" s="305">
        <f>IF(J70,(Reference!$B$23 - AF70) * AA70, 0)</f>
        <v>0</v>
      </c>
      <c r="AC70" s="210">
        <f t="shared" si="10"/>
        <v>0</v>
      </c>
      <c r="AD70" s="306">
        <f>IF(DATEDIF(C70,Reference!$B$28,"Y")&gt;=1,0,AC70+AB70)</f>
        <v>0</v>
      </c>
      <c r="AE70" s="306">
        <f>IF(DATEDIF(C70,Reference!$B$28,"Y")&gt;=1,AC70+AB70,0)</f>
        <v>0</v>
      </c>
      <c r="AF70" s="307" t="str">
        <f t="shared" si="11"/>
        <v>n/a</v>
      </c>
      <c r="AG70" s="214">
        <f>iferror((Reference!$B$10-AF70)*Y70 - AA70, 0)</f>
        <v>0</v>
      </c>
      <c r="AH70" s="214">
        <f>IF(DATEDIF(C70,Reference!$B$29,"Y")&gt;=1,0,AG70)</f>
        <v>0</v>
      </c>
      <c r="AI70" s="217">
        <f>IF(DATEDIF(C70,Reference!$B$29,"Y")&gt;=1,AG70,0)</f>
        <v>0</v>
      </c>
    </row>
    <row r="71">
      <c r="A71" s="300" t="s">
        <v>188</v>
      </c>
      <c r="B71" s="301">
        <v>44501.0</v>
      </c>
      <c r="C71" s="195">
        <v>44774.0</v>
      </c>
      <c r="D71" s="196"/>
      <c r="E71" s="302">
        <v>116.17</v>
      </c>
      <c r="F71" s="303"/>
      <c r="G71" s="199">
        <f t="shared" si="5"/>
        <v>0</v>
      </c>
      <c r="H71" s="207">
        <f t="shared" si="6"/>
        <v>0</v>
      </c>
      <c r="I71" s="304"/>
      <c r="J71" s="220" t="b">
        <v>0</v>
      </c>
      <c r="K71" s="203">
        <f t="shared" si="7"/>
        <v>0</v>
      </c>
      <c r="L71" s="203">
        <f>SWITCH(M71,"cash",Reference!E$5,"shares",Reference!$E$6,"balance",Reference!$E$7)</f>
        <v>0</v>
      </c>
      <c r="M71" s="204" t="s">
        <v>160</v>
      </c>
      <c r="N71" s="199">
        <f>LET(ratio,Reference!$B$4, ratio*Reference!$B$3*D71)</f>
        <v>0</v>
      </c>
      <c r="O71" s="199">
        <f>iferror(LET(ratio, K71,(1-ratio) * Reference!$B$3 * $D71),0)</f>
        <v>0</v>
      </c>
      <c r="P71" s="199">
        <f>iferror(LET(ratio, L71,(1-ratio) * Reference!$B$3 * $D71),0)</f>
        <v>0</v>
      </c>
      <c r="Q71" s="199">
        <f>SWITCH(Reference!$E$4,"eTradeHoldingRatio",N71, "eTradeLotQtyRatio",O71,"manualLotRatio",P71)</f>
        <v>0</v>
      </c>
      <c r="R71" s="199">
        <f>IF(C71&lt;Reference!$B$26,Reference!$C$26,0)</f>
        <v>0</v>
      </c>
      <c r="S71" s="199">
        <f>IF(C71&lt;Reference!$B$27,Reference!$C$27,0)</f>
        <v>0</v>
      </c>
      <c r="T71" s="199">
        <f t="shared" si="8"/>
        <v>116.17</v>
      </c>
      <c r="U71" s="199">
        <f t="shared" si="9"/>
        <v>0</v>
      </c>
      <c r="V71" s="205">
        <f>$D71*Reference!$B$5*Reference!$B$6</f>
        <v>0</v>
      </c>
      <c r="W71" s="205">
        <f>$D71*K71*Reference!$B$6</f>
        <v>0</v>
      </c>
      <c r="X71" s="206">
        <f>$D71*L71*Reference!$B$6</f>
        <v>0</v>
      </c>
      <c r="Y71" s="206">
        <f>SWITCH(Reference!$E$4,"eTradeHoldingRatio",V71, "eTradeLotQtyRatio",W71,"manualLotRatio",X71)</f>
        <v>0</v>
      </c>
      <c r="Z71" s="207">
        <f>MAX(Q71+(Y71*Reference!$B$18)-U71,0)</f>
        <v>0</v>
      </c>
      <c r="AA71" s="208">
        <f>IF(J71,Summary!$C$41/ (J$86+ESPP!$N$28), 0)</f>
        <v>0</v>
      </c>
      <c r="AB71" s="305">
        <f>IF(J71,(Reference!$B$23 - AF71) * AA71, 0)</f>
        <v>0</v>
      </c>
      <c r="AC71" s="210">
        <f t="shared" si="10"/>
        <v>0</v>
      </c>
      <c r="AD71" s="306">
        <f>IF(DATEDIF(C71,Reference!$B$28,"Y")&gt;=1,0,AC71+AB71)</f>
        <v>0</v>
      </c>
      <c r="AE71" s="306">
        <f>IF(DATEDIF(C71,Reference!$B$28,"Y")&gt;=1,AC71+AB71,0)</f>
        <v>0</v>
      </c>
      <c r="AF71" s="307" t="str">
        <f t="shared" si="11"/>
        <v>n/a</v>
      </c>
      <c r="AG71" s="214">
        <f>iferror((Reference!$B$10-AF71)*Y71 - AA71, 0)</f>
        <v>0</v>
      </c>
      <c r="AH71" s="214">
        <f>IF(DATEDIF(C71,Reference!$B$29,"Y")&gt;=1,0,AG71)</f>
        <v>0</v>
      </c>
      <c r="AI71" s="217">
        <f>IF(DATEDIF(C71,Reference!$B$29,"Y")&gt;=1,AG71,0)</f>
        <v>0</v>
      </c>
    </row>
    <row r="72">
      <c r="A72" s="300"/>
      <c r="B72" s="310"/>
      <c r="C72" s="311">
        <v>44805.0</v>
      </c>
      <c r="D72" s="196"/>
      <c r="E72" s="302">
        <v>114.82</v>
      </c>
      <c r="F72" s="303"/>
      <c r="G72" s="199">
        <f t="shared" si="5"/>
        <v>0</v>
      </c>
      <c r="H72" s="207">
        <f t="shared" si="6"/>
        <v>0</v>
      </c>
      <c r="I72" s="304"/>
      <c r="J72" s="220" t="b">
        <v>0</v>
      </c>
      <c r="K72" s="203">
        <f t="shared" si="7"/>
        <v>0</v>
      </c>
      <c r="L72" s="203">
        <f>SWITCH(M72,"cash",Reference!E$5,"shares",Reference!$E$6,"balance",Reference!$E$7)</f>
        <v>0</v>
      </c>
      <c r="M72" s="204" t="s">
        <v>160</v>
      </c>
      <c r="N72" s="199">
        <f>LET(ratio,Reference!$B$4, ratio*Reference!$B$3*D72)</f>
        <v>0</v>
      </c>
      <c r="O72" s="199">
        <f>iferror(LET(ratio, K72,(1-ratio) * Reference!$B$3 * $D72),0)</f>
        <v>0</v>
      </c>
      <c r="P72" s="199">
        <f>iferror(LET(ratio, L72,(1-ratio) * Reference!$B$3 * $D72),0)</f>
        <v>0</v>
      </c>
      <c r="Q72" s="199">
        <f>SWITCH(Reference!$E$4,"eTradeHoldingRatio",N72, "eTradeLotQtyRatio",O72,"manualLotRatio",P72)</f>
        <v>0</v>
      </c>
      <c r="R72" s="199">
        <f>IF(C72&lt;Reference!$B$26,Reference!$C$26,0)</f>
        <v>0</v>
      </c>
      <c r="S72" s="199">
        <f>IF(C72&lt;Reference!$B$27,Reference!$C$27,0)</f>
        <v>0</v>
      </c>
      <c r="T72" s="199">
        <f t="shared" si="8"/>
        <v>114.82</v>
      </c>
      <c r="U72" s="199">
        <f t="shared" si="9"/>
        <v>0</v>
      </c>
      <c r="V72" s="205">
        <f>$D72*Reference!$B$5*Reference!$B$6</f>
        <v>0</v>
      </c>
      <c r="W72" s="205">
        <f>$D72*K72*Reference!$B$6</f>
        <v>0</v>
      </c>
      <c r="X72" s="206">
        <f>$D72*L72*Reference!$B$6</f>
        <v>0</v>
      </c>
      <c r="Y72" s="206">
        <f>SWITCH(Reference!$E$4,"eTradeHoldingRatio",V72, "eTradeLotQtyRatio",W72,"manualLotRatio",X72)</f>
        <v>0</v>
      </c>
      <c r="Z72" s="207">
        <f>MAX(Q72+(Y72*Reference!$B$18)-U72,0)</f>
        <v>0</v>
      </c>
      <c r="AA72" s="208">
        <f>IF(J72,Summary!$C$41/ (J$86+ESPP!$N$28), 0)</f>
        <v>0</v>
      </c>
      <c r="AB72" s="305">
        <f>IF(J72,(Reference!$B$23 - AF72) * AA72, 0)</f>
        <v>0</v>
      </c>
      <c r="AC72" s="210">
        <f t="shared" si="10"/>
        <v>0</v>
      </c>
      <c r="AD72" s="306">
        <f>IF(DATEDIF(C72,Reference!$B$28,"Y")&gt;=1,0,AC72+AB72)</f>
        <v>0</v>
      </c>
      <c r="AE72" s="306">
        <f>IF(DATEDIF(C72,Reference!$B$28,"Y")&gt;=1,AC72+AB72,0)</f>
        <v>0</v>
      </c>
      <c r="AF72" s="307" t="str">
        <f t="shared" si="11"/>
        <v>n/a</v>
      </c>
      <c r="AG72" s="214">
        <f>iferror((Reference!$B$10-AF72)*Y72 - AA72, 0)</f>
        <v>0</v>
      </c>
      <c r="AH72" s="214">
        <f>IF(DATEDIF(C72,Reference!$B$29,"Y")&gt;=1,0,AG72)</f>
        <v>0</v>
      </c>
      <c r="AI72" s="217">
        <f>IF(DATEDIF(C72,Reference!$B$29,"Y")&gt;=1,AG72,0)</f>
        <v>0</v>
      </c>
    </row>
    <row r="73">
      <c r="A73" s="300" t="s">
        <v>185</v>
      </c>
      <c r="B73" s="301">
        <v>44501.0</v>
      </c>
      <c r="C73" s="195">
        <v>44866.0</v>
      </c>
      <c r="D73" s="196"/>
      <c r="E73" s="302">
        <v>112.62</v>
      </c>
      <c r="F73" s="303"/>
      <c r="G73" s="199">
        <f t="shared" si="5"/>
        <v>0</v>
      </c>
      <c r="H73" s="207">
        <f t="shared" si="6"/>
        <v>0</v>
      </c>
      <c r="I73" s="304"/>
      <c r="J73" s="220" t="b">
        <v>0</v>
      </c>
      <c r="K73" s="203">
        <f t="shared" si="7"/>
        <v>0</v>
      </c>
      <c r="L73" s="203">
        <f>SWITCH(M73,"cash",Reference!E$5,"shares",Reference!$E$6,"balance",Reference!$E$7)</f>
        <v>0</v>
      </c>
      <c r="M73" s="204" t="s">
        <v>160</v>
      </c>
      <c r="N73" s="199">
        <f>LET(ratio,Reference!$B$4, ratio*Reference!$B$3*D73)</f>
        <v>0</v>
      </c>
      <c r="O73" s="199">
        <f>iferror(LET(ratio, K73,(1-ratio) * Reference!$B$3 * $D73),0)</f>
        <v>0</v>
      </c>
      <c r="P73" s="199">
        <f>iferror(LET(ratio, L73,(1-ratio) * Reference!$B$3 * $D73),0)</f>
        <v>0</v>
      </c>
      <c r="Q73" s="199">
        <f>SWITCH(Reference!$E$4,"eTradeHoldingRatio",N73, "eTradeLotQtyRatio",O73,"manualLotRatio",P73)</f>
        <v>0</v>
      </c>
      <c r="R73" s="199">
        <f>IF(C73&lt;Reference!$B$26,Reference!$C$26,0)</f>
        <v>0</v>
      </c>
      <c r="S73" s="199">
        <f>IF(C73&lt;Reference!$B$27,Reference!$C$27,0)</f>
        <v>0</v>
      </c>
      <c r="T73" s="199">
        <f t="shared" si="8"/>
        <v>112.62</v>
      </c>
      <c r="U73" s="199">
        <f t="shared" si="9"/>
        <v>0</v>
      </c>
      <c r="V73" s="205">
        <f>$D73*Reference!$B$5*Reference!$B$6</f>
        <v>0</v>
      </c>
      <c r="W73" s="205">
        <f>$D73*K73*Reference!$B$6</f>
        <v>0</v>
      </c>
      <c r="X73" s="206">
        <f>$D73*L73*Reference!$B$6</f>
        <v>0</v>
      </c>
      <c r="Y73" s="206">
        <f>SWITCH(Reference!$E$4,"eTradeHoldingRatio",V73, "eTradeLotQtyRatio",W73,"manualLotRatio",X73)</f>
        <v>0</v>
      </c>
      <c r="Z73" s="207">
        <f>MAX(Q73+(Y73*Reference!$B$18)-U73,0)</f>
        <v>0</v>
      </c>
      <c r="AA73" s="208">
        <f>IF(J73,Summary!$C$41/ (J$86+ESPP!$N$28), 0)</f>
        <v>0</v>
      </c>
      <c r="AB73" s="305">
        <f>IF(J73,(Reference!$B$23 - AF73) * AA73, 0)</f>
        <v>0</v>
      </c>
      <c r="AC73" s="210">
        <f t="shared" si="10"/>
        <v>0</v>
      </c>
      <c r="AD73" s="306">
        <f>IF(DATEDIF(C73,Reference!$B$28,"Y")&gt;=1,0,AC73+AB73)</f>
        <v>0</v>
      </c>
      <c r="AE73" s="306">
        <f>IF(DATEDIF(C73,Reference!$B$28,"Y")&gt;=1,AC73+AB73,0)</f>
        <v>0</v>
      </c>
      <c r="AF73" s="307" t="str">
        <f t="shared" si="11"/>
        <v>n/a</v>
      </c>
      <c r="AG73" s="214">
        <f>iferror((Reference!$B$10-AF73)*Y73 - AA73, 0)</f>
        <v>0</v>
      </c>
      <c r="AH73" s="214">
        <f>IF(DATEDIF(C73,Reference!$B$29,"Y")&gt;=1,0,AG73)</f>
        <v>0</v>
      </c>
      <c r="AI73" s="217">
        <f>IF(DATEDIF(C73,Reference!$B$29,"Y")&gt;=1,AG73,0)</f>
        <v>0</v>
      </c>
    </row>
    <row r="74">
      <c r="A74" s="300" t="s">
        <v>188</v>
      </c>
      <c r="B74" s="301">
        <v>44501.0</v>
      </c>
      <c r="C74" s="195">
        <v>44866.0</v>
      </c>
      <c r="D74" s="196"/>
      <c r="E74" s="302">
        <v>112.62</v>
      </c>
      <c r="F74" s="303"/>
      <c r="G74" s="199">
        <f t="shared" si="5"/>
        <v>0</v>
      </c>
      <c r="H74" s="207">
        <f t="shared" si="6"/>
        <v>0</v>
      </c>
      <c r="I74" s="304"/>
      <c r="J74" s="220" t="b">
        <v>0</v>
      </c>
      <c r="K74" s="203">
        <f t="shared" si="7"/>
        <v>0</v>
      </c>
      <c r="L74" s="203">
        <f>SWITCH(M74,"cash",Reference!E$5,"shares",Reference!$E$6,"balance",Reference!$E$7)</f>
        <v>0</v>
      </c>
      <c r="M74" s="204" t="s">
        <v>160</v>
      </c>
      <c r="N74" s="199">
        <f>LET(ratio,Reference!$B$4, ratio*Reference!$B$3*D74)</f>
        <v>0</v>
      </c>
      <c r="O74" s="199">
        <f>iferror(LET(ratio, K74,(1-ratio) * Reference!$B$3 * $D74),0)</f>
        <v>0</v>
      </c>
      <c r="P74" s="199">
        <f>iferror(LET(ratio, L74,(1-ratio) * Reference!$B$3 * $D74),0)</f>
        <v>0</v>
      </c>
      <c r="Q74" s="199">
        <f>SWITCH(Reference!$E$4,"eTradeHoldingRatio",N74, "eTradeLotQtyRatio",O74,"manualLotRatio",P74)</f>
        <v>0</v>
      </c>
      <c r="R74" s="199">
        <f>IF(C74&lt;Reference!$B$26,Reference!$C$26,0)</f>
        <v>0</v>
      </c>
      <c r="S74" s="199">
        <f>IF(C74&lt;Reference!$B$27,Reference!$C$27,0)</f>
        <v>0</v>
      </c>
      <c r="T74" s="199">
        <f t="shared" si="8"/>
        <v>112.62</v>
      </c>
      <c r="U74" s="199">
        <f t="shared" si="9"/>
        <v>0</v>
      </c>
      <c r="V74" s="205">
        <f>$D74*Reference!$B$5*Reference!$B$6</f>
        <v>0</v>
      </c>
      <c r="W74" s="205">
        <f>$D74*K74*Reference!$B$6</f>
        <v>0</v>
      </c>
      <c r="X74" s="206">
        <f>$D74*L74*Reference!$B$6</f>
        <v>0</v>
      </c>
      <c r="Y74" s="206">
        <f>SWITCH(Reference!$E$4,"eTradeHoldingRatio",V74, "eTradeLotQtyRatio",W74,"manualLotRatio",X74)</f>
        <v>0</v>
      </c>
      <c r="Z74" s="207">
        <f>MAX(Q74+(Y74*Reference!$B$18)-U74,0)</f>
        <v>0</v>
      </c>
      <c r="AA74" s="208">
        <f>IF(J74,Summary!$C$41/ (J$86+ESPP!$N$28), 0)</f>
        <v>0</v>
      </c>
      <c r="AB74" s="305">
        <f>IF(J74,(Reference!$B$23 - AF74) * AA74, 0)</f>
        <v>0</v>
      </c>
      <c r="AC74" s="210">
        <f t="shared" si="10"/>
        <v>0</v>
      </c>
      <c r="AD74" s="306">
        <f>IF(DATEDIF(C74,Reference!$B$28,"Y")&gt;=1,0,AC74+AB74)</f>
        <v>0</v>
      </c>
      <c r="AE74" s="306">
        <f>IF(DATEDIF(C74,Reference!$B$28,"Y")&gt;=1,AC74+AB74,0)</f>
        <v>0</v>
      </c>
      <c r="AF74" s="307" t="str">
        <f t="shared" si="11"/>
        <v>n/a</v>
      </c>
      <c r="AG74" s="214">
        <f>iferror((Reference!$B$10-AF74)*Y74 - AA74, 0)</f>
        <v>0</v>
      </c>
      <c r="AH74" s="214">
        <f>IF(DATEDIF(C74,Reference!$B$29,"Y")&gt;=1,0,AG74)</f>
        <v>0</v>
      </c>
      <c r="AI74" s="217">
        <f>IF(DATEDIF(C74,Reference!$B$29,"Y")&gt;=1,AG74,0)</f>
        <v>0</v>
      </c>
    </row>
    <row r="75">
      <c r="A75" s="300" t="s">
        <v>187</v>
      </c>
      <c r="B75" s="301">
        <v>44501.0</v>
      </c>
      <c r="C75" s="195">
        <v>44896.0</v>
      </c>
      <c r="D75" s="196"/>
      <c r="E75" s="302">
        <v>121.68</v>
      </c>
      <c r="F75" s="303"/>
      <c r="G75" s="199">
        <f t="shared" si="5"/>
        <v>0</v>
      </c>
      <c r="H75" s="207">
        <f t="shared" si="6"/>
        <v>0</v>
      </c>
      <c r="I75" s="304"/>
      <c r="J75" s="220" t="b">
        <v>0</v>
      </c>
      <c r="K75" s="203">
        <f t="shared" si="7"/>
        <v>0</v>
      </c>
      <c r="L75" s="203">
        <f>SWITCH(M75,"cash",Reference!E$5,"shares",Reference!$E$6,"balance",Reference!$E$7)</f>
        <v>0</v>
      </c>
      <c r="M75" s="204" t="s">
        <v>160</v>
      </c>
      <c r="N75" s="199">
        <f>LET(ratio,Reference!$B$4, ratio*Reference!$B$3*D75)</f>
        <v>0</v>
      </c>
      <c r="O75" s="199">
        <f>iferror(LET(ratio, K75,(1-ratio) * Reference!$B$3 * $D75),0)</f>
        <v>0</v>
      </c>
      <c r="P75" s="199">
        <f>iferror(LET(ratio, L75,(1-ratio) * Reference!$B$3 * $D75),0)</f>
        <v>0</v>
      </c>
      <c r="Q75" s="199">
        <f>SWITCH(Reference!$E$4,"eTradeHoldingRatio",N75, "eTradeLotQtyRatio",O75,"manualLotRatio",P75)</f>
        <v>0</v>
      </c>
      <c r="R75" s="199">
        <f>IF(C75&lt;Reference!$B$26,Reference!$C$26,0)</f>
        <v>0</v>
      </c>
      <c r="S75" s="199">
        <f>IF(C75&lt;Reference!$B$27,Reference!$C$27,0)</f>
        <v>0</v>
      </c>
      <c r="T75" s="199">
        <f t="shared" si="8"/>
        <v>121.68</v>
      </c>
      <c r="U75" s="199">
        <f t="shared" si="9"/>
        <v>0</v>
      </c>
      <c r="V75" s="205">
        <f>$D75*Reference!$B$5*Reference!$B$6</f>
        <v>0</v>
      </c>
      <c r="W75" s="205">
        <f>$D75*K75*Reference!$B$6</f>
        <v>0</v>
      </c>
      <c r="X75" s="206">
        <f>$D75*L75*Reference!$B$6</f>
        <v>0</v>
      </c>
      <c r="Y75" s="206">
        <f>SWITCH(Reference!$E$4,"eTradeHoldingRatio",V75, "eTradeLotQtyRatio",W75,"manualLotRatio",X75)</f>
        <v>0</v>
      </c>
      <c r="Z75" s="207">
        <f>MAX(Q75+(Y75*Reference!$B$18)-U75,0)</f>
        <v>0</v>
      </c>
      <c r="AA75" s="208">
        <f>IF(J75,Summary!$C$41/ (J$86+ESPP!$N$28), 0)</f>
        <v>0</v>
      </c>
      <c r="AB75" s="305">
        <f>IF(J75,(Reference!$B$23 - AF75) * AA75, 0)</f>
        <v>0</v>
      </c>
      <c r="AC75" s="210">
        <f t="shared" si="10"/>
        <v>0</v>
      </c>
      <c r="AD75" s="306">
        <f>IF(DATEDIF(C75,Reference!$B$28,"Y")&gt;=1,0,AC75+AB75)</f>
        <v>0</v>
      </c>
      <c r="AE75" s="306">
        <f>IF(DATEDIF(C75,Reference!$B$28,"Y")&gt;=1,AC75+AB75,0)</f>
        <v>0</v>
      </c>
      <c r="AF75" s="307" t="str">
        <f t="shared" si="11"/>
        <v>n/a</v>
      </c>
      <c r="AG75" s="214">
        <f>iferror((Reference!$B$10-AF75)*Y75 - AA75, 0)</f>
        <v>0</v>
      </c>
      <c r="AH75" s="214">
        <f>IF(DATEDIF(C75,Reference!$B$29,"Y")&gt;=1,0,AG75)</f>
        <v>0</v>
      </c>
      <c r="AI75" s="217">
        <f>IF(DATEDIF(C75,Reference!$B$29,"Y")&gt;=1,AG75,0)</f>
        <v>0</v>
      </c>
    </row>
    <row r="76">
      <c r="A76" s="300"/>
      <c r="B76" s="310"/>
      <c r="C76" s="311">
        <v>44927.0</v>
      </c>
      <c r="D76" s="196"/>
      <c r="E76" s="302">
        <v>122.76</v>
      </c>
      <c r="F76" s="303"/>
      <c r="G76" s="199">
        <f t="shared" si="5"/>
        <v>0</v>
      </c>
      <c r="H76" s="207">
        <f t="shared" si="6"/>
        <v>0</v>
      </c>
      <c r="I76" s="304"/>
      <c r="J76" s="220" t="b">
        <v>0</v>
      </c>
      <c r="K76" s="203">
        <f t="shared" si="7"/>
        <v>0</v>
      </c>
      <c r="L76" s="203">
        <f>SWITCH(M76,"cash",Reference!E$5,"shares",Reference!$E$6,"balance",Reference!$E$7)</f>
        <v>0</v>
      </c>
      <c r="M76" s="204" t="s">
        <v>160</v>
      </c>
      <c r="N76" s="199">
        <f>LET(ratio,Reference!$B$4, ratio*Reference!$B$3*D76)</f>
        <v>0</v>
      </c>
      <c r="O76" s="199">
        <f>iferror(LET(ratio, K76,(1-ratio) * Reference!$B$3 * $D76),0)</f>
        <v>0</v>
      </c>
      <c r="P76" s="199">
        <f>iferror(LET(ratio, L76,(1-ratio) * Reference!$B$3 * $D76),0)</f>
        <v>0</v>
      </c>
      <c r="Q76" s="199">
        <f>SWITCH(Reference!$E$4,"eTradeHoldingRatio",N76, "eTradeLotQtyRatio",O76,"manualLotRatio",P76)</f>
        <v>0</v>
      </c>
      <c r="R76" s="199">
        <f>IF(C76&lt;Reference!$B$26,Reference!$C$26,0)</f>
        <v>0</v>
      </c>
      <c r="S76" s="199">
        <f>IF(C76&lt;Reference!$B$27,Reference!$C$27,0)</f>
        <v>0</v>
      </c>
      <c r="T76" s="199">
        <f t="shared" si="8"/>
        <v>122.76</v>
      </c>
      <c r="U76" s="199">
        <f t="shared" si="9"/>
        <v>0</v>
      </c>
      <c r="V76" s="205">
        <f>$D76*Reference!$B$5*Reference!$B$6</f>
        <v>0</v>
      </c>
      <c r="W76" s="205">
        <f>$D76*K76*Reference!$B$6</f>
        <v>0</v>
      </c>
      <c r="X76" s="206">
        <f>$D76*L76*Reference!$B$6</f>
        <v>0</v>
      </c>
      <c r="Y76" s="206">
        <f>SWITCH(Reference!$E$4,"eTradeHoldingRatio",V76, "eTradeLotQtyRatio",W76,"manualLotRatio",X76)</f>
        <v>0</v>
      </c>
      <c r="Z76" s="207">
        <f>MAX(Q76+(Y76*Reference!$B$18)-U76,0)</f>
        <v>0</v>
      </c>
      <c r="AA76" s="208">
        <f>IF(J76,Summary!$C$41/ (J$86+ESPP!$N$28), 0)</f>
        <v>0</v>
      </c>
      <c r="AB76" s="305">
        <f>IF(J76,(Reference!$B$23 - AF76) * AA76, 0)</f>
        <v>0</v>
      </c>
      <c r="AC76" s="210">
        <f t="shared" si="10"/>
        <v>0</v>
      </c>
      <c r="AD76" s="306">
        <f>IF(DATEDIF(C76,Reference!$B$28,"Y")&gt;=1,0,AC76+AB76)</f>
        <v>0</v>
      </c>
      <c r="AE76" s="306">
        <f>IF(DATEDIF(C76,Reference!$B$28,"Y")&gt;=1,AC76+AB76,0)</f>
        <v>0</v>
      </c>
      <c r="AF76" s="307" t="str">
        <f t="shared" si="11"/>
        <v>n/a</v>
      </c>
      <c r="AG76" s="214">
        <f>iferror((Reference!$B$10-AF76)*Y76 - AA76, 0)</f>
        <v>0</v>
      </c>
      <c r="AH76" s="214">
        <f>IF(DATEDIF(C76,Reference!$B$29,"Y")&gt;=1,0,AG76)</f>
        <v>0</v>
      </c>
      <c r="AI76" s="217">
        <f>IF(DATEDIF(C76,Reference!$B$29,"Y")&gt;=1,AG76,0)</f>
        <v>0</v>
      </c>
    </row>
    <row r="77">
      <c r="A77" s="300" t="s">
        <v>188</v>
      </c>
      <c r="B77" s="301">
        <v>44501.0</v>
      </c>
      <c r="C77" s="195">
        <v>44958.0</v>
      </c>
      <c r="D77" s="196"/>
      <c r="E77" s="302">
        <v>123.34</v>
      </c>
      <c r="F77" s="303"/>
      <c r="G77" s="199">
        <f t="shared" si="5"/>
        <v>0</v>
      </c>
      <c r="H77" s="207">
        <f t="shared" si="6"/>
        <v>0</v>
      </c>
      <c r="I77" s="309"/>
      <c r="J77" s="220" t="b">
        <v>0</v>
      </c>
      <c r="K77" s="203">
        <f t="shared" si="7"/>
        <v>0</v>
      </c>
      <c r="L77" s="203">
        <f>SWITCH(M77,"cash",Reference!E$5,"shares",Reference!$E$6,"balance",Reference!$E$7)</f>
        <v>0</v>
      </c>
      <c r="M77" s="204" t="s">
        <v>160</v>
      </c>
      <c r="N77" s="199">
        <f>LET(ratio,Reference!$B$4, ratio*Reference!$B$3*D77)</f>
        <v>0</v>
      </c>
      <c r="O77" s="199">
        <f>iferror(LET(ratio, K77,(1-ratio) * Reference!$B$3 * $D77),0)</f>
        <v>0</v>
      </c>
      <c r="P77" s="199">
        <f>iferror(LET(ratio, L77,(1-ratio) * Reference!$B$3 * $D77),0)</f>
        <v>0</v>
      </c>
      <c r="Q77" s="199">
        <f>SWITCH(Reference!$E$4,"eTradeHoldingRatio",N77, "eTradeLotQtyRatio",O77,"manualLotRatio",P77)</f>
        <v>0</v>
      </c>
      <c r="R77" s="199">
        <f>IF(C77&lt;Reference!$B$26,Reference!$C$26,0)</f>
        <v>0</v>
      </c>
      <c r="S77" s="199">
        <f>IF(C77&lt;Reference!$B$27,Reference!$C$27,0)</f>
        <v>0</v>
      </c>
      <c r="T77" s="199">
        <f t="shared" si="8"/>
        <v>123.34</v>
      </c>
      <c r="U77" s="199">
        <f t="shared" si="9"/>
        <v>0</v>
      </c>
      <c r="V77" s="205">
        <f>$D77*Reference!$B$5*Reference!$B$6</f>
        <v>0</v>
      </c>
      <c r="W77" s="205">
        <f>$D77*K77*Reference!$B$6</f>
        <v>0</v>
      </c>
      <c r="X77" s="206">
        <f>$D77*L77*Reference!$B$6</f>
        <v>0</v>
      </c>
      <c r="Y77" s="206">
        <f>SWITCH(Reference!$E$4,"eTradeHoldingRatio",V77, "eTradeLotQtyRatio",W77,"manualLotRatio",X77)</f>
        <v>0</v>
      </c>
      <c r="Z77" s="207">
        <f>MAX(Q77+(Y77*Reference!$B$18)-U77,0)</f>
        <v>0</v>
      </c>
      <c r="AA77" s="208">
        <f>IF(J77,Summary!$C$41/ (J$86+ESPP!$N$28), 0)</f>
        <v>0</v>
      </c>
      <c r="AB77" s="305">
        <f>IF(J77,(Reference!$B$23 - AF77) * AA77, 0)</f>
        <v>0</v>
      </c>
      <c r="AC77" s="210">
        <f t="shared" si="10"/>
        <v>0</v>
      </c>
      <c r="AD77" s="306">
        <f>IF(DATEDIF(C77,Reference!$B$28,"Y")&gt;=1,0,AC77+AB77)</f>
        <v>0</v>
      </c>
      <c r="AE77" s="306">
        <f>IF(DATEDIF(C77,Reference!$B$28,"Y")&gt;=1,AC77+AB77,0)</f>
        <v>0</v>
      </c>
      <c r="AF77" s="307" t="str">
        <f t="shared" si="11"/>
        <v>n/a</v>
      </c>
      <c r="AG77" s="214">
        <f>iferror((Reference!$B$10-AF77)*Y77 - AA77, 0)</f>
        <v>0</v>
      </c>
      <c r="AH77" s="214">
        <f>IF(DATEDIF(C77,Reference!$B$29,"Y")&gt;=1,0,AG77)</f>
        <v>0</v>
      </c>
      <c r="AI77" s="217">
        <f>IF(DATEDIF(C77,Reference!$B$29,"Y")&gt;=1,AG77,0)</f>
        <v>0</v>
      </c>
    </row>
    <row r="78">
      <c r="A78" s="300" t="s">
        <v>189</v>
      </c>
      <c r="B78" s="301">
        <v>44741.0</v>
      </c>
      <c r="C78" s="195">
        <v>44986.0</v>
      </c>
      <c r="D78" s="196"/>
      <c r="E78" s="302">
        <v>110.09</v>
      </c>
      <c r="F78" s="303"/>
      <c r="G78" s="199">
        <f t="shared" si="5"/>
        <v>0</v>
      </c>
      <c r="H78" s="207">
        <f t="shared" si="6"/>
        <v>0</v>
      </c>
      <c r="I78" s="304"/>
      <c r="J78" s="220" t="b">
        <v>0</v>
      </c>
      <c r="K78" s="203">
        <f t="shared" si="7"/>
        <v>0</v>
      </c>
      <c r="L78" s="203">
        <f>SWITCH(M78,"cash",Reference!E$5,"shares",Reference!$E$6,"balance",Reference!$E$7)</f>
        <v>0</v>
      </c>
      <c r="M78" s="204" t="s">
        <v>160</v>
      </c>
      <c r="N78" s="199">
        <f>LET(ratio,Reference!$B$4, ratio*Reference!$B$3*D78)</f>
        <v>0</v>
      </c>
      <c r="O78" s="199">
        <f>iferror(LET(ratio, K78,(1-ratio) * Reference!$B$3 * $D78),0)</f>
        <v>0</v>
      </c>
      <c r="P78" s="199">
        <f>iferror(LET(ratio, L78,(1-ratio) * Reference!$B$3 * $D78),0)</f>
        <v>0</v>
      </c>
      <c r="Q78" s="199">
        <f>SWITCH(Reference!$E$4,"eTradeHoldingRatio",N78, "eTradeLotQtyRatio",O78,"manualLotRatio",P78)</f>
        <v>0</v>
      </c>
      <c r="R78" s="199">
        <f>IF(C78&lt;Reference!$B$26,Reference!$C$26,0)</f>
        <v>0</v>
      </c>
      <c r="S78" s="199">
        <f>IF(C78&lt;Reference!$B$27,Reference!$C$27,0)</f>
        <v>0</v>
      </c>
      <c r="T78" s="199">
        <f t="shared" si="8"/>
        <v>110.09</v>
      </c>
      <c r="U78" s="199">
        <f t="shared" si="9"/>
        <v>0</v>
      </c>
      <c r="V78" s="205">
        <f>$D78*Reference!$B$5*Reference!$B$6</f>
        <v>0</v>
      </c>
      <c r="W78" s="205">
        <f>$D78*K78*Reference!$B$6</f>
        <v>0</v>
      </c>
      <c r="X78" s="206">
        <f>$D78*L78*Reference!$B$6</f>
        <v>0</v>
      </c>
      <c r="Y78" s="206">
        <f>SWITCH(Reference!$E$4,"eTradeHoldingRatio",V78, "eTradeLotQtyRatio",W78,"manualLotRatio",X78)</f>
        <v>0</v>
      </c>
      <c r="Z78" s="207">
        <f>MAX(Q78+(Y78*Reference!$B$18)-U78,0)</f>
        <v>0</v>
      </c>
      <c r="AA78" s="208">
        <f>IF(J78,Summary!$C$41/ (J$86+ESPP!$N$28), 0)</f>
        <v>0</v>
      </c>
      <c r="AB78" s="305">
        <f>IF(J78,(Reference!$B$23 - AF78) * AA78, 0)</f>
        <v>0</v>
      </c>
      <c r="AC78" s="210">
        <f t="shared" si="10"/>
        <v>0</v>
      </c>
      <c r="AD78" s="306">
        <f>IF(DATEDIF(C78,Reference!$B$28,"Y")&gt;=1,0,AC78+AB78)</f>
        <v>0</v>
      </c>
      <c r="AE78" s="306">
        <f>IF(DATEDIF(C78,Reference!$B$28,"Y")&gt;=1,AC78+AB78,0)</f>
        <v>0</v>
      </c>
      <c r="AF78" s="307" t="str">
        <f t="shared" si="11"/>
        <v>n/a</v>
      </c>
      <c r="AG78" s="214">
        <f>iferror((Reference!$B$10-AF78)*Y78 - AA78, 0)</f>
        <v>0</v>
      </c>
      <c r="AH78" s="214">
        <f>IF(DATEDIF(C78,Reference!$B$29,"Y")&gt;=1,0,AG78)</f>
        <v>0</v>
      </c>
      <c r="AI78" s="217">
        <f>IF(DATEDIF(C78,Reference!$B$29,"Y")&gt;=1,AG78,0)</f>
        <v>0</v>
      </c>
    </row>
    <row r="79">
      <c r="A79" s="300" t="s">
        <v>185</v>
      </c>
      <c r="B79" s="301">
        <v>44501.0</v>
      </c>
      <c r="C79" s="195">
        <v>45047.0</v>
      </c>
      <c r="D79" s="196"/>
      <c r="E79" s="302">
        <v>126.98</v>
      </c>
      <c r="F79" s="303"/>
      <c r="G79" s="199">
        <f t="shared" si="5"/>
        <v>0</v>
      </c>
      <c r="H79" s="207">
        <f t="shared" si="6"/>
        <v>0</v>
      </c>
      <c r="I79" s="304"/>
      <c r="J79" s="220" t="b">
        <v>0</v>
      </c>
      <c r="K79" s="203">
        <f t="shared" si="7"/>
        <v>0</v>
      </c>
      <c r="L79" s="203">
        <f>SWITCH(M79,"cash",Reference!E$5,"shares",Reference!$E$6,"balance",Reference!$E$7)</f>
        <v>0</v>
      </c>
      <c r="M79" s="204" t="s">
        <v>160</v>
      </c>
      <c r="N79" s="199">
        <f>LET(ratio,Reference!$B$4, ratio*Reference!$B$3*D79)</f>
        <v>0</v>
      </c>
      <c r="O79" s="199">
        <f>iferror(LET(ratio, K79,(1-ratio) * Reference!$B$3 * $D79),0)</f>
        <v>0</v>
      </c>
      <c r="P79" s="199">
        <f>iferror(LET(ratio, L79,(1-ratio) * Reference!$B$3 * $D79),0)</f>
        <v>0</v>
      </c>
      <c r="Q79" s="199">
        <f>SWITCH(Reference!$E$4,"eTradeHoldingRatio",N79, "eTradeLotQtyRatio",O79,"manualLotRatio",P79)</f>
        <v>0</v>
      </c>
      <c r="R79" s="199">
        <f>IF(C79&lt;Reference!$B$26,Reference!$C$26,0)</f>
        <v>0</v>
      </c>
      <c r="S79" s="199">
        <f>IF(C79&lt;Reference!$B$27,Reference!$C$27,0)</f>
        <v>0</v>
      </c>
      <c r="T79" s="199">
        <f t="shared" si="8"/>
        <v>126.98</v>
      </c>
      <c r="U79" s="199">
        <f t="shared" si="9"/>
        <v>0</v>
      </c>
      <c r="V79" s="205">
        <f>$D79*Reference!$B$5*Reference!$B$6</f>
        <v>0</v>
      </c>
      <c r="W79" s="205">
        <f>$D79*K79*Reference!$B$6</f>
        <v>0</v>
      </c>
      <c r="X79" s="206">
        <f>$D79*L79*Reference!$B$6</f>
        <v>0</v>
      </c>
      <c r="Y79" s="206">
        <f>SWITCH(Reference!$E$4,"eTradeHoldingRatio",V79, "eTradeLotQtyRatio",W79,"manualLotRatio",X79)</f>
        <v>0</v>
      </c>
      <c r="Z79" s="207">
        <f>MAX(Q79+(Y79*Reference!$B$18)-U79,0)</f>
        <v>0</v>
      </c>
      <c r="AA79" s="208">
        <f>IF(J79,Summary!$C$41/ (J$86+ESPP!$N$28), 0)</f>
        <v>0</v>
      </c>
      <c r="AB79" s="305">
        <f>IF(J79,(Reference!$B$23 - AF79) * AA79, 0)</f>
        <v>0</v>
      </c>
      <c r="AC79" s="210">
        <f t="shared" si="10"/>
        <v>0</v>
      </c>
      <c r="AD79" s="306">
        <f>IF(DATEDIF(C79,Reference!$B$28,"Y")&gt;=1,0,AC79+AB79)</f>
        <v>0</v>
      </c>
      <c r="AE79" s="306">
        <f>IF(DATEDIF(C79,Reference!$B$28,"Y")&gt;=1,AC79+AB79,0)</f>
        <v>0</v>
      </c>
      <c r="AF79" s="307" t="str">
        <f t="shared" si="11"/>
        <v>n/a</v>
      </c>
      <c r="AG79" s="214">
        <f>iferror((Reference!$B$10-AF79)*Y79 - AA79, 0)</f>
        <v>0</v>
      </c>
      <c r="AH79" s="214">
        <f>IF(DATEDIF(C79,Reference!$B$29,"Y")&gt;=1,0,AG79)</f>
        <v>0</v>
      </c>
      <c r="AI79" s="217">
        <f>IF(DATEDIF(C79,Reference!$B$29,"Y")&gt;=1,AG79,0)</f>
        <v>0</v>
      </c>
    </row>
    <row r="80">
      <c r="A80" s="300" t="s">
        <v>188</v>
      </c>
      <c r="B80" s="301">
        <v>44501.0</v>
      </c>
      <c r="C80" s="195">
        <v>45047.0</v>
      </c>
      <c r="D80" s="196"/>
      <c r="E80" s="302">
        <v>126.98</v>
      </c>
      <c r="F80" s="303"/>
      <c r="G80" s="199">
        <f t="shared" si="5"/>
        <v>0</v>
      </c>
      <c r="H80" s="207">
        <f t="shared" si="6"/>
        <v>0</v>
      </c>
      <c r="I80" s="304"/>
      <c r="J80" s="220" t="b">
        <v>0</v>
      </c>
      <c r="K80" s="203">
        <f t="shared" si="7"/>
        <v>0</v>
      </c>
      <c r="L80" s="203">
        <f>SWITCH(M80,"cash",Reference!E$5,"shares",Reference!$E$6,"balance",Reference!$E$7)</f>
        <v>0</v>
      </c>
      <c r="M80" s="204" t="s">
        <v>160</v>
      </c>
      <c r="N80" s="199">
        <f>LET(ratio,Reference!$B$4, ratio*Reference!$B$3*D80)</f>
        <v>0</v>
      </c>
      <c r="O80" s="199">
        <f>iferror(LET(ratio, K80,(1-ratio) * Reference!$B$3 * $D80),0)</f>
        <v>0</v>
      </c>
      <c r="P80" s="199">
        <f>iferror(LET(ratio, L80,(1-ratio) * Reference!$B$3 * $D80),0)</f>
        <v>0</v>
      </c>
      <c r="Q80" s="199">
        <f>SWITCH(Reference!$E$4,"eTradeHoldingRatio",N80, "eTradeLotQtyRatio",O80,"manualLotRatio",P80)</f>
        <v>0</v>
      </c>
      <c r="R80" s="199">
        <f>IF(C80&lt;Reference!$B$26,Reference!$C$26,0)</f>
        <v>0</v>
      </c>
      <c r="S80" s="199">
        <f>IF(C80&lt;Reference!$B$27,Reference!$C$27,0)</f>
        <v>0</v>
      </c>
      <c r="T80" s="199">
        <f t="shared" si="8"/>
        <v>126.98</v>
      </c>
      <c r="U80" s="199">
        <f t="shared" si="9"/>
        <v>0</v>
      </c>
      <c r="V80" s="205">
        <f>$D80*Reference!$B$5*Reference!$B$6</f>
        <v>0</v>
      </c>
      <c r="W80" s="205">
        <f>$D80*K80*Reference!$B$6</f>
        <v>0</v>
      </c>
      <c r="X80" s="206">
        <f>$D80*L80*Reference!$B$6</f>
        <v>0</v>
      </c>
      <c r="Y80" s="206">
        <f>SWITCH(Reference!$E$4,"eTradeHoldingRatio",V80, "eTradeLotQtyRatio",W80,"manualLotRatio",X80)</f>
        <v>0</v>
      </c>
      <c r="Z80" s="207">
        <f>MAX(Q80+(Y80*Reference!$B$18)-U80,0)</f>
        <v>0</v>
      </c>
      <c r="AA80" s="208">
        <f>IF(J80,Summary!$C$41/ (J$86+ESPP!$N$28), 0)</f>
        <v>0</v>
      </c>
      <c r="AB80" s="305">
        <f>IF(J80,(Reference!$B$23 - AF80) * AA80, 0)</f>
        <v>0</v>
      </c>
      <c r="AC80" s="210">
        <f t="shared" si="10"/>
        <v>0</v>
      </c>
      <c r="AD80" s="306">
        <f>IF(DATEDIF(C80,Reference!$B$28,"Y")&gt;=1,0,AC80+AB80)</f>
        <v>0</v>
      </c>
      <c r="AE80" s="306">
        <f>IF(DATEDIF(C80,Reference!$B$28,"Y")&gt;=1,AC80+AB80,0)</f>
        <v>0</v>
      </c>
      <c r="AF80" s="307" t="str">
        <f t="shared" si="11"/>
        <v>n/a</v>
      </c>
      <c r="AG80" s="214">
        <f>iferror((Reference!$B$10-AF80)*Y80 - AA80, 0)</f>
        <v>0</v>
      </c>
      <c r="AH80" s="214">
        <f>IF(DATEDIF(C80,Reference!$B$29,"Y")&gt;=1,0,AG80)</f>
        <v>0</v>
      </c>
      <c r="AI80" s="217">
        <f>IF(DATEDIF(C80,Reference!$B$29,"Y")&gt;=1,AG80,0)</f>
        <v>0</v>
      </c>
    </row>
    <row r="81">
      <c r="A81" s="300" t="s">
        <v>189</v>
      </c>
      <c r="B81" s="301">
        <v>44741.0</v>
      </c>
      <c r="C81" s="195">
        <v>45078.0</v>
      </c>
      <c r="D81" s="196"/>
      <c r="E81" s="302">
        <v>133.94</v>
      </c>
      <c r="F81" s="303"/>
      <c r="G81" s="199">
        <f t="shared" si="5"/>
        <v>0</v>
      </c>
      <c r="H81" s="207">
        <f t="shared" si="6"/>
        <v>0</v>
      </c>
      <c r="I81" s="304"/>
      <c r="J81" s="220" t="b">
        <v>0</v>
      </c>
      <c r="K81" s="203">
        <f t="shared" si="7"/>
        <v>0</v>
      </c>
      <c r="L81" s="203">
        <f>SWITCH(M81,"cash",Reference!E$5,"shares",Reference!$E$6,"balance",Reference!$E$7)</f>
        <v>0</v>
      </c>
      <c r="M81" s="204" t="s">
        <v>160</v>
      </c>
      <c r="N81" s="199">
        <f>LET(ratio,Reference!$B$4, ratio*Reference!$B$3*D81)</f>
        <v>0</v>
      </c>
      <c r="O81" s="199">
        <f>iferror(LET(ratio, K81,(1-ratio) * Reference!$B$3 * $D81),0)</f>
        <v>0</v>
      </c>
      <c r="P81" s="199">
        <f>iferror(LET(ratio, L81,(1-ratio) * Reference!$B$3 * $D81),0)</f>
        <v>0</v>
      </c>
      <c r="Q81" s="199">
        <f>SWITCH(Reference!$E$4,"eTradeHoldingRatio",N81, "eTradeLotQtyRatio",O81,"manualLotRatio",P81)</f>
        <v>0</v>
      </c>
      <c r="R81" s="199">
        <f>IF(C81&lt;Reference!$B$26,Reference!$C$26,0)</f>
        <v>0</v>
      </c>
      <c r="S81" s="199">
        <f>IF(C81&lt;Reference!$B$27,Reference!$C$27,0)</f>
        <v>0</v>
      </c>
      <c r="T81" s="199">
        <f t="shared" si="8"/>
        <v>133.94</v>
      </c>
      <c r="U81" s="199">
        <f t="shared" si="9"/>
        <v>0</v>
      </c>
      <c r="V81" s="205">
        <f>$D81*Reference!$B$5*Reference!$B$6</f>
        <v>0</v>
      </c>
      <c r="W81" s="205">
        <f>$D81*K81*Reference!$B$6</f>
        <v>0</v>
      </c>
      <c r="X81" s="206">
        <f>$D81*L81*Reference!$B$6</f>
        <v>0</v>
      </c>
      <c r="Y81" s="206">
        <f>SWITCH(Reference!$E$4,"eTradeHoldingRatio",V81, "eTradeLotQtyRatio",W81,"manualLotRatio",X81)</f>
        <v>0</v>
      </c>
      <c r="Z81" s="207">
        <f>MAX(Q81+(Y81*Reference!$B$18)-U81,0)</f>
        <v>0</v>
      </c>
      <c r="AA81" s="208">
        <f>IF(J81,Summary!$C$41/ (J$86+ESPP!$N$28), 0)</f>
        <v>0</v>
      </c>
      <c r="AB81" s="305">
        <f>IF(J81,(Reference!$B$23 - AF81) * AA81, 0)</f>
        <v>0</v>
      </c>
      <c r="AC81" s="210">
        <f t="shared" si="10"/>
        <v>0</v>
      </c>
      <c r="AD81" s="306">
        <f>IF(DATEDIF(C81,Reference!$B$28,"Y")&gt;=1,0,AC81+AB81)</f>
        <v>0</v>
      </c>
      <c r="AE81" s="306">
        <f>IF(DATEDIF(C81,Reference!$B$28,"Y")&gt;=1,AC81+AB81,0)</f>
        <v>0</v>
      </c>
      <c r="AF81" s="307" t="str">
        <f t="shared" si="11"/>
        <v>n/a</v>
      </c>
      <c r="AG81" s="214">
        <f>iferror((Reference!$B$10-AF81)*Y81 - AA81, 0)</f>
        <v>0</v>
      </c>
      <c r="AH81" s="214">
        <f>IF(DATEDIF(C81,Reference!$B$29,"Y")&gt;=1,0,AG81)</f>
        <v>0</v>
      </c>
      <c r="AI81" s="217">
        <f>IF(DATEDIF(C81,Reference!$B$29,"Y")&gt;=1,AG81,0)</f>
        <v>0</v>
      </c>
    </row>
    <row r="82">
      <c r="A82" s="300" t="s">
        <v>187</v>
      </c>
      <c r="B82" s="301">
        <v>44501.0</v>
      </c>
      <c r="C82" s="195">
        <v>45078.0</v>
      </c>
      <c r="D82" s="196"/>
      <c r="E82" s="302">
        <v>133.94</v>
      </c>
      <c r="F82" s="303"/>
      <c r="G82" s="199">
        <f t="shared" si="5"/>
        <v>0</v>
      </c>
      <c r="H82" s="207">
        <f t="shared" si="6"/>
        <v>0</v>
      </c>
      <c r="I82" s="309"/>
      <c r="J82" s="220" t="b">
        <v>0</v>
      </c>
      <c r="K82" s="203">
        <f t="shared" si="7"/>
        <v>0</v>
      </c>
      <c r="L82" s="203">
        <f>SWITCH(M82,"cash",Reference!E$5,"shares",Reference!$E$6,"balance",Reference!$E$7)</f>
        <v>0</v>
      </c>
      <c r="M82" s="204" t="s">
        <v>160</v>
      </c>
      <c r="N82" s="199">
        <f>LET(ratio,Reference!$B$4, ratio*Reference!$B$3*D82)</f>
        <v>0</v>
      </c>
      <c r="O82" s="199">
        <f>iferror(LET(ratio, K82,(1-ratio) * Reference!$B$3 * $D82),0)</f>
        <v>0</v>
      </c>
      <c r="P82" s="199">
        <f>iferror(LET(ratio, L82,(1-ratio) * Reference!$B$3 * $D82),0)</f>
        <v>0</v>
      </c>
      <c r="Q82" s="199">
        <f>SWITCH(Reference!$E$4,"eTradeHoldingRatio",N82, "eTradeLotQtyRatio",O82,"manualLotRatio",P82)</f>
        <v>0</v>
      </c>
      <c r="R82" s="199">
        <f>IF(C82&lt;Reference!$B$26,Reference!$C$26,0)</f>
        <v>0</v>
      </c>
      <c r="S82" s="199">
        <f>IF(C82&lt;Reference!$B$27,Reference!$C$27,0)</f>
        <v>0</v>
      </c>
      <c r="T82" s="199">
        <f t="shared" si="8"/>
        <v>133.94</v>
      </c>
      <c r="U82" s="199">
        <f t="shared" si="9"/>
        <v>0</v>
      </c>
      <c r="V82" s="205">
        <f>$D82*Reference!$B$5*Reference!$B$6</f>
        <v>0</v>
      </c>
      <c r="W82" s="205">
        <f>$D82*K82*Reference!$B$6</f>
        <v>0</v>
      </c>
      <c r="X82" s="206">
        <f>$D82*L82*Reference!$B$6</f>
        <v>0</v>
      </c>
      <c r="Y82" s="206">
        <f>SWITCH(Reference!$E$4,"eTradeHoldingRatio",V82, "eTradeLotQtyRatio",W82,"manualLotRatio",X82)</f>
        <v>0</v>
      </c>
      <c r="Z82" s="207">
        <f>MAX(Q82+(Y82*Reference!$B$18)-U82,0)</f>
        <v>0</v>
      </c>
      <c r="AA82" s="208">
        <f>IF(J82,Summary!$C$41/ (J$86+ESPP!$N$28), 0)</f>
        <v>0</v>
      </c>
      <c r="AB82" s="305">
        <f>IF(J82,(Reference!$B$23 - AF82) * AA82, 0)</f>
        <v>0</v>
      </c>
      <c r="AC82" s="210">
        <f t="shared" si="10"/>
        <v>0</v>
      </c>
      <c r="AD82" s="306">
        <f>IF(DATEDIF(C82,Reference!$B$28,"Y")&gt;=1,0,AC82+AB82)</f>
        <v>0</v>
      </c>
      <c r="AE82" s="306">
        <f>IF(DATEDIF(C82,Reference!$B$28,"Y")&gt;=1,AC82+AB82,0)</f>
        <v>0</v>
      </c>
      <c r="AF82" s="307" t="str">
        <f t="shared" si="11"/>
        <v>n/a</v>
      </c>
      <c r="AG82" s="214">
        <f>iferror((Reference!$B$10-AF82)*Y82 - AA82, 0)</f>
        <v>0</v>
      </c>
      <c r="AH82" s="214">
        <f>IF(DATEDIF(C82,Reference!$B$29,"Y")&gt;=1,0,AG82)</f>
        <v>0</v>
      </c>
      <c r="AI82" s="217">
        <f>IF(DATEDIF(C82,Reference!$B$29,"Y")&gt;=1,AG82,0)</f>
        <v>0</v>
      </c>
    </row>
    <row r="83">
      <c r="A83" s="300" t="s">
        <v>188</v>
      </c>
      <c r="B83" s="301">
        <v>44501.0</v>
      </c>
      <c r="C83" s="195">
        <v>45139.0</v>
      </c>
      <c r="D83" s="196"/>
      <c r="E83" s="302">
        <v>158.96</v>
      </c>
      <c r="F83" s="303"/>
      <c r="G83" s="199">
        <f t="shared" si="5"/>
        <v>0</v>
      </c>
      <c r="H83" s="207">
        <f t="shared" si="6"/>
        <v>0</v>
      </c>
      <c r="I83" s="304"/>
      <c r="J83" s="220" t="b">
        <v>0</v>
      </c>
      <c r="K83" s="203">
        <f t="shared" si="7"/>
        <v>0</v>
      </c>
      <c r="L83" s="203">
        <f>SWITCH(M83,"cash",Reference!E$5,"shares",Reference!$E$6,"balance",Reference!$E$7)</f>
        <v>0</v>
      </c>
      <c r="M83" s="204" t="s">
        <v>160</v>
      </c>
      <c r="N83" s="199">
        <f>LET(ratio,Reference!$B$4, ratio*Reference!$B$3*D83)</f>
        <v>0</v>
      </c>
      <c r="O83" s="199">
        <f>iferror(LET(ratio, K83,(1-ratio) * Reference!$B$3 * $D83),0)</f>
        <v>0</v>
      </c>
      <c r="P83" s="199">
        <f>iferror(LET(ratio, L83,(1-ratio) * Reference!$B$3 * $D83),0)</f>
        <v>0</v>
      </c>
      <c r="Q83" s="199">
        <f>SWITCH(Reference!$E$4,"eTradeHoldingRatio",N83, "eTradeLotQtyRatio",O83,"manualLotRatio",P83)</f>
        <v>0</v>
      </c>
      <c r="R83" s="199">
        <f>IF(C83&lt;Reference!$B$26,Reference!$C$26,0)</f>
        <v>0</v>
      </c>
      <c r="S83" s="199">
        <f>IF(C83&lt;Reference!$B$27,Reference!$C$27,0)</f>
        <v>0</v>
      </c>
      <c r="T83" s="199">
        <f t="shared" si="8"/>
        <v>158.96</v>
      </c>
      <c r="U83" s="199">
        <f t="shared" si="9"/>
        <v>0</v>
      </c>
      <c r="V83" s="205">
        <f>$D83*Reference!$B$5*Reference!$B$6</f>
        <v>0</v>
      </c>
      <c r="W83" s="205">
        <f>$D83*K83*Reference!$B$6</f>
        <v>0</v>
      </c>
      <c r="X83" s="206">
        <f>$D83*L83*Reference!$B$6</f>
        <v>0</v>
      </c>
      <c r="Y83" s="206">
        <f>SWITCH(Reference!$E$4,"eTradeHoldingRatio",V83, "eTradeLotQtyRatio",W83,"manualLotRatio",X83)</f>
        <v>0</v>
      </c>
      <c r="Z83" s="207">
        <f>MAX(Q83+(Y83*Reference!$B$18)-U83,0)</f>
        <v>0</v>
      </c>
      <c r="AA83" s="208">
        <f>IF(J83,Summary!$C$41/ (J$86+ESPP!$N$28), 0)</f>
        <v>0</v>
      </c>
      <c r="AB83" s="305">
        <f>IF(J83,(Reference!$B$23 - AF83) * AA83, 0)</f>
        <v>0</v>
      </c>
      <c r="AC83" s="210">
        <f t="shared" si="10"/>
        <v>0</v>
      </c>
      <c r="AD83" s="306">
        <f>IF(DATEDIF(C83,Reference!$B$28,"Y")&gt;=1,0,AC83+AB83)</f>
        <v>0</v>
      </c>
      <c r="AE83" s="306">
        <f>IF(DATEDIF(C83,Reference!$B$28,"Y")&gt;=1,AC83+AB83,0)</f>
        <v>0</v>
      </c>
      <c r="AF83" s="307" t="str">
        <f t="shared" si="11"/>
        <v>n/a</v>
      </c>
      <c r="AG83" s="214">
        <f>iferror((Reference!$B$10-AF83)*Y83 - AA83, 0)</f>
        <v>0</v>
      </c>
      <c r="AH83" s="214">
        <f>IF(DATEDIF(C83,Reference!$B$29,"Y")&gt;=1,0,AG83)</f>
        <v>0</v>
      </c>
      <c r="AI83" s="217">
        <f>IF(DATEDIF(C83,Reference!$B$29,"Y")&gt;=1,AG83,0)</f>
        <v>0</v>
      </c>
    </row>
    <row r="84">
      <c r="A84" s="312" t="s">
        <v>189</v>
      </c>
      <c r="B84" s="313">
        <v>44741.0</v>
      </c>
      <c r="C84" s="224">
        <v>45170.0</v>
      </c>
      <c r="D84" s="225"/>
      <c r="E84" s="314">
        <v>164.1</v>
      </c>
      <c r="F84" s="315"/>
      <c r="G84" s="228">
        <f t="shared" si="5"/>
        <v>0</v>
      </c>
      <c r="H84" s="235">
        <f t="shared" si="6"/>
        <v>0</v>
      </c>
      <c r="I84" s="316"/>
      <c r="J84" s="231" t="b">
        <v>0</v>
      </c>
      <c r="K84" s="232">
        <f t="shared" si="7"/>
        <v>0</v>
      </c>
      <c r="L84" s="232">
        <f>SWITCH(M84,"cash",Reference!E$5,"shares",Reference!$E$6,"balance",Reference!$E$7)</f>
        <v>0</v>
      </c>
      <c r="M84" s="204" t="s">
        <v>160</v>
      </c>
      <c r="N84" s="228">
        <f>LET(ratio,Reference!$B$4, ratio*Reference!$B$3*D84)</f>
        <v>0</v>
      </c>
      <c r="O84" s="228">
        <f>iferror(LET(ratio, K84,(1-ratio) * Reference!$B$3 * $D84),0)</f>
        <v>0</v>
      </c>
      <c r="P84" s="228">
        <f>iferror(LET(ratio, L84,(1-ratio) * Reference!$B$3 * $D84),0)</f>
        <v>0</v>
      </c>
      <c r="Q84" s="228">
        <f>SWITCH(Reference!$E$4,"eTradeHoldingRatio",N84, "eTradeLotQtyRatio",O84,"manualLotRatio",P84)</f>
        <v>0</v>
      </c>
      <c r="R84" s="228">
        <f>IF(C84&lt;Reference!$B$26,Reference!$C$26,0)</f>
        <v>0</v>
      </c>
      <c r="S84" s="228">
        <f>IF(C84&lt;Reference!$B$27,Reference!$C$27,0)</f>
        <v>0</v>
      </c>
      <c r="T84" s="228">
        <f t="shared" si="8"/>
        <v>164.1</v>
      </c>
      <c r="U84" s="228">
        <f t="shared" si="9"/>
        <v>0</v>
      </c>
      <c r="V84" s="233">
        <f>$D84*Reference!$B$5*Reference!$B$6</f>
        <v>0</v>
      </c>
      <c r="W84" s="233">
        <f>$D84*K84*Reference!$B$6</f>
        <v>0</v>
      </c>
      <c r="X84" s="234">
        <f>$D84*L84*Reference!$B$6</f>
        <v>0</v>
      </c>
      <c r="Y84" s="234">
        <f>SWITCH(Reference!$E$4,"eTradeHoldingRatio",V84, "eTradeLotQtyRatio",W84,"manualLotRatio",X84)</f>
        <v>0</v>
      </c>
      <c r="Z84" s="235">
        <f>MAX(Q84+(Y84*Reference!$B$18)-U84,0)</f>
        <v>0</v>
      </c>
      <c r="AA84" s="236">
        <f>IF(J84,Summary!$C$41/ (J$86+ESPP!$N$28), 0)</f>
        <v>0</v>
      </c>
      <c r="AB84" s="317">
        <f>IF(J84,(Reference!$B$23 - AF84) * AA84, 0)</f>
        <v>0</v>
      </c>
      <c r="AC84" s="238">
        <f t="shared" si="10"/>
        <v>0</v>
      </c>
      <c r="AD84" s="318">
        <f>IF(DATEDIF(C84,Reference!$B$28,"Y")&gt;=1,0,AC84+AB84)</f>
        <v>0</v>
      </c>
      <c r="AE84" s="318">
        <f>IF(DATEDIF(C84,Reference!$B$28,"Y")&gt;=1,AC84+AB84,0)</f>
        <v>0</v>
      </c>
      <c r="AF84" s="319" t="str">
        <f t="shared" si="11"/>
        <v>n/a</v>
      </c>
      <c r="AG84" s="242">
        <f>iferror((Reference!$B$10-AF84)*Y84 - AA84, 0)</f>
        <v>0</v>
      </c>
      <c r="AH84" s="242">
        <f>IF(DATEDIF(C84,Reference!$B$29,"Y")&gt;=1,0,AG84)</f>
        <v>0</v>
      </c>
      <c r="AI84" s="244">
        <f>IF(DATEDIF(C84,Reference!$B$29,"Y")&gt;=1,AG84,0)</f>
        <v>0</v>
      </c>
    </row>
    <row r="85">
      <c r="G85" s="97"/>
      <c r="I85" s="115"/>
      <c r="M85" s="135" t="s">
        <v>160</v>
      </c>
      <c r="N85" s="115"/>
      <c r="AA85" s="115"/>
      <c r="AD85" s="115"/>
      <c r="AF85" s="115"/>
    </row>
    <row r="86">
      <c r="A86" s="248"/>
      <c r="B86" s="97"/>
      <c r="C86" s="97"/>
      <c r="D86" s="249">
        <f>SUM(D7:D84)</f>
        <v>0</v>
      </c>
      <c r="E86" s="97"/>
      <c r="F86" s="97"/>
      <c r="G86" s="320">
        <f t="shared" ref="G86:I86" si="12">SUM(G7:G84)</f>
        <v>0</v>
      </c>
      <c r="H86" s="251">
        <f t="shared" si="12"/>
        <v>0</v>
      </c>
      <c r="I86" s="295">
        <f t="shared" si="12"/>
        <v>0</v>
      </c>
      <c r="J86" s="97">
        <f>COUNTIF(J7:J84, TRUE)</f>
        <v>0</v>
      </c>
      <c r="K86" s="97"/>
      <c r="L86" s="97"/>
      <c r="M86" s="253" t="s">
        <v>160</v>
      </c>
      <c r="N86" s="122">
        <f t="shared" ref="N86:Q86" si="13">SUM(N7:N84)</f>
        <v>0</v>
      </c>
      <c r="O86" s="251">
        <f t="shared" si="13"/>
        <v>0</v>
      </c>
      <c r="P86" s="251">
        <f t="shared" si="13"/>
        <v>0</v>
      </c>
      <c r="Q86" s="251">
        <f t="shared" si="13"/>
        <v>0</v>
      </c>
      <c r="R86" s="97"/>
      <c r="S86" s="97"/>
      <c r="T86" s="97"/>
      <c r="U86" s="251">
        <f t="shared" ref="U86:AE86" si="14">SUM(U7:U84)</f>
        <v>0</v>
      </c>
      <c r="V86" s="254">
        <f t="shared" si="14"/>
        <v>0</v>
      </c>
      <c r="W86" s="254">
        <f t="shared" si="14"/>
        <v>0</v>
      </c>
      <c r="X86" s="254">
        <f t="shared" si="14"/>
        <v>0</v>
      </c>
      <c r="Y86" s="254">
        <f t="shared" si="14"/>
        <v>0</v>
      </c>
      <c r="Z86" s="251">
        <f t="shared" si="14"/>
        <v>0</v>
      </c>
      <c r="AA86" s="256">
        <f t="shared" si="14"/>
        <v>0</v>
      </c>
      <c r="AB86" s="257">
        <f t="shared" si="14"/>
        <v>0</v>
      </c>
      <c r="AC86" s="251">
        <f t="shared" si="14"/>
        <v>0</v>
      </c>
      <c r="AD86" s="258">
        <f t="shared" si="14"/>
        <v>0</v>
      </c>
      <c r="AE86" s="257">
        <f t="shared" si="14"/>
        <v>0</v>
      </c>
      <c r="AF86" s="248"/>
      <c r="AG86" s="96">
        <f t="shared" ref="AG86:AI86" si="15">SUM(AG7:AG84)</f>
        <v>0</v>
      </c>
      <c r="AH86" s="96">
        <f t="shared" si="15"/>
        <v>0</v>
      </c>
      <c r="AI86" s="98">
        <f t="shared" si="15"/>
        <v>0</v>
      </c>
    </row>
  </sheetData>
  <mergeCells count="18">
    <mergeCell ref="A1:M1"/>
    <mergeCell ref="N1:AI1"/>
    <mergeCell ref="I2:J2"/>
    <mergeCell ref="K2:M2"/>
    <mergeCell ref="N2:Z2"/>
    <mergeCell ref="AB2:AE2"/>
    <mergeCell ref="AF2:AI2"/>
    <mergeCell ref="V3:Y3"/>
    <mergeCell ref="AB3:AC3"/>
    <mergeCell ref="AD3:AE3"/>
    <mergeCell ref="AF3:AI3"/>
    <mergeCell ref="A2:H2"/>
    <mergeCell ref="B3:E3"/>
    <mergeCell ref="G3:H3"/>
    <mergeCell ref="K3:M3"/>
    <mergeCell ref="N3:Q3"/>
    <mergeCell ref="R3:S3"/>
    <mergeCell ref="T3:U3"/>
  </mergeCells>
  <conditionalFormatting sqref="I7:I84">
    <cfRule type="cellIs" dxfId="5" priority="1" operator="notEqual">
      <formula>ROUND(V7,3)</formula>
    </cfRule>
  </conditionalFormatting>
  <conditionalFormatting sqref="AC7:AC84">
    <cfRule type="cellIs" dxfId="7" priority="2" operator="notEqual">
      <formula>Q7</formula>
    </cfRule>
  </conditionalFormatting>
  <conditionalFormatting sqref="AB7:AB84">
    <cfRule type="cellIs" dxfId="8" priority="3" operator="equal">
      <formula>0</formula>
    </cfRule>
  </conditionalFormatting>
  <dataValidations>
    <dataValidation type="decimal" operator="greaterThanOrEqual" allowBlank="1" showDropDown="1" showErrorMessage="1" sqref="D7:D84 I7:I84">
      <formula1>0.0</formula1>
    </dataValidation>
    <dataValidation type="list" allowBlank="1" showErrorMessage="1" sqref="M7:M84">
      <formula1>"balance,cash,shares"</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3" max="3" width="23.38"/>
    <col customWidth="1" min="4" max="4" width="15.0"/>
    <col customWidth="1" min="5" max="5" width="17.25"/>
  </cols>
  <sheetData>
    <row r="1">
      <c r="A1" s="53" t="s">
        <v>190</v>
      </c>
      <c r="B1" s="53"/>
      <c r="C1" s="2"/>
      <c r="D1" s="2"/>
      <c r="E1" s="2"/>
      <c r="F1" s="2"/>
      <c r="G1" s="2"/>
      <c r="H1" s="2"/>
      <c r="I1" s="2"/>
      <c r="J1" s="2"/>
      <c r="K1" s="2"/>
    </row>
    <row r="2">
      <c r="A2" s="53"/>
      <c r="B2" s="53"/>
      <c r="C2" s="2"/>
      <c r="D2" s="2"/>
      <c r="E2" s="2"/>
      <c r="F2" s="2"/>
      <c r="G2" s="2"/>
      <c r="H2" s="2"/>
      <c r="I2" s="2"/>
      <c r="J2" s="2"/>
      <c r="K2" s="2"/>
    </row>
    <row r="3">
      <c r="A3" s="53" t="s">
        <v>191</v>
      </c>
      <c r="B3" s="321">
        <v>142.5</v>
      </c>
      <c r="C3" s="2"/>
      <c r="D3" s="53" t="s">
        <v>192</v>
      </c>
      <c r="E3" s="322">
        <f>B3*B4 + B18*B5*B6</f>
        <v>142.5</v>
      </c>
      <c r="F3" s="2"/>
      <c r="G3" s="2"/>
      <c r="H3" s="2"/>
      <c r="I3" s="2"/>
      <c r="J3" s="2"/>
      <c r="K3" s="2"/>
    </row>
    <row r="4">
      <c r="A4" s="53" t="s">
        <v>193</v>
      </c>
      <c r="B4" s="323">
        <f>iferror(Summary!B25/(Summary!B25+Summary!B26),1)</f>
        <v>1</v>
      </c>
      <c r="C4" s="66"/>
      <c r="D4" s="49" t="s">
        <v>194</v>
      </c>
      <c r="E4" s="324" t="str">
        <f>SWITCH(Summary!K26,"Calculated from Necessary Inputs", "eTradeHoldingRatio","Calculated from manual share qty","eTradeLotQtyRatio", "Manual per-lot ratio", "manualLotRatio")</f>
        <v>manualLotRatio</v>
      </c>
      <c r="F4" s="36"/>
      <c r="G4" s="36"/>
      <c r="H4" s="36"/>
      <c r="I4" s="2"/>
      <c r="J4" s="2"/>
      <c r="K4" s="2"/>
    </row>
    <row r="5">
      <c r="A5" s="53" t="s">
        <v>195</v>
      </c>
      <c r="B5" s="323">
        <f>iferror(Summary!B26/(Summary!B26+Summary!B25),0)</f>
        <v>0</v>
      </c>
      <c r="C5" s="53"/>
      <c r="D5" s="53" t="s">
        <v>196</v>
      </c>
      <c r="E5" s="325">
        <v>0.0</v>
      </c>
      <c r="F5" s="53"/>
      <c r="G5" s="53"/>
      <c r="H5" s="53"/>
      <c r="I5" s="2"/>
      <c r="J5" s="2"/>
      <c r="K5" s="2"/>
    </row>
    <row r="6">
      <c r="A6" s="53" t="s">
        <v>197</v>
      </c>
      <c r="B6" s="326">
        <v>0.252</v>
      </c>
      <c r="C6" s="53"/>
      <c r="D6" s="53" t="s">
        <v>198</v>
      </c>
      <c r="E6" s="327">
        <v>1.0</v>
      </c>
      <c r="F6" s="53"/>
      <c r="G6" s="53"/>
      <c r="H6" s="53"/>
      <c r="I6" s="2"/>
      <c r="J6" s="2"/>
      <c r="K6" s="2"/>
    </row>
    <row r="7">
      <c r="A7" s="53"/>
      <c r="B7" s="53"/>
      <c r="C7" s="53"/>
      <c r="D7" s="53" t="s">
        <v>199</v>
      </c>
      <c r="E7" s="328">
        <f>B5</f>
        <v>0</v>
      </c>
      <c r="F7" s="53"/>
      <c r="G7" s="53"/>
      <c r="H7" s="53"/>
      <c r="I7" s="2"/>
      <c r="J7" s="2"/>
      <c r="K7" s="2"/>
    </row>
    <row r="8">
      <c r="A8" s="53" t="s">
        <v>200</v>
      </c>
      <c r="B8" s="329">
        <v>0.2</v>
      </c>
      <c r="C8" s="53"/>
      <c r="D8" s="53"/>
      <c r="E8" s="53"/>
      <c r="F8" s="53"/>
      <c r="G8" s="53"/>
      <c r="H8" s="53"/>
      <c r="I8" s="2"/>
      <c r="J8" s="2"/>
      <c r="K8" s="2"/>
    </row>
    <row r="9">
      <c r="A9" s="2"/>
      <c r="B9" s="2"/>
      <c r="C9" s="2"/>
      <c r="D9" s="2"/>
      <c r="E9" s="2"/>
      <c r="F9" s="2"/>
      <c r="G9" s="2"/>
      <c r="H9" s="2"/>
      <c r="I9" s="2"/>
      <c r="J9" s="2"/>
      <c r="K9" s="2"/>
    </row>
    <row r="10">
      <c r="A10" s="3" t="s">
        <v>201</v>
      </c>
      <c r="B10" s="330">
        <f>Summary!M28</f>
        <v>1296.23</v>
      </c>
      <c r="C10" s="2"/>
      <c r="D10" s="2"/>
      <c r="E10" s="2"/>
      <c r="F10" s="2"/>
      <c r="G10" s="2"/>
      <c r="H10" s="2"/>
      <c r="I10" s="2"/>
      <c r="J10" s="2"/>
      <c r="K10" s="2"/>
    </row>
    <row r="11">
      <c r="A11" s="3"/>
      <c r="B11" s="2"/>
      <c r="C11" s="2"/>
      <c r="D11" s="2"/>
      <c r="E11" s="2"/>
      <c r="F11" s="2"/>
      <c r="G11" s="2"/>
      <c r="H11" s="2"/>
      <c r="I11" s="2"/>
      <c r="J11" s="2"/>
      <c r="K11" s="2"/>
    </row>
    <row r="12">
      <c r="A12" s="331" t="s">
        <v>202</v>
      </c>
      <c r="B12" s="2"/>
      <c r="C12" s="2"/>
      <c r="D12" s="2"/>
      <c r="E12" s="2"/>
      <c r="F12" s="2"/>
      <c r="G12" s="2"/>
      <c r="H12" s="2"/>
      <c r="I12" s="2"/>
      <c r="J12" s="2"/>
      <c r="K12" s="2"/>
    </row>
    <row r="13">
      <c r="A13" s="331" t="s">
        <v>203</v>
      </c>
      <c r="B13" s="321">
        <v>981.2</v>
      </c>
      <c r="C13" s="2"/>
      <c r="D13" s="2"/>
      <c r="E13" s="2"/>
      <c r="F13" s="2"/>
      <c r="G13" s="2"/>
      <c r="H13" s="2"/>
      <c r="I13" s="2"/>
      <c r="J13" s="2"/>
      <c r="K13" s="2"/>
    </row>
    <row r="14">
      <c r="A14" s="331" t="s">
        <v>45</v>
      </c>
      <c r="B14" s="321">
        <v>979.5</v>
      </c>
      <c r="C14" s="2"/>
      <c r="D14" s="2"/>
      <c r="E14" s="2"/>
      <c r="F14" s="2"/>
      <c r="G14" s="2"/>
      <c r="H14" s="2"/>
      <c r="I14" s="2"/>
      <c r="J14" s="2"/>
      <c r="K14" s="2"/>
    </row>
    <row r="15">
      <c r="A15" s="2"/>
      <c r="B15" s="2"/>
      <c r="C15" s="2"/>
      <c r="D15" s="2"/>
      <c r="E15" s="2"/>
      <c r="F15" s="2"/>
      <c r="G15" s="2"/>
      <c r="H15" s="2"/>
      <c r="I15" s="2"/>
      <c r="J15" s="2"/>
      <c r="K15" s="2"/>
    </row>
    <row r="16">
      <c r="A16" s="331" t="s">
        <v>204</v>
      </c>
      <c r="B16" s="321">
        <v>987.99</v>
      </c>
      <c r="C16" s="2"/>
      <c r="D16" s="2"/>
      <c r="E16" s="2"/>
      <c r="F16" s="2"/>
      <c r="G16" s="2"/>
      <c r="H16" s="2"/>
      <c r="I16" s="2"/>
      <c r="J16" s="2"/>
      <c r="K16" s="2"/>
    </row>
    <row r="17">
      <c r="A17" s="331" t="s">
        <v>205</v>
      </c>
      <c r="B17" s="321">
        <v>971.0</v>
      </c>
      <c r="C17" s="2"/>
      <c r="D17" s="2"/>
      <c r="E17" s="2"/>
      <c r="F17" s="2"/>
      <c r="G17" s="2"/>
      <c r="H17" s="2"/>
      <c r="I17" s="2"/>
      <c r="J17" s="2"/>
      <c r="K17" s="2"/>
    </row>
    <row r="18">
      <c r="A18" s="332" t="s">
        <v>38</v>
      </c>
      <c r="B18" s="333">
        <f>SWITCH(Summary!K25,"Close",B13,"Mean",B14,"High",B16, "Low",B17, "Custom",Summary!M25)</f>
        <v>979.5</v>
      </c>
      <c r="C18" s="2"/>
      <c r="D18" s="2"/>
      <c r="E18" s="2"/>
      <c r="F18" s="2"/>
      <c r="G18" s="2"/>
      <c r="H18" s="2"/>
      <c r="I18" s="2"/>
      <c r="J18" s="2"/>
      <c r="K18" s="2"/>
    </row>
    <row r="19">
      <c r="A19" s="53"/>
      <c r="B19" s="2"/>
      <c r="C19" s="2"/>
      <c r="D19" s="2"/>
      <c r="E19" s="2"/>
      <c r="F19" s="2"/>
      <c r="G19" s="2"/>
      <c r="H19" s="2"/>
      <c r="I19" s="2"/>
      <c r="J19" s="2"/>
      <c r="K19" s="2"/>
    </row>
    <row r="20">
      <c r="A20" s="3" t="s">
        <v>206</v>
      </c>
      <c r="B20" s="53"/>
      <c r="C20" s="2"/>
      <c r="D20" s="2"/>
      <c r="E20" s="2"/>
      <c r="F20" s="2"/>
      <c r="G20" s="2"/>
      <c r="H20" s="2"/>
      <c r="I20" s="2"/>
      <c r="J20" s="2"/>
      <c r="K20" s="2"/>
    </row>
    <row r="21">
      <c r="A21" s="3" t="s">
        <v>54</v>
      </c>
      <c r="B21" s="334">
        <v>904.79</v>
      </c>
      <c r="C21" s="2"/>
      <c r="D21" s="2"/>
      <c r="E21" s="2"/>
      <c r="F21" s="2"/>
      <c r="G21" s="2"/>
      <c r="H21" s="2"/>
      <c r="I21" s="2"/>
      <c r="J21" s="2"/>
      <c r="K21" s="2"/>
    </row>
    <row r="22">
      <c r="A22" s="3" t="s">
        <v>207</v>
      </c>
      <c r="B22" s="321">
        <v>981.2</v>
      </c>
      <c r="C22" s="2"/>
      <c r="D22" s="2"/>
      <c r="E22" s="2"/>
      <c r="F22" s="2"/>
      <c r="G22" s="2"/>
      <c r="H22" s="2"/>
      <c r="I22" s="2"/>
      <c r="J22" s="2"/>
      <c r="K22" s="2"/>
    </row>
    <row r="23">
      <c r="A23" s="332" t="s">
        <v>38</v>
      </c>
      <c r="B23" s="335">
        <f>SWITCH(Summary!K27,"eTrade",B21,"Form 8937",B22,"Custom",Summary!M27)</f>
        <v>904.79</v>
      </c>
      <c r="C23" s="2"/>
      <c r="D23" s="2"/>
      <c r="E23" s="2"/>
      <c r="F23" s="2"/>
      <c r="G23" s="2"/>
      <c r="H23" s="2"/>
      <c r="I23" s="2"/>
      <c r="J23" s="2"/>
      <c r="K23" s="2"/>
    </row>
    <row r="24">
      <c r="A24" s="2"/>
      <c r="B24" s="2"/>
      <c r="C24" s="53"/>
      <c r="D24" s="2"/>
      <c r="E24" s="2"/>
      <c r="F24" s="2"/>
      <c r="G24" s="2"/>
      <c r="H24" s="2"/>
      <c r="I24" s="2"/>
      <c r="J24" s="2"/>
      <c r="K24" s="2"/>
    </row>
    <row r="25">
      <c r="A25" s="3" t="s">
        <v>208</v>
      </c>
      <c r="B25" s="336"/>
      <c r="C25" s="3" t="s">
        <v>209</v>
      </c>
      <c r="D25" s="2"/>
      <c r="E25" s="2"/>
      <c r="F25" s="2"/>
      <c r="G25" s="2"/>
      <c r="H25" s="2"/>
      <c r="I25" s="2"/>
      <c r="J25" s="2"/>
      <c r="K25" s="2"/>
    </row>
    <row r="26">
      <c r="A26" s="53" t="s">
        <v>210</v>
      </c>
      <c r="B26" s="337">
        <v>43461.0</v>
      </c>
      <c r="C26" s="321">
        <v>10.18</v>
      </c>
      <c r="D26" s="2"/>
      <c r="E26" s="2"/>
      <c r="F26" s="2"/>
      <c r="G26" s="2"/>
      <c r="H26" s="2"/>
      <c r="I26" s="2"/>
      <c r="J26" s="2"/>
      <c r="K26" s="2"/>
    </row>
    <row r="27">
      <c r="A27" s="53" t="s">
        <v>210</v>
      </c>
      <c r="B27" s="337">
        <v>44498.0</v>
      </c>
      <c r="C27" s="321">
        <v>16.87</v>
      </c>
      <c r="D27" s="2"/>
      <c r="E27" s="53"/>
      <c r="F27" s="53"/>
      <c r="G27" s="53"/>
      <c r="H27" s="2"/>
      <c r="I27" s="2"/>
      <c r="J27" s="2"/>
      <c r="K27" s="2"/>
    </row>
    <row r="28">
      <c r="A28" s="53" t="s">
        <v>211</v>
      </c>
      <c r="B28" s="337">
        <v>45252.0</v>
      </c>
      <c r="C28" s="2"/>
      <c r="D28" s="2"/>
      <c r="E28" s="2"/>
      <c r="F28" s="2"/>
      <c r="G28" s="2"/>
      <c r="H28" s="2"/>
      <c r="I28" s="2"/>
      <c r="J28" s="2"/>
      <c r="K28" s="2"/>
    </row>
    <row r="29">
      <c r="A29" s="53" t="s">
        <v>212</v>
      </c>
      <c r="B29" s="338">
        <f>SWITCH(Summary!$K$28,"today",TODAY(),"last year","2023-12-31",Summary!$K$28)</f>
        <v>45350</v>
      </c>
      <c r="C29" s="3"/>
      <c r="D29" s="3"/>
      <c r="E29" s="3"/>
      <c r="F29" s="3"/>
      <c r="G29" s="3"/>
      <c r="H29" s="2"/>
      <c r="I29" s="2"/>
      <c r="J29" s="2"/>
      <c r="K29" s="2"/>
    </row>
    <row r="30">
      <c r="A30" s="3"/>
      <c r="B30" s="339"/>
      <c r="D30" s="2"/>
      <c r="E30" s="2"/>
      <c r="F30" s="53"/>
      <c r="G30" s="53"/>
      <c r="H30" s="2"/>
      <c r="I30" s="2"/>
      <c r="J30" s="2"/>
      <c r="K30" s="2"/>
    </row>
    <row r="31">
      <c r="A31" s="3" t="s">
        <v>76</v>
      </c>
      <c r="B31" s="340">
        <f>ESPP!U5+RSU!Q5</f>
        <v>0</v>
      </c>
      <c r="C31" s="341" t="s">
        <v>213</v>
      </c>
      <c r="D31" s="342"/>
      <c r="E31" s="53"/>
      <c r="F31" s="53"/>
      <c r="G31" s="53"/>
      <c r="H31" s="2"/>
      <c r="I31" s="2"/>
      <c r="J31" s="2"/>
      <c r="K31" s="2"/>
    </row>
    <row r="32">
      <c r="A32" s="3" t="s">
        <v>214</v>
      </c>
      <c r="B32" s="343">
        <f>Summary!K32+Summary!K30+Summary!G26+ESPP!AG5+RSU!AD5+C32</f>
        <v>0</v>
      </c>
      <c r="C32" s="344">
        <f>IF(LT(YEAR($B$29),2024),Summary!D44+Summary!G44,0)</f>
        <v>0</v>
      </c>
      <c r="D32" s="342"/>
      <c r="E32" s="53"/>
      <c r="F32" s="53"/>
      <c r="G32" s="53"/>
      <c r="H32" s="2"/>
      <c r="I32" s="2"/>
      <c r="J32" s="2"/>
      <c r="K32" s="2"/>
    </row>
    <row r="33">
      <c r="A33" s="3" t="s">
        <v>215</v>
      </c>
      <c r="B33" s="343">
        <f>ESPP!AH5+RSU!AE5+C33</f>
        <v>0</v>
      </c>
      <c r="C33" s="345">
        <f>IF(LT(YEAR($B$29),2024),Summary!$E$44,0)</f>
        <v>0</v>
      </c>
      <c r="D33" s="342"/>
      <c r="E33" s="53"/>
      <c r="F33" s="53"/>
      <c r="G33" s="53"/>
      <c r="H33" s="2"/>
      <c r="I33" s="2"/>
      <c r="J33" s="2"/>
      <c r="K33" s="2"/>
    </row>
    <row r="34">
      <c r="A34" s="53"/>
      <c r="B34" s="346"/>
      <c r="C34" s="342"/>
      <c r="D34" s="342"/>
      <c r="E34" s="53"/>
      <c r="F34" s="53"/>
      <c r="G34" s="53"/>
      <c r="H34" s="2"/>
      <c r="I34" s="2"/>
      <c r="J34" s="2"/>
      <c r="K34" s="2"/>
    </row>
    <row r="35">
      <c r="A35" s="53"/>
      <c r="B35" s="347" t="s">
        <v>68</v>
      </c>
      <c r="C35" s="74" t="s">
        <v>216</v>
      </c>
      <c r="D35" s="74" t="s">
        <v>217</v>
      </c>
      <c r="E35" s="53"/>
      <c r="F35" s="53"/>
      <c r="G35" s="53"/>
      <c r="H35" s="2"/>
      <c r="I35" s="2"/>
      <c r="J35" s="2"/>
      <c r="K35" s="2"/>
    </row>
    <row r="36">
      <c r="A36" s="3" t="s">
        <v>218</v>
      </c>
      <c r="B36" s="348">
        <v>13850.0</v>
      </c>
      <c r="C36" s="348">
        <v>27700.0</v>
      </c>
      <c r="D36" s="348">
        <v>20800.0</v>
      </c>
      <c r="E36" s="53"/>
      <c r="F36" s="53"/>
      <c r="G36" s="53"/>
      <c r="H36" s="2"/>
      <c r="I36" s="2"/>
      <c r="J36" s="2"/>
      <c r="K36" s="2"/>
    </row>
    <row r="37">
      <c r="A37" s="2"/>
      <c r="B37" s="2"/>
      <c r="C37" s="2"/>
      <c r="D37" s="2"/>
      <c r="E37" s="2"/>
      <c r="F37" s="2"/>
      <c r="G37" s="2"/>
      <c r="H37" s="2"/>
      <c r="I37" s="2"/>
      <c r="J37" s="2"/>
      <c r="K37" s="2"/>
    </row>
    <row r="38">
      <c r="A38" s="3" t="s">
        <v>219</v>
      </c>
      <c r="B38" s="349">
        <v>0.0</v>
      </c>
      <c r="C38" s="349">
        <v>0.15</v>
      </c>
      <c r="D38" s="349">
        <v>0.2</v>
      </c>
      <c r="E38" s="2"/>
      <c r="F38" s="2"/>
      <c r="G38" s="2"/>
      <c r="H38" s="2"/>
      <c r="I38" s="2"/>
      <c r="J38" s="2"/>
      <c r="K38" s="2"/>
    </row>
    <row r="39">
      <c r="A39" s="3" t="s">
        <v>68</v>
      </c>
      <c r="B39" s="330">
        <v>0.0</v>
      </c>
      <c r="C39" s="330">
        <v>44625.0</v>
      </c>
      <c r="D39" s="330">
        <v>492300.0</v>
      </c>
      <c r="E39" s="2"/>
      <c r="F39" s="2"/>
      <c r="G39" s="2"/>
      <c r="H39" s="2"/>
      <c r="I39" s="2"/>
      <c r="J39" s="2"/>
      <c r="K39" s="2"/>
    </row>
    <row r="40">
      <c r="A40" s="3" t="s">
        <v>216</v>
      </c>
      <c r="B40" s="330">
        <v>0.0</v>
      </c>
      <c r="C40" s="330">
        <v>89250.0</v>
      </c>
      <c r="D40" s="330">
        <v>553850.0</v>
      </c>
      <c r="E40" s="2"/>
      <c r="F40" s="2"/>
      <c r="G40" s="2"/>
      <c r="H40" s="2"/>
      <c r="I40" s="2"/>
      <c r="J40" s="2"/>
      <c r="K40" s="2"/>
    </row>
    <row r="41">
      <c r="A41" s="3" t="s">
        <v>217</v>
      </c>
      <c r="B41" s="330">
        <v>0.0</v>
      </c>
      <c r="C41" s="330">
        <v>59750.0</v>
      </c>
      <c r="D41" s="330">
        <v>523050.0</v>
      </c>
      <c r="E41" s="2"/>
      <c r="F41" s="2"/>
      <c r="G41" s="2"/>
      <c r="H41" s="2"/>
      <c r="I41" s="2"/>
      <c r="J41" s="2"/>
      <c r="K41" s="2"/>
    </row>
    <row r="42">
      <c r="A42" s="53" t="s">
        <v>38</v>
      </c>
      <c r="B42" s="350">
        <f>SWITCH(Summary!$K$33,"Single",B39,"Joint",B40,"Head of household",B41)</f>
        <v>0</v>
      </c>
      <c r="C42" s="350">
        <f>SWITCH(Summary!$K$33,"Single",C39,"Joint",C40,"Head of household",C41)</f>
        <v>44625</v>
      </c>
      <c r="D42" s="350">
        <f>SWITCH(Summary!$K$33,"Single",D39,"Joint",D40,"Head of household",D41)</f>
        <v>492300</v>
      </c>
      <c r="E42" s="2"/>
      <c r="F42" s="2"/>
      <c r="G42" s="2"/>
      <c r="H42" s="2"/>
      <c r="I42" s="2"/>
      <c r="J42" s="2"/>
      <c r="K42" s="2"/>
    </row>
    <row r="43">
      <c r="A43" s="2"/>
      <c r="B43" s="2"/>
      <c r="C43" s="2"/>
      <c r="D43" s="2"/>
      <c r="E43" s="2"/>
      <c r="F43" s="2"/>
      <c r="G43" s="2"/>
      <c r="H43" s="2"/>
      <c r="I43" s="2"/>
      <c r="J43" s="2"/>
      <c r="K43" s="2"/>
    </row>
    <row r="44">
      <c r="A44" s="3" t="s">
        <v>220</v>
      </c>
      <c r="B44" s="351">
        <f>LET(agi,B32+B33,if(agi&lt;C42,0%,if(agi&lt;D42,15%,20%)))</f>
        <v>0</v>
      </c>
      <c r="C44" s="2"/>
      <c r="D44" s="2"/>
      <c r="E44" s="2"/>
      <c r="F44" s="2"/>
      <c r="G44" s="2"/>
      <c r="H44" s="2"/>
      <c r="I44" s="2"/>
      <c r="J44" s="2"/>
      <c r="K44" s="2"/>
    </row>
    <row r="45">
      <c r="A45" s="2"/>
      <c r="B45" s="2"/>
      <c r="C45" s="2"/>
      <c r="D45" s="2"/>
      <c r="E45" s="2"/>
      <c r="F45" s="2"/>
      <c r="G45" s="2"/>
      <c r="H45" s="2"/>
      <c r="I45" s="2"/>
      <c r="J45" s="2"/>
      <c r="K45" s="2"/>
    </row>
    <row r="46">
      <c r="A46" s="3" t="s">
        <v>221</v>
      </c>
      <c r="B46" s="349">
        <v>0.1</v>
      </c>
      <c r="C46" s="349">
        <v>0.12</v>
      </c>
      <c r="D46" s="349">
        <v>0.22</v>
      </c>
      <c r="E46" s="349">
        <v>0.24</v>
      </c>
      <c r="F46" s="349">
        <v>0.32</v>
      </c>
      <c r="G46" s="349">
        <v>0.35</v>
      </c>
      <c r="H46" s="349">
        <v>0.37</v>
      </c>
      <c r="I46" s="2"/>
      <c r="J46" s="2"/>
      <c r="K46" s="2"/>
    </row>
    <row r="47">
      <c r="A47" s="3" t="s">
        <v>68</v>
      </c>
      <c r="B47" s="330">
        <v>0.0</v>
      </c>
      <c r="C47" s="330">
        <v>11000.0</v>
      </c>
      <c r="D47" s="330">
        <v>44725.0</v>
      </c>
      <c r="E47" s="330">
        <v>95375.0</v>
      </c>
      <c r="F47" s="330">
        <v>182100.0</v>
      </c>
      <c r="G47" s="330">
        <v>231250.0</v>
      </c>
      <c r="H47" s="330">
        <v>578125.0</v>
      </c>
      <c r="I47" s="2"/>
      <c r="J47" s="2"/>
      <c r="K47" s="2"/>
    </row>
    <row r="48">
      <c r="A48" s="3" t="s">
        <v>216</v>
      </c>
      <c r="B48" s="330">
        <v>0.0</v>
      </c>
      <c r="C48" s="330">
        <v>22000.0</v>
      </c>
      <c r="D48" s="330">
        <v>89450.0</v>
      </c>
      <c r="E48" s="330">
        <v>190750.0</v>
      </c>
      <c r="F48" s="330">
        <v>364200.0</v>
      </c>
      <c r="G48" s="330">
        <v>462500.0</v>
      </c>
      <c r="H48" s="330">
        <v>693750.0</v>
      </c>
      <c r="I48" s="2"/>
      <c r="J48" s="2"/>
      <c r="K48" s="2"/>
    </row>
    <row r="49">
      <c r="A49" s="53" t="s">
        <v>38</v>
      </c>
      <c r="B49" s="352">
        <f>SWITCH(Summary!$K$33,"Single",B47,"Head of household",B47,"Joint",B48)</f>
        <v>0</v>
      </c>
      <c r="C49" s="352">
        <f>SWITCH(Summary!$K$33,"Single",C47,"Head of household",C47,"Joint",C48)</f>
        <v>11000</v>
      </c>
      <c r="D49" s="352">
        <f>SWITCH(Summary!$K$33,"Single",D47,"Head of household",D47,"Joint",D48)</f>
        <v>44725</v>
      </c>
      <c r="E49" s="352">
        <f>SWITCH(Summary!$K$33,"Single",E47,"Head of household",E47,"Joint",E48)</f>
        <v>95375</v>
      </c>
      <c r="F49" s="352">
        <f>SWITCH(Summary!$K$33,"Single",F47,"Head of household",F47,"Joint",F48)</f>
        <v>182100</v>
      </c>
      <c r="G49" s="352">
        <f>SWITCH(Summary!$K$33,"Single",G47,"Head of household",G47,"Joint",G48)</f>
        <v>231250</v>
      </c>
      <c r="H49" s="352">
        <f>SWITCH(Summary!$K$33,"Single",H47,"Head of household",H47,"Joint",H48)</f>
        <v>578125</v>
      </c>
      <c r="I49" s="2"/>
      <c r="J49" s="2"/>
      <c r="K49" s="2"/>
    </row>
    <row r="50">
      <c r="A50" s="3"/>
      <c r="B50" s="36"/>
      <c r="C50" s="3"/>
      <c r="D50" s="3"/>
      <c r="E50" s="3"/>
      <c r="F50" s="53"/>
      <c r="G50" s="2"/>
      <c r="H50" s="2"/>
      <c r="I50" s="2"/>
      <c r="J50" s="2"/>
      <c r="K50" s="2"/>
    </row>
    <row r="51">
      <c r="A51" s="3" t="s">
        <v>222</v>
      </c>
      <c r="B51" s="353">
        <v>0.01</v>
      </c>
      <c r="C51" s="349">
        <v>0.02</v>
      </c>
      <c r="D51" s="349">
        <v>0.04</v>
      </c>
      <c r="E51" s="349">
        <v>0.06</v>
      </c>
      <c r="F51" s="354">
        <v>0.08</v>
      </c>
      <c r="G51" s="349">
        <v>0.093</v>
      </c>
      <c r="H51" s="349">
        <v>0.103</v>
      </c>
      <c r="I51" s="349">
        <v>0.113</v>
      </c>
      <c r="J51" s="349">
        <v>0.123</v>
      </c>
      <c r="K51" s="349">
        <v>0.133</v>
      </c>
    </row>
    <row r="52">
      <c r="A52" s="3" t="s">
        <v>68</v>
      </c>
      <c r="B52" s="352">
        <v>0.0</v>
      </c>
      <c r="C52" s="330">
        <v>10412.0</v>
      </c>
      <c r="D52" s="330">
        <v>24684.0</v>
      </c>
      <c r="E52" s="330">
        <v>38959.0</v>
      </c>
      <c r="F52" s="330">
        <v>54081.0</v>
      </c>
      <c r="G52" s="355">
        <v>68350.0</v>
      </c>
      <c r="H52" s="330">
        <v>349137.0</v>
      </c>
      <c r="I52" s="330">
        <v>418961.0</v>
      </c>
      <c r="J52" s="330">
        <v>698271.0</v>
      </c>
      <c r="K52" s="330">
        <v>1000000.0</v>
      </c>
    </row>
    <row r="53">
      <c r="A53" s="3" t="s">
        <v>216</v>
      </c>
      <c r="B53" s="352">
        <v>0.0</v>
      </c>
      <c r="C53" s="330">
        <v>20824.0</v>
      </c>
      <c r="D53" s="330">
        <v>49368.0</v>
      </c>
      <c r="E53" s="330">
        <v>77918.0</v>
      </c>
      <c r="F53" s="355">
        <v>108162.0</v>
      </c>
      <c r="G53" s="330">
        <v>136700.0</v>
      </c>
      <c r="H53" s="330">
        <v>698274.0</v>
      </c>
      <c r="I53" s="330">
        <v>837922.0</v>
      </c>
      <c r="J53" s="330">
        <v>1396542.0</v>
      </c>
      <c r="K53" s="330">
        <v>2000000.0</v>
      </c>
    </row>
    <row r="54">
      <c r="A54" s="3" t="s">
        <v>217</v>
      </c>
      <c r="B54" s="352">
        <v>0.0</v>
      </c>
      <c r="C54" s="330">
        <v>20839.0</v>
      </c>
      <c r="D54" s="330">
        <v>49371.0</v>
      </c>
      <c r="E54" s="330">
        <v>63644.0</v>
      </c>
      <c r="F54" s="355">
        <v>78765.0</v>
      </c>
      <c r="G54" s="330">
        <v>93037.0</v>
      </c>
      <c r="H54" s="330">
        <v>474824.0</v>
      </c>
      <c r="I54" s="330">
        <v>569790.0</v>
      </c>
      <c r="J54" s="330">
        <v>949649.0</v>
      </c>
      <c r="K54" s="330">
        <v>1000000.0</v>
      </c>
    </row>
    <row r="55">
      <c r="A55" s="53" t="s">
        <v>38</v>
      </c>
      <c r="B55" s="352">
        <f>SWITCH(Summary!$K$33,"Single",B52,"Head of household",B54,"Joint",B53)</f>
        <v>0</v>
      </c>
      <c r="C55" s="352">
        <f>SWITCH(Summary!$K$33,"Single",C52,"Head of household",C54,"Joint",C53)</f>
        <v>10412</v>
      </c>
      <c r="D55" s="352">
        <f>SWITCH(Summary!$K$33,"Single",D52,"Head of household",D54,"Joint",D53)</f>
        <v>24684</v>
      </c>
      <c r="E55" s="352">
        <f>SWITCH(Summary!$K$33,"Single",E52,"Head of household",E54,"Joint",E53)</f>
        <v>38959</v>
      </c>
      <c r="F55" s="352">
        <f>SWITCH(Summary!$K$33,"Single",F52,"Head of household",F54,"Joint",F53)</f>
        <v>54081</v>
      </c>
      <c r="G55" s="352">
        <f>SWITCH(Summary!$K$33,"Single",G52,"Head of household",G54,"Joint",G53)</f>
        <v>68350</v>
      </c>
      <c r="H55" s="352">
        <f>SWITCH(Summary!$K$33,"Single",H52,"Head of household",H54,"Joint",H53)</f>
        <v>349137</v>
      </c>
      <c r="I55" s="352">
        <f>SWITCH(Summary!$K$33,"Single",I52,"Head of household",I54,"Joint",I53)</f>
        <v>418961</v>
      </c>
      <c r="J55" s="352">
        <f>SWITCH(Summary!$K$33,"Single",J52,"Head of household",J54,"Joint",J53)</f>
        <v>698271</v>
      </c>
      <c r="K55" s="352">
        <f>SWITCH(Summary!$K$33,"Single",K52,"Head of household",K54,"Joint",K53)</f>
        <v>1000000</v>
      </c>
    </row>
    <row r="56">
      <c r="A56" s="3"/>
      <c r="B56" s="66"/>
      <c r="C56" s="53"/>
      <c r="D56" s="2"/>
      <c r="E56" s="53"/>
      <c r="F56" s="356"/>
      <c r="G56" s="2"/>
      <c r="H56" s="2"/>
      <c r="I56" s="2"/>
      <c r="J56" s="2"/>
      <c r="K56" s="2"/>
    </row>
    <row r="57">
      <c r="A57" s="3" t="s">
        <v>223</v>
      </c>
      <c r="B57" s="343">
        <f>LET(income, B32 - Summary!L34, 
(0.1*(MIN(MAX(income-B49,0), C49-B49))) +
(0.12*(MIN(MAX(income-C49,0),D49-C49))) +
(0.22*(MIN(MAX(income-D49,0),E49-D49))) +
(0.24*(MIN(MAX(income-E49,0),F49-E49))) +
(0.32*(MIN(MAX(income-F49,0),G49-F49))) +
(0.35*(MIN(MAX(income-G49,0),H49-G49))) +
(0.37*MAX(income-H49,0)))</f>
        <v>0</v>
      </c>
      <c r="C57" s="53"/>
      <c r="D57" s="2"/>
      <c r="E57" s="53"/>
      <c r="F57" s="356"/>
      <c r="G57" s="2"/>
      <c r="H57" s="2"/>
      <c r="I57" s="2"/>
      <c r="J57" s="2"/>
      <c r="K57" s="2"/>
    </row>
    <row r="58">
      <c r="A58" s="3" t="s">
        <v>224</v>
      </c>
      <c r="B58" s="114">
        <f>B33*B44</f>
        <v>0</v>
      </c>
      <c r="C58" s="53"/>
      <c r="D58" s="2"/>
      <c r="E58" s="2"/>
      <c r="F58" s="356"/>
      <c r="G58" s="2"/>
      <c r="H58" s="2"/>
      <c r="I58" s="2"/>
      <c r="J58" s="2"/>
      <c r="K58" s="2"/>
    </row>
    <row r="59">
      <c r="A59" s="3" t="s">
        <v>225</v>
      </c>
      <c r="B59" s="114">
        <f>LET(income,B32+B33,
(0.01*(MIN(MAX(income,B55),C55-B55)))+
(0.02*(MIN(MAX(income-C55,0),D55-C55)))+
(0.04*(MIN(MAX(income-D55,0),E55-D55)))+
(0.06*(MIN(MAX(income-E55,0),F55-E55)))+
(0.08*(MIN(MAX(income-F55,0),G55-F55)))+
(0.093*(MIN(MAX(income-G55,0),H55-G55)))+
(0.103*(MIN(MAX(income-H55,0),I55-H55)))+
(0.113*(MIN(MAX(income-I55,0),J55-I55)))+
(0.123*(MIN(MAX(income-J55,0),K55-J55)))+
(0.133*MAX(income-K55,0)))</f>
        <v>0</v>
      </c>
      <c r="C59" s="53"/>
      <c r="D59" s="2"/>
      <c r="E59" s="2"/>
      <c r="F59" s="356"/>
      <c r="G59" s="2"/>
      <c r="H59" s="2"/>
      <c r="I59" s="2"/>
      <c r="J59" s="2"/>
      <c r="K59" s="2"/>
    </row>
  </sheetData>
  <drawing r:id="rId2"/>
  <legacyDrawing r:id="rId3"/>
</worksheet>
</file>