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ESPP" sheetId="2" r:id="rId5"/>
    <sheet state="visible" name="RSU" sheetId="3" r:id="rId6"/>
    <sheet state="visible" name="Reference" sheetId="4" r:id="rId7"/>
  </sheets>
  <definedNames>
    <definedName name="avgoFMV">Summary!$K$25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4">
      <text>
        <t xml:space="preserve">Missing necessary info is likely to occur when you have an ESPP from prior to 2012 or an RSU vest date that I did not.
In those cases you should be able to extra this info from the confirmation docs.</t>
      </text>
    </comment>
    <comment authorId="0" ref="A10">
      <text>
        <t xml:space="preserve">Sample note to illustrate the visual indication (black triangle in top right corner) of a cell note.
</t>
      </text>
    </comment>
    <comment authorId="0" ref="M24">
      <text>
        <t xml:space="preserve">Present if you want to experiment with different values for these inputs.</t>
      </text>
    </comment>
    <comment authorId="0" ref="A25">
      <text>
        <t xml:space="preserve">This comes from the eTrade transaction log</t>
      </text>
    </comment>
    <comment authorId="0" ref="K25">
      <text>
        <t xml:space="preserve">Mean is noted in Form 8937.
Close is noted on costbasistools.com as "Use of 11/22/2023 closing price of $972.00 is also an acceptable IRS method"</t>
      </text>
    </comment>
    <comment authorId="0" ref="A26">
      <text>
        <t xml:space="preserve">This comes from the eTrade transaction log
</t>
      </text>
    </comment>
    <comment authorId="0" ref="J26">
      <text>
        <t xml:space="preserve">Calculated from Necessary Inputs
- uses the qty of shares from eTrade transaction log entered into Necessary Inputs to derive a pro-rata ratio
Calculated from manual share qty
- uses the manual entry per-lot of share qty from eTrade OSPS holdings to calculate the effective ratio used per lot
Manual per-lot ratio
- uses a manual entry per-lot for the ratio. If using a manual lot ratio, the effective total ratio must still match exactly the overall transaction ratio.
- This is mostly so I can assess whether it's even worth asking a CPA to look into it.
- See https://github.com/hickeng/financial/issues/10
</t>
      </text>
    </comment>
    <comment authorId="0" ref="J28">
      <text>
        <t xml:space="preserve">Lets you look at the LTG/STG shift based on potential sale dates of the converted AVGO.
If you set this to last year, then the numbers will be rolled into the tax estimation, so that if you sold in 2023 but post merge this setting is for you.
This is unlikely to have any effect if using optimized manual lots as the newer lots will all have been assigned to cash.</t>
      </text>
    </comment>
    <comment authorId="0" ref="A29">
      <text>
        <t xml:space="preserve">VMW quantities for cash vs conversion should sum to the total holding.
This can also be checked against the sum of column D in the ESPP &amp; RSU sheets</t>
      </text>
    </comment>
    <comment authorId="0" ref="A30">
      <text>
        <t xml:space="preserve">cash for fraction should match the calculated value derived from the individual lot entries.
This can only be automatically validated when the value used for fractional share sale in Tweaks is the eTrade value.</t>
      </text>
    </comment>
    <comment authorId="0" ref="A31">
      <text>
        <t xml:space="preserve">should match the calculated value of cash portion calculated from individual lot values</t>
      </text>
    </comment>
    <comment authorId="0" ref="J36">
      <text>
        <t xml:space="preserve">https://github.com/hickeng/financial/issues/25
tracking adding per-lot display that's more suited to transfer to costbasis.com calculator.</t>
      </text>
    </comment>
    <comment authorId="0" ref="B42">
      <text>
        <t xml:space="preserve">This is what would have been deposited in your individual brokerage account or similar.
The Gains and the Fractional sale are the amounts you need to pay tax on.</t>
      </text>
    </comment>
    <comment authorId="0" ref="C42">
      <text>
        <t xml:space="preserve">This is the cash value received for the fractional share. The Gain associated with that sale in rolled into the appropriate Long or Short term gain bucket.</t>
      </text>
    </comment>
    <comment authorId="0" ref="N43">
      <text>
        <t xml:space="preserve">Using calc from https://www.irs.gov/instructions/i8949#en_US_2022_publink1000114401
It's negative because the Form instructions require gain to be:
d - e + g
It's reversed in this cell to derive a composite basis from the lots chosen for fraction</t>
      </text>
    </comment>
    <comment authorId="0" ref="E44">
      <text>
        <t xml:space="preserve">This estimate may drop if it turns out the symmetric treatment suggested in https://github.com/hickeng/financial/issues/15#issuecomment-1948444299 is the correct approach for calculating gain on sale of qualified ESPPs
</t>
      </text>
    </comment>
    <comment authorId="0" ref="G44">
      <text>
        <t xml:space="preserve">This is the pending tax on ESPP discount. It will reach minimum after 2024-03-01 when the final ESPP lot qualifies.</t>
      </text>
    </comment>
    <comment authorId="0" ref="D53">
      <text>
        <t xml:space="preserve">Worst case safe harbor for federal is 110% of previous years assessed taxes per filed 1040.
TODO: add calc to References for the 90% and 100% scenarios
</t>
      </text>
    </comment>
    <comment authorId="0" ref="C54">
      <text>
        <t xml:space="preserve">This is calculated progressively using the 2023 thresholds, and factoring in the 2023 W2 and other income/deductions from the inputs.</t>
      </text>
    </comment>
    <comment authorId="0" ref="C55">
      <text>
        <t xml:space="preserve">This is calculated using an estimated AGI for 2023 from the values in inputs and the income/stg element to decide the ltg rate that applies.
I do want to confirm that LTG isn't fully progressive. The threshold mechanism would leave patches where you'd net less for earning more as you just cleared thresholds.
Tracked in https://github.com/hickeng/financial/issues/3</t>
      </text>
    </comment>
    <comment authorId="0" ref="B56">
      <text>
        <t xml:space="preserve">Does NOT currently factor deductions as they're different values from federal.</t>
      </text>
    </comment>
  </commentList>
</comments>
</file>

<file path=xl/comments2.xml><?xml version="1.0" encoding="utf-8"?>
<comments xmlns:r="http://schemas.openxmlformats.org/officeDocument/2006/relationships" xmlns="http://schemas.openxmlformats.org/spreadsheetml/2006/main">
  <authors>
    <author/>
  </authors>
  <commentList>
    <comment authorId="0" ref="N3">
      <text>
        <t xml:space="preserve">If the fractional share should come out of a specific lot, or set of lots, check those lots here. If multiple are selected the sheet will spread the fraction equally over those lots, accounting for differences in cost-basis.
For me, eTrade took the entire fraction from a single lot and I expect that's what happened for most people.
If it came out of an ESPP lot, that's a sale and will incur the ordinary income portion of tax shown in column "Income &amp; short term gain".
The fractional quantity should be added back into "AVGO qty from eTrade" column for the lot that eTrade took it from.
This is done because we need the cost-basis of the lot calculated _before_ that fraction is removed as it's a serial conversion - convert entire lot, THEN sell factional part.
It also avoids substantial complexity in formulae.
</t>
      </text>
    </comment>
    <comment authorId="0" ref="D4">
      <text>
        <t xml:space="preserve">This is the value from "Shares Purchased" and NOT from "Total shares Purchased for Offering"</t>
      </text>
    </comment>
    <comment authorId="0" ref="M4">
      <text>
        <t xml:space="preserve">The quantities of converted shares from eTrade lots.
The colour of the cell will alter slightly if the value here does not equal the value calculated via AVGO ratio.
You can toggle whether to use this manual value or the calculated value in the Tweaks on the first Sheet.
If this is the lot from which a fraction was taken by etrade then you should add then fractional AVGO quantity back into this value and check the Fraction box. See the note on the fraction column.</t>
      </text>
    </comment>
    <comment authorId="0" ref="P4">
      <text>
        <t xml:space="preserve">Pre-filled with 0.00 because that's what eTrade has reported for everyone.</t>
      </text>
    </comment>
    <comment authorId="0" ref="U4">
      <text>
        <t xml:space="preserve">This value is calculated from the VMW -&gt; AVGO ratio for the lot
</t>
      </text>
    </comment>
    <comment authorId="0" ref="V4">
      <text>
        <t xml:space="preserve">Manual user entry per lot if using a per-lot election instead of pro-rata
</t>
      </text>
    </comment>
    <comment authorId="0" ref="AD4">
      <text>
        <t xml:space="preserve">The cost basis is the actual price paid per share times the number of shares, plus the ordinary income.</t>
      </text>
    </comment>
    <comment authorId="0" ref="AF4">
      <text>
        <t xml:space="preserve">This should exactly equal the value in the "AVGO qty from eTrade" column as it's literally inverted the calc.
This column is here purely for consistency so we can see all three stock columns together
</t>
      </text>
    </comment>
    <comment authorId="0" ref="AM4">
      <text>
        <t xml:space="preserve">This pulls in the ordinary income portion for the fractional share if associated with the lot.</t>
      </text>
    </comment>
    <comment authorId="0" ref="AQ4">
      <text>
        <t xml:space="preserve">This is the pro-rata cash portion that eTrade have used per lot and reported on the 1099-B.
This is useful to disambiguate which lot is which when there are multiple on a single date.
</t>
      </text>
    </comment>
    <comment authorId="0" ref="AR4">
      <text>
        <t xml:space="preserve">From https://www.irs.gov/instructions/i8949
for Column (d)—Proceeds (Sales Price)
"If the proceeds you received were more than shown on Form 1099-B or 1099-S (or substitute statement), enter the correct proceeds in column (d). This might happen if, for example, box 4 on Form 1099-S is checked."
</t>
      </text>
    </comment>
    <comment authorId="0" ref="AU4">
      <text>
        <t xml:space="preserve">Using calc from https://www.irs.gov/instructions/i8949#en_US_2022_publink1000114401
It's negative because the Form instructions require gain to be:
d - e + g</t>
      </text>
    </comment>
    <comment authorId="0" ref="AV4">
      <text>
        <t xml:space="preserve">Not allowed to recognize a loss. I'm assuming that applies at a share level rather than the aggregate holding absent explicit indication otherwise.</t>
      </text>
    </comment>
    <comment authorId="0" ref="AW4">
      <text>
        <t xml:space="preserve">Cost basis on sale for disqualified ESPP includes the reported ordinary income.
See https://github.com/hickeng/financial/issues/15#issuecomment-1947700730</t>
      </text>
    </comment>
    <comment authorId="0" ref="I7">
      <text>
        <t xml:space="preserve">Put the Previous Carry Forward form your earliest ESPP confirmation for shares you still own into this cell and it'll propagate down.
It doesn't matter that it's on a different row as it's only when you start purchasing shares that it'll have an effect.
Alternatively you can 0 those rows for which you don't have a purchase and enter your earliest Carry Forward into the precise row.</t>
      </text>
    </comment>
  </commentList>
</comments>
</file>

<file path=xl/comments3.xml><?xml version="1.0" encoding="utf-8"?>
<comments xmlns:r="http://schemas.openxmlformats.org/officeDocument/2006/relationships" xmlns="http://schemas.openxmlformats.org/spreadsheetml/2006/main">
  <authors>
    <author/>
  </authors>
  <commentList>
    <comment authorId="0" ref="J3">
      <text>
        <t xml:space="preserve">If the fractional share should come out of a specific lot, or set of lots, check those lots here. If multiple are selected the sheet will spread the fraction equally over those lots, accounting for differences in cost-basis.
For me, eTrade took the entire fraction from a single lot and I expect that's what happened for most people.
If it came out of an ESPP lot, that's a sale and will incur the ordinary income portion of tax shown in column "Income &amp; short term gain".
The fractional quantity should be added back into "AVGO qty from eTrade" column for the lot that eTrade took it from.
This is done because we need the cost-basis of the lot calculated _before_ that fraction is removed as it's a serial conversion - convert entire lot, THEN sell factional part.
It also avoids substantial complexity in formulae.
</t>
      </text>
    </comment>
    <comment authorId="0" ref="AL3">
      <text>
        <t xml:space="preserve">https://costbasis.com/calculators/cashtobootmerger.html
Notes two ways to approach Form 8949:
1. report just the cash portion as proceeds and adjust cost basis down so delta is the appropriate gain
2. report the true compensation (cash+fmv shares) and provide the appropriate basis.
I'm going with the latter because:
1. it more accurately captures the reality of the merger
2. it's the basis that I can conceptually reconcile with the f8937 mandated future basis.</t>
      </text>
    </comment>
    <comment authorId="0" ref="D4">
      <text>
        <t xml:space="preserve">This is the Shared Issued specifically, NOT the Award Shares.
If you were Awarded 73 shares:
Shares Traded: ~26 would have been withheld to cover tax and can be entered into column F for reference
Shares Issued: ~47 would have been assigned to you and would go in this column
</t>
      </text>
    </comment>
    <comment authorId="0" ref="I4">
      <text>
        <t xml:space="preserve">The quantities of converted shares from eTrade lots.
The colour of the cell will alter slightly if the value here does not equal the value calculated via AVGO ratio.
You can toggle whether to use this manual value or the calculated value in the Tweaks on the first Sheet.
If this is the lot from which a fraction was taken by etrade then you should add then fractional AVGO quantity back into this value and check the Fraction box. See the note on the fraction column.</t>
      </text>
    </comment>
    <comment authorId="0" ref="L4">
      <text>
        <t xml:space="preserve">Pre-filled with 0.00 because that's what eTrade has reported for everyone.</t>
      </text>
    </comment>
    <comment authorId="0" ref="Q4">
      <text>
        <t xml:space="preserve">This value is calculated from the VMW -&gt; AVGO ratio for the lot using the "AVGO qty from eTrade" for the AVGO quantity
</t>
      </text>
    </comment>
    <comment authorId="0" ref="R4">
      <text>
        <t xml:space="preserve">Manual user entry per lot if using a per-lot election instead of pro-rata
</t>
      </text>
    </comment>
    <comment authorId="0" ref="AC4">
      <text>
        <t xml:space="preserve">This should exactly equal the value in the "AVGO qty from eTrade" column as it's literally inverted the calc.
This column is here purely for consistency so we can see all three stock columns together
</t>
      </text>
    </comment>
    <comment authorId="0" ref="AG4">
      <text>
        <t xml:space="preserve">Fraction attributed to the lot</t>
      </text>
    </comment>
    <comment authorId="0" ref="AN4">
      <text>
        <t xml:space="preserve">This is the pro-rata cash portion that eTrade have used per lot and reported on the 1099-B.
This is useful to disambiguate which lot is which when there are multiple on a single date.
</t>
      </text>
    </comment>
    <comment authorId="0" ref="AO4">
      <text>
        <t xml:space="preserve">From https://www.irs.gov/instructions/i8949
for Column (d)—Proceeds (Sales Price)
"If the proceeds you received were more than shown on Form 1099-B or 1099-S (or substitute statement), enter the correct proceeds in column (d). This might happen if, for example, box 4 on Form 1099-S is checked."
</t>
      </text>
    </comment>
    <comment authorId="0" ref="AR4">
      <text>
        <t xml:space="preserve">Using calc from https://www.irs.gov/instructions/i8949#en_US_2022_publink1000114401
It's negative because the Form instructions require gain to be:
d - e + g</t>
      </text>
    </comment>
    <comment authorId="0" ref="AS4">
      <text>
        <t xml:space="preserve">Not allowed to recognize a loss. I'm assuming that applies at a share level rather than the aggregate holding absent explicit indication otherwise.</t>
      </text>
    </comment>
  </commentList>
</comments>
</file>

<file path=xl/comments4.xml><?xml version="1.0" encoding="utf-8"?>
<comments xmlns:r="http://schemas.openxmlformats.org/officeDocument/2006/relationships" xmlns="http://schemas.openxmlformats.org/spreadsheetml/2006/main">
  <authors>
    <author/>
  </authors>
  <commentList>
    <comment authorId="0" ref="E3">
      <text>
        <t xml:space="preserve">"Fair market value generally is the price at which property would change hands between a willing buyer and a willing seller, neither being under any compulsion to buy or sell and both having reasonable knowledge of the facts."
Immediately prior to acquisition, the elections of existing holders were known, the VMW price consideration was fixed in the MA, and Broadcom FMV was known.</t>
      </text>
    </comment>
    <comment authorId="0" ref="B4">
      <text>
        <t xml:space="preserve">Use 100% cash calc for ratio while there's an error calculating it.
This is just to avoid cascade DIV0 errors.</t>
      </text>
    </comment>
    <comment authorId="0" ref="E7">
      <text>
        <t xml:space="preserve">This is calculated to balance the ratio to meet the obligation of correct number of total shares across lots.
</t>
      </text>
    </comment>
  </commentList>
</comments>
</file>

<file path=xl/sharedStrings.xml><?xml version="1.0" encoding="utf-8"?>
<sst xmlns="http://schemas.openxmlformats.org/spreadsheetml/2006/main" count="489" uniqueCount="250">
  <si>
    <t>Instructions</t>
  </si>
  <si>
    <t>Input</t>
  </si>
  <si>
    <t>0. Check the colour coding to the left - it should be useful particularly when adding info into the data grids on the other Sheets</t>
  </si>
  <si>
    <t>Input - optional</t>
  </si>
  <si>
    <r>
      <rPr>
        <rFont val="Arial"/>
      </rPr>
      <t>1. Collect eTrade confirmations for all shares held over the acquisition (</t>
    </r>
    <r>
      <rPr>
        <rFont val="Arial"/>
        <color rgb="FF1155CC"/>
        <u/>
      </rPr>
      <t>Stock Plan Account -&gt; My Account -&gt; Stock Plan Confirmations</t>
    </r>
    <r>
      <rPr>
        <rFont val="Arial"/>
      </rPr>
      <t>)</t>
    </r>
  </si>
  <si>
    <t>Input - necessary but prepopulated where available</t>
  </si>
  <si>
    <r>
      <rPr>
        <rFont val="Arial"/>
      </rPr>
      <t xml:space="preserve">2. Collect </t>
    </r>
    <r>
      <rPr>
        <rFont val="Arial"/>
        <color rgb="FF1155CC"/>
        <u/>
      </rPr>
      <t xml:space="preserve">eTrade transaction log entries </t>
    </r>
    <r>
      <rPr>
        <rFont val="Arial"/>
      </rPr>
      <t>relating to acquisition (propably between 2023-11-21 and 2023-12-09)</t>
    </r>
  </si>
  <si>
    <t>Input - reference only, not used for calc</t>
  </si>
  <si>
    <t>a. "VMW SHARES AZH26 TENDER PAYMENT PRORATED 52.09%" - prefix value goes into B26</t>
  </si>
  <si>
    <t>Output - relevent immediately</t>
  </si>
  <si>
    <t>b. "CONTRA VMWARE, INC EXCHANGE FOR CASH" - prefix value goes into B25</t>
  </si>
  <si>
    <t>Output - relevent on future sale</t>
  </si>
  <si>
    <t>c. "CONTRA VMWARE, INC EXCHANGE FOR CASH" - credited dollar value goes into B31</t>
  </si>
  <si>
    <t>d. "BROADCOM INC CASH IN LIEU OF FRACTIONS" - credited dollar value goes in B30</t>
  </si>
  <si>
    <t>Labels</t>
  </si>
  <si>
    <t>3. Collect number of AVGO in each lot - these should be entered into the "AVGO qty from eTrade" columns in ESPP and RUS datagrids and are visible in OSPS if you still hold them in eTrade. If not, then you will have to either use the calculated values only or derived the info via other means.</t>
  </si>
  <si>
    <t>Example cell with additional note</t>
  </si>
  <si>
    <t>4. Add validation - total number of VMW shares held to acquisition goes into B29</t>
  </si>
  <si>
    <t>5. 2023 W2 values go into G26 to G30 as indicated at the cells</t>
  </si>
  <si>
    <t>6. 2022 total federal tax paid goes into G25 - used to calculate safe harbor amounts</t>
  </si>
  <si>
    <r>
      <rPr/>
      <t xml:space="preserve">Github Release: </t>
    </r>
    <r>
      <rPr>
        <color rgb="FF1155CC"/>
        <u/>
      </rPr>
      <t>v0.1.4</t>
    </r>
  </si>
  <si>
    <t>7. Enter values into the RSU and ESPP sheets - if you need to add a row, you can insert, select the entire row above or below without unhiding columns, fill into the new row, and replace the values with yours. Sanity check the SUM ranges in the totals row includes the full range.</t>
  </si>
  <si>
    <t>a. Enter values from ESPP purchase confirmation documents into the ESPP Sheet - the column heading exactly match the field names from the docs</t>
  </si>
  <si>
    <t>b. Enter values from RSU release confirmation documents into the RSU Sheet - the column headings exactly match the field names from the docs. I've left duplicate release date rows in the sheet where I had multiple vests, given it's easier to enter 0 for a row than insert a new one.</t>
  </si>
  <si>
    <t>c. It's expected you'll need to add rows for RSU grants where you had more than one vest on a given date - in that case it's easiest to insert a row below the entry for the corresponding date, copy the entire populated row down to get the release date and market value, then fill in the specific share quantity for the lot.</t>
  </si>
  <si>
    <t>8. For the fractional share - if you're providing the manual values for number of shares, add the fractional amount back into any lot it came from if deducted in "AVGO qty from eTrade". This avoids needing a single row with different handling based on whether the manual value has a fraction removed or not.</t>
  </si>
  <si>
    <t>a. Check the Fraction box for any lot you want to the fraction to be attributed to. The fraction is evenly spread across the selected lots.</t>
  </si>
  <si>
    <t>9. Look for the little black triangles in the top right corner of cells, including headers. This indicates a note. Generally I've tried to add notes useful to explaining how the sheet and any given calculation works</t>
  </si>
  <si>
    <t>10. Look for the horizontal paired arrows between column labels in the RSU and ESPP sheets - these allow you to expand the hidden columns if you want to see the informational and intermediate calculations</t>
  </si>
  <si>
    <t>Inputs (eTrade transaction log)</t>
  </si>
  <si>
    <t>Inputs (W2 &amp; 1040)</t>
  </si>
  <si>
    <t>Inputs (Tweaks)</t>
  </si>
  <si>
    <t>Necessary</t>
  </si>
  <si>
    <t>Form</t>
  </si>
  <si>
    <t>Year</t>
  </si>
  <si>
    <t>Box</t>
  </si>
  <si>
    <t>Value</t>
  </si>
  <si>
    <t>Comment</t>
  </si>
  <si>
    <t>Active</t>
  </si>
  <si>
    <t>Custom</t>
  </si>
  <si>
    <t>Shares liquidated for cash (vmw)</t>
  </si>
  <si>
    <t>1040 (tax return)</t>
  </si>
  <si>
    <t>2022</t>
  </si>
  <si>
    <t>Federal tax (prior year)</t>
  </si>
  <si>
    <t>AVGO FMV</t>
  </si>
  <si>
    <t>Mean</t>
  </si>
  <si>
    <t>Shares for conversion (vmw)</t>
  </si>
  <si>
    <t>W2</t>
  </si>
  <si>
    <t>2023</t>
  </si>
  <si>
    <t>Federal income</t>
  </si>
  <si>
    <t>Cash/stock ratio</t>
  </si>
  <si>
    <t>Calculated from Necessary Inputs</t>
  </si>
  <si>
    <t>Federal tax paid</t>
  </si>
  <si>
    <t>Factional share value</t>
  </si>
  <si>
    <t>eTrade</t>
  </si>
  <si>
    <t>Validations</t>
  </si>
  <si>
    <t>State income</t>
  </si>
  <si>
    <t>Post merger sale of AVGO</t>
  </si>
  <si>
    <t>last year</t>
  </si>
  <si>
    <t xml:space="preserve">  @ </t>
  </si>
  <si>
    <t>VMW held at close</t>
  </si>
  <si>
    <t>State tax paid</t>
  </si>
  <si>
    <t>Cash for fraction</t>
  </si>
  <si>
    <t>Other Captial Gain (Short)</t>
  </si>
  <si>
    <t>Cash portion without fraction</t>
  </si>
  <si>
    <t>Other Captial Gain (Long)</t>
  </si>
  <si>
    <t>Other income</t>
  </si>
  <si>
    <t>Status</t>
  </si>
  <si>
    <t>Single</t>
  </si>
  <si>
    <t>Deduction</t>
  </si>
  <si>
    <t>By status</t>
  </si>
  <si>
    <t>Doesn't apply to State</t>
  </si>
  <si>
    <t>Outputs</t>
  </si>
  <si>
    <t>Display of lot values</t>
  </si>
  <si>
    <t>per-share</t>
  </si>
  <si>
    <t>Merger</t>
  </si>
  <si>
    <t>Fractional share</t>
  </si>
  <si>
    <t>Cash consideration</t>
  </si>
  <si>
    <t>Fractional Share</t>
  </si>
  <si>
    <t>Gain (Short)</t>
  </si>
  <si>
    <t>Gain (Long)</t>
  </si>
  <si>
    <t>Shares (FMV)</t>
  </si>
  <si>
    <t>Taxable income</t>
  </si>
  <si>
    <t>Shows up as a "Broadcom Inc" sale in 1099-B</t>
  </si>
  <si>
    <t>Shares</t>
  </si>
  <si>
    <t>Dollars</t>
  </si>
  <si>
    <t>Form 8949</t>
  </si>
  <si>
    <t>Proceeds (d)</t>
  </si>
  <si>
    <t>1099-B basis (e)</t>
  </si>
  <si>
    <t>Code (f)</t>
  </si>
  <si>
    <t>Adjustment (g)</t>
  </si>
  <si>
    <t>Gain (h)</t>
  </si>
  <si>
    <t>Pending</t>
  </si>
  <si>
    <t>B</t>
  </si>
  <si>
    <t>Use Form 8949 section in ESPP &amp; RSU sheets for values to enter into Form 8949, or TurboTax et al.</t>
  </si>
  <si>
    <t>Tax Impact</t>
  </si>
  <si>
    <t>WARNING</t>
  </si>
  <si>
    <t>There WILL be errors in the tax estimation. It doesn't even attempt AMT. I'm uncertain about how LTG progressiveness works</t>
  </si>
  <si>
    <t>The numbers you want for tax planning are the Gains in the section above</t>
  </si>
  <si>
    <r>
      <rPr>
        <color rgb="FF1155CC"/>
        <u/>
      </rPr>
      <t>Donate</t>
    </r>
    <r>
      <rPr/>
      <t xml:space="preserve"> via github sponsors</t>
    </r>
  </si>
  <si>
    <t>Liability</t>
  </si>
  <si>
    <t>Safe Harbor</t>
  </si>
  <si>
    <t>Estimated Taxes</t>
  </si>
  <si>
    <t>Actual</t>
  </si>
  <si>
    <t>of which</t>
  </si>
  <si>
    <t>Threshold</t>
  </si>
  <si>
    <t>Outstanding</t>
  </si>
  <si>
    <t>Paid</t>
  </si>
  <si>
    <t>Owed</t>
  </si>
  <si>
    <t>Federal  - total</t>
  </si>
  <si>
    <t>Federal - income &amp; short term gain</t>
  </si>
  <si>
    <t>Federal - long term gain</t>
  </si>
  <si>
    <t>California</t>
  </si>
  <si>
    <t>Totals</t>
  </si>
  <si>
    <t>Output</t>
  </si>
  <si>
    <t>From ESPP purchase confirmation docs</t>
  </si>
  <si>
    <t>From eTrade</t>
  </si>
  <si>
    <t>Calculated</t>
  </si>
  <si>
    <t>Now</t>
  </si>
  <si>
    <t>Future</t>
  </si>
  <si>
    <t xml:space="preserve">Input </t>
  </si>
  <si>
    <t>Derived - informational only</t>
  </si>
  <si>
    <t>Derived - should match vlaues from ESPP purchase confirmation</t>
  </si>
  <si>
    <t>Input - alternate for cross check</t>
  </si>
  <si>
    <t>Use for fraction</t>
  </si>
  <si>
    <t xml:space="preserve">1099-B </t>
  </si>
  <si>
    <t>Ratio (shares)</t>
  </si>
  <si>
    <t>Cash received</t>
  </si>
  <si>
    <t>Basis adjustment for Dell dividends</t>
  </si>
  <si>
    <t>Cost basis entering merger</t>
  </si>
  <si>
    <t>AVGO shares received</t>
  </si>
  <si>
    <t>Alternate gain calculation</t>
  </si>
  <si>
    <t>Gain</t>
  </si>
  <si>
    <t>Reference for future sale</t>
  </si>
  <si>
    <t>Purchase Begin Date</t>
  </si>
  <si>
    <t>Grant Date</t>
  </si>
  <si>
    <t>Purchase Date</t>
  </si>
  <si>
    <t>Shares Purchased</t>
  </si>
  <si>
    <t>Grant Date Market Value</t>
  </si>
  <si>
    <t>Purchase Value per Share</t>
  </si>
  <si>
    <t>Current Contributions</t>
  </si>
  <si>
    <t>Total Price</t>
  </si>
  <si>
    <t>Previous Carry Forward</t>
  </si>
  <si>
    <t>Total Contributions</t>
  </si>
  <si>
    <t>Carry Forward</t>
  </si>
  <si>
    <t>Purchase Price per Share</t>
  </si>
  <si>
    <t>AVGO qty from eTrade</t>
  </si>
  <si>
    <t>Proceeds (1d)</t>
  </si>
  <si>
    <t>Cost or Other Basis (1e)</t>
  </si>
  <si>
    <t>Accrued Market Discount (1f)</t>
  </si>
  <si>
    <t>Wash Sale Loss Disallowed (1g)</t>
  </si>
  <si>
    <t>Gain/Loss Amount</t>
  </si>
  <si>
    <t>Federal Income Tax Withheld (4)</t>
  </si>
  <si>
    <t>Derived from manual share qty</t>
  </si>
  <si>
    <t>Manual per-lot</t>
  </si>
  <si>
    <t>Prefer</t>
  </si>
  <si>
    <t>eTrade pro-rata</t>
  </si>
  <si>
    <t>derived eTrade per-lot</t>
  </si>
  <si>
    <t>manual per-lot</t>
  </si>
  <si>
    <t>active amount</t>
  </si>
  <si>
    <t>1st special divident basis adjustment</t>
  </si>
  <si>
    <t>2nd dividend basis adjustment</t>
  </si>
  <si>
    <t>VMW tax-basis per share</t>
  </si>
  <si>
    <t>eTrade derived per-lot</t>
  </si>
  <si>
    <t>active qty</t>
  </si>
  <si>
    <t>Gain (cash+FMV AVGO-basis)</t>
  </si>
  <si>
    <t>Fraction</t>
  </si>
  <si>
    <t>Income &amp; short term gain</t>
  </si>
  <si>
    <t>Long term gain</t>
  </si>
  <si>
    <t>Form Section</t>
  </si>
  <si>
    <t>Acquisition Date</t>
  </si>
  <si>
    <t>1099-B Proceeds</t>
  </si>
  <si>
    <t>AVGO tax-basis per share</t>
  </si>
  <si>
    <t>Potential Captial Gain (AVGO)</t>
  </si>
  <si>
    <t>Qualified</t>
  </si>
  <si>
    <t>Pending Ordinary Income</t>
  </si>
  <si>
    <t>Short Term Capital Gain</t>
  </si>
  <si>
    <t>Long Term Capital Gain</t>
  </si>
  <si>
    <t>balance</t>
  </si>
  <si>
    <r>
      <rPr/>
      <t xml:space="preserve">NOTE: </t>
    </r>
    <r>
      <rPr>
        <color rgb="FF1155CC"/>
        <u/>
      </rPr>
      <t>costbasis.com</t>
    </r>
    <r>
      <rPr/>
      <t xml:space="preserve"> recommends attaching a statement explaining the adjustment to proceeds</t>
    </r>
  </si>
  <si>
    <t>From RSU release confirmation docs</t>
  </si>
  <si>
    <t>Input for calculating tax withheld</t>
  </si>
  <si>
    <t>Tax basis entering merger</t>
  </si>
  <si>
    <t>Treatment</t>
  </si>
  <si>
    <t>Award Number</t>
  </si>
  <si>
    <t>Award Date</t>
  </si>
  <si>
    <t>Release Date</t>
  </si>
  <si>
    <t>Shares Issued</t>
  </si>
  <si>
    <t>Market Value Per Share</t>
  </si>
  <si>
    <t>Shares Traded</t>
  </si>
  <si>
    <t>Tax basis on receipt</t>
  </si>
  <si>
    <t>Tax paid on receipt</t>
  </si>
  <si>
    <t>VMW tax-basis per lot</t>
  </si>
  <si>
    <t>00029420</t>
  </si>
  <si>
    <t>00055305</t>
  </si>
  <si>
    <t>00066258</t>
  </si>
  <si>
    <t>00075897</t>
  </si>
  <si>
    <t>00081755</t>
  </si>
  <si>
    <t>00092836</t>
  </si>
  <si>
    <t>VM092836</t>
  </si>
  <si>
    <t>VM066258</t>
  </si>
  <si>
    <t>VM081755</t>
  </si>
  <si>
    <t>VM100361</t>
  </si>
  <si>
    <t>00124568</t>
  </si>
  <si>
    <t>00155805</t>
  </si>
  <si>
    <t>SD155805</t>
  </si>
  <si>
    <t>SD100361</t>
  </si>
  <si>
    <t>SD124568</t>
  </si>
  <si>
    <t>SD172058</t>
  </si>
  <si>
    <t>00194291</t>
  </si>
  <si>
    <r>
      <rPr/>
      <t xml:space="preserve">NOTE: </t>
    </r>
    <r>
      <rPr>
        <color rgb="FF1155CC"/>
        <u/>
      </rPr>
      <t>costbasis.com</t>
    </r>
    <r>
      <rPr/>
      <t xml:space="preserve"> recommends attaching a statement explaining the adjustment to proceeds</t>
    </r>
  </si>
  <si>
    <t>This Sheet is a collection of reference values used by the others. I do not expect anyone to need to make changes to these values.</t>
  </si>
  <si>
    <t>VMW final sale price</t>
  </si>
  <si>
    <t>VMW FMV</t>
  </si>
  <si>
    <t>Cash ratio (calculated)</t>
  </si>
  <si>
    <t>Ratio source</t>
  </si>
  <si>
    <t>Avgo ratio (calculated)</t>
  </si>
  <si>
    <t>Min share ratio</t>
  </si>
  <si>
    <t>AVGO conversion ratio</t>
  </si>
  <si>
    <t>Max share ratio</t>
  </si>
  <si>
    <t>Avgo ratio (etrade transaction log)</t>
  </si>
  <si>
    <t>0.5209</t>
  </si>
  <si>
    <t>Balance share ratio</t>
  </si>
  <si>
    <t>Form 8949 proceeds</t>
  </si>
  <si>
    <t>AVGO live value</t>
  </si>
  <si>
    <t>AVGO FMV (close of merger)</t>
  </si>
  <si>
    <t>Open</t>
  </si>
  <si>
    <t>Close</t>
  </si>
  <si>
    <t>High</t>
  </si>
  <si>
    <t>Low</t>
  </si>
  <si>
    <t>Factional Share value</t>
  </si>
  <si>
    <t>Form 8937</t>
  </si>
  <si>
    <t>Cost-basis events</t>
  </si>
  <si>
    <t>Basis adjustment</t>
  </si>
  <si>
    <t>Dell special dividend</t>
  </si>
  <si>
    <t>Broadcom Merger</t>
  </si>
  <si>
    <t>Post-merger sale date</t>
  </si>
  <si>
    <t>Post-merger sale date in 2023</t>
  </si>
  <si>
    <t>Short term captial gains &amp; income</t>
  </si>
  <si>
    <t>Long term captial gains</t>
  </si>
  <si>
    <t>Joint</t>
  </si>
  <si>
    <t>Head of household</t>
  </si>
  <si>
    <t>Standard deduction</t>
  </si>
  <si>
    <t>Long Term Capital Gains Thresholds</t>
  </si>
  <si>
    <t>Long Term Gains Active Rate</t>
  </si>
  <si>
    <t>Federal thresholds</t>
  </si>
  <si>
    <t>California thresholds</t>
  </si>
  <si>
    <t>Federal Income Tax</t>
  </si>
  <si>
    <t>Federal Long Term Gains Tax</t>
  </si>
  <si>
    <t>State Income Tax</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</si>
</sst>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0.00;(#,##0.00)"/>
    <numFmt numFmtId="165" formatCode="[$$]#,##0.00"/>
    <numFmt numFmtId="166" formatCode="#,##0.0000"/>
    <numFmt numFmtId="167" formatCode="yyyy&quot;-&quot;mm&quot;-&quot;dd"/>
    <numFmt numFmtId="168" formatCode="#,##0.00000000000000"/>
    <numFmt numFmtId="169" formatCode="#,##0.000000"/>
    <numFmt numFmtId="170" formatCode="&quot;$&quot;#,##0.00"/>
    <numFmt numFmtId="171" formatCode="#,##0.000"/>
    <numFmt numFmtId="172" formatCode="0.000"/>
    <numFmt numFmtId="173" formatCode="0.0000"/>
    <numFmt numFmtId="174" formatCode="0.000000"/>
    <numFmt numFmtId="175" formatCode="mm&quot;/&quot;dd&quot;/&quot;yy"/>
    <numFmt numFmtId="176" formatCode="yyyy-mm-dd"/>
  </numFmts>
  <fonts count="24">
    <font>
      <sz val="10.0"/>
      <color rgb="FF000000"/>
      <name val="Arial"/>
      <scheme val="minor"/>
    </font>
    <font>
      <b/>
      <color theme="1"/>
      <name val="Arial"/>
      <scheme val="minor"/>
    </font>
    <font>
      <color theme="1"/>
      <name val="Arial"/>
      <scheme val="minor"/>
    </font>
    <font>
      <color theme="1"/>
      <name val="Arial"/>
    </font>
    <font>
      <u/>
      <color rgb="FF0000FF"/>
      <name val="Arial"/>
    </font>
    <font>
      <u/>
      <color rgb="FF0000FF"/>
      <name val="Arial"/>
    </font>
    <font>
      <u/>
      <color rgb="FF0000FF"/>
    </font>
    <font>
      <sz val="11.0"/>
      <color theme="1"/>
      <name val="Arial"/>
    </font>
    <font>
      <i/>
      <color theme="1"/>
      <name val="Arial"/>
      <scheme val="minor"/>
    </font>
    <font/>
    <font>
      <b/>
      <color rgb="FFFF0000"/>
      <name val="Arial"/>
      <scheme val="minor"/>
    </font>
    <font>
      <b/>
      <sz val="9.0"/>
      <color theme="1"/>
      <name val="Arial"/>
      <scheme val="minor"/>
    </font>
    <font>
      <sz val="10.0"/>
      <color theme="1"/>
      <name val="Arial"/>
      <scheme val="minor"/>
    </font>
    <font>
      <sz val="11.0"/>
      <color rgb="FF1F1F1F"/>
      <name val="&quot;Google Sans&quot;"/>
    </font>
    <font>
      <sz val="10.0"/>
      <color rgb="FF1F1F1F"/>
      <name val="Arial"/>
      <scheme val="minor"/>
    </font>
    <font>
      <sz val="9.0"/>
      <color theme="1"/>
      <name val="&quot;Google Sans Mono&quot;"/>
    </font>
    <font>
      <b/>
      <color rgb="FF000000"/>
      <name val="Arial"/>
    </font>
    <font>
      <color rgb="FFD0E0E3"/>
      <name val="Arial"/>
    </font>
    <font>
      <u/>
      <color rgb="FF0000FF"/>
    </font>
    <font>
      <b/>
      <sz val="10.0"/>
      <color theme="1"/>
      <name val="Arial"/>
      <scheme val="minor"/>
    </font>
    <font>
      <sz val="9.0"/>
      <color rgb="FF000000"/>
      <name val="&quot;Google Sans Mono&quot;"/>
    </font>
    <font>
      <b/>
      <sz val="11.0"/>
      <color theme="1"/>
      <name val="Arial"/>
    </font>
    <font>
      <sz val="10.0"/>
      <color rgb="FF1B1B1B"/>
      <name val="Arial"/>
      <scheme val="minor"/>
    </font>
    <font>
      <b/>
      <sz val="10.0"/>
      <color rgb="FF000000"/>
      <name val="Arial"/>
      <scheme val="minor"/>
    </font>
  </fonts>
  <fills count="12">
    <fill>
      <patternFill patternType="none"/>
    </fill>
    <fill>
      <patternFill patternType="lightGray"/>
    </fill>
    <fill>
      <patternFill patternType="solid">
        <fgColor rgb="FFF3F3F3"/>
        <bgColor rgb="FFF3F3F3"/>
      </patternFill>
    </fill>
    <fill>
      <patternFill patternType="solid">
        <fgColor rgb="FFFFF2CC"/>
        <bgColor rgb="FFFFF2CC"/>
      </patternFill>
    </fill>
    <fill>
      <patternFill patternType="solid">
        <fgColor rgb="FFDED5BA"/>
        <bgColor rgb="FFDED5BA"/>
      </patternFill>
    </fill>
    <fill>
      <patternFill patternType="solid">
        <fgColor rgb="FFEAD1DC"/>
        <bgColor rgb="FFEAD1DC"/>
      </patternFill>
    </fill>
    <fill>
      <patternFill patternType="solid">
        <fgColor rgb="FFEFEFEF"/>
        <bgColor rgb="FFEFEFEF"/>
      </patternFill>
    </fill>
    <fill>
      <patternFill patternType="solid">
        <fgColor rgb="FFD0E0E3"/>
        <bgColor rgb="FFD0E0E3"/>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
      <patternFill patternType="solid">
        <fgColor rgb="FFD5A6BD"/>
        <bgColor rgb="FFD5A6BD"/>
      </patternFill>
    </fill>
  </fills>
  <borders count="38">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border>
    <border>
      <right style="thick">
        <color rgb="FF000000"/>
      </right>
    </border>
    <border>
      <left style="thick">
        <color rgb="FF000000"/>
      </left>
      <top style="thin">
        <color rgb="FF000000"/>
      </top>
    </border>
    <border>
      <right style="thick">
        <color rgb="FF000000"/>
      </right>
      <top style="thin">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right style="double">
        <color rgb="FF000000"/>
      </right>
    </border>
    <border>
      <left style="double">
        <color rgb="FF000000"/>
      </left>
      <top style="thin">
        <color rgb="FF000000"/>
      </top>
    </border>
    <border>
      <right style="double">
        <color rgb="FF000000"/>
      </right>
      <top style="thin">
        <color rgb="FF000000"/>
      </top>
    </border>
    <border>
      <left style="double">
        <color rgb="FF000000"/>
      </left>
      <bottom style="double">
        <color rgb="FF000000"/>
      </bottom>
    </border>
    <border>
      <bottom style="double">
        <color rgb="FF000000"/>
      </bottom>
    </border>
    <border>
      <right style="double">
        <color rgb="FF000000"/>
      </right>
      <bottom style="double">
        <color rgb="FF000000"/>
      </bottom>
    </border>
  </borders>
  <cellStyleXfs count="1">
    <xf borderId="0" fillId="0" fontId="0" numFmtId="0" applyAlignment="1" applyFont="1"/>
  </cellStyleXfs>
  <cellXfs count="423">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readingOrder="0"/>
    </xf>
    <xf borderId="0" fillId="0" fontId="2" numFmtId="49" xfId="0" applyFont="1" applyNumberFormat="1"/>
    <xf borderId="0" fillId="0" fontId="1" numFmtId="49" xfId="0" applyAlignment="1" applyFont="1" applyNumberFormat="1">
      <alignment readingOrder="0"/>
    </xf>
    <xf borderId="0" fillId="0" fontId="1" numFmtId="49" xfId="0" applyAlignment="1" applyFont="1" applyNumberFormat="1">
      <alignment readingOrder="0"/>
    </xf>
    <xf borderId="2" fillId="3" fontId="2" numFmtId="49" xfId="0" applyAlignment="1" applyBorder="1" applyFill="1" applyFont="1" applyNumberFormat="1">
      <alignment readingOrder="0"/>
    </xf>
    <xf borderId="0" fillId="0" fontId="3" numFmtId="49" xfId="0" applyAlignment="1" applyFont="1" applyNumberFormat="1">
      <alignment shrinkToFit="0" vertical="bottom" wrapText="0"/>
    </xf>
    <xf borderId="0" fillId="0" fontId="3" numFmtId="49" xfId="0" applyAlignment="1" applyFont="1" applyNumberFormat="1">
      <alignment vertical="bottom"/>
    </xf>
    <xf borderId="2" fillId="4" fontId="2" numFmtId="49" xfId="0" applyAlignment="1" applyBorder="1" applyFill="1" applyFont="1" applyNumberFormat="1">
      <alignment readingOrder="0"/>
    </xf>
    <xf borderId="0" fillId="0" fontId="4" numFmtId="49" xfId="0" applyAlignment="1" applyFont="1" applyNumberFormat="1">
      <alignment shrinkToFit="0" vertical="bottom" wrapText="0"/>
    </xf>
    <xf borderId="2" fillId="5" fontId="2" numFmtId="49" xfId="0" applyAlignment="1" applyBorder="1" applyFill="1" applyFont="1" applyNumberFormat="1">
      <alignment readingOrder="0"/>
    </xf>
    <xf borderId="0" fillId="0" fontId="5" numFmtId="49" xfId="0" applyAlignment="1" applyFont="1" applyNumberFormat="1">
      <alignment shrinkToFit="0" vertical="bottom" wrapText="0"/>
    </xf>
    <xf borderId="2" fillId="6" fontId="2" numFmtId="49" xfId="0" applyAlignment="1" applyBorder="1" applyFill="1" applyFont="1" applyNumberFormat="1">
      <alignment readingOrder="0"/>
    </xf>
    <xf borderId="2" fillId="7" fontId="2" numFmtId="49" xfId="0" applyAlignment="1" applyBorder="1" applyFill="1" applyFont="1" applyNumberFormat="1">
      <alignment readingOrder="0"/>
    </xf>
    <xf borderId="2" fillId="8" fontId="2" numFmtId="49" xfId="0" applyAlignment="1" applyBorder="1" applyFill="1" applyFont="1" applyNumberFormat="1">
      <alignment readingOrder="0"/>
    </xf>
    <xf borderId="2" fillId="2" fontId="2" numFmtId="49" xfId="0" applyAlignment="1" applyBorder="1" applyFont="1" applyNumberFormat="1">
      <alignment readingOrder="0"/>
    </xf>
    <xf borderId="2" fillId="0" fontId="2" numFmtId="49" xfId="0" applyAlignment="1" applyBorder="1" applyFont="1" applyNumberFormat="1">
      <alignment readingOrder="0"/>
    </xf>
    <xf borderId="0" fillId="0" fontId="3" numFmtId="49" xfId="0" applyAlignment="1" applyFont="1" applyNumberFormat="1">
      <alignment readingOrder="0" shrinkToFit="0" vertical="bottom" wrapText="0"/>
    </xf>
    <xf borderId="3" fillId="0" fontId="2" numFmtId="49" xfId="0" applyAlignment="1" applyBorder="1" applyFont="1" applyNumberFormat="1">
      <alignment readingOrder="0"/>
    </xf>
    <xf borderId="0" fillId="0" fontId="3" numFmtId="49" xfId="0" applyAlignment="1" applyFont="1" applyNumberFormat="1">
      <alignment readingOrder="0" shrinkToFit="0" vertical="bottom" wrapText="0"/>
    </xf>
    <xf borderId="0" fillId="0" fontId="6" numFmtId="49" xfId="0" applyAlignment="1" applyFont="1" applyNumberFormat="1">
      <alignment readingOrder="0"/>
    </xf>
    <xf borderId="4" fillId="0" fontId="1" numFmtId="49" xfId="0" applyAlignment="1" applyBorder="1" applyFont="1" applyNumberFormat="1">
      <alignment readingOrder="0"/>
    </xf>
    <xf borderId="5" fillId="0" fontId="2" numFmtId="49" xfId="0" applyBorder="1" applyFont="1" applyNumberFormat="1"/>
    <xf borderId="6" fillId="0" fontId="2" numFmtId="49" xfId="0" applyBorder="1" applyFont="1" applyNumberFormat="1"/>
    <xf borderId="6" fillId="0" fontId="1" numFmtId="49" xfId="0" applyAlignment="1" applyBorder="1" applyFont="1" applyNumberFormat="1">
      <alignment horizontal="right" readingOrder="0"/>
    </xf>
    <xf borderId="5" fillId="0" fontId="1" numFmtId="49" xfId="0" applyAlignment="1" applyBorder="1" applyFont="1" applyNumberFormat="1">
      <alignment horizontal="right" readingOrder="0"/>
    </xf>
    <xf borderId="7" fillId="0" fontId="2" numFmtId="49" xfId="0" applyAlignment="1" applyBorder="1" applyFont="1" applyNumberFormat="1">
      <alignment readingOrder="0"/>
    </xf>
    <xf borderId="8" fillId="0" fontId="7" numFmtId="49" xfId="0" applyAlignment="1" applyBorder="1" applyFont="1" applyNumberFormat="1">
      <alignment horizontal="right" readingOrder="0"/>
    </xf>
    <xf borderId="7" fillId="0" fontId="2" numFmtId="49" xfId="0" applyBorder="1" applyFont="1" applyNumberFormat="1"/>
    <xf borderId="8" fillId="0" fontId="2" numFmtId="49" xfId="0" applyBorder="1" applyFont="1" applyNumberFormat="1"/>
    <xf borderId="4" fillId="0" fontId="8" numFmtId="49" xfId="0" applyAlignment="1" applyBorder="1" applyFont="1" applyNumberFormat="1">
      <alignment readingOrder="0"/>
    </xf>
    <xf borderId="5" fillId="0" fontId="7" numFmtId="49" xfId="0" applyAlignment="1" applyBorder="1" applyFont="1" applyNumberFormat="1">
      <alignment horizontal="right" readingOrder="0"/>
    </xf>
    <xf borderId="9" fillId="0" fontId="8" numFmtId="49" xfId="0" applyAlignment="1" applyBorder="1" applyFont="1" applyNumberFormat="1">
      <alignment readingOrder="0"/>
    </xf>
    <xf borderId="10" fillId="0" fontId="8" numFmtId="49" xfId="0" applyAlignment="1" applyBorder="1" applyFont="1" applyNumberFormat="1">
      <alignment readingOrder="0"/>
    </xf>
    <xf borderId="11" fillId="4" fontId="8" numFmtId="49" xfId="0" applyAlignment="1" applyBorder="1" applyFont="1" applyNumberFormat="1">
      <alignment readingOrder="0"/>
    </xf>
    <xf borderId="12" fillId="0" fontId="8" numFmtId="49" xfId="0" applyAlignment="1" applyBorder="1" applyFont="1" applyNumberFormat="1">
      <alignment readingOrder="0"/>
    </xf>
    <xf borderId="0" fillId="0" fontId="1" numFmtId="49" xfId="0" applyAlignment="1" applyFont="1" applyNumberFormat="1">
      <alignment horizontal="right" readingOrder="0"/>
    </xf>
    <xf borderId="8" fillId="3" fontId="7" numFmtId="3" xfId="0" applyAlignment="1" applyBorder="1" applyFont="1" applyNumberFormat="1">
      <alignment horizontal="right" vertical="bottom"/>
    </xf>
    <xf borderId="9" fillId="0" fontId="2" numFmtId="49" xfId="0" applyAlignment="1" applyBorder="1" applyFont="1" applyNumberFormat="1">
      <alignment readingOrder="0"/>
    </xf>
    <xf borderId="10" fillId="0" fontId="2" numFmtId="49" xfId="0" applyAlignment="1" applyBorder="1" applyFont="1" applyNumberFormat="1">
      <alignment horizontal="left" readingOrder="0"/>
    </xf>
    <xf borderId="10" fillId="0" fontId="2" numFmtId="1" xfId="0" applyAlignment="1" applyBorder="1" applyFont="1" applyNumberFormat="1">
      <alignment horizontal="left" readingOrder="0"/>
    </xf>
    <xf borderId="11" fillId="4" fontId="3" numFmtId="164" xfId="0" applyAlignment="1" applyBorder="1" applyFont="1" applyNumberFormat="1">
      <alignment horizontal="right" vertical="bottom"/>
    </xf>
    <xf borderId="12" fillId="0" fontId="2" numFmtId="49" xfId="0" applyAlignment="1" applyBorder="1" applyFont="1" applyNumberFormat="1">
      <alignment readingOrder="0"/>
    </xf>
    <xf borderId="0" fillId="5" fontId="2" numFmtId="49" xfId="0" applyAlignment="1" applyFont="1" applyNumberFormat="1">
      <alignment readingOrder="0"/>
    </xf>
    <xf borderId="0" fillId="2" fontId="2" numFmtId="164" xfId="0" applyFont="1" applyNumberFormat="1"/>
    <xf borderId="0" fillId="4" fontId="2" numFmtId="164" xfId="0" applyAlignment="1" applyFont="1" applyNumberFormat="1">
      <alignment readingOrder="0"/>
    </xf>
    <xf borderId="13" fillId="0" fontId="2" numFmtId="49" xfId="0" applyAlignment="1" applyBorder="1" applyFont="1" applyNumberFormat="1">
      <alignment readingOrder="0"/>
    </xf>
    <xf borderId="14" fillId="3" fontId="7" numFmtId="3" xfId="0" applyAlignment="1" applyBorder="1" applyFont="1" applyNumberFormat="1">
      <alignment horizontal="right" vertical="bottom"/>
    </xf>
    <xf borderId="7" fillId="0" fontId="2" numFmtId="49" xfId="0" applyAlignment="1" applyBorder="1" applyFont="1" applyNumberFormat="1">
      <alignment horizontal="left" readingOrder="0"/>
    </xf>
    <xf borderId="0" fillId="0" fontId="2" numFmtId="49" xfId="0" applyAlignment="1" applyFont="1" applyNumberFormat="1">
      <alignment horizontal="left" readingOrder="0"/>
    </xf>
    <xf borderId="0" fillId="0" fontId="2" numFmtId="1" xfId="0" applyAlignment="1" applyFont="1" applyNumberFormat="1">
      <alignment horizontal="left" readingOrder="0"/>
    </xf>
    <xf borderId="2" fillId="4" fontId="3" numFmtId="164" xfId="0" applyAlignment="1" applyBorder="1" applyFont="1" applyNumberFormat="1">
      <alignment horizontal="right" vertical="bottom"/>
    </xf>
    <xf borderId="8" fillId="0" fontId="2" numFmtId="49" xfId="0" applyAlignment="1" applyBorder="1" applyFont="1" applyNumberFormat="1">
      <alignment readingOrder="0"/>
    </xf>
    <xf borderId="0" fillId="0" fontId="2" numFmtId="49" xfId="0" applyAlignment="1" applyFont="1" applyNumberFormat="1">
      <alignment readingOrder="0"/>
    </xf>
    <xf borderId="7" fillId="0" fontId="8" numFmtId="49" xfId="0" applyAlignment="1" applyBorder="1" applyFont="1" applyNumberFormat="1">
      <alignment readingOrder="0"/>
    </xf>
    <xf borderId="7" fillId="8" fontId="2" numFmtId="0" xfId="0" applyAlignment="1" applyBorder="1" applyFont="1">
      <alignment readingOrder="0"/>
    </xf>
    <xf borderId="0" fillId="5" fontId="2" numFmtId="0" xfId="0" applyAlignment="1" applyFont="1">
      <alignment readingOrder="0"/>
    </xf>
    <xf borderId="0" fillId="0" fontId="3" numFmtId="0" xfId="0" applyAlignment="1" applyFont="1">
      <alignment horizontal="center" vertical="bottom"/>
    </xf>
    <xf borderId="0" fillId="5" fontId="3" numFmtId="165" xfId="0" applyAlignment="1" applyFont="1" applyNumberFormat="1">
      <alignment horizontal="right" vertical="bottom"/>
    </xf>
    <xf borderId="8" fillId="4" fontId="3" numFmtId="3" xfId="0" applyAlignment="1" applyBorder="1" applyFont="1" applyNumberFormat="1">
      <alignment horizontal="right" vertical="bottom"/>
    </xf>
    <xf borderId="8" fillId="4" fontId="3" numFmtId="164" xfId="0" applyAlignment="1" applyBorder="1" applyFont="1" applyNumberFormat="1">
      <alignment horizontal="right" vertical="bottom"/>
    </xf>
    <xf borderId="0" fillId="9" fontId="3" numFmtId="164" xfId="0" applyAlignment="1" applyFill="1" applyFont="1" applyNumberFormat="1">
      <alignment horizontal="right" vertical="bottom"/>
    </xf>
    <xf borderId="14" fillId="4" fontId="3" numFmtId="164" xfId="0" applyAlignment="1" applyBorder="1" applyFont="1" applyNumberFormat="1">
      <alignment horizontal="right" vertical="bottom"/>
    </xf>
    <xf borderId="13" fillId="0" fontId="2" numFmtId="0" xfId="0" applyBorder="1" applyFont="1"/>
    <xf borderId="15" fillId="0" fontId="2" numFmtId="0" xfId="0" applyBorder="1" applyFont="1"/>
    <xf borderId="14" fillId="0" fontId="2" numFmtId="0" xfId="0" applyBorder="1" applyFont="1"/>
    <xf borderId="0" fillId="0" fontId="2" numFmtId="49" xfId="0" applyAlignment="1" applyFont="1" applyNumberFormat="1">
      <alignment horizontal="right" readingOrder="0"/>
    </xf>
    <xf borderId="0" fillId="4" fontId="2" numFmtId="49" xfId="0" applyAlignment="1" applyFont="1" applyNumberFormat="1">
      <alignment readingOrder="0"/>
    </xf>
    <xf borderId="0" fillId="2" fontId="2" numFmtId="0" xfId="0" applyFont="1"/>
    <xf borderId="0" fillId="4" fontId="2" numFmtId="0" xfId="0" applyAlignment="1" applyFont="1">
      <alignment readingOrder="0"/>
    </xf>
    <xf borderId="6" fillId="0" fontId="1" numFmtId="49" xfId="0" applyAlignment="1" applyBorder="1" applyFont="1" applyNumberFormat="1">
      <alignment horizontal="center" readingOrder="0"/>
    </xf>
    <xf borderId="15" fillId="6" fontId="2" numFmtId="49" xfId="0" applyAlignment="1" applyBorder="1" applyFont="1" applyNumberFormat="1">
      <alignment readingOrder="0"/>
    </xf>
    <xf borderId="15" fillId="0" fontId="2" numFmtId="49" xfId="0" applyBorder="1" applyFont="1" applyNumberFormat="1"/>
    <xf borderId="14" fillId="0" fontId="2" numFmtId="49" xfId="0" applyBorder="1" applyFont="1" applyNumberFormat="1"/>
    <xf borderId="0" fillId="0" fontId="1" numFmtId="49" xfId="0" applyAlignment="1" applyFont="1" applyNumberFormat="1">
      <alignment horizontal="center" readingOrder="0"/>
    </xf>
    <xf borderId="6" fillId="0" fontId="1" numFmtId="49" xfId="0" applyAlignment="1" applyBorder="1" applyFont="1" applyNumberFormat="1">
      <alignment readingOrder="0"/>
    </xf>
    <xf borderId="0" fillId="0" fontId="1" numFmtId="164" xfId="0" applyAlignment="1" applyFont="1" applyNumberFormat="1">
      <alignment horizontal="center" readingOrder="0"/>
    </xf>
    <xf borderId="0" fillId="0" fontId="1" numFmtId="0" xfId="0" applyAlignment="1" applyFont="1">
      <alignment readingOrder="0"/>
    </xf>
    <xf borderId="7" fillId="0" fontId="2" numFmtId="0" xfId="0" applyBorder="1" applyFont="1"/>
    <xf borderId="0" fillId="0" fontId="2" numFmtId="0" xfId="0" applyAlignment="1" applyFont="1">
      <alignment readingOrder="0"/>
    </xf>
    <xf borderId="4" fillId="0" fontId="2" numFmtId="49" xfId="0" applyBorder="1" applyFont="1" applyNumberFormat="1"/>
    <xf borderId="6" fillId="2" fontId="2" numFmtId="166" xfId="0" applyBorder="1" applyFont="1" applyNumberFormat="1"/>
    <xf borderId="6" fillId="0" fontId="2" numFmtId="0" xfId="0" applyBorder="1" applyFont="1"/>
    <xf borderId="6" fillId="2" fontId="2" numFmtId="0" xfId="0" applyBorder="1" applyFont="1"/>
    <xf borderId="5" fillId="0" fontId="2" numFmtId="0" xfId="0" applyBorder="1" applyFont="1"/>
    <xf borderId="0" fillId="0" fontId="2" numFmtId="164" xfId="0" applyFont="1" applyNumberFormat="1"/>
    <xf borderId="7" fillId="0" fontId="1" numFmtId="49" xfId="0" applyAlignment="1" applyBorder="1" applyFont="1" applyNumberFormat="1">
      <alignment readingOrder="0"/>
    </xf>
    <xf borderId="13" fillId="2" fontId="2" numFmtId="164" xfId="0" applyAlignment="1" applyBorder="1" applyFont="1" applyNumberFormat="1">
      <alignment horizontal="right" readingOrder="0"/>
    </xf>
    <xf borderId="15" fillId="2" fontId="2" numFmtId="164" xfId="0" applyBorder="1" applyFont="1" applyNumberFormat="1"/>
    <xf borderId="15" fillId="7" fontId="2" numFmtId="164" xfId="0" applyBorder="1" applyFont="1" applyNumberFormat="1"/>
    <xf borderId="15" fillId="2" fontId="2" numFmtId="164" xfId="0" applyAlignment="1" applyBorder="1" applyFont="1" applyNumberFormat="1">
      <alignment horizontal="right" readingOrder="0"/>
    </xf>
    <xf borderId="9" fillId="0" fontId="2" numFmtId="0" xfId="0" applyAlignment="1" applyBorder="1" applyFont="1">
      <alignment horizontal="center" readingOrder="0"/>
    </xf>
    <xf borderId="10" fillId="0" fontId="9" numFmtId="0" xfId="0" applyBorder="1" applyFont="1"/>
    <xf borderId="12" fillId="0" fontId="9" numFmtId="0" xfId="0" applyBorder="1" applyFont="1"/>
    <xf borderId="0" fillId="0" fontId="2" numFmtId="164" xfId="0" applyAlignment="1" applyFont="1" applyNumberFormat="1">
      <alignment horizontal="center" readingOrder="0"/>
    </xf>
    <xf borderId="8" fillId="0" fontId="2" numFmtId="0" xfId="0" applyBorder="1" applyFont="1"/>
    <xf borderId="11" fillId="0" fontId="2" numFmtId="0" xfId="0" applyAlignment="1" applyBorder="1" applyFont="1">
      <alignment readingOrder="0"/>
    </xf>
    <xf borderId="0" fillId="0" fontId="2" numFmtId="166" xfId="0" applyFont="1" applyNumberFormat="1"/>
    <xf borderId="13" fillId="0" fontId="1" numFmtId="49" xfId="0" applyAlignment="1" applyBorder="1" applyFont="1" applyNumberFormat="1">
      <alignment readingOrder="0"/>
    </xf>
    <xf borderId="9" fillId="0" fontId="2" numFmtId="49" xfId="0" applyBorder="1" applyFont="1" applyNumberFormat="1"/>
    <xf borderId="10" fillId="0" fontId="2" numFmtId="49" xfId="0" applyBorder="1" applyFont="1" applyNumberFormat="1"/>
    <xf borderId="10" fillId="8" fontId="2" numFmtId="164" xfId="0" applyAlignment="1" applyBorder="1" applyFont="1" applyNumberFormat="1">
      <alignment readingOrder="0"/>
    </xf>
    <xf borderId="10" fillId="8" fontId="2" numFmtId="164" xfId="0" applyBorder="1" applyFont="1" applyNumberFormat="1"/>
    <xf borderId="10" fillId="0" fontId="2" numFmtId="0" xfId="0" applyBorder="1" applyFont="1"/>
    <xf borderId="12" fillId="8" fontId="2" numFmtId="164" xfId="0" applyBorder="1" applyFont="1" applyNumberFormat="1"/>
    <xf borderId="11" fillId="7" fontId="2" numFmtId="164" xfId="0" applyBorder="1" applyFont="1" applyNumberFormat="1"/>
    <xf borderId="11" fillId="7" fontId="2" numFmtId="164" xfId="0" applyAlignment="1" applyBorder="1" applyFont="1" applyNumberFormat="1">
      <alignment readingOrder="0"/>
    </xf>
    <xf borderId="0" fillId="0" fontId="2" numFmtId="0" xfId="0" applyFont="1"/>
    <xf borderId="8" fillId="0" fontId="2" numFmtId="0" xfId="0" applyBorder="1" applyFont="1"/>
    <xf borderId="13" fillId="0" fontId="2" numFmtId="49" xfId="0" applyBorder="1" applyFont="1" applyNumberFormat="1"/>
    <xf borderId="6" fillId="0" fontId="10" numFmtId="49" xfId="0" applyAlignment="1" applyBorder="1" applyFont="1" applyNumberFormat="1">
      <alignment horizontal="right" readingOrder="0"/>
    </xf>
    <xf borderId="6" fillId="0" fontId="11" numFmtId="49" xfId="0" applyAlignment="1" applyBorder="1" applyFont="1" applyNumberFormat="1">
      <alignment horizontal="left" readingOrder="0"/>
    </xf>
    <xf borderId="6" fillId="0" fontId="9" numFmtId="0" xfId="0" applyBorder="1" applyFont="1"/>
    <xf borderId="5" fillId="0" fontId="9" numFmtId="0" xfId="0" applyBorder="1" applyFont="1"/>
    <xf borderId="0" fillId="0" fontId="11" numFmtId="49" xfId="0" applyAlignment="1" applyFont="1" applyNumberFormat="1">
      <alignment horizontal="left" readingOrder="0"/>
    </xf>
    <xf borderId="4" fillId="0" fontId="8" numFmtId="49" xfId="0" applyAlignment="1" applyBorder="1" applyFont="1" applyNumberFormat="1">
      <alignment horizontal="center" readingOrder="0"/>
    </xf>
    <xf borderId="12" fillId="0" fontId="8" numFmtId="49" xfId="0" applyAlignment="1" applyBorder="1" applyFont="1" applyNumberFormat="1">
      <alignment horizontal="center" readingOrder="0"/>
    </xf>
    <xf borderId="6" fillId="0" fontId="8" numFmtId="49" xfId="0" applyAlignment="1" applyBorder="1" applyFont="1" applyNumberFormat="1">
      <alignment horizontal="center" readingOrder="0"/>
    </xf>
    <xf borderId="5" fillId="0" fontId="8" numFmtId="49" xfId="0" applyAlignment="1" applyBorder="1" applyFont="1" applyNumberFormat="1">
      <alignment horizontal="center" readingOrder="0"/>
    </xf>
    <xf borderId="4" fillId="7" fontId="2" numFmtId="164" xfId="0" applyBorder="1" applyFont="1" applyNumberFormat="1"/>
    <xf borderId="0" fillId="9" fontId="2" numFmtId="164" xfId="0" applyFont="1" applyNumberFormat="1"/>
    <xf borderId="5" fillId="7" fontId="2" numFmtId="164" xfId="0" applyBorder="1" applyFont="1" applyNumberFormat="1"/>
    <xf borderId="4" fillId="3" fontId="2" numFmtId="164" xfId="0" applyAlignment="1" applyBorder="1" applyFont="1" applyNumberFormat="1">
      <alignment readingOrder="0"/>
    </xf>
    <xf borderId="5" fillId="7" fontId="2" numFmtId="164" xfId="0" applyAlignment="1" applyBorder="1" applyFont="1" applyNumberFormat="1">
      <alignment readingOrder="0"/>
    </xf>
    <xf borderId="7" fillId="9" fontId="2" numFmtId="164" xfId="0" applyBorder="1" applyFont="1" applyNumberFormat="1"/>
    <xf borderId="0" fillId="2" fontId="12" numFmtId="164" xfId="0" applyAlignment="1" applyFont="1" applyNumberFormat="1">
      <alignment readingOrder="0"/>
    </xf>
    <xf borderId="13" fillId="7" fontId="2" numFmtId="164" xfId="0" applyBorder="1" applyFont="1" applyNumberFormat="1"/>
    <xf borderId="7" fillId="7" fontId="2" numFmtId="164" xfId="0" applyBorder="1" applyFont="1" applyNumberFormat="1"/>
    <xf borderId="8" fillId="7" fontId="2" numFmtId="164" xfId="0" applyBorder="1" applyFont="1" applyNumberFormat="1"/>
    <xf borderId="7" fillId="3" fontId="2" numFmtId="164" xfId="0" applyAlignment="1" applyBorder="1" applyFont="1" applyNumberFormat="1">
      <alignment readingOrder="0"/>
    </xf>
    <xf borderId="8" fillId="7" fontId="2" numFmtId="164" xfId="0" applyAlignment="1" applyBorder="1" applyFont="1" applyNumberFormat="1">
      <alignment readingOrder="0"/>
    </xf>
    <xf borderId="9" fillId="0" fontId="1" numFmtId="49" xfId="0" applyAlignment="1" applyBorder="1" applyFont="1" applyNumberFormat="1">
      <alignment readingOrder="0"/>
    </xf>
    <xf borderId="9" fillId="2" fontId="2" numFmtId="164" xfId="0" applyBorder="1" applyFont="1" applyNumberFormat="1"/>
    <xf borderId="12" fillId="2" fontId="2" numFmtId="164" xfId="0" applyBorder="1" applyFont="1" applyNumberFormat="1"/>
    <xf borderId="9" fillId="2" fontId="1" numFmtId="164" xfId="0" applyBorder="1" applyFont="1" applyNumberFormat="1"/>
    <xf borderId="12" fillId="7" fontId="1" numFmtId="164" xfId="0" applyBorder="1" applyFont="1" applyNumberFormat="1"/>
    <xf borderId="0" fillId="0" fontId="2" numFmtId="167" xfId="0" applyFont="1" applyNumberFormat="1"/>
    <xf borderId="0" fillId="0" fontId="2" numFmtId="164" xfId="0" applyAlignment="1" applyFont="1" applyNumberFormat="1">
      <alignment readingOrder="0"/>
    </xf>
    <xf borderId="0" fillId="0" fontId="1" numFmtId="164" xfId="0" applyAlignment="1" applyFont="1" applyNumberFormat="1">
      <alignment horizontal="right" readingOrder="0"/>
    </xf>
    <xf borderId="0" fillId="0" fontId="7" numFmtId="164" xfId="0" applyAlignment="1" applyFont="1" applyNumberFormat="1">
      <alignment horizontal="right" readingOrder="0"/>
    </xf>
    <xf borderId="0" fillId="0" fontId="13" numFmtId="168" xfId="0" applyAlignment="1" applyFont="1" applyNumberFormat="1">
      <alignment readingOrder="0"/>
    </xf>
    <xf borderId="0" fillId="9" fontId="13" numFmtId="168" xfId="0" applyAlignment="1" applyFont="1" applyNumberFormat="1">
      <alignment readingOrder="0"/>
    </xf>
    <xf borderId="0" fillId="0" fontId="14" numFmtId="168" xfId="0" applyAlignment="1" applyFont="1" applyNumberFormat="1">
      <alignment readingOrder="0"/>
    </xf>
    <xf borderId="0" fillId="0" fontId="2" numFmtId="168" xfId="0" applyFont="1" applyNumberFormat="1"/>
    <xf borderId="0" fillId="0" fontId="2" numFmtId="169" xfId="0" applyAlignment="1" applyFont="1" applyNumberFormat="1">
      <alignment readingOrder="0"/>
    </xf>
    <xf borderId="0" fillId="0" fontId="2" numFmtId="10" xfId="0" applyAlignment="1" applyFont="1" applyNumberFormat="1">
      <alignment readingOrder="0"/>
    </xf>
    <xf borderId="0" fillId="0" fontId="3" numFmtId="170" xfId="0" applyAlignment="1" applyFont="1" applyNumberFormat="1">
      <alignment horizontal="right" vertical="bottom"/>
    </xf>
    <xf borderId="0" fillId="0" fontId="15" numFmtId="164" xfId="0" applyFont="1" applyNumberFormat="1"/>
    <xf borderId="0" fillId="0" fontId="1" numFmtId="164" xfId="0" applyAlignment="1" applyFont="1" applyNumberFormat="1">
      <alignment horizontal="center"/>
    </xf>
    <xf borderId="0" fillId="9" fontId="15" numFmtId="164" xfId="0" applyFont="1" applyNumberFormat="1"/>
    <xf borderId="0" fillId="9" fontId="0" numFmtId="164" xfId="0" applyAlignment="1" applyFont="1" applyNumberFormat="1">
      <alignment readingOrder="0"/>
    </xf>
    <xf borderId="7" fillId="0" fontId="1" numFmtId="0" xfId="0" applyAlignment="1" applyBorder="1" applyFont="1">
      <alignment horizontal="center" readingOrder="0"/>
    </xf>
    <xf borderId="8" fillId="0" fontId="9" numFmtId="0" xfId="0" applyBorder="1" applyFont="1"/>
    <xf borderId="6" fillId="9" fontId="16" numFmtId="0" xfId="0" applyAlignment="1" applyBorder="1" applyFont="1">
      <alignment horizontal="center" readingOrder="0"/>
    </xf>
    <xf borderId="4" fillId="0" fontId="1" numFmtId="171" xfId="0" applyAlignment="1" applyBorder="1" applyFont="1" applyNumberFormat="1">
      <alignment horizontal="center" readingOrder="0"/>
    </xf>
    <xf borderId="6" fillId="0" fontId="1" numFmtId="171" xfId="0" applyAlignment="1" applyBorder="1" applyFont="1" applyNumberFormat="1">
      <alignment horizontal="center" readingOrder="0"/>
    </xf>
    <xf borderId="4" fillId="0" fontId="1" numFmtId="49" xfId="0" applyAlignment="1" applyBorder="1" applyFont="1" applyNumberFormat="1">
      <alignment horizontal="center" readingOrder="0"/>
    </xf>
    <xf borderId="6" fillId="0" fontId="1" numFmtId="49" xfId="0" applyAlignment="1" applyBorder="1" applyFont="1" applyNumberFormat="1">
      <alignment horizontal="center" readingOrder="0"/>
    </xf>
    <xf borderId="8" fillId="0" fontId="2" numFmtId="0" xfId="0" applyAlignment="1" applyBorder="1" applyFont="1">
      <alignment horizontal="center" readingOrder="0"/>
    </xf>
    <xf borderId="0" fillId="0" fontId="2" numFmtId="0" xfId="0" applyAlignment="1" applyFont="1">
      <alignment horizontal="center" readingOrder="0"/>
    </xf>
    <xf borderId="2" fillId="0" fontId="2" numFmtId="0" xfId="0" applyAlignment="1" applyBorder="1" applyFont="1">
      <alignment horizontal="center" readingOrder="0"/>
    </xf>
    <xf borderId="2" fillId="0" fontId="2" numFmtId="171" xfId="0" applyAlignment="1" applyBorder="1" applyFont="1" applyNumberFormat="1">
      <alignment readingOrder="0"/>
    </xf>
    <xf borderId="0" fillId="0" fontId="2" numFmtId="171" xfId="0" applyAlignment="1" applyFont="1" applyNumberFormat="1">
      <alignment readingOrder="0"/>
    </xf>
    <xf borderId="13" fillId="0" fontId="2" numFmtId="171" xfId="0" applyAlignment="1" applyBorder="1" applyFont="1" applyNumberFormat="1">
      <alignment horizontal="center" readingOrder="0"/>
    </xf>
    <xf borderId="15" fillId="0" fontId="9" numFmtId="0" xfId="0" applyBorder="1" applyFont="1"/>
    <xf borderId="14" fillId="0" fontId="9" numFmtId="0" xfId="0" applyBorder="1" applyFont="1"/>
    <xf borderId="0" fillId="0" fontId="2" numFmtId="171" xfId="0" applyAlignment="1" applyFont="1" applyNumberFormat="1">
      <alignment horizontal="center" readingOrder="0"/>
    </xf>
    <xf borderId="0" fillId="0" fontId="2" numFmtId="49" xfId="0" applyAlignment="1" applyFont="1" applyNumberFormat="1">
      <alignment horizontal="center" readingOrder="0"/>
    </xf>
    <xf borderId="7" fillId="0" fontId="2" numFmtId="49" xfId="0" applyAlignment="1" applyBorder="1" applyFont="1" applyNumberFormat="1">
      <alignment horizontal="center" readingOrder="0"/>
    </xf>
    <xf borderId="0" fillId="0" fontId="2" numFmtId="49" xfId="0" applyAlignment="1" applyFont="1" applyNumberFormat="1">
      <alignment horizontal="center" readingOrder="0"/>
    </xf>
    <xf borderId="5" fillId="0" fontId="2" numFmtId="0" xfId="0" applyAlignment="1" applyBorder="1" applyFont="1">
      <alignment readingOrder="0"/>
    </xf>
    <xf borderId="6" fillId="0" fontId="2" numFmtId="167" xfId="0" applyAlignment="1" applyBorder="1" applyFont="1" applyNumberFormat="1">
      <alignment readingOrder="0"/>
    </xf>
    <xf borderId="6" fillId="0" fontId="2" numFmtId="0" xfId="0" applyAlignment="1" applyBorder="1" applyFont="1">
      <alignment readingOrder="0"/>
    </xf>
    <xf borderId="4" fillId="0" fontId="2" numFmtId="0" xfId="0" applyAlignment="1" applyBorder="1" applyFont="1">
      <alignment readingOrder="0"/>
    </xf>
    <xf borderId="6" fillId="0" fontId="2" numFmtId="49" xfId="0" applyAlignment="1" applyBorder="1" applyFont="1" applyNumberFormat="1">
      <alignment readingOrder="0"/>
    </xf>
    <xf borderId="6" fillId="0" fontId="2" numFmtId="0" xfId="0" applyAlignment="1" applyBorder="1" applyFont="1">
      <alignment horizontal="right" readingOrder="0"/>
    </xf>
    <xf borderId="4" fillId="0" fontId="2" numFmtId="171" xfId="0" applyAlignment="1" applyBorder="1" applyFont="1" applyNumberFormat="1">
      <alignment readingOrder="0"/>
    </xf>
    <xf borderId="6" fillId="0" fontId="2" numFmtId="171" xfId="0" applyAlignment="1" applyBorder="1" applyFont="1" applyNumberFormat="1">
      <alignment readingOrder="0"/>
    </xf>
    <xf borderId="7" fillId="0" fontId="2" numFmtId="171" xfId="0" applyAlignment="1" applyBorder="1" applyFont="1" applyNumberFormat="1">
      <alignment readingOrder="0"/>
    </xf>
    <xf borderId="8" fillId="0" fontId="2" numFmtId="171" xfId="0" applyAlignment="1" applyBorder="1" applyFont="1" applyNumberFormat="1">
      <alignment readingOrder="0"/>
    </xf>
    <xf borderId="5" fillId="0" fontId="2" numFmtId="171" xfId="0" applyAlignment="1" applyBorder="1" applyFont="1" applyNumberFormat="1">
      <alignment readingOrder="0"/>
    </xf>
    <xf borderId="6" fillId="0" fontId="12" numFmtId="49" xfId="0" applyAlignment="1" applyBorder="1" applyFont="1" applyNumberFormat="1">
      <alignment readingOrder="0"/>
    </xf>
    <xf borderId="5" fillId="0" fontId="2" numFmtId="49" xfId="0" applyAlignment="1" applyBorder="1" applyFont="1" applyNumberFormat="1">
      <alignment readingOrder="0"/>
    </xf>
    <xf borderId="4" fillId="0" fontId="2" numFmtId="49" xfId="0" applyAlignment="1" applyBorder="1" applyFont="1" applyNumberFormat="1">
      <alignment readingOrder="0"/>
    </xf>
    <xf borderId="4" fillId="0" fontId="2" numFmtId="49" xfId="0" applyAlignment="1" applyBorder="1" applyFont="1" applyNumberFormat="1">
      <alignment horizontal="center" readingOrder="0"/>
    </xf>
    <xf borderId="6" fillId="0" fontId="2" numFmtId="49" xfId="0" applyAlignment="1" applyBorder="1" applyFont="1" applyNumberFormat="1">
      <alignment horizontal="center" readingOrder="0"/>
    </xf>
    <xf borderId="6" fillId="0" fontId="2" numFmtId="49" xfId="0" applyAlignment="1" applyBorder="1" applyFont="1" applyNumberFormat="1">
      <alignment readingOrder="0"/>
    </xf>
    <xf borderId="16" fillId="0" fontId="2" numFmtId="49" xfId="0" applyAlignment="1" applyBorder="1" applyFont="1" applyNumberFormat="1">
      <alignment readingOrder="0"/>
    </xf>
    <xf borderId="17" fillId="0" fontId="2" numFmtId="49" xfId="0" applyAlignment="1" applyBorder="1" applyFont="1" applyNumberFormat="1">
      <alignment readingOrder="0"/>
    </xf>
    <xf borderId="18" fillId="0" fontId="2" numFmtId="49" xfId="0" applyAlignment="1" applyBorder="1" applyFont="1" applyNumberFormat="1">
      <alignment readingOrder="0"/>
    </xf>
    <xf borderId="12" fillId="0" fontId="12" numFmtId="49" xfId="0" applyAlignment="1" applyBorder="1" applyFont="1" applyNumberFormat="1">
      <alignment readingOrder="0"/>
    </xf>
    <xf borderId="5" fillId="0" fontId="2" numFmtId="49" xfId="0" applyAlignment="1" applyBorder="1" applyFont="1" applyNumberFormat="1">
      <alignment readingOrder="0"/>
    </xf>
    <xf borderId="4" fillId="0" fontId="2" numFmtId="0" xfId="0" applyBorder="1" applyFont="1"/>
    <xf borderId="4" fillId="2" fontId="2" numFmtId="1" xfId="0" applyBorder="1" applyFont="1" applyNumberFormat="1"/>
    <xf borderId="6" fillId="2" fontId="2" numFmtId="164" xfId="0" applyBorder="1" applyFont="1" applyNumberFormat="1"/>
    <xf borderId="4" fillId="2" fontId="2" numFmtId="172" xfId="0" applyBorder="1" applyFont="1" applyNumberFormat="1"/>
    <xf borderId="5" fillId="2" fontId="2" numFmtId="166" xfId="0" applyBorder="1" applyFont="1" applyNumberFormat="1"/>
    <xf borderId="4" fillId="7" fontId="2" numFmtId="166" xfId="0" applyBorder="1" applyFont="1" applyNumberFormat="1"/>
    <xf borderId="6" fillId="7" fontId="2" numFmtId="164" xfId="0" applyBorder="1" applyFont="1" applyNumberFormat="1"/>
    <xf borderId="5" fillId="2" fontId="2" numFmtId="164" xfId="0" applyBorder="1" applyFont="1" applyNumberFormat="1"/>
    <xf borderId="19" fillId="0" fontId="2" numFmtId="0" xfId="0" applyBorder="1" applyFont="1"/>
    <xf borderId="10" fillId="0" fontId="2" numFmtId="0" xfId="0" applyBorder="1" applyFont="1"/>
    <xf borderId="10" fillId="7" fontId="2" numFmtId="164" xfId="0" applyBorder="1" applyFont="1" applyNumberFormat="1"/>
    <xf borderId="20" fillId="7" fontId="2" numFmtId="164" xfId="0" applyBorder="1" applyFont="1" applyNumberFormat="1"/>
    <xf borderId="6" fillId="8" fontId="2" numFmtId="164" xfId="0" applyBorder="1" applyFont="1" applyNumberFormat="1"/>
    <xf borderId="6" fillId="8" fontId="12" numFmtId="164" xfId="0" applyBorder="1" applyFont="1" applyNumberFormat="1"/>
    <xf borderId="5" fillId="8" fontId="2" numFmtId="164" xfId="0" applyBorder="1" applyFont="1" applyNumberFormat="1"/>
    <xf borderId="10" fillId="0" fontId="3" numFmtId="0" xfId="0" applyAlignment="1" applyBorder="1" applyFont="1">
      <alignment horizontal="right" vertical="bottom"/>
    </xf>
    <xf borderId="10" fillId="0" fontId="15" numFmtId="0" xfId="0" applyAlignment="1" applyBorder="1" applyFont="1">
      <alignment horizontal="center"/>
    </xf>
    <xf borderId="9" fillId="0" fontId="15" numFmtId="0" xfId="0" applyAlignment="1" applyBorder="1" applyFont="1">
      <alignment horizontal="center"/>
    </xf>
    <xf borderId="12" fillId="0" fontId="15" numFmtId="0" xfId="0" applyAlignment="1" applyBorder="1" applyFont="1">
      <alignment horizontal="center"/>
    </xf>
    <xf borderId="10" fillId="0" fontId="15" numFmtId="0" xfId="0" applyAlignment="1" applyBorder="1" applyFont="1">
      <alignment horizontal="center" readingOrder="0"/>
    </xf>
    <xf borderId="10" fillId="0" fontId="17" numFmtId="0" xfId="0" applyAlignment="1" applyBorder="1" applyFont="1">
      <alignment horizontal="right" vertical="bottom"/>
    </xf>
    <xf borderId="10" fillId="0" fontId="15" numFmtId="0" xfId="0" applyAlignment="1" applyBorder="1" applyFont="1">
      <alignment horizontal="right" vertical="bottom"/>
    </xf>
    <xf borderId="21" fillId="0" fontId="15" numFmtId="0" xfId="0" applyAlignment="1" applyBorder="1" applyFont="1">
      <alignment horizontal="right" vertical="bottom"/>
    </xf>
    <xf borderId="0" fillId="0" fontId="15" numFmtId="0" xfId="0" applyAlignment="1" applyFont="1">
      <alignment horizontal="right" vertical="bottom"/>
    </xf>
    <xf borderId="22" fillId="0" fontId="15" numFmtId="0" xfId="0" applyAlignment="1" applyBorder="1" applyFont="1">
      <alignment horizontal="right" vertical="bottom"/>
    </xf>
    <xf borderId="10" fillId="0" fontId="3" numFmtId="0" xfId="0" applyAlignment="1" applyBorder="1" applyFont="1">
      <alignment horizontal="center" vertical="bottom"/>
    </xf>
    <xf borderId="10" fillId="0" fontId="12" numFmtId="0" xfId="0" applyAlignment="1" applyBorder="1" applyFont="1">
      <alignment horizontal="right" vertical="bottom"/>
    </xf>
    <xf borderId="8" fillId="6" fontId="3" numFmtId="167" xfId="0" applyAlignment="1" applyBorder="1" applyFont="1" applyNumberFormat="1">
      <alignment horizontal="right" vertical="bottom"/>
    </xf>
    <xf borderId="0" fillId="5" fontId="3" numFmtId="167" xfId="0" applyAlignment="1" applyFont="1" applyNumberFormat="1">
      <alignment horizontal="right" vertical="bottom"/>
    </xf>
    <xf borderId="8" fillId="5" fontId="3" numFmtId="167" xfId="0" applyAlignment="1" applyBorder="1" applyFont="1" applyNumberFormat="1">
      <alignment horizontal="right" vertical="bottom"/>
    </xf>
    <xf borderId="0" fillId="3" fontId="3" numFmtId="1" xfId="0" applyAlignment="1" applyFont="1" applyNumberFormat="1">
      <alignment horizontal="right" vertical="bottom"/>
    </xf>
    <xf borderId="0" fillId="5" fontId="3" numFmtId="164" xfId="0" applyAlignment="1" applyFont="1" applyNumberFormat="1">
      <alignment horizontal="right" vertical="bottom"/>
    </xf>
    <xf borderId="0" fillId="3" fontId="3" numFmtId="164" xfId="0" applyAlignment="1" applyFont="1" applyNumberFormat="1">
      <alignment horizontal="right" vertical="bottom"/>
    </xf>
    <xf borderId="0" fillId="2" fontId="3" numFmtId="164" xfId="0" applyAlignment="1" applyFont="1" applyNumberFormat="1">
      <alignment horizontal="right" vertical="bottom"/>
    </xf>
    <xf borderId="8" fillId="2" fontId="3" numFmtId="173" xfId="0" applyAlignment="1" applyBorder="1" applyFont="1" applyNumberFormat="1">
      <alignment horizontal="right" vertical="bottom"/>
    </xf>
    <xf borderId="0" fillId="4" fontId="3" numFmtId="172" xfId="0" applyAlignment="1" applyFont="1" applyNumberFormat="1">
      <alignment horizontal="right" vertical="bottom"/>
    </xf>
    <xf borderId="0" fillId="3" fontId="15" numFmtId="171" xfId="0" applyAlignment="1" applyFont="1" applyNumberFormat="1">
      <alignment horizontal="center"/>
    </xf>
    <xf borderId="7" fillId="3" fontId="15" numFmtId="165" xfId="0" applyAlignment="1" applyBorder="1" applyFont="1" applyNumberFormat="1">
      <alignment horizontal="center" readingOrder="0"/>
    </xf>
    <xf borderId="0" fillId="4" fontId="12" numFmtId="165" xfId="0" applyAlignment="1" applyFont="1" applyNumberFormat="1">
      <alignment horizontal="center" readingOrder="0"/>
    </xf>
    <xf borderId="8" fillId="4" fontId="12" numFmtId="165" xfId="0" applyAlignment="1" applyBorder="1" applyFont="1" applyNumberFormat="1">
      <alignment horizontal="center" readingOrder="0"/>
    </xf>
    <xf borderId="0" fillId="2" fontId="15" numFmtId="174" xfId="0" applyAlignment="1" applyFont="1" applyNumberFormat="1">
      <alignment horizontal="center"/>
    </xf>
    <xf borderId="8" fillId="4" fontId="15" numFmtId="174" xfId="0" applyAlignment="1" applyBorder="1" applyFont="1" applyNumberFormat="1">
      <alignment horizontal="center" readingOrder="0"/>
    </xf>
    <xf borderId="0" fillId="2" fontId="3" numFmtId="173" xfId="0" applyAlignment="1" applyFont="1" applyNumberFormat="1">
      <alignment horizontal="right" vertical="bottom"/>
    </xf>
    <xf borderId="0" fillId="2" fontId="3" numFmtId="174" xfId="0" applyAlignment="1" applyFont="1" applyNumberFormat="1">
      <alignment horizontal="right" vertical="bottom"/>
    </xf>
    <xf borderId="8" fillId="2" fontId="3" numFmtId="164" xfId="0" applyAlignment="1" applyBorder="1" applyFont="1" applyNumberFormat="1">
      <alignment horizontal="right" vertical="bottom"/>
    </xf>
    <xf borderId="0" fillId="2" fontId="3" numFmtId="166" xfId="0" applyAlignment="1" applyFont="1" applyNumberFormat="1">
      <alignment horizontal="right" vertical="bottom"/>
    </xf>
    <xf borderId="0" fillId="7" fontId="17" numFmtId="166" xfId="0" applyAlignment="1" applyFont="1" applyNumberFormat="1">
      <alignment horizontal="right" vertical="bottom"/>
    </xf>
    <xf borderId="8" fillId="7" fontId="3" numFmtId="173" xfId="0" applyAlignment="1" applyBorder="1" applyFont="1" applyNumberFormat="1">
      <alignment horizontal="right" vertical="bottom"/>
    </xf>
    <xf borderId="0" fillId="7" fontId="12" numFmtId="173" xfId="0" applyAlignment="1" applyFont="1" applyNumberFormat="1">
      <alignment horizontal="right" vertical="bottom"/>
    </xf>
    <xf borderId="23" fillId="7" fontId="0" numFmtId="164" xfId="0" applyBorder="1" applyFont="1" applyNumberFormat="1"/>
    <xf borderId="6" fillId="7" fontId="12" numFmtId="175" xfId="0" applyAlignment="1" applyBorder="1" applyFont="1" applyNumberFormat="1">
      <alignment horizontal="right" vertical="bottom"/>
    </xf>
    <xf borderId="6" fillId="7" fontId="12" numFmtId="164" xfId="0" applyAlignment="1" applyBorder="1" applyFont="1" applyNumberFormat="1">
      <alignment horizontal="right" vertical="bottom"/>
    </xf>
    <xf borderId="6" fillId="7" fontId="12" numFmtId="164" xfId="0" applyAlignment="1" applyBorder="1" applyFont="1" applyNumberFormat="1">
      <alignment horizontal="right" readingOrder="0" vertical="bottom"/>
    </xf>
    <xf borderId="24" fillId="7" fontId="12" numFmtId="164" xfId="0" applyAlignment="1" applyBorder="1" applyFont="1" applyNumberFormat="1">
      <alignment horizontal="right" vertical="bottom"/>
    </xf>
    <xf borderId="0" fillId="8" fontId="12" numFmtId="164" xfId="0" applyAlignment="1" applyFont="1" applyNumberFormat="1">
      <alignment horizontal="right" vertical="bottom"/>
    </xf>
    <xf borderId="0" fillId="8" fontId="3" numFmtId="164" xfId="0" applyAlignment="1" applyFont="1" applyNumberFormat="1">
      <alignment horizontal="right" vertical="bottom"/>
    </xf>
    <xf borderId="0" fillId="2" fontId="3" numFmtId="164" xfId="0" applyAlignment="1" applyFont="1" applyNumberFormat="1">
      <alignment horizontal="center" vertical="bottom"/>
    </xf>
    <xf borderId="0" fillId="8" fontId="0" numFmtId="164" xfId="0" applyFont="1" applyNumberFormat="1"/>
    <xf borderId="8" fillId="8" fontId="3" numFmtId="164" xfId="0" applyAlignment="1" applyBorder="1" applyFont="1" applyNumberFormat="1">
      <alignment horizontal="right" vertical="bottom"/>
    </xf>
    <xf borderId="7" fillId="3" fontId="15" numFmtId="165" xfId="0" applyAlignment="1" applyBorder="1" applyFont="1" applyNumberFormat="1">
      <alignment horizontal="center"/>
    </xf>
    <xf borderId="21" fillId="7" fontId="0" numFmtId="164" xfId="0" applyBorder="1" applyFont="1" applyNumberFormat="1"/>
    <xf borderId="0" fillId="7" fontId="12" numFmtId="175" xfId="0" applyAlignment="1" applyFont="1" applyNumberFormat="1">
      <alignment horizontal="right" vertical="bottom"/>
    </xf>
    <xf borderId="0" fillId="7" fontId="12" numFmtId="164" xfId="0" applyAlignment="1" applyFont="1" applyNumberFormat="1">
      <alignment horizontal="right" vertical="bottom"/>
    </xf>
    <xf borderId="0" fillId="7" fontId="12" numFmtId="164" xfId="0" applyAlignment="1" applyFont="1" applyNumberFormat="1">
      <alignment horizontal="right" readingOrder="0" vertical="bottom"/>
    </xf>
    <xf borderId="22" fillId="7" fontId="12" numFmtId="164" xfId="0" applyAlignment="1" applyBorder="1" applyFont="1" applyNumberFormat="1">
      <alignment horizontal="right" vertical="bottom"/>
    </xf>
    <xf borderId="0" fillId="3" fontId="15" numFmtId="171" xfId="0" applyAlignment="1" applyFont="1" applyNumberFormat="1">
      <alignment horizontal="center" readingOrder="0"/>
    </xf>
    <xf borderId="0" fillId="10" fontId="3" numFmtId="172" xfId="0" applyAlignment="1" applyFill="1" applyFont="1" applyNumberFormat="1">
      <alignment horizontal="right" vertical="bottom"/>
    </xf>
    <xf borderId="0" fillId="3" fontId="3" numFmtId="171" xfId="0" applyAlignment="1" applyFont="1" applyNumberFormat="1">
      <alignment horizontal="center"/>
    </xf>
    <xf borderId="7" fillId="3" fontId="3" numFmtId="165" xfId="0" applyAlignment="1" applyBorder="1" applyFont="1" applyNumberFormat="1">
      <alignment horizontal="center"/>
    </xf>
    <xf borderId="8" fillId="2" fontId="3" numFmtId="2" xfId="0" applyAlignment="1" applyBorder="1" applyFont="1" applyNumberFormat="1">
      <alignment horizontal="right" vertical="bottom"/>
    </xf>
    <xf borderId="14" fillId="6" fontId="3" numFmtId="167" xfId="0" applyAlignment="1" applyBorder="1" applyFont="1" applyNumberFormat="1">
      <alignment horizontal="right" vertical="bottom"/>
    </xf>
    <xf borderId="15" fillId="5" fontId="3" numFmtId="167" xfId="0" applyAlignment="1" applyBorder="1" applyFont="1" applyNumberFormat="1">
      <alignment horizontal="right" vertical="bottom"/>
    </xf>
    <xf borderId="14" fillId="5" fontId="3" numFmtId="167" xfId="0" applyAlignment="1" applyBorder="1" applyFont="1" applyNumberFormat="1">
      <alignment horizontal="right" vertical="bottom"/>
    </xf>
    <xf borderId="15" fillId="3" fontId="3" numFmtId="1" xfId="0" applyAlignment="1" applyBorder="1" applyFont="1" applyNumberFormat="1">
      <alignment horizontal="right" vertical="bottom"/>
    </xf>
    <xf borderId="15" fillId="5" fontId="3" numFmtId="164" xfId="0" applyAlignment="1" applyBorder="1" applyFont="1" applyNumberFormat="1">
      <alignment horizontal="right" vertical="bottom"/>
    </xf>
    <xf borderId="15" fillId="3" fontId="3" numFmtId="164" xfId="0" applyAlignment="1" applyBorder="1" applyFont="1" applyNumberFormat="1">
      <alignment horizontal="right" vertical="bottom"/>
    </xf>
    <xf borderId="15" fillId="2" fontId="3" numFmtId="164" xfId="0" applyAlignment="1" applyBorder="1" applyFont="1" applyNumberFormat="1">
      <alignment horizontal="right" vertical="bottom"/>
    </xf>
    <xf borderId="14" fillId="2" fontId="3" numFmtId="2" xfId="0" applyAlignment="1" applyBorder="1" applyFont="1" applyNumberFormat="1">
      <alignment horizontal="right" vertical="bottom"/>
    </xf>
    <xf borderId="15" fillId="4" fontId="3" numFmtId="172" xfId="0" applyAlignment="1" applyBorder="1" applyFont="1" applyNumberFormat="1">
      <alignment horizontal="right" vertical="bottom"/>
    </xf>
    <xf borderId="15" fillId="3" fontId="3" numFmtId="171" xfId="0" applyAlignment="1" applyBorder="1" applyFont="1" applyNumberFormat="1">
      <alignment horizontal="center"/>
    </xf>
    <xf borderId="13" fillId="3" fontId="3" numFmtId="165" xfId="0" applyAlignment="1" applyBorder="1" applyFont="1" applyNumberFormat="1">
      <alignment horizontal="center"/>
    </xf>
    <xf borderId="15" fillId="4" fontId="12" numFmtId="165" xfId="0" applyAlignment="1" applyBorder="1" applyFont="1" applyNumberFormat="1">
      <alignment horizontal="center" readingOrder="0"/>
    </xf>
    <xf borderId="14" fillId="4" fontId="12" numFmtId="165" xfId="0" applyAlignment="1" applyBorder="1" applyFont="1" applyNumberFormat="1">
      <alignment horizontal="center" readingOrder="0"/>
    </xf>
    <xf borderId="15" fillId="2" fontId="15" numFmtId="174" xfId="0" applyAlignment="1" applyBorder="1" applyFont="1" applyNumberFormat="1">
      <alignment horizontal="center"/>
    </xf>
    <xf borderId="14" fillId="4" fontId="15" numFmtId="174" xfId="0" applyAlignment="1" applyBorder="1" applyFont="1" applyNumberFormat="1">
      <alignment horizontal="center" readingOrder="0"/>
    </xf>
    <xf borderId="15" fillId="2" fontId="3" numFmtId="173" xfId="0" applyAlignment="1" applyBorder="1" applyFont="1" applyNumberFormat="1">
      <alignment horizontal="right" vertical="bottom"/>
    </xf>
    <xf borderId="15" fillId="2" fontId="3" numFmtId="174" xfId="0" applyAlignment="1" applyBorder="1" applyFont="1" applyNumberFormat="1">
      <alignment horizontal="right" vertical="bottom"/>
    </xf>
    <xf borderId="14" fillId="2" fontId="3" numFmtId="164" xfId="0" applyAlignment="1" applyBorder="1" applyFont="1" applyNumberFormat="1">
      <alignment horizontal="right" vertical="bottom"/>
    </xf>
    <xf borderId="15" fillId="2" fontId="3" numFmtId="166" xfId="0" applyAlignment="1" applyBorder="1" applyFont="1" applyNumberFormat="1">
      <alignment horizontal="right" vertical="bottom"/>
    </xf>
    <xf borderId="15" fillId="7" fontId="17" numFmtId="166" xfId="0" applyAlignment="1" applyBorder="1" applyFont="1" applyNumberFormat="1">
      <alignment horizontal="right" vertical="bottom"/>
    </xf>
    <xf borderId="14" fillId="7" fontId="3" numFmtId="173" xfId="0" applyAlignment="1" applyBorder="1" applyFont="1" applyNumberFormat="1">
      <alignment horizontal="right" vertical="bottom"/>
    </xf>
    <xf borderId="15" fillId="7" fontId="12" numFmtId="173" xfId="0" applyAlignment="1" applyBorder="1" applyFont="1" applyNumberFormat="1">
      <alignment horizontal="right" vertical="bottom"/>
    </xf>
    <xf borderId="25" fillId="7" fontId="0" numFmtId="164" xfId="0" applyBorder="1" applyFont="1" applyNumberFormat="1"/>
    <xf borderId="26" fillId="7" fontId="12" numFmtId="175" xfId="0" applyAlignment="1" applyBorder="1" applyFont="1" applyNumberFormat="1">
      <alignment horizontal="right" vertical="bottom"/>
    </xf>
    <xf borderId="26" fillId="7" fontId="12" numFmtId="164" xfId="0" applyAlignment="1" applyBorder="1" applyFont="1" applyNumberFormat="1">
      <alignment horizontal="right" vertical="bottom"/>
    </xf>
    <xf borderId="26" fillId="7" fontId="12" numFmtId="164" xfId="0" applyAlignment="1" applyBorder="1" applyFont="1" applyNumberFormat="1">
      <alignment horizontal="right" readingOrder="0" vertical="bottom"/>
    </xf>
    <xf borderId="27" fillId="7" fontId="12" numFmtId="164" xfId="0" applyAlignment="1" applyBorder="1" applyFont="1" applyNumberFormat="1">
      <alignment horizontal="right" vertical="bottom"/>
    </xf>
    <xf borderId="15" fillId="8" fontId="12" numFmtId="164" xfId="0" applyAlignment="1" applyBorder="1" applyFont="1" applyNumberFormat="1">
      <alignment horizontal="right" vertical="bottom"/>
    </xf>
    <xf borderId="15" fillId="8" fontId="3" numFmtId="164" xfId="0" applyAlignment="1" applyBorder="1" applyFont="1" applyNumberFormat="1">
      <alignment horizontal="right" vertical="bottom"/>
    </xf>
    <xf borderId="15" fillId="2" fontId="3" numFmtId="164" xfId="0" applyAlignment="1" applyBorder="1" applyFont="1" applyNumberFormat="1">
      <alignment horizontal="center" vertical="bottom"/>
    </xf>
    <xf borderId="15" fillId="8" fontId="0" numFmtId="164" xfId="0" applyBorder="1" applyFont="1" applyNumberFormat="1"/>
    <xf borderId="14" fillId="8" fontId="3" numFmtId="164" xfId="0" applyAlignment="1" applyBorder="1" applyFont="1" applyNumberFormat="1">
      <alignment horizontal="right" vertical="bottom"/>
    </xf>
    <xf borderId="7" fillId="0" fontId="2" numFmtId="0" xfId="0" applyBorder="1" applyFont="1"/>
    <xf borderId="0" fillId="0" fontId="12" numFmtId="0" xfId="0" applyFont="1"/>
    <xf borderId="9" fillId="0" fontId="2" numFmtId="0" xfId="0" applyBorder="1" applyFont="1"/>
    <xf borderId="9" fillId="2" fontId="2" numFmtId="1" xfId="0" applyBorder="1" applyFont="1" applyNumberFormat="1"/>
    <xf borderId="12" fillId="0" fontId="2" numFmtId="0" xfId="0" applyBorder="1" applyFont="1"/>
    <xf borderId="10" fillId="2" fontId="2" numFmtId="164" xfId="0" applyBorder="1" applyFont="1" applyNumberFormat="1"/>
    <xf borderId="9" fillId="2" fontId="2" numFmtId="172" xfId="0" applyBorder="1" applyFont="1" applyNumberFormat="1"/>
    <xf borderId="10" fillId="0" fontId="2" numFmtId="0" xfId="0" applyAlignment="1" applyBorder="1" applyFont="1">
      <alignment readingOrder="0"/>
    </xf>
    <xf borderId="10" fillId="2" fontId="2" numFmtId="166" xfId="0" applyBorder="1" applyFont="1" applyNumberFormat="1"/>
    <xf borderId="12" fillId="2" fontId="2" numFmtId="166" xfId="0" applyBorder="1" applyFont="1" applyNumberFormat="1"/>
    <xf borderId="9" fillId="7" fontId="2" numFmtId="166" xfId="0" applyBorder="1" applyFont="1" applyNumberFormat="1"/>
    <xf borderId="9" fillId="7" fontId="2" numFmtId="164" xfId="0" applyBorder="1" applyFont="1" applyNumberFormat="1"/>
    <xf borderId="12" fillId="7" fontId="2" numFmtId="164" xfId="0" applyBorder="1" applyFont="1" applyNumberFormat="1"/>
    <xf borderId="10" fillId="8" fontId="12" numFmtId="164" xfId="0" applyBorder="1" applyFont="1" applyNumberFormat="1"/>
    <xf borderId="0" fillId="0" fontId="2" numFmtId="0" xfId="0" applyAlignment="1" applyFont="1">
      <alignment readingOrder="0"/>
    </xf>
    <xf borderId="0" fillId="0" fontId="18" numFmtId="0" xfId="0" applyAlignment="1" applyFont="1">
      <alignment readingOrder="0"/>
    </xf>
    <xf borderId="7" fillId="0" fontId="19" numFmtId="49" xfId="0" applyAlignment="1" applyBorder="1" applyFont="1" applyNumberFormat="1">
      <alignment horizontal="center" readingOrder="0"/>
    </xf>
    <xf borderId="6" fillId="0" fontId="19" numFmtId="49" xfId="0" applyAlignment="1" applyBorder="1" applyFont="1" applyNumberFormat="1">
      <alignment horizontal="center" readingOrder="0"/>
    </xf>
    <xf borderId="4" fillId="0" fontId="19" numFmtId="49" xfId="0" applyAlignment="1" applyBorder="1" applyFont="1" applyNumberFormat="1">
      <alignment horizontal="center" readingOrder="0"/>
    </xf>
    <xf borderId="4" fillId="0" fontId="19" numFmtId="49" xfId="0" applyAlignment="1" applyBorder="1" applyFont="1" applyNumberFormat="1">
      <alignment horizontal="center" readingOrder="0"/>
    </xf>
    <xf borderId="6" fillId="0" fontId="19" numFmtId="49" xfId="0" applyAlignment="1" applyBorder="1" applyFont="1" applyNumberFormat="1">
      <alignment horizontal="center" readingOrder="0"/>
    </xf>
    <xf borderId="8" fillId="0" fontId="12" numFmtId="49" xfId="0" applyAlignment="1" applyBorder="1" applyFont="1" applyNumberFormat="1">
      <alignment horizontal="center" readingOrder="0"/>
    </xf>
    <xf borderId="0" fillId="0" fontId="12" numFmtId="49" xfId="0" applyAlignment="1" applyFont="1" applyNumberFormat="1">
      <alignment horizontal="center" readingOrder="0"/>
    </xf>
    <xf borderId="2" fillId="0" fontId="12" numFmtId="49" xfId="0" applyAlignment="1" applyBorder="1" applyFont="1" applyNumberFormat="1">
      <alignment readingOrder="0"/>
    </xf>
    <xf borderId="7" fillId="0" fontId="12" numFmtId="49" xfId="0" applyAlignment="1" applyBorder="1" applyFont="1" applyNumberFormat="1">
      <alignment horizontal="center" readingOrder="0"/>
    </xf>
    <xf borderId="2" fillId="0" fontId="12" numFmtId="49" xfId="0" applyAlignment="1" applyBorder="1" applyFont="1" applyNumberFormat="1">
      <alignment readingOrder="0"/>
    </xf>
    <xf borderId="8" fillId="0" fontId="12" numFmtId="49" xfId="0" applyAlignment="1" applyBorder="1" applyFont="1" applyNumberFormat="1">
      <alignment readingOrder="0"/>
    </xf>
    <xf borderId="13" fillId="0" fontId="2" numFmtId="49" xfId="0" applyAlignment="1" applyBorder="1" applyFont="1" applyNumberFormat="1">
      <alignment horizontal="center" readingOrder="0"/>
    </xf>
    <xf borderId="0" fillId="0" fontId="12" numFmtId="49" xfId="0" applyAlignment="1" applyFont="1" applyNumberFormat="1">
      <alignment horizontal="center" readingOrder="0"/>
    </xf>
    <xf borderId="5" fillId="0" fontId="12" numFmtId="49" xfId="0" applyAlignment="1" applyBorder="1" applyFont="1" applyNumberFormat="1">
      <alignment readingOrder="0"/>
    </xf>
    <xf borderId="10" fillId="0" fontId="12" numFmtId="49" xfId="0" applyAlignment="1" applyBorder="1" applyFont="1" applyNumberFormat="1">
      <alignment readingOrder="0"/>
    </xf>
    <xf borderId="4" fillId="0" fontId="12" numFmtId="49" xfId="0" applyAlignment="1" applyBorder="1" applyFont="1" applyNumberFormat="1">
      <alignment readingOrder="0"/>
    </xf>
    <xf borderId="11" fillId="0" fontId="12" numFmtId="49" xfId="0" applyAlignment="1" applyBorder="1" applyFont="1" applyNumberFormat="1">
      <alignment readingOrder="0"/>
    </xf>
    <xf borderId="6" fillId="0" fontId="12" numFmtId="49" xfId="0" applyAlignment="1" applyBorder="1" applyFont="1" applyNumberFormat="1">
      <alignment horizontal="center" readingOrder="0"/>
    </xf>
    <xf borderId="9" fillId="0" fontId="2" numFmtId="49" xfId="0" applyAlignment="1" applyBorder="1" applyFont="1" applyNumberFormat="1">
      <alignment readingOrder="0"/>
    </xf>
    <xf borderId="5" fillId="0" fontId="12" numFmtId="49" xfId="0" applyAlignment="1" applyBorder="1" applyFont="1" applyNumberFormat="1">
      <alignment readingOrder="0"/>
    </xf>
    <xf borderId="7" fillId="0" fontId="2" numFmtId="49" xfId="0" applyAlignment="1" applyBorder="1" applyFont="1" applyNumberFormat="1">
      <alignment readingOrder="0"/>
    </xf>
    <xf borderId="0" fillId="0" fontId="2" numFmtId="49" xfId="0" applyAlignment="1" applyFont="1" applyNumberFormat="1">
      <alignment readingOrder="0"/>
    </xf>
    <xf borderId="8" fillId="0" fontId="2" numFmtId="49" xfId="0" applyAlignment="1" applyBorder="1" applyFont="1" applyNumberFormat="1">
      <alignment readingOrder="0"/>
    </xf>
    <xf borderId="9" fillId="0" fontId="12" numFmtId="49" xfId="0" applyAlignment="1" applyBorder="1" applyFont="1" applyNumberFormat="1">
      <alignment horizontal="center" readingOrder="0"/>
    </xf>
    <xf borderId="10" fillId="0" fontId="12" numFmtId="49" xfId="0" applyAlignment="1" applyBorder="1" applyFont="1" applyNumberFormat="1">
      <alignment horizontal="center" readingOrder="0"/>
    </xf>
    <xf borderId="10" fillId="0" fontId="12" numFmtId="49" xfId="0" applyAlignment="1" applyBorder="1" applyFont="1" applyNumberFormat="1">
      <alignment readingOrder="0"/>
    </xf>
    <xf borderId="28" fillId="0" fontId="2" numFmtId="49" xfId="0" applyAlignment="1" applyBorder="1" applyFont="1" applyNumberFormat="1">
      <alignment readingOrder="0"/>
    </xf>
    <xf borderId="29" fillId="0" fontId="2" numFmtId="49" xfId="0" applyAlignment="1" applyBorder="1" applyFont="1" applyNumberFormat="1">
      <alignment readingOrder="0"/>
    </xf>
    <xf borderId="30" fillId="0" fontId="2" numFmtId="49" xfId="0" applyAlignment="1" applyBorder="1" applyFont="1" applyNumberFormat="1">
      <alignment readingOrder="0"/>
    </xf>
    <xf borderId="6" fillId="0" fontId="12" numFmtId="49" xfId="0" applyAlignment="1" applyBorder="1" applyFont="1" applyNumberFormat="1">
      <alignment readingOrder="0"/>
    </xf>
    <xf borderId="9" fillId="2" fontId="2" numFmtId="171" xfId="0" applyBorder="1" applyFont="1" applyNumberFormat="1"/>
    <xf borderId="9" fillId="2" fontId="2" numFmtId="173" xfId="0" applyBorder="1" applyFont="1" applyNumberFormat="1"/>
    <xf borderId="10" fillId="7" fontId="2" numFmtId="166" xfId="0" applyBorder="1" applyFont="1" applyNumberFormat="1"/>
    <xf borderId="9" fillId="0" fontId="2" numFmtId="0" xfId="0" applyBorder="1" applyFont="1"/>
    <xf borderId="10" fillId="9" fontId="2" numFmtId="0" xfId="0" applyBorder="1" applyFont="1"/>
    <xf borderId="10" fillId="0" fontId="3" numFmtId="0" xfId="0" applyAlignment="1" applyBorder="1" applyFont="1">
      <alignment vertical="bottom"/>
    </xf>
    <xf borderId="10" fillId="0" fontId="3" numFmtId="0" xfId="0" applyAlignment="1" applyBorder="1" applyFont="1">
      <alignment horizontal="center"/>
    </xf>
    <xf borderId="31" fillId="0" fontId="3" numFmtId="0" xfId="0" applyAlignment="1" applyBorder="1" applyFont="1">
      <alignment horizontal="right" vertical="bottom"/>
    </xf>
    <xf borderId="0" fillId="0" fontId="3" numFmtId="0" xfId="0" applyAlignment="1" applyFont="1">
      <alignment horizontal="right" vertical="bottom"/>
    </xf>
    <xf borderId="32" fillId="0" fontId="3" numFmtId="0" xfId="0" applyAlignment="1" applyBorder="1" applyFont="1">
      <alignment horizontal="right" vertical="bottom"/>
    </xf>
    <xf borderId="10" fillId="0" fontId="3" numFmtId="0" xfId="0" applyAlignment="1" applyBorder="1" applyFont="1">
      <alignment horizontal="right" readingOrder="0" vertical="bottom"/>
    </xf>
    <xf borderId="8" fillId="6" fontId="3" numFmtId="49" xfId="0" applyAlignment="1" applyBorder="1" applyFont="1" applyNumberFormat="1">
      <alignment vertical="bottom"/>
    </xf>
    <xf borderId="0" fillId="6" fontId="3" numFmtId="167" xfId="0" applyAlignment="1" applyFont="1" applyNumberFormat="1">
      <alignment horizontal="right" vertical="bottom"/>
    </xf>
    <xf borderId="8" fillId="5" fontId="3" numFmtId="164" xfId="0" applyAlignment="1" applyBorder="1" applyFont="1" applyNumberFormat="1">
      <alignment horizontal="right" vertical="bottom"/>
    </xf>
    <xf borderId="2" fillId="4" fontId="3" numFmtId="1" xfId="0" applyAlignment="1" applyBorder="1" applyFont="1" applyNumberFormat="1">
      <alignment horizontal="right" vertical="bottom"/>
    </xf>
    <xf borderId="0" fillId="4" fontId="3" numFmtId="171" xfId="0" applyAlignment="1" applyFont="1" applyNumberFormat="1">
      <alignment horizontal="right" vertical="bottom"/>
    </xf>
    <xf borderId="0" fillId="4" fontId="12" numFmtId="165" xfId="0" applyAlignment="1" applyFont="1" applyNumberFormat="1">
      <alignment horizontal="center"/>
    </xf>
    <xf borderId="0" fillId="2" fontId="3" numFmtId="172" xfId="0" applyAlignment="1" applyFont="1" applyNumberFormat="1">
      <alignment horizontal="right" vertical="bottom"/>
    </xf>
    <xf borderId="0" fillId="7" fontId="3" numFmtId="166" xfId="0" applyAlignment="1" applyFont="1" applyNumberFormat="1">
      <alignment horizontal="right" vertical="bottom"/>
    </xf>
    <xf borderId="8" fillId="7" fontId="3" numFmtId="164" xfId="0" applyAlignment="1" applyBorder="1" applyFont="1" applyNumberFormat="1">
      <alignment horizontal="right" vertical="bottom"/>
    </xf>
    <xf borderId="0" fillId="7" fontId="3" numFmtId="164" xfId="0" applyAlignment="1" applyFont="1" applyNumberFormat="1">
      <alignment horizontal="right" vertical="bottom"/>
    </xf>
    <xf borderId="33" fillId="7" fontId="20" numFmtId="164" xfId="0" applyBorder="1" applyFont="1" applyNumberFormat="1"/>
    <xf borderId="34" fillId="7" fontId="12" numFmtId="164" xfId="0" applyAlignment="1" applyBorder="1" applyFont="1" applyNumberFormat="1">
      <alignment horizontal="right" vertical="bottom"/>
    </xf>
    <xf borderId="0" fillId="8" fontId="3" numFmtId="164" xfId="0" applyAlignment="1" applyFont="1" applyNumberFormat="1">
      <alignment horizontal="right" readingOrder="0" vertical="bottom"/>
    </xf>
    <xf borderId="31" fillId="7" fontId="20" numFmtId="164" xfId="0" applyBorder="1" applyFont="1" applyNumberFormat="1"/>
    <xf borderId="32" fillId="7" fontId="12" numFmtId="164" xfId="0" applyAlignment="1" applyBorder="1" applyFont="1" applyNumberFormat="1">
      <alignment horizontal="right" vertical="bottom"/>
    </xf>
    <xf borderId="0" fillId="3" fontId="3" numFmtId="171" xfId="0" applyAlignment="1" applyFont="1" applyNumberFormat="1">
      <alignment horizontal="center" readingOrder="0"/>
    </xf>
    <xf borderId="0" fillId="10" fontId="3" numFmtId="171" xfId="0" applyAlignment="1" applyFont="1" applyNumberFormat="1">
      <alignment horizontal="right" vertical="bottom"/>
    </xf>
    <xf borderId="0" fillId="6" fontId="3" numFmtId="167" xfId="0" applyAlignment="1" applyFont="1" applyNumberFormat="1">
      <alignment vertical="bottom"/>
    </xf>
    <xf borderId="8" fillId="11" fontId="3" numFmtId="167" xfId="0" applyAlignment="1" applyBorder="1" applyFill="1" applyFont="1" applyNumberFormat="1">
      <alignment horizontal="right" vertical="bottom"/>
    </xf>
    <xf borderId="14" fillId="6" fontId="3" numFmtId="49" xfId="0" applyAlignment="1" applyBorder="1" applyFont="1" applyNumberFormat="1">
      <alignment vertical="bottom"/>
    </xf>
    <xf borderId="15" fillId="6" fontId="3" numFmtId="167" xfId="0" applyAlignment="1" applyBorder="1" applyFont="1" applyNumberFormat="1">
      <alignment horizontal="right" vertical="bottom"/>
    </xf>
    <xf borderId="14" fillId="5" fontId="3" numFmtId="164" xfId="0" applyAlignment="1" applyBorder="1" applyFont="1" applyNumberFormat="1">
      <alignment horizontal="right" vertical="bottom"/>
    </xf>
    <xf borderId="3" fillId="4" fontId="3" numFmtId="1" xfId="0" applyAlignment="1" applyBorder="1" applyFont="1" applyNumberFormat="1">
      <alignment horizontal="right" vertical="bottom"/>
    </xf>
    <xf borderId="15" fillId="4" fontId="3" numFmtId="171" xfId="0" applyAlignment="1" applyBorder="1" applyFont="1" applyNumberFormat="1">
      <alignment horizontal="right" vertical="bottom"/>
    </xf>
    <xf borderId="15" fillId="4" fontId="12" numFmtId="165" xfId="0" applyAlignment="1" applyBorder="1" applyFont="1" applyNumberFormat="1">
      <alignment horizontal="center"/>
    </xf>
    <xf borderId="15" fillId="7" fontId="3" numFmtId="166" xfId="0" applyAlignment="1" applyBorder="1" applyFont="1" applyNumberFormat="1">
      <alignment horizontal="right" vertical="bottom"/>
    </xf>
    <xf borderId="14" fillId="7" fontId="3" numFmtId="164" xfId="0" applyAlignment="1" applyBorder="1" applyFont="1" applyNumberFormat="1">
      <alignment horizontal="right" vertical="bottom"/>
    </xf>
    <xf borderId="15" fillId="7" fontId="3" numFmtId="164" xfId="0" applyAlignment="1" applyBorder="1" applyFont="1" applyNumberFormat="1">
      <alignment horizontal="right" vertical="bottom"/>
    </xf>
    <xf borderId="35" fillId="7" fontId="20" numFmtId="164" xfId="0" applyBorder="1" applyFont="1" applyNumberFormat="1"/>
    <xf borderId="36" fillId="7" fontId="12" numFmtId="175" xfId="0" applyAlignment="1" applyBorder="1" applyFont="1" applyNumberFormat="1">
      <alignment horizontal="right" vertical="bottom"/>
    </xf>
    <xf borderId="36" fillId="7" fontId="12" numFmtId="164" xfId="0" applyAlignment="1" applyBorder="1" applyFont="1" applyNumberFormat="1">
      <alignment horizontal="right" vertical="bottom"/>
    </xf>
    <xf borderId="36" fillId="7" fontId="12" numFmtId="164" xfId="0" applyAlignment="1" applyBorder="1" applyFont="1" applyNumberFormat="1">
      <alignment horizontal="right" readingOrder="0" vertical="bottom"/>
    </xf>
    <xf borderId="37" fillId="7" fontId="12" numFmtId="164" xfId="0" applyAlignment="1" applyBorder="1" applyFont="1" applyNumberFormat="1">
      <alignment horizontal="right" vertical="bottom"/>
    </xf>
    <xf borderId="15" fillId="8" fontId="3" numFmtId="164" xfId="0" applyAlignment="1" applyBorder="1" applyFont="1" applyNumberFormat="1">
      <alignment horizontal="right" readingOrder="0" vertical="bottom"/>
    </xf>
    <xf borderId="13" fillId="2" fontId="2" numFmtId="164" xfId="0" applyBorder="1" applyFont="1" applyNumberFormat="1"/>
    <xf borderId="10" fillId="2" fontId="2" numFmtId="173" xfId="0" applyBorder="1" applyFont="1" applyNumberFormat="1"/>
    <xf borderId="0" fillId="5" fontId="12" numFmtId="164" xfId="0" applyAlignment="1" applyFont="1" applyNumberFormat="1">
      <alignment readingOrder="0"/>
    </xf>
    <xf borderId="0" fillId="5" fontId="12" numFmtId="164" xfId="0" applyFont="1" applyNumberFormat="1"/>
    <xf borderId="0" fillId="2" fontId="2" numFmtId="174" xfId="0" applyAlignment="1" applyFont="1" applyNumberFormat="1">
      <alignment horizontal="right"/>
    </xf>
    <xf borderId="0" fillId="2" fontId="20" numFmtId="49" xfId="0" applyAlignment="1" applyFont="1" applyNumberFormat="1">
      <alignment readingOrder="0"/>
    </xf>
    <xf borderId="0" fillId="5" fontId="2" numFmtId="174" xfId="0" applyAlignment="1" applyFont="1" applyNumberFormat="1">
      <alignment readingOrder="0"/>
    </xf>
    <xf borderId="0" fillId="5" fontId="12" numFmtId="172" xfId="0" applyAlignment="1" applyFont="1" applyNumberFormat="1">
      <alignment readingOrder="0"/>
    </xf>
    <xf borderId="0" fillId="5" fontId="2" numFmtId="174" xfId="0" applyAlignment="1" applyFont="1" applyNumberFormat="1">
      <alignment readingOrder="0"/>
    </xf>
    <xf borderId="0" fillId="5" fontId="2" numFmtId="49" xfId="0" applyAlignment="1" applyFont="1" applyNumberFormat="1">
      <alignment horizontal="right" readingOrder="0"/>
    </xf>
    <xf borderId="0" fillId="2" fontId="2" numFmtId="174" xfId="0" applyAlignment="1" applyFont="1" applyNumberFormat="1">
      <alignment readingOrder="0"/>
    </xf>
    <xf borderId="0" fillId="2" fontId="2" numFmtId="49" xfId="0" applyFont="1" applyNumberFormat="1"/>
    <xf borderId="0" fillId="0" fontId="12" numFmtId="164" xfId="0" applyAlignment="1" applyFont="1" applyNumberFormat="1">
      <alignment readingOrder="0"/>
    </xf>
    <xf borderId="0" fillId="0" fontId="1" numFmtId="49" xfId="0" applyAlignment="1" applyFont="1" applyNumberFormat="1">
      <alignment horizontal="left" readingOrder="0"/>
    </xf>
    <xf borderId="0" fillId="0" fontId="8" numFmtId="49" xfId="0" applyAlignment="1" applyFont="1" applyNumberFormat="1">
      <alignment readingOrder="0"/>
    </xf>
    <xf borderId="0" fillId="9" fontId="0" numFmtId="164" xfId="0" applyFont="1" applyNumberFormat="1"/>
    <xf borderId="0" fillId="5" fontId="12" numFmtId="164" xfId="0" applyAlignment="1" applyFont="1" applyNumberFormat="1">
      <alignment horizontal="right" vertical="bottom"/>
    </xf>
    <xf borderId="0" fillId="0" fontId="12" numFmtId="164" xfId="0" applyAlignment="1" applyFont="1" applyNumberFormat="1">
      <alignment horizontal="right" vertical="bottom"/>
    </xf>
    <xf borderId="0" fillId="0" fontId="15" numFmtId="49" xfId="0" applyFont="1" applyNumberFormat="1"/>
    <xf borderId="0" fillId="0" fontId="12" numFmtId="176" xfId="0" applyAlignment="1" applyFont="1" applyNumberFormat="1">
      <alignment readingOrder="0"/>
    </xf>
    <xf borderId="0" fillId="0" fontId="12" numFmtId="176" xfId="0" applyAlignment="1" applyFont="1" applyNumberFormat="1">
      <alignment horizontal="right" readingOrder="0"/>
    </xf>
    <xf borderId="0" fillId="0" fontId="12" numFmtId="49" xfId="0" applyFont="1" applyNumberFormat="1"/>
    <xf borderId="0" fillId="2" fontId="0" numFmtId="164" xfId="0" applyFont="1" applyNumberFormat="1"/>
    <xf borderId="1" fillId="0" fontId="2" numFmtId="49" xfId="0" applyAlignment="1" applyBorder="1" applyFont="1" applyNumberFormat="1">
      <alignment readingOrder="0"/>
    </xf>
    <xf borderId="0" fillId="2" fontId="12" numFmtId="164" xfId="0" applyAlignment="1" applyFont="1" applyNumberFormat="1">
      <alignment horizontal="right" readingOrder="0"/>
    </xf>
    <xf borderId="2" fillId="2" fontId="2" numFmtId="49" xfId="0" applyAlignment="1" applyBorder="1" applyFont="1" applyNumberFormat="1">
      <alignment horizontal="center" readingOrder="0"/>
    </xf>
    <xf borderId="3" fillId="2" fontId="2" numFmtId="49" xfId="0" applyAlignment="1" applyBorder="1" applyFont="1" applyNumberFormat="1">
      <alignment horizontal="center" readingOrder="0"/>
    </xf>
    <xf borderId="0" fillId="0" fontId="7" numFmtId="49" xfId="0" applyAlignment="1" applyFont="1" applyNumberFormat="1">
      <alignment horizontal="center" readingOrder="0"/>
    </xf>
    <xf borderId="0" fillId="0" fontId="21" numFmtId="49" xfId="0" applyAlignment="1" applyFont="1" applyNumberFormat="1">
      <alignment horizontal="center" readingOrder="0"/>
    </xf>
    <xf borderId="0" fillId="9" fontId="22" numFmtId="164" xfId="0" applyAlignment="1" applyFont="1" applyNumberFormat="1">
      <alignment horizontal="right" readingOrder="0"/>
    </xf>
    <xf borderId="0" fillId="0" fontId="1" numFmtId="9" xfId="0" applyAlignment="1" applyFont="1" applyNumberFormat="1">
      <alignment readingOrder="0"/>
    </xf>
    <xf borderId="0" fillId="0" fontId="12" numFmtId="164" xfId="0" applyFont="1" applyNumberFormat="1"/>
    <xf borderId="0" fillId="0" fontId="2" numFmtId="9" xfId="0" applyFont="1" applyNumberFormat="1"/>
    <xf borderId="0" fillId="0" fontId="12" numFmtId="164" xfId="0" applyAlignment="1" applyFont="1" applyNumberFormat="1">
      <alignment horizontal="right" readingOrder="0"/>
    </xf>
    <xf borderId="0" fillId="0" fontId="1" numFmtId="9" xfId="0" applyAlignment="1" applyFont="1" applyNumberFormat="1">
      <alignment horizontal="right" readingOrder="0"/>
    </xf>
    <xf borderId="0" fillId="0" fontId="23" numFmtId="9" xfId="0" applyAlignment="1" applyFont="1" applyNumberFormat="1">
      <alignment readingOrder="0"/>
    </xf>
    <xf borderId="0" fillId="0" fontId="0" numFmtId="164" xfId="0" applyAlignment="1" applyFont="1" applyNumberFormat="1">
      <alignment readingOrder="0"/>
    </xf>
    <xf borderId="0" fillId="0" fontId="0" numFmtId="49" xfId="0" applyAlignment="1" applyFont="1" applyNumberFormat="1">
      <alignment readingOrder="0"/>
    </xf>
  </cellXfs>
  <cellStyles count="1">
    <cellStyle xfId="0" name="Normal" builtinId="0"/>
  </cellStyles>
  <dxfs count="13">
    <dxf>
      <font>
        <color rgb="FFFF0000"/>
      </font>
      <fill>
        <patternFill patternType="none"/>
      </fill>
      <border/>
    </dxf>
    <dxf>
      <font/>
      <fill>
        <patternFill patternType="solid">
          <fgColor rgb="FFDED5BA"/>
          <bgColor rgb="FFDED5BA"/>
        </patternFill>
      </fill>
      <border/>
    </dxf>
    <dxf>
      <font>
        <color rgb="FFE69138"/>
      </font>
      <fill>
        <patternFill patternType="none"/>
      </fill>
      <border/>
    </dxf>
    <dxf>
      <font/>
      <fill>
        <patternFill patternType="solid">
          <fgColor rgb="FFB7E1CD"/>
          <bgColor rgb="FFB7E1CD"/>
        </patternFill>
      </fill>
      <border/>
    </dxf>
    <dxf>
      <font/>
      <fill>
        <patternFill patternType="solid">
          <fgColor rgb="FFFF0000"/>
          <bgColor rgb="FFFF0000"/>
        </patternFill>
      </fill>
      <border/>
    </dxf>
    <dxf>
      <font/>
      <fill>
        <patternFill patternType="solid">
          <fgColor rgb="FFFCE5CD"/>
          <bgColor rgb="FFFCE5CD"/>
        </patternFill>
      </fill>
      <border/>
    </dxf>
    <dxf>
      <font/>
      <fill>
        <patternFill patternType="solid">
          <fgColor rgb="FFFFFFFF"/>
          <bgColor rgb="FFFFFFFF"/>
        </patternFill>
      </fill>
      <border/>
    </dxf>
    <dxf>
      <font/>
      <fill>
        <patternFill patternType="solid">
          <fgColor rgb="FFA2C4C9"/>
          <bgColor rgb="FFA2C4C9"/>
        </patternFill>
      </fill>
      <border/>
    </dxf>
    <dxf>
      <font>
        <color rgb="FFD0E0E3"/>
      </font>
      <fill>
        <patternFill patternType="none"/>
      </fill>
      <border/>
    </dxf>
    <dxf>
      <font>
        <color rgb="FF000000"/>
      </font>
      <fill>
        <patternFill patternType="solid">
          <fgColor rgb="FFD0E0E3"/>
          <bgColor rgb="FFD0E0E3"/>
        </patternFill>
      </fill>
      <border/>
    </dxf>
    <dxf>
      <font/>
      <fill>
        <patternFill patternType="none"/>
      </fill>
      <border/>
    </dxf>
    <dxf>
      <font/>
      <fill>
        <patternFill patternType="solid">
          <fgColor rgb="FFBBC8CB"/>
          <bgColor rgb="FFBBC8CB"/>
        </patternFill>
      </fill>
      <border/>
    </dxf>
    <dxf>
      <font/>
      <fill>
        <patternFill patternType="solid">
          <fgColor rgb="FFD0E0E3"/>
          <bgColor rgb="FFD0E0E3"/>
        </patternFill>
      </fill>
      <border/>
    </dxf>
  </dxfs>
  <tableStyles count="2">
    <tableStyle count="2" pivot="0" name="ESPP-style">
      <tableStyleElement dxfId="11" type="firstRowStripe"/>
      <tableStyleElement dxfId="12" type="secondRowStripe"/>
    </tableStyle>
    <tableStyle count="2" pivot="0" name="RSU-style">
      <tableStyleElement dxfId="11"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O7:AV26" display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ESPP-style" showColumnStripes="0" showFirstColumn="1" showLastColumn="1" showRowStripes="1"/>
</table>
</file>

<file path=xl/tables/table2.xml><?xml version="1.0" encoding="utf-8"?>
<table xmlns="http://schemas.openxmlformats.org/spreadsheetml/2006/main" headerRowCount="0" ref="AL7:AS84" displayName="Table_2" id="2">
  <tableColumns count="8">
    <tableColumn name="Column1" id="1"/>
    <tableColumn name="Column2" id="2"/>
    <tableColumn name="Column3" id="3"/>
    <tableColumn name="Column4" id="4"/>
    <tableColumn name="Column5" id="5"/>
    <tableColumn name="Column6" id="6"/>
    <tableColumn name="Column7" id="7"/>
    <tableColumn name="Column8" id="8"/>
  </tableColumns>
  <tableStyleInfo name="RSU-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us.etrade.com/etx/sp/stockplan" TargetMode="External"/><Relationship Id="rId3" Type="http://schemas.openxmlformats.org/officeDocument/2006/relationships/hyperlink" Target="https://us.etrade.com/e/t/accounts/txnhistory" TargetMode="External"/><Relationship Id="rId4" Type="http://schemas.openxmlformats.org/officeDocument/2006/relationships/hyperlink" Target="https://github.com/hickeng/financial/releases/tag/v0.1.4" TargetMode="External"/><Relationship Id="rId5" Type="http://schemas.openxmlformats.org/officeDocument/2006/relationships/hyperlink" Target="https://github.com/sponsors/hickeng"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costbasis.com/calculators/cashtobootmerger.html" TargetMode="External"/><Relationship Id="rId3" Type="http://schemas.openxmlformats.org/officeDocument/2006/relationships/drawing" Target="../drawings/drawing2.xml"/><Relationship Id="rId4" Type="http://schemas.openxmlformats.org/officeDocument/2006/relationships/vmlDrawing" Target="../drawings/vmlDrawing2.vml"/><Relationship Id="rId6"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costbasis.com/calculators/cashtobootmerger.html" TargetMode="External"/><Relationship Id="rId3" Type="http://schemas.openxmlformats.org/officeDocument/2006/relationships/drawing" Target="../drawings/drawing3.xml"/><Relationship Id="rId4" Type="http://schemas.openxmlformats.org/officeDocument/2006/relationships/vmlDrawing" Target="../drawings/vmlDrawing3.vml"/><Relationship Id="rId6"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75"/>
    <col customWidth="1" min="2" max="2" width="16.5"/>
    <col customWidth="1" min="3" max="3" width="14.0"/>
    <col customWidth="1" min="4" max="4" width="21.25"/>
    <col customWidth="1" min="5" max="5" width="14.0"/>
    <col customWidth="1" min="6" max="6" width="11.63"/>
    <col customWidth="1" min="7" max="7" width="13.38"/>
    <col customWidth="1" min="8" max="8" width="18.0"/>
    <col customWidth="1" min="9" max="9" width="9.25"/>
    <col customWidth="1" min="10" max="10" width="20.38"/>
    <col customWidth="1" min="11" max="11" width="32.25"/>
    <col customWidth="1" min="12" max="12" width="13.25"/>
  </cols>
  <sheetData>
    <row r="1">
      <c r="A1" s="1" t="str">
        <f>"Colour Coding"</f>
        <v>Colour Coding</v>
      </c>
      <c r="B1" s="2"/>
      <c r="C1" s="3" t="s">
        <v>0</v>
      </c>
      <c r="D1" s="2"/>
      <c r="E1" s="4"/>
      <c r="F1" s="2"/>
      <c r="G1" s="2"/>
      <c r="H1" s="2"/>
      <c r="I1" s="2"/>
      <c r="J1" s="2"/>
      <c r="K1" s="2"/>
      <c r="L1" s="2"/>
      <c r="M1" s="2"/>
      <c r="N1" s="2"/>
      <c r="O1" s="2"/>
      <c r="P1" s="2"/>
    </row>
    <row r="2">
      <c r="A2" s="5" t="s">
        <v>1</v>
      </c>
      <c r="B2" s="2"/>
      <c r="C2" s="6" t="s">
        <v>2</v>
      </c>
      <c r="D2" s="7"/>
      <c r="E2" s="2"/>
      <c r="F2" s="2"/>
      <c r="G2" s="2"/>
      <c r="H2" s="2"/>
      <c r="I2" s="2"/>
      <c r="J2" s="2"/>
      <c r="K2" s="2"/>
      <c r="L2" s="2"/>
      <c r="M2" s="2"/>
      <c r="N2" s="2"/>
      <c r="O2" s="2"/>
      <c r="P2" s="2"/>
    </row>
    <row r="3">
      <c r="A3" s="8" t="s">
        <v>3</v>
      </c>
      <c r="B3" s="2"/>
      <c r="C3" s="9" t="s">
        <v>4</v>
      </c>
      <c r="D3" s="7"/>
      <c r="E3" s="2"/>
      <c r="F3" s="2"/>
      <c r="G3" s="2"/>
      <c r="H3" s="2"/>
      <c r="I3" s="2"/>
      <c r="J3" s="2"/>
      <c r="K3" s="2"/>
      <c r="L3" s="2"/>
      <c r="M3" s="2"/>
      <c r="N3" s="2"/>
      <c r="O3" s="2"/>
      <c r="P3" s="2"/>
    </row>
    <row r="4">
      <c r="A4" s="10" t="s">
        <v>5</v>
      </c>
      <c r="B4" s="2"/>
      <c r="C4" s="11" t="s">
        <v>6</v>
      </c>
      <c r="D4" s="7"/>
      <c r="E4" s="2"/>
      <c r="F4" s="2"/>
      <c r="G4" s="2"/>
      <c r="H4" s="2"/>
      <c r="I4" s="2"/>
      <c r="J4" s="2"/>
      <c r="K4" s="2"/>
      <c r="L4" s="2"/>
      <c r="M4" s="2"/>
      <c r="N4" s="2"/>
      <c r="O4" s="2"/>
      <c r="P4" s="2"/>
    </row>
    <row r="5">
      <c r="A5" s="12" t="s">
        <v>7</v>
      </c>
      <c r="B5" s="2"/>
      <c r="C5" s="7"/>
      <c r="D5" s="6" t="s">
        <v>8</v>
      </c>
      <c r="E5" s="2"/>
      <c r="F5" s="2"/>
      <c r="G5" s="2"/>
      <c r="H5" s="2"/>
      <c r="I5" s="2"/>
      <c r="J5" s="2"/>
      <c r="K5" s="2"/>
      <c r="L5" s="2"/>
      <c r="M5" s="2"/>
      <c r="N5" s="2"/>
      <c r="O5" s="2"/>
      <c r="P5" s="2"/>
    </row>
    <row r="6">
      <c r="A6" s="13" t="s">
        <v>9</v>
      </c>
      <c r="B6" s="2"/>
      <c r="C6" s="7"/>
      <c r="D6" s="6" t="s">
        <v>10</v>
      </c>
      <c r="E6" s="2"/>
      <c r="F6" s="2"/>
      <c r="G6" s="2"/>
      <c r="H6" s="2"/>
      <c r="I6" s="2"/>
      <c r="J6" s="2"/>
      <c r="K6" s="2"/>
      <c r="L6" s="2"/>
      <c r="M6" s="2"/>
      <c r="N6" s="2"/>
      <c r="O6" s="2"/>
      <c r="P6" s="2"/>
    </row>
    <row r="7">
      <c r="A7" s="14" t="s">
        <v>11</v>
      </c>
      <c r="B7" s="2"/>
      <c r="C7" s="7"/>
      <c r="D7" s="6" t="s">
        <v>12</v>
      </c>
      <c r="E7" s="2"/>
      <c r="F7" s="2"/>
      <c r="G7" s="2"/>
      <c r="H7" s="2"/>
      <c r="I7" s="2"/>
      <c r="J7" s="2"/>
      <c r="K7" s="2"/>
      <c r="L7" s="2"/>
      <c r="M7" s="2"/>
      <c r="N7" s="2"/>
      <c r="O7" s="2"/>
      <c r="P7" s="2"/>
    </row>
    <row r="8">
      <c r="A8" s="15" t="str">
        <f>"Calculated - intermediate or informational"</f>
        <v>Calculated - intermediate or informational</v>
      </c>
      <c r="B8" s="2"/>
      <c r="C8" s="7"/>
      <c r="D8" s="6" t="s">
        <v>13</v>
      </c>
      <c r="E8" s="2"/>
      <c r="F8" s="2"/>
      <c r="G8" s="2"/>
      <c r="H8" s="2"/>
      <c r="I8" s="2"/>
      <c r="J8" s="2"/>
      <c r="K8" s="2"/>
      <c r="L8" s="2"/>
      <c r="M8" s="2"/>
      <c r="N8" s="2"/>
      <c r="O8" s="2"/>
      <c r="P8" s="2"/>
    </row>
    <row r="9">
      <c r="A9" s="16" t="s">
        <v>14</v>
      </c>
      <c r="B9" s="2"/>
      <c r="C9" s="17" t="s">
        <v>15</v>
      </c>
      <c r="D9" s="7"/>
      <c r="E9" s="2"/>
      <c r="F9" s="2"/>
      <c r="G9" s="2"/>
      <c r="H9" s="2"/>
      <c r="I9" s="2"/>
      <c r="J9" s="2"/>
      <c r="K9" s="2"/>
      <c r="L9" s="2"/>
      <c r="M9" s="2"/>
      <c r="N9" s="2"/>
      <c r="O9" s="2"/>
      <c r="P9" s="2"/>
    </row>
    <row r="10">
      <c r="A10" s="18" t="s">
        <v>16</v>
      </c>
      <c r="B10" s="2"/>
      <c r="C10" s="19" t="s">
        <v>17</v>
      </c>
      <c r="D10" s="7"/>
      <c r="E10" s="2"/>
      <c r="F10" s="2"/>
      <c r="G10" s="2"/>
      <c r="H10" s="2"/>
      <c r="I10" s="2"/>
      <c r="J10" s="2"/>
      <c r="K10" s="2"/>
      <c r="L10" s="2"/>
      <c r="M10" s="2"/>
      <c r="N10" s="2"/>
      <c r="O10" s="2"/>
      <c r="P10" s="2"/>
    </row>
    <row r="11">
      <c r="A11" s="2"/>
      <c r="B11" s="2"/>
      <c r="C11" s="19" t="s">
        <v>18</v>
      </c>
      <c r="D11" s="7"/>
      <c r="E11" s="2"/>
      <c r="F11" s="2"/>
      <c r="G11" s="2"/>
      <c r="H11" s="2"/>
      <c r="I11" s="2"/>
      <c r="J11" s="2"/>
      <c r="K11" s="2"/>
      <c r="L11" s="2"/>
      <c r="M11" s="2"/>
      <c r="N11" s="2"/>
      <c r="O11" s="2"/>
      <c r="P11" s="2"/>
    </row>
    <row r="12">
      <c r="A12" s="2"/>
      <c r="B12" s="2"/>
      <c r="C12" s="19" t="s">
        <v>19</v>
      </c>
      <c r="D12" s="7"/>
      <c r="E12" s="2"/>
      <c r="F12" s="2"/>
      <c r="G12" s="2"/>
      <c r="H12" s="2"/>
      <c r="I12" s="2"/>
      <c r="J12" s="2"/>
      <c r="K12" s="2"/>
      <c r="L12" s="2"/>
      <c r="M12" s="2"/>
      <c r="N12" s="2"/>
      <c r="O12" s="2"/>
      <c r="P12" s="2"/>
    </row>
    <row r="13">
      <c r="A13" s="20" t="s">
        <v>20</v>
      </c>
      <c r="B13" s="2"/>
      <c r="C13" s="19" t="s">
        <v>21</v>
      </c>
      <c r="D13" s="7"/>
      <c r="E13" s="2"/>
      <c r="F13" s="2"/>
      <c r="G13" s="2"/>
      <c r="H13" s="2"/>
      <c r="I13" s="2"/>
      <c r="J13" s="2"/>
      <c r="K13" s="2"/>
      <c r="L13" s="2"/>
      <c r="M13" s="2"/>
      <c r="N13" s="2"/>
      <c r="O13" s="2"/>
      <c r="P13" s="2"/>
    </row>
    <row r="14">
      <c r="B14" s="2"/>
      <c r="C14" s="7"/>
      <c r="D14" s="6" t="s">
        <v>22</v>
      </c>
      <c r="E14" s="2"/>
      <c r="F14" s="2"/>
      <c r="G14" s="2"/>
      <c r="H14" s="2"/>
      <c r="I14" s="2"/>
      <c r="J14" s="2"/>
      <c r="K14" s="2"/>
      <c r="L14" s="2"/>
      <c r="M14" s="2"/>
      <c r="N14" s="2"/>
      <c r="O14" s="2"/>
      <c r="P14" s="2"/>
    </row>
    <row r="15">
      <c r="A15" s="2"/>
      <c r="B15" s="2"/>
      <c r="C15" s="7"/>
      <c r="D15" s="6" t="s">
        <v>23</v>
      </c>
      <c r="E15" s="2"/>
      <c r="F15" s="2"/>
      <c r="G15" s="2"/>
      <c r="H15" s="2"/>
      <c r="I15" s="2"/>
      <c r="J15" s="2"/>
      <c r="K15" s="2"/>
      <c r="L15" s="2"/>
      <c r="M15" s="2"/>
      <c r="N15" s="2"/>
      <c r="O15" s="2"/>
      <c r="P15" s="2"/>
    </row>
    <row r="16">
      <c r="A16" s="2"/>
      <c r="B16" s="2"/>
      <c r="C16" s="7"/>
      <c r="D16" s="6" t="s">
        <v>24</v>
      </c>
      <c r="E16" s="2"/>
      <c r="F16" s="2"/>
      <c r="G16" s="2"/>
      <c r="H16" s="2"/>
      <c r="I16" s="2"/>
      <c r="J16" s="2"/>
      <c r="K16" s="2"/>
      <c r="L16" s="2"/>
      <c r="M16" s="2"/>
      <c r="N16" s="2"/>
      <c r="O16" s="2"/>
      <c r="P16" s="2"/>
    </row>
    <row r="17">
      <c r="A17" s="2"/>
      <c r="B17" s="2"/>
      <c r="C17" s="19" t="s">
        <v>25</v>
      </c>
      <c r="D17" s="7"/>
      <c r="E17" s="2"/>
      <c r="F17" s="2"/>
      <c r="G17" s="2"/>
      <c r="H17" s="2"/>
      <c r="I17" s="2"/>
      <c r="J17" s="2"/>
      <c r="K17" s="2"/>
      <c r="L17" s="2"/>
      <c r="M17" s="2"/>
      <c r="N17" s="2"/>
      <c r="O17" s="2"/>
      <c r="P17" s="2"/>
    </row>
    <row r="18">
      <c r="A18" s="2"/>
      <c r="B18" s="2"/>
      <c r="C18" s="7"/>
      <c r="D18" s="6" t="s">
        <v>26</v>
      </c>
      <c r="E18" s="2"/>
      <c r="F18" s="2"/>
      <c r="G18" s="2"/>
      <c r="H18" s="2"/>
      <c r="I18" s="2"/>
      <c r="J18" s="2"/>
      <c r="K18" s="2"/>
      <c r="L18" s="2"/>
      <c r="M18" s="2"/>
      <c r="N18" s="2"/>
      <c r="O18" s="2"/>
      <c r="P18" s="2"/>
    </row>
    <row r="19">
      <c r="A19" s="2"/>
      <c r="B19" s="2"/>
      <c r="C19" s="19" t="s">
        <v>27</v>
      </c>
      <c r="D19" s="7"/>
      <c r="E19" s="2"/>
      <c r="F19" s="2"/>
      <c r="G19" s="2"/>
      <c r="H19" s="2"/>
      <c r="I19" s="2"/>
      <c r="J19" s="2"/>
      <c r="K19" s="2"/>
      <c r="L19" s="2"/>
      <c r="M19" s="2"/>
      <c r="N19" s="2"/>
      <c r="O19" s="2"/>
      <c r="P19" s="2"/>
    </row>
    <row r="20">
      <c r="A20" s="2"/>
      <c r="B20" s="2"/>
      <c r="C20" s="19" t="s">
        <v>28</v>
      </c>
      <c r="D20" s="7"/>
      <c r="E20" s="2"/>
      <c r="F20" s="2"/>
      <c r="G20" s="2"/>
      <c r="H20" s="2"/>
      <c r="I20" s="2"/>
      <c r="J20" s="2"/>
      <c r="K20" s="2"/>
      <c r="L20" s="2"/>
      <c r="M20" s="2"/>
      <c r="N20" s="2"/>
      <c r="O20" s="2"/>
      <c r="P20" s="2"/>
    </row>
    <row r="21">
      <c r="A21" s="2"/>
      <c r="B21" s="2"/>
      <c r="C21" s="2"/>
      <c r="D21" s="2"/>
      <c r="E21" s="2"/>
      <c r="F21" s="2"/>
      <c r="G21" s="2"/>
      <c r="H21" s="2"/>
      <c r="I21" s="2"/>
      <c r="J21" s="2"/>
      <c r="K21" s="2"/>
      <c r="L21" s="2"/>
      <c r="M21" s="2"/>
      <c r="N21" s="2"/>
      <c r="O21" s="2"/>
      <c r="P21" s="2"/>
    </row>
    <row r="22">
      <c r="A22" s="21" t="s">
        <v>29</v>
      </c>
      <c r="B22" s="22"/>
      <c r="C22" s="2"/>
      <c r="D22" s="21" t="s">
        <v>30</v>
      </c>
      <c r="E22" s="23"/>
      <c r="F22" s="23"/>
      <c r="G22" s="23"/>
      <c r="H22" s="22"/>
      <c r="I22" s="2"/>
      <c r="J22" s="21" t="s">
        <v>31</v>
      </c>
      <c r="K22" s="23"/>
      <c r="L22" s="24"/>
      <c r="M22" s="24"/>
      <c r="N22" s="24"/>
      <c r="O22" s="24"/>
      <c r="P22" s="25"/>
    </row>
    <row r="23">
      <c r="A23" s="26"/>
      <c r="B23" s="27"/>
      <c r="C23" s="2"/>
      <c r="D23" s="28"/>
      <c r="E23" s="2"/>
      <c r="F23" s="2"/>
      <c r="G23" s="2"/>
      <c r="H23" s="29"/>
      <c r="I23" s="2"/>
      <c r="J23" s="28"/>
      <c r="K23" s="2"/>
      <c r="L23" s="2"/>
      <c r="M23" s="2"/>
      <c r="N23" s="2"/>
      <c r="O23" s="2"/>
      <c r="P23" s="29"/>
    </row>
    <row r="24">
      <c r="A24" s="30" t="s">
        <v>32</v>
      </c>
      <c r="B24" s="31"/>
      <c r="C24" s="2"/>
      <c r="D24" s="32" t="s">
        <v>33</v>
      </c>
      <c r="E24" s="33" t="s">
        <v>34</v>
      </c>
      <c r="F24" s="33" t="s">
        <v>35</v>
      </c>
      <c r="G24" s="34" t="s">
        <v>36</v>
      </c>
      <c r="H24" s="35" t="s">
        <v>37</v>
      </c>
      <c r="I24" s="2"/>
      <c r="J24" s="28"/>
      <c r="K24" s="2"/>
      <c r="L24" s="3" t="s">
        <v>38</v>
      </c>
      <c r="M24" s="36" t="s">
        <v>39</v>
      </c>
      <c r="N24" s="2"/>
      <c r="O24" s="2"/>
      <c r="P24" s="29"/>
    </row>
    <row r="25">
      <c r="A25" s="26" t="s">
        <v>40</v>
      </c>
      <c r="B25" s="37"/>
      <c r="C25" s="2"/>
      <c r="D25" s="38" t="s">
        <v>41</v>
      </c>
      <c r="E25" s="39" t="s">
        <v>42</v>
      </c>
      <c r="F25" s="40">
        <v>24.0</v>
      </c>
      <c r="G25" s="41"/>
      <c r="H25" s="42" t="s">
        <v>43</v>
      </c>
      <c r="I25" s="2"/>
      <c r="J25" s="26" t="s">
        <v>44</v>
      </c>
      <c r="K25" s="43" t="s">
        <v>45</v>
      </c>
      <c r="L25" s="44">
        <f>Reference!B18</f>
        <v>979.5</v>
      </c>
      <c r="M25" s="45">
        <v>123.45</v>
      </c>
      <c r="N25" s="2"/>
      <c r="O25" s="2"/>
      <c r="P25" s="29"/>
    </row>
    <row r="26">
      <c r="A26" s="46" t="s">
        <v>46</v>
      </c>
      <c r="B26" s="47"/>
      <c r="C26" s="2"/>
      <c r="D26" s="48" t="s">
        <v>47</v>
      </c>
      <c r="E26" s="49" t="s">
        <v>48</v>
      </c>
      <c r="F26" s="50">
        <v>1.0</v>
      </c>
      <c r="G26" s="51"/>
      <c r="H26" s="52" t="s">
        <v>49</v>
      </c>
      <c r="I26" s="2"/>
      <c r="J26" s="26" t="s">
        <v>50</v>
      </c>
      <c r="K26" s="43" t="s">
        <v>51</v>
      </c>
      <c r="L26" s="2"/>
      <c r="M26" s="53"/>
      <c r="N26" s="2"/>
      <c r="O26" s="2"/>
      <c r="P26" s="29"/>
    </row>
    <row r="27">
      <c r="A27" s="26"/>
      <c r="B27" s="52"/>
      <c r="C27" s="36"/>
      <c r="D27" s="48" t="s">
        <v>47</v>
      </c>
      <c r="E27" s="49" t="s">
        <v>48</v>
      </c>
      <c r="F27" s="50">
        <v>2.0</v>
      </c>
      <c r="G27" s="51"/>
      <c r="H27" s="52" t="s">
        <v>52</v>
      </c>
      <c r="I27" s="2"/>
      <c r="J27" s="26" t="s">
        <v>53</v>
      </c>
      <c r="K27" s="43" t="s">
        <v>54</v>
      </c>
      <c r="L27" s="44">
        <f>Reference!B23</f>
        <v>904.79</v>
      </c>
      <c r="M27" s="45">
        <v>123.45</v>
      </c>
      <c r="N27" s="2"/>
      <c r="O27" s="2"/>
      <c r="P27" s="29"/>
    </row>
    <row r="28">
      <c r="A28" s="54" t="s">
        <v>55</v>
      </c>
      <c r="B28" s="52"/>
      <c r="C28" s="36"/>
      <c r="D28" s="48" t="s">
        <v>47</v>
      </c>
      <c r="E28" s="49" t="s">
        <v>48</v>
      </c>
      <c r="F28" s="50">
        <v>16.0</v>
      </c>
      <c r="G28" s="51"/>
      <c r="H28" s="52" t="s">
        <v>56</v>
      </c>
      <c r="I28" s="2"/>
      <c r="J28" s="55" t="s">
        <v>57</v>
      </c>
      <c r="K28" s="56" t="s">
        <v>58</v>
      </c>
      <c r="L28" s="57" t="s">
        <v>59</v>
      </c>
      <c r="M28" s="58">
        <f>IFERROR(__xludf.DUMMYFUNCTION("GOOGLEFINANCE(""AVGO"")"),1357.29)</f>
        <v>1357.29</v>
      </c>
      <c r="N28" s="2"/>
      <c r="O28" s="2"/>
      <c r="P28" s="29"/>
    </row>
    <row r="29">
      <c r="A29" s="26" t="s">
        <v>60</v>
      </c>
      <c r="B29" s="59"/>
      <c r="C29" s="36"/>
      <c r="D29" s="48" t="s">
        <v>47</v>
      </c>
      <c r="E29" s="49" t="s">
        <v>48</v>
      </c>
      <c r="F29" s="50">
        <v>17.0</v>
      </c>
      <c r="G29" s="51"/>
      <c r="H29" s="52" t="s">
        <v>61</v>
      </c>
      <c r="I29" s="2"/>
      <c r="J29" s="26"/>
      <c r="K29" s="53"/>
      <c r="L29" s="2"/>
      <c r="M29" s="2"/>
      <c r="N29" s="2"/>
      <c r="O29" s="2"/>
      <c r="P29" s="29"/>
    </row>
    <row r="30">
      <c r="A30" s="26" t="s">
        <v>62</v>
      </c>
      <c r="B30" s="60"/>
      <c r="C30" s="36"/>
      <c r="D30" s="48"/>
      <c r="E30" s="49"/>
      <c r="F30" s="50"/>
      <c r="G30" s="61"/>
      <c r="H30" s="52"/>
      <c r="I30" s="2"/>
      <c r="J30" s="26" t="s">
        <v>63</v>
      </c>
      <c r="K30" s="45"/>
      <c r="L30" s="2"/>
      <c r="M30" s="2"/>
      <c r="N30" s="2"/>
      <c r="O30" s="2"/>
      <c r="P30" s="29"/>
    </row>
    <row r="31">
      <c r="A31" s="46" t="s">
        <v>64</v>
      </c>
      <c r="B31" s="62"/>
      <c r="C31" s="36"/>
      <c r="D31" s="63"/>
      <c r="E31" s="64"/>
      <c r="F31" s="64"/>
      <c r="G31" s="64"/>
      <c r="H31" s="65"/>
      <c r="I31" s="2"/>
      <c r="J31" s="26" t="s">
        <v>65</v>
      </c>
      <c r="K31" s="45"/>
      <c r="L31" s="2"/>
      <c r="M31" s="2"/>
      <c r="N31" s="2"/>
      <c r="O31" s="2"/>
      <c r="P31" s="29"/>
    </row>
    <row r="32">
      <c r="C32" s="36"/>
      <c r="D32" s="49"/>
      <c r="E32" s="49"/>
      <c r="F32" s="49"/>
      <c r="G32" s="66"/>
      <c r="H32" s="53"/>
      <c r="I32" s="2"/>
      <c r="J32" s="26" t="s">
        <v>66</v>
      </c>
      <c r="K32" s="45"/>
      <c r="L32" s="2"/>
      <c r="M32" s="2"/>
      <c r="N32" s="2"/>
      <c r="O32" s="2"/>
      <c r="P32" s="29"/>
    </row>
    <row r="33">
      <c r="C33" s="36"/>
      <c r="D33" s="36"/>
      <c r="E33" s="36"/>
      <c r="F33" s="36"/>
      <c r="G33" s="36"/>
      <c r="H33" s="2"/>
      <c r="I33" s="2"/>
      <c r="J33" s="26" t="s">
        <v>67</v>
      </c>
      <c r="K33" s="67" t="s">
        <v>68</v>
      </c>
      <c r="L33" s="3"/>
      <c r="M33" s="2"/>
      <c r="N33" s="2"/>
      <c r="O33" s="2"/>
      <c r="P33" s="29"/>
    </row>
    <row r="34">
      <c r="A34" s="2"/>
      <c r="B34" s="2"/>
      <c r="C34" s="36"/>
      <c r="D34" s="36"/>
      <c r="E34" s="36"/>
      <c r="F34" s="36"/>
      <c r="G34" s="36"/>
      <c r="H34" s="2"/>
      <c r="I34" s="2"/>
      <c r="J34" s="26" t="s">
        <v>69</v>
      </c>
      <c r="K34" s="67" t="s">
        <v>70</v>
      </c>
      <c r="L34" s="68">
        <f>SWITCH(K34, "By status", SWITCH(K33,"Single",Reference!B36,"Joint",Reference!C36,"Head of household",Reference!D36), "Custom",M34)</f>
        <v>13850</v>
      </c>
      <c r="M34" s="69"/>
      <c r="N34" s="53" t="s">
        <v>71</v>
      </c>
      <c r="O34" s="2"/>
      <c r="P34" s="29"/>
    </row>
    <row r="35">
      <c r="A35" s="2"/>
      <c r="B35" s="2"/>
      <c r="C35" s="36"/>
      <c r="D35" s="36"/>
      <c r="E35" s="36"/>
      <c r="F35" s="36"/>
      <c r="G35" s="36"/>
      <c r="H35" s="2"/>
      <c r="I35" s="2"/>
      <c r="J35" s="28"/>
      <c r="K35" s="2"/>
      <c r="L35" s="2"/>
      <c r="M35" s="2"/>
      <c r="N35" s="2"/>
      <c r="O35" s="2"/>
      <c r="P35" s="29"/>
    </row>
    <row r="36">
      <c r="A36" s="21" t="s">
        <v>72</v>
      </c>
      <c r="B36" s="70"/>
      <c r="C36" s="70"/>
      <c r="D36" s="70"/>
      <c r="E36" s="70"/>
      <c r="F36" s="70"/>
      <c r="G36" s="23"/>
      <c r="H36" s="22"/>
      <c r="I36" s="2"/>
      <c r="J36" s="46" t="s">
        <v>73</v>
      </c>
      <c r="K36" s="71" t="s">
        <v>74</v>
      </c>
      <c r="L36" s="72"/>
      <c r="M36" s="72"/>
      <c r="N36" s="72"/>
      <c r="O36" s="72"/>
      <c r="P36" s="73"/>
    </row>
    <row r="37">
      <c r="A37" s="28"/>
      <c r="B37" s="3"/>
      <c r="C37" s="74"/>
      <c r="D37" s="74"/>
      <c r="E37" s="74"/>
      <c r="F37" s="74"/>
      <c r="G37" s="2"/>
      <c r="H37" s="73"/>
      <c r="I37" s="2"/>
      <c r="J37" s="2"/>
      <c r="K37" s="2"/>
      <c r="L37" s="2"/>
      <c r="M37" s="2"/>
      <c r="N37" s="2"/>
      <c r="O37" s="2"/>
      <c r="P37" s="2"/>
    </row>
    <row r="38">
      <c r="A38" s="21" t="s">
        <v>75</v>
      </c>
      <c r="B38" s="75"/>
      <c r="C38" s="70"/>
      <c r="D38" s="70"/>
      <c r="E38" s="70"/>
      <c r="F38" s="70"/>
      <c r="G38" s="23"/>
      <c r="H38" s="29"/>
      <c r="I38" s="2"/>
      <c r="J38" s="2"/>
      <c r="K38" s="2"/>
      <c r="L38" s="2"/>
      <c r="M38" s="2"/>
      <c r="N38" s="2"/>
      <c r="O38" s="3"/>
      <c r="P38" s="3"/>
    </row>
    <row r="39">
      <c r="A39" s="2"/>
      <c r="B39" s="2"/>
      <c r="C39" s="2"/>
      <c r="D39" s="2"/>
      <c r="E39" s="2"/>
      <c r="F39" s="2"/>
      <c r="G39" s="2"/>
      <c r="H39" s="29"/>
      <c r="I39" s="2"/>
      <c r="J39" s="21" t="s">
        <v>76</v>
      </c>
      <c r="K39" s="23"/>
      <c r="L39" s="23"/>
      <c r="M39" s="23"/>
      <c r="N39" s="23"/>
      <c r="O39" s="75"/>
      <c r="P39" s="22"/>
      <c r="Q39" s="76"/>
      <c r="R39" s="76"/>
      <c r="T39" s="77"/>
    </row>
    <row r="40">
      <c r="A40" s="2"/>
      <c r="B40" s="74" t="s">
        <v>77</v>
      </c>
      <c r="C40" s="74" t="s">
        <v>78</v>
      </c>
      <c r="D40" s="74" t="s">
        <v>79</v>
      </c>
      <c r="E40" s="74" t="s">
        <v>80</v>
      </c>
      <c r="F40" s="74" t="s">
        <v>81</v>
      </c>
      <c r="G40" s="3" t="s">
        <v>82</v>
      </c>
      <c r="H40" s="29"/>
      <c r="I40" s="2"/>
      <c r="J40" s="78"/>
      <c r="K40" s="79" t="s">
        <v>83</v>
      </c>
      <c r="P40" s="29"/>
      <c r="R40" s="76"/>
    </row>
    <row r="41">
      <c r="A41" s="21" t="s">
        <v>84</v>
      </c>
      <c r="B41" s="80"/>
      <c r="C41" s="81">
        <f>MOD(ESPP!AH5+RSU!AE5,1)</f>
        <v>0</v>
      </c>
      <c r="D41" s="82"/>
      <c r="E41" s="82"/>
      <c r="F41" s="83">
        <f>ROUNDDOWN(ESPP!AH5+RSU!AE5)</f>
        <v>0</v>
      </c>
      <c r="G41" s="84"/>
      <c r="H41" s="29"/>
      <c r="I41" s="2"/>
      <c r="J41" s="78"/>
      <c r="P41" s="29"/>
      <c r="T41" s="85"/>
    </row>
    <row r="42">
      <c r="A42" s="86" t="s">
        <v>85</v>
      </c>
      <c r="B42" s="87">
        <f>Reference!B31</f>
        <v>0</v>
      </c>
      <c r="C42" s="88">
        <f>ROUND(C41*Reference!B23,2)</f>
        <v>0</v>
      </c>
      <c r="D42" s="89">
        <f>ESPP!AM5+RSU!AJ5</f>
        <v>0</v>
      </c>
      <c r="E42" s="89">
        <f>ESPP!AN5+RSU!AK5</f>
        <v>0</v>
      </c>
      <c r="F42" s="90">
        <f>F41*Reference!B18</f>
        <v>0</v>
      </c>
      <c r="G42" s="65"/>
      <c r="H42" s="29"/>
      <c r="I42" s="2"/>
      <c r="J42" s="78"/>
      <c r="K42" s="91" t="s">
        <v>86</v>
      </c>
      <c r="L42" s="92"/>
      <c r="M42" s="92"/>
      <c r="N42" s="92"/>
      <c r="O42" s="93"/>
      <c r="P42" s="29"/>
      <c r="R42" s="94"/>
      <c r="T42" s="85"/>
    </row>
    <row r="43">
      <c r="A43" s="28"/>
      <c r="B43" s="28"/>
      <c r="C43" s="2"/>
      <c r="G43" s="95"/>
      <c r="H43" s="29"/>
      <c r="I43" s="2"/>
      <c r="J43" s="78"/>
      <c r="K43" s="96" t="s">
        <v>87</v>
      </c>
      <c r="L43" s="96" t="s">
        <v>88</v>
      </c>
      <c r="M43" s="96" t="s">
        <v>89</v>
      </c>
      <c r="N43" s="96" t="s">
        <v>90</v>
      </c>
      <c r="O43" s="96" t="s">
        <v>91</v>
      </c>
      <c r="P43" s="29"/>
      <c r="Q43" s="97"/>
      <c r="R43" s="94"/>
      <c r="S43" s="85"/>
    </row>
    <row r="44">
      <c r="A44" s="98" t="s">
        <v>92</v>
      </c>
      <c r="B44" s="99"/>
      <c r="C44" s="100"/>
      <c r="D44" s="101">
        <f>RSU!AV5</f>
        <v>0</v>
      </c>
      <c r="E44" s="102">
        <f>RSU!AW5+ESPP!BB5</f>
        <v>0</v>
      </c>
      <c r="F44" s="103"/>
      <c r="G44" s="104">
        <f>ESPP!AZ5</f>
        <v>0</v>
      </c>
      <c r="H44" s="29"/>
      <c r="I44" s="2"/>
      <c r="J44" s="78"/>
      <c r="K44" s="105">
        <f>C42</f>
        <v>0</v>
      </c>
      <c r="L44" s="106">
        <v>0.0</v>
      </c>
      <c r="M44" s="106" t="s">
        <v>93</v>
      </c>
      <c r="N44" s="105">
        <f>O44-K44+L44</f>
        <v>0</v>
      </c>
      <c r="O44" s="105">
        <f>RSU!AH5+ESPP!AK5</f>
        <v>0</v>
      </c>
      <c r="P44" s="29"/>
      <c r="R44" s="94"/>
      <c r="S44" s="85"/>
    </row>
    <row r="45">
      <c r="A45" s="53"/>
      <c r="B45" s="2"/>
      <c r="C45" s="2"/>
      <c r="D45" s="107"/>
      <c r="E45" s="107"/>
      <c r="F45" s="2"/>
      <c r="G45" s="2"/>
      <c r="H45" s="108"/>
      <c r="I45" s="2"/>
      <c r="J45" s="28"/>
      <c r="K45" s="2"/>
      <c r="L45" s="2"/>
      <c r="M45" s="2"/>
      <c r="N45" s="2"/>
      <c r="O45" s="2"/>
      <c r="P45" s="29"/>
    </row>
    <row r="46">
      <c r="A46" s="2"/>
      <c r="B46" s="2"/>
      <c r="C46" s="2"/>
      <c r="D46" s="2"/>
      <c r="E46" s="2"/>
      <c r="F46" s="2"/>
      <c r="G46" s="2"/>
      <c r="H46" s="29"/>
      <c r="I46" s="2"/>
      <c r="J46" s="28"/>
      <c r="K46" s="53" t="s">
        <v>94</v>
      </c>
      <c r="L46" s="2"/>
      <c r="M46" s="2"/>
      <c r="N46" s="2"/>
      <c r="O46" s="2"/>
      <c r="P46" s="29"/>
    </row>
    <row r="47">
      <c r="A47" s="2"/>
      <c r="B47" s="2"/>
      <c r="C47" s="2"/>
      <c r="D47" s="2"/>
      <c r="E47" s="2"/>
      <c r="F47" s="2"/>
      <c r="G47" s="2"/>
      <c r="H47" s="29"/>
      <c r="I47" s="2"/>
      <c r="J47" s="109"/>
      <c r="K47" s="72"/>
      <c r="L47" s="72"/>
      <c r="M47" s="72"/>
      <c r="N47" s="72"/>
      <c r="O47" s="72"/>
      <c r="P47" s="73"/>
    </row>
    <row r="48">
      <c r="A48" s="75" t="s">
        <v>95</v>
      </c>
      <c r="B48" s="110" t="s">
        <v>96</v>
      </c>
      <c r="C48" s="111" t="s">
        <v>97</v>
      </c>
      <c r="D48" s="112"/>
      <c r="E48" s="112"/>
      <c r="F48" s="112"/>
      <c r="G48" s="112"/>
      <c r="H48" s="113"/>
      <c r="I48" s="2"/>
      <c r="J48" s="2"/>
      <c r="K48" s="2"/>
      <c r="L48" s="2"/>
      <c r="M48" s="2"/>
      <c r="N48" s="2"/>
      <c r="O48" s="2"/>
      <c r="P48" s="2"/>
    </row>
    <row r="49">
      <c r="A49" s="2"/>
      <c r="B49" s="74"/>
      <c r="C49" s="114" t="s">
        <v>98</v>
      </c>
      <c r="D49" s="74"/>
      <c r="E49" s="74"/>
      <c r="F49" s="74"/>
      <c r="G49" s="2"/>
      <c r="H49" s="29"/>
      <c r="I49" s="2"/>
      <c r="J49" s="20" t="s">
        <v>99</v>
      </c>
      <c r="K49" s="2"/>
      <c r="L49" s="2"/>
      <c r="M49" s="2"/>
      <c r="N49" s="2"/>
      <c r="O49" s="2"/>
      <c r="P49" s="2"/>
    </row>
    <row r="50">
      <c r="A50" s="2"/>
      <c r="B50" s="74"/>
      <c r="C50" s="74"/>
      <c r="D50" s="74"/>
      <c r="E50" s="74"/>
      <c r="F50" s="74"/>
      <c r="G50" s="2"/>
      <c r="H50" s="29"/>
      <c r="I50" s="2"/>
      <c r="J50" s="2"/>
      <c r="K50" s="2"/>
      <c r="L50" s="2"/>
      <c r="M50" s="2"/>
      <c r="N50" s="2"/>
      <c r="O50" s="2"/>
      <c r="P50" s="2"/>
    </row>
    <row r="51">
      <c r="A51" s="28"/>
      <c r="B51" s="74" t="s">
        <v>100</v>
      </c>
      <c r="D51" s="74" t="s">
        <v>101</v>
      </c>
      <c r="F51" s="74" t="s">
        <v>102</v>
      </c>
      <c r="H51" s="29"/>
      <c r="I51" s="2"/>
      <c r="J51" s="2"/>
      <c r="K51" s="2"/>
      <c r="L51" s="2"/>
      <c r="M51" s="2"/>
      <c r="N51" s="2"/>
      <c r="O51" s="2"/>
      <c r="P51" s="2"/>
      <c r="Q51" s="2"/>
    </row>
    <row r="52">
      <c r="A52" s="86"/>
      <c r="B52" s="115" t="s">
        <v>103</v>
      </c>
      <c r="C52" s="116" t="s">
        <v>104</v>
      </c>
      <c r="D52" s="117" t="s">
        <v>105</v>
      </c>
      <c r="E52" s="118" t="s">
        <v>106</v>
      </c>
      <c r="F52" s="115" t="s">
        <v>107</v>
      </c>
      <c r="G52" s="118" t="s">
        <v>108</v>
      </c>
      <c r="H52" s="29"/>
      <c r="I52" s="2"/>
      <c r="J52" s="2"/>
      <c r="K52" s="2"/>
      <c r="L52" s="2"/>
      <c r="M52" s="2"/>
      <c r="N52" s="2"/>
      <c r="O52" s="2"/>
      <c r="P52" s="2"/>
      <c r="Q52" s="2"/>
    </row>
    <row r="53">
      <c r="A53" s="86" t="s">
        <v>109</v>
      </c>
      <c r="B53" s="119">
        <f>C54+C55</f>
        <v>0</v>
      </c>
      <c r="C53" s="120"/>
      <c r="D53" s="119">
        <f>1.1*G25</f>
        <v>0</v>
      </c>
      <c r="E53" s="121">
        <f>D53-G27</f>
        <v>0</v>
      </c>
      <c r="F53" s="122">
        <v>0.0</v>
      </c>
      <c r="G53" s="123">
        <f>B53-G27-F53</f>
        <v>0</v>
      </c>
      <c r="H53" s="29"/>
      <c r="I53" s="2"/>
      <c r="J53" s="2"/>
      <c r="K53" s="2"/>
      <c r="L53" s="2"/>
      <c r="M53" s="2"/>
      <c r="N53" s="2"/>
      <c r="O53" s="2"/>
      <c r="P53" s="2"/>
      <c r="Q53" s="2"/>
    </row>
    <row r="54">
      <c r="A54" s="86" t="s">
        <v>110</v>
      </c>
      <c r="B54" s="124"/>
      <c r="C54" s="125">
        <f>Reference!B57</f>
        <v>0</v>
      </c>
      <c r="D54" s="28"/>
      <c r="E54" s="29"/>
      <c r="F54" s="78"/>
      <c r="G54" s="95"/>
      <c r="H54" s="29"/>
      <c r="I54" s="2"/>
      <c r="J54" s="2"/>
      <c r="K54" s="2"/>
      <c r="L54" s="2"/>
      <c r="M54" s="2"/>
      <c r="N54" s="2"/>
      <c r="O54" s="2"/>
      <c r="P54" s="2"/>
      <c r="Q54" s="2"/>
    </row>
    <row r="55">
      <c r="A55" s="86" t="s">
        <v>111</v>
      </c>
      <c r="B55" s="124"/>
      <c r="C55" s="125">
        <f>Reference!B58</f>
        <v>0</v>
      </c>
      <c r="D55" s="28"/>
      <c r="E55" s="29"/>
      <c r="F55" s="78"/>
      <c r="G55" s="95"/>
      <c r="H55" s="29"/>
      <c r="I55" s="2"/>
      <c r="J55" s="2"/>
      <c r="K55" s="2"/>
      <c r="L55" s="2"/>
      <c r="M55" s="2"/>
      <c r="N55" s="2"/>
      <c r="O55" s="2"/>
      <c r="P55" s="2"/>
      <c r="Q55" s="2"/>
    </row>
    <row r="56">
      <c r="A56" s="86" t="s">
        <v>112</v>
      </c>
      <c r="B56" s="126">
        <f>Reference!B59</f>
        <v>0</v>
      </c>
      <c r="C56" s="120"/>
      <c r="D56" s="127">
        <f>0.9 * B56</f>
        <v>0</v>
      </c>
      <c r="E56" s="128">
        <f>D56-G29</f>
        <v>0</v>
      </c>
      <c r="F56" s="129"/>
      <c r="G56" s="130">
        <f>B56-G29-F56</f>
        <v>0</v>
      </c>
      <c r="H56" s="29"/>
      <c r="I56" s="2"/>
      <c r="J56" s="2"/>
      <c r="K56" s="2"/>
      <c r="L56" s="2"/>
      <c r="M56" s="2"/>
      <c r="N56" s="2"/>
      <c r="O56" s="2"/>
      <c r="P56" s="2"/>
      <c r="Q56" s="2"/>
    </row>
    <row r="57">
      <c r="A57" s="131" t="s">
        <v>113</v>
      </c>
      <c r="B57" s="126">
        <f>B53+B56</f>
        <v>0</v>
      </c>
      <c r="C57" s="132"/>
      <c r="D57" s="132">
        <f t="shared" ref="D57:G57" si="1">SUM(D53:D56)</f>
        <v>0</v>
      </c>
      <c r="E57" s="133">
        <f t="shared" si="1"/>
        <v>0</v>
      </c>
      <c r="F57" s="134">
        <f t="shared" si="1"/>
        <v>0</v>
      </c>
      <c r="G57" s="135">
        <f t="shared" si="1"/>
        <v>0</v>
      </c>
      <c r="H57" s="73"/>
      <c r="I57" s="2"/>
      <c r="J57" s="2"/>
      <c r="K57" s="2"/>
      <c r="L57" s="2"/>
      <c r="M57" s="2"/>
      <c r="N57" s="2"/>
      <c r="O57" s="2"/>
      <c r="P57" s="2"/>
      <c r="Q57" s="2"/>
    </row>
    <row r="58">
      <c r="A58" s="2"/>
      <c r="B58" s="2"/>
      <c r="C58" s="2"/>
      <c r="D58" s="2"/>
      <c r="E58" s="2"/>
      <c r="F58" s="2"/>
      <c r="G58" s="2"/>
      <c r="H58" s="2"/>
      <c r="I58" s="2"/>
      <c r="J58" s="2"/>
      <c r="K58" s="2"/>
      <c r="L58" s="2"/>
      <c r="M58" s="2"/>
      <c r="N58" s="2"/>
      <c r="O58" s="2"/>
      <c r="P58" s="2"/>
    </row>
    <row r="59">
      <c r="A59" s="2"/>
      <c r="B59" s="2"/>
      <c r="C59" s="2"/>
      <c r="D59" s="2"/>
      <c r="E59" s="2"/>
      <c r="F59" s="2"/>
      <c r="G59" s="2"/>
      <c r="H59" s="2"/>
      <c r="I59" s="2"/>
    </row>
    <row r="60">
      <c r="A60" s="2"/>
      <c r="B60" s="2"/>
      <c r="C60" s="2"/>
      <c r="D60" s="2"/>
      <c r="E60" s="4"/>
      <c r="F60" s="2"/>
      <c r="G60" s="2"/>
      <c r="H60" s="2"/>
      <c r="I60" s="2"/>
    </row>
    <row r="65">
      <c r="B65" s="85"/>
      <c r="C65" s="85"/>
      <c r="D65" s="85"/>
    </row>
    <row r="69">
      <c r="C69" s="136"/>
      <c r="D69" s="136"/>
    </row>
    <row r="70">
      <c r="B70" s="137"/>
      <c r="C70" s="85"/>
      <c r="D70" s="85"/>
      <c r="E70" s="85"/>
      <c r="F70" s="85"/>
    </row>
    <row r="71">
      <c r="B71" s="85"/>
      <c r="C71" s="138"/>
    </row>
    <row r="72">
      <c r="B72" s="139"/>
      <c r="C72" s="137"/>
    </row>
    <row r="73">
      <c r="C73" s="85"/>
      <c r="D73" s="85"/>
      <c r="E73" s="137"/>
      <c r="F73" s="137"/>
    </row>
    <row r="74">
      <c r="C74" s="85"/>
      <c r="D74" s="85"/>
      <c r="E74" s="137"/>
      <c r="F74" s="137"/>
    </row>
    <row r="75">
      <c r="C75" s="140"/>
      <c r="D75" s="141"/>
      <c r="E75" s="142"/>
      <c r="F75" s="143"/>
    </row>
    <row r="76">
      <c r="B76" s="144"/>
      <c r="C76" s="85"/>
      <c r="D76" s="85"/>
      <c r="E76" s="85"/>
      <c r="F76" s="85"/>
    </row>
    <row r="77">
      <c r="B77" s="79"/>
      <c r="C77" s="85"/>
      <c r="D77" s="85"/>
      <c r="E77" s="85"/>
      <c r="F77" s="85"/>
    </row>
    <row r="78">
      <c r="B78" s="85"/>
      <c r="C78" s="85"/>
      <c r="D78" s="85"/>
      <c r="E78" s="85"/>
      <c r="F78" s="85"/>
    </row>
    <row r="79">
      <c r="B79" s="85"/>
      <c r="C79" s="85"/>
      <c r="D79" s="85"/>
      <c r="E79" s="85"/>
      <c r="F79" s="85"/>
    </row>
    <row r="80">
      <c r="B80" s="145"/>
      <c r="C80" s="85"/>
      <c r="D80" s="85"/>
      <c r="E80" s="85"/>
      <c r="F80" s="85"/>
    </row>
    <row r="81">
      <c r="B81" s="85"/>
      <c r="C81" s="85"/>
      <c r="D81" s="85"/>
      <c r="E81" s="85"/>
      <c r="F81" s="85"/>
    </row>
    <row r="82">
      <c r="C82" s="85"/>
      <c r="D82" s="85"/>
      <c r="E82" s="85"/>
      <c r="F82" s="85"/>
    </row>
    <row r="83">
      <c r="C83" s="85"/>
      <c r="D83" s="85"/>
      <c r="E83" s="85"/>
      <c r="F83" s="85"/>
    </row>
    <row r="84">
      <c r="B84" s="97"/>
      <c r="C84" s="85"/>
      <c r="D84" s="85"/>
      <c r="E84" s="85"/>
      <c r="F84" s="85"/>
    </row>
    <row r="85">
      <c r="B85" s="146"/>
      <c r="C85" s="85"/>
      <c r="D85" s="85"/>
      <c r="E85" s="85"/>
      <c r="F85" s="85"/>
    </row>
    <row r="86">
      <c r="C86" s="137"/>
      <c r="E86" s="85"/>
      <c r="F86" s="85"/>
    </row>
    <row r="87">
      <c r="B87" s="147"/>
      <c r="C87" s="137"/>
    </row>
    <row r="90">
      <c r="C90" s="137"/>
      <c r="D90" s="137"/>
      <c r="E90" s="137"/>
      <c r="F90" s="79"/>
      <c r="G90" s="79"/>
    </row>
    <row r="91">
      <c r="B91" s="85"/>
    </row>
    <row r="98">
      <c r="C98" s="76"/>
      <c r="D98" s="76"/>
      <c r="E98" s="148"/>
      <c r="F98" s="76"/>
    </row>
    <row r="99">
      <c r="C99" s="76"/>
      <c r="D99" s="76"/>
      <c r="E99" s="148"/>
      <c r="F99" s="76"/>
    </row>
    <row r="100">
      <c r="C100" s="149"/>
      <c r="D100" s="149"/>
      <c r="E100" s="85"/>
      <c r="F100" s="85"/>
    </row>
    <row r="101">
      <c r="C101" s="85"/>
      <c r="D101" s="85"/>
      <c r="E101" s="85"/>
      <c r="F101" s="137"/>
    </row>
    <row r="102">
      <c r="C102" s="85"/>
      <c r="D102" s="85"/>
      <c r="E102" s="85"/>
      <c r="F102" s="150"/>
    </row>
    <row r="103">
      <c r="C103" s="85"/>
      <c r="D103" s="85"/>
      <c r="E103" s="85"/>
      <c r="F103" s="150"/>
    </row>
  </sheetData>
  <mergeCells count="5">
    <mergeCell ref="K42:O42"/>
    <mergeCell ref="C48:H48"/>
    <mergeCell ref="B51:C51"/>
    <mergeCell ref="D51:E51"/>
    <mergeCell ref="F51:G51"/>
  </mergeCells>
  <conditionalFormatting sqref="B29">
    <cfRule type="cellIs" dxfId="0" priority="1" operator="notEqual">
      <formula>B25+B26</formula>
    </cfRule>
  </conditionalFormatting>
  <conditionalFormatting sqref="B30">
    <cfRule type="containsBlanks" dxfId="1" priority="2">
      <formula>LEN(TRIM(B30))=0</formula>
    </cfRule>
  </conditionalFormatting>
  <conditionalFormatting sqref="B30">
    <cfRule type="expression" dxfId="0" priority="3">
      <formula>AND(EQ(K27, "eTrade"), NE(B30,C42))</formula>
    </cfRule>
  </conditionalFormatting>
  <conditionalFormatting sqref="B30">
    <cfRule type="expression" dxfId="2" priority="4">
      <formula>NE(K27,"eTrade")</formula>
    </cfRule>
  </conditionalFormatting>
  <conditionalFormatting sqref="B31">
    <cfRule type="cellIs" dxfId="0" priority="5" operator="notEqual">
      <formula>B42</formula>
    </cfRule>
  </conditionalFormatting>
  <conditionalFormatting sqref="G42">
    <cfRule type="notContainsBlanks" dxfId="3" priority="6">
      <formula>LEN(TRIM(G42))&gt;0</formula>
    </cfRule>
  </conditionalFormatting>
  <conditionalFormatting sqref="F41">
    <cfRule type="cellIs" dxfId="4" priority="7" operator="notEqual">
      <formula>ROUNDDOWN(B26 * indirect("Reference!$B$6"))</formula>
    </cfRule>
  </conditionalFormatting>
  <dataValidations>
    <dataValidation type="list" allowBlank="1" showErrorMessage="1" sqref="K25">
      <formula1>"Mean,Close,High,Low,Custom"</formula1>
    </dataValidation>
    <dataValidation type="list" allowBlank="1" showErrorMessage="1" sqref="K27">
      <formula1>"eTrade,Form 8937,Custom"</formula1>
    </dataValidation>
    <dataValidation type="decimal" operator="equal" allowBlank="1" showDropDown="1" sqref="B29">
      <formula1>B25+B26</formula1>
    </dataValidation>
    <dataValidation type="decimal" operator="equal" allowBlank="1" showDropDown="1" showInputMessage="1" prompt="Check at least one box to select a lot for the fraction to associate with" sqref="C41">
      <formula1>ESPP!AJ28+RSU!AG86</formula1>
    </dataValidation>
    <dataValidation type="list" allowBlank="1" showErrorMessage="1" sqref="K26">
      <formula1>"Per eTrade transaction log,Calculated from Necessary Inputs,Calculated from manual share qty,Manual per-lot ratio"</formula1>
    </dataValidation>
    <dataValidation type="list" allowBlank="1" showErrorMessage="1" sqref="K34">
      <formula1>"By status,Custom"</formula1>
    </dataValidation>
    <dataValidation type="list" allowBlank="1" showInputMessage="1" prompt="Click and enter a value from the list of items" sqref="K28">
      <formula1>"last year,today,2024-03-01,2024-05-01,2024-06-01,2024-08-01,2024-09-01"</formula1>
    </dataValidation>
    <dataValidation type="decimal" operator="greaterThan" allowBlank="1" showDropDown="1" showErrorMessage="1" sqref="M28">
      <formula1>0.0</formula1>
    </dataValidation>
    <dataValidation type="list" allowBlank="1" showErrorMessage="1" sqref="K33">
      <formula1>"Single,Joint,Head of household"</formula1>
    </dataValidation>
    <dataValidation type="list" allowBlank="1" showErrorMessage="1" sqref="K36">
      <formula1>"per-share"</formula1>
    </dataValidation>
  </dataValidations>
  <hyperlinks>
    <hyperlink r:id="rId2" location="/myAccount/stockPlanConfirmations" ref="C3"/>
    <hyperlink r:id="rId3" ref="C4"/>
    <hyperlink r:id="rId4" ref="A13"/>
    <hyperlink r:id="rId5" ref="J49"/>
  </hyperlinks>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hidden="1" min="1" max="1" width="18.13"/>
    <col hidden="1" min="2" max="2" width="12.63"/>
    <col customWidth="1" min="4" max="4" width="14.75"/>
    <col customWidth="1" hidden="1" min="5" max="5" width="19.25"/>
    <col customWidth="1" hidden="1" min="6" max="6" width="20.38"/>
    <col customWidth="1" min="7" max="7" width="16.88"/>
    <col customWidth="1" hidden="1" min="8" max="8" width="23.25"/>
    <col customWidth="1" min="9" max="9" width="20.0"/>
    <col customWidth="1" hidden="1" min="10" max="10" width="14.75"/>
    <col customWidth="1" hidden="1" min="11" max="11" width="11.63"/>
    <col customWidth="1" hidden="1" min="12" max="12" width="20.13"/>
    <col customWidth="1" min="13" max="13" width="24.38"/>
    <col hidden="1" min="15" max="15" width="12.63"/>
    <col customWidth="1" hidden="1" min="16" max="16" width="19.0"/>
    <col customWidth="1" hidden="1" min="17" max="17" width="19.63"/>
    <col customWidth="1" hidden="1" min="18" max="18" width="21.5"/>
    <col hidden="1" min="19" max="19" width="12.63"/>
    <col customWidth="1" hidden="1" min="20" max="20" width="25.13"/>
    <col customWidth="1" hidden="1" min="21" max="22" width="23.75"/>
    <col customWidth="1" min="23" max="23" width="23.75"/>
    <col customWidth="1" hidden="1" min="24" max="24" width="12.5"/>
    <col customWidth="1" hidden="1" min="25" max="26" width="17.38"/>
    <col customWidth="1" hidden="1" min="27" max="28" width="28.0"/>
    <col customWidth="1" hidden="1" min="29" max="29" width="23.38"/>
    <col customWidth="1" hidden="1" min="30" max="30" width="21.0"/>
    <col customWidth="1" hidden="1" min="31" max="31" width="13.0"/>
    <col customWidth="1" hidden="1" min="32" max="34" width="17.38"/>
    <col customWidth="1" hidden="1" min="35" max="35" width="23.75"/>
    <col hidden="1" min="36" max="37" width="12.63"/>
    <col customWidth="1" min="39" max="39" width="19.63"/>
    <col customWidth="1" min="40" max="40" width="12.13"/>
    <col customWidth="1" min="41" max="41" width="13.63"/>
    <col customWidth="1" min="42" max="42" width="13.0"/>
    <col customWidth="1" min="43" max="43" width="13.88"/>
    <col customWidth="1" min="44" max="44" width="12.13"/>
    <col customWidth="1" min="45" max="45" width="13.25"/>
    <col customWidth="1" min="46" max="48" width="12.13"/>
    <col customWidth="1" min="49" max="49" width="19.75"/>
    <col customWidth="1" min="50" max="50" width="23.38"/>
    <col customWidth="1" hidden="1" min="51" max="51" width="7.63"/>
    <col customWidth="1" min="52" max="52" width="19.88"/>
    <col customWidth="1" min="53" max="54" width="18.13"/>
  </cols>
  <sheetData>
    <row r="1">
      <c r="A1" s="151" t="s">
        <v>1</v>
      </c>
      <c r="W1" s="152"/>
      <c r="X1" s="74" t="s">
        <v>114</v>
      </c>
      <c r="BB1" s="152"/>
    </row>
    <row r="2">
      <c r="A2" s="153" t="s">
        <v>115</v>
      </c>
      <c r="B2" s="112"/>
      <c r="C2" s="112"/>
      <c r="D2" s="112"/>
      <c r="E2" s="112"/>
      <c r="F2" s="112"/>
      <c r="G2" s="112"/>
      <c r="H2" s="112"/>
      <c r="I2" s="112"/>
      <c r="J2" s="112"/>
      <c r="K2" s="112"/>
      <c r="L2" s="113"/>
      <c r="M2" s="154" t="s">
        <v>116</v>
      </c>
      <c r="N2" s="112"/>
      <c r="O2" s="155"/>
      <c r="P2" s="155"/>
      <c r="Q2" s="155"/>
      <c r="R2" s="155"/>
      <c r="S2" s="155"/>
      <c r="T2" s="155"/>
      <c r="U2" s="155"/>
      <c r="V2" s="112"/>
      <c r="W2" s="113"/>
      <c r="X2" s="70" t="s">
        <v>117</v>
      </c>
      <c r="Y2" s="112"/>
      <c r="Z2" s="112"/>
      <c r="AA2" s="112"/>
      <c r="AB2" s="112"/>
      <c r="AC2" s="112"/>
      <c r="AD2" s="112"/>
      <c r="AE2" s="112"/>
      <c r="AF2" s="112"/>
      <c r="AG2" s="112"/>
      <c r="AH2" s="112"/>
      <c r="AI2" s="112"/>
      <c r="AJ2" s="156"/>
      <c r="AK2" s="70" t="s">
        <v>118</v>
      </c>
      <c r="AL2" s="112"/>
      <c r="AM2" s="112"/>
      <c r="AN2" s="112"/>
      <c r="AO2" s="112"/>
      <c r="AP2" s="112"/>
      <c r="AQ2" s="112"/>
      <c r="AR2" s="112"/>
      <c r="AS2" s="112"/>
      <c r="AT2" s="112"/>
      <c r="AU2" s="112"/>
      <c r="AV2" s="113"/>
      <c r="AW2" s="157" t="s">
        <v>119</v>
      </c>
      <c r="AX2" s="112"/>
      <c r="AY2" s="112"/>
      <c r="AZ2" s="112"/>
      <c r="BA2" s="112"/>
      <c r="BB2" s="113"/>
    </row>
    <row r="3">
      <c r="A3" s="158"/>
      <c r="B3" s="159" t="s">
        <v>120</v>
      </c>
      <c r="H3" s="160" t="s">
        <v>121</v>
      </c>
      <c r="I3" s="159" t="s">
        <v>122</v>
      </c>
      <c r="L3" s="152"/>
      <c r="M3" s="161" t="s">
        <v>123</v>
      </c>
      <c r="N3" s="162" t="s">
        <v>124</v>
      </c>
      <c r="O3" s="163" t="s">
        <v>125</v>
      </c>
      <c r="P3" s="164"/>
      <c r="Q3" s="164"/>
      <c r="R3" s="164"/>
      <c r="S3" s="164"/>
      <c r="T3" s="165"/>
      <c r="U3" s="166" t="s">
        <v>126</v>
      </c>
      <c r="W3" s="152"/>
      <c r="X3" s="167" t="s">
        <v>127</v>
      </c>
      <c r="AA3" s="152"/>
      <c r="AB3" s="167" t="s">
        <v>128</v>
      </c>
      <c r="AC3" s="152"/>
      <c r="AD3" s="52" t="s">
        <v>129</v>
      </c>
      <c r="AE3" s="167" t="s">
        <v>130</v>
      </c>
      <c r="AH3" s="152"/>
      <c r="AI3" s="167" t="s">
        <v>131</v>
      </c>
      <c r="AJ3" s="168"/>
      <c r="AK3" s="167" t="s">
        <v>132</v>
      </c>
      <c r="AL3" s="152"/>
      <c r="AM3" s="167"/>
      <c r="AN3" s="152"/>
      <c r="AO3" s="74" t="s">
        <v>86</v>
      </c>
      <c r="AW3" s="169" t="s">
        <v>133</v>
      </c>
      <c r="BB3" s="152"/>
    </row>
    <row r="4">
      <c r="A4" s="170" t="s">
        <v>134</v>
      </c>
      <c r="B4" s="171" t="s">
        <v>135</v>
      </c>
      <c r="C4" s="172" t="s">
        <v>136</v>
      </c>
      <c r="D4" s="173" t="s">
        <v>137</v>
      </c>
      <c r="E4" s="174" t="s">
        <v>138</v>
      </c>
      <c r="F4" s="172" t="s">
        <v>139</v>
      </c>
      <c r="G4" s="172" t="s">
        <v>140</v>
      </c>
      <c r="H4" s="175" t="s">
        <v>141</v>
      </c>
      <c r="I4" s="172" t="s">
        <v>142</v>
      </c>
      <c r="J4" s="172" t="s">
        <v>143</v>
      </c>
      <c r="K4" s="172" t="s">
        <v>144</v>
      </c>
      <c r="L4" s="170" t="s">
        <v>145</v>
      </c>
      <c r="M4" s="176" t="s">
        <v>146</v>
      </c>
      <c r="N4" s="177"/>
      <c r="O4" s="178" t="s">
        <v>147</v>
      </c>
      <c r="P4" s="162" t="s">
        <v>148</v>
      </c>
      <c r="Q4" s="162" t="s">
        <v>149</v>
      </c>
      <c r="R4" s="162" t="s">
        <v>150</v>
      </c>
      <c r="S4" s="162" t="s">
        <v>151</v>
      </c>
      <c r="T4" s="179" t="s">
        <v>152</v>
      </c>
      <c r="U4" s="176" t="s">
        <v>153</v>
      </c>
      <c r="V4" s="177" t="s">
        <v>154</v>
      </c>
      <c r="W4" s="180" t="s">
        <v>155</v>
      </c>
      <c r="X4" s="174" t="s">
        <v>156</v>
      </c>
      <c r="Y4" s="181" t="s">
        <v>157</v>
      </c>
      <c r="Z4" s="181" t="s">
        <v>158</v>
      </c>
      <c r="AA4" s="182" t="s">
        <v>159</v>
      </c>
      <c r="AB4" s="174" t="s">
        <v>160</v>
      </c>
      <c r="AC4" s="182" t="s">
        <v>161</v>
      </c>
      <c r="AD4" s="174" t="s">
        <v>162</v>
      </c>
      <c r="AE4" s="183" t="s">
        <v>156</v>
      </c>
      <c r="AF4" s="174" t="s">
        <v>163</v>
      </c>
      <c r="AG4" s="174" t="s">
        <v>158</v>
      </c>
      <c r="AH4" s="182" t="s">
        <v>164</v>
      </c>
      <c r="AI4" s="174" t="s">
        <v>165</v>
      </c>
      <c r="AJ4" s="184" t="s">
        <v>76</v>
      </c>
      <c r="AK4" s="185" t="s">
        <v>166</v>
      </c>
      <c r="AL4" s="182" t="s">
        <v>75</v>
      </c>
      <c r="AM4" s="174" t="s">
        <v>167</v>
      </c>
      <c r="AN4" s="186" t="s">
        <v>168</v>
      </c>
      <c r="AO4" s="187" t="s">
        <v>169</v>
      </c>
      <c r="AP4" s="188" t="s">
        <v>170</v>
      </c>
      <c r="AQ4" s="188" t="s">
        <v>171</v>
      </c>
      <c r="AR4" s="188" t="s">
        <v>87</v>
      </c>
      <c r="AS4" s="188" t="s">
        <v>88</v>
      </c>
      <c r="AT4" s="188" t="s">
        <v>89</v>
      </c>
      <c r="AU4" s="188" t="s">
        <v>90</v>
      </c>
      <c r="AV4" s="189" t="s">
        <v>91</v>
      </c>
      <c r="AW4" s="186" t="s">
        <v>172</v>
      </c>
      <c r="AX4" s="186" t="s">
        <v>173</v>
      </c>
      <c r="AY4" s="186" t="s">
        <v>174</v>
      </c>
      <c r="AZ4" s="186" t="s">
        <v>175</v>
      </c>
      <c r="BA4" s="190" t="s">
        <v>176</v>
      </c>
      <c r="BB4" s="191" t="s">
        <v>177</v>
      </c>
    </row>
    <row r="5">
      <c r="A5" s="192"/>
      <c r="B5" s="82"/>
      <c r="C5" s="82"/>
      <c r="D5" s="193">
        <f>SUM(D7:D26)</f>
        <v>0</v>
      </c>
      <c r="E5" s="82"/>
      <c r="F5" s="82"/>
      <c r="G5" s="84"/>
      <c r="H5" s="194">
        <f>SUM(H7:H26)</f>
        <v>0</v>
      </c>
      <c r="I5" s="82"/>
      <c r="J5" s="82"/>
      <c r="K5" s="82"/>
      <c r="L5" s="82"/>
      <c r="M5" s="195">
        <f>SUM(M7:M26)</f>
        <v>0</v>
      </c>
      <c r="N5" s="84">
        <f>COUNTIF(N7:N26, TRUE)</f>
        <v>0</v>
      </c>
      <c r="O5" s="192"/>
      <c r="P5" s="82"/>
      <c r="Q5" s="82"/>
      <c r="R5" s="82"/>
      <c r="S5" s="82"/>
      <c r="T5" s="84"/>
      <c r="U5" s="82"/>
      <c r="V5" s="82"/>
      <c r="W5" s="82"/>
      <c r="X5" s="194">
        <f t="shared" ref="X5:AA5" si="1">SUM(X7:X26)</f>
        <v>0</v>
      </c>
      <c r="Y5" s="194">
        <f t="shared" si="1"/>
        <v>0</v>
      </c>
      <c r="Z5" s="194">
        <f t="shared" si="1"/>
        <v>0</v>
      </c>
      <c r="AA5" s="194">
        <f t="shared" si="1"/>
        <v>0</v>
      </c>
      <c r="AB5" s="82"/>
      <c r="AC5" s="82"/>
      <c r="AD5" s="82"/>
      <c r="AE5" s="81">
        <f t="shared" ref="AE5:AN5" si="2">SUM(AE7:AE26)</f>
        <v>0</v>
      </c>
      <c r="AF5" s="81">
        <f t="shared" si="2"/>
        <v>0</v>
      </c>
      <c r="AG5" s="81">
        <f t="shared" si="2"/>
        <v>0</v>
      </c>
      <c r="AH5" s="196">
        <f t="shared" si="2"/>
        <v>0</v>
      </c>
      <c r="AI5" s="194">
        <f t="shared" si="2"/>
        <v>0</v>
      </c>
      <c r="AJ5" s="197">
        <f t="shared" si="2"/>
        <v>0</v>
      </c>
      <c r="AK5" s="198">
        <f t="shared" si="2"/>
        <v>0</v>
      </c>
      <c r="AL5" s="199">
        <f t="shared" si="2"/>
        <v>0</v>
      </c>
      <c r="AM5" s="119">
        <f t="shared" si="2"/>
        <v>0</v>
      </c>
      <c r="AN5" s="198">
        <f t="shared" si="2"/>
        <v>0</v>
      </c>
      <c r="AO5" s="200"/>
      <c r="AP5" s="201"/>
      <c r="AQ5" s="201"/>
      <c r="AR5" s="202">
        <f t="shared" ref="AR5:AS5" si="3">SUM(AR7:AR26)</f>
        <v>0</v>
      </c>
      <c r="AS5" s="202">
        <f t="shared" si="3"/>
        <v>0</v>
      </c>
      <c r="AT5" s="201"/>
      <c r="AU5" s="202">
        <f t="shared" ref="AU5:AV5" si="4">SUM(AU7:AU26)</f>
        <v>0</v>
      </c>
      <c r="AV5" s="203">
        <f t="shared" si="4"/>
        <v>0</v>
      </c>
      <c r="AW5" s="82"/>
      <c r="AX5" s="204">
        <f>SUM(AX28)</f>
        <v>0</v>
      </c>
      <c r="AY5" s="204"/>
      <c r="AZ5" s="204">
        <f t="shared" ref="AZ5:BB5" si="5">SUM(AZ7:AZ26)</f>
        <v>0</v>
      </c>
      <c r="BA5" s="205">
        <f t="shared" si="5"/>
        <v>0</v>
      </c>
      <c r="BB5" s="206">
        <f t="shared" si="5"/>
        <v>0</v>
      </c>
    </row>
    <row r="6">
      <c r="A6" s="207"/>
      <c r="B6" s="207"/>
      <c r="C6" s="207"/>
      <c r="D6" s="207"/>
      <c r="E6" s="207"/>
      <c r="F6" s="207"/>
      <c r="G6" s="207"/>
      <c r="H6" s="207"/>
      <c r="I6" s="207"/>
      <c r="J6" s="207"/>
      <c r="K6" s="207"/>
      <c r="L6" s="207"/>
      <c r="M6" s="207"/>
      <c r="N6" s="208"/>
      <c r="O6" s="209"/>
      <c r="P6" s="208"/>
      <c r="Q6" s="208"/>
      <c r="R6" s="208"/>
      <c r="S6" s="208"/>
      <c r="T6" s="210"/>
      <c r="U6" s="208"/>
      <c r="V6" s="208"/>
      <c r="W6" s="211"/>
      <c r="X6" s="207"/>
      <c r="Y6" s="207"/>
      <c r="Z6" s="207"/>
      <c r="AA6" s="207"/>
      <c r="AB6" s="207"/>
      <c r="AC6" s="207"/>
      <c r="AD6" s="207"/>
      <c r="AE6" s="207"/>
      <c r="AF6" s="207"/>
      <c r="AG6" s="207"/>
      <c r="AH6" s="207"/>
      <c r="AI6" s="207"/>
      <c r="AJ6" s="207"/>
      <c r="AK6" s="212"/>
      <c r="AL6" s="207"/>
      <c r="AM6" s="213"/>
      <c r="AN6" s="213"/>
      <c r="AO6" s="214"/>
      <c r="AP6" s="215"/>
      <c r="AQ6" s="215"/>
      <c r="AR6" s="215"/>
      <c r="AS6" s="215"/>
      <c r="AT6" s="215"/>
      <c r="AU6" s="215"/>
      <c r="AV6" s="216"/>
      <c r="AW6" s="213"/>
      <c r="AX6" s="207"/>
      <c r="AY6" s="217"/>
      <c r="AZ6" s="207"/>
      <c r="BA6" s="218"/>
      <c r="BB6" s="207"/>
    </row>
    <row r="7">
      <c r="A7" s="219">
        <f t="shared" ref="A7:A26" si="6">B7</f>
        <v>41122</v>
      </c>
      <c r="B7" s="220">
        <v>41122.0</v>
      </c>
      <c r="C7" s="221">
        <v>41305.0</v>
      </c>
      <c r="D7" s="222"/>
      <c r="E7" s="223">
        <v>89.0</v>
      </c>
      <c r="F7" s="223">
        <v>76.48</v>
      </c>
      <c r="G7" s="224"/>
      <c r="H7" s="225">
        <f t="shared" ref="H7:H26" si="7">D7*L7</f>
        <v>0</v>
      </c>
      <c r="I7" s="224">
        <v>0.0</v>
      </c>
      <c r="J7" s="225">
        <f t="shared" ref="J7:J26" si="8">I7+G7</f>
        <v>0</v>
      </c>
      <c r="K7" s="225">
        <f t="shared" ref="K7:K26" si="9">J7-H7</f>
        <v>0</v>
      </c>
      <c r="L7" s="226">
        <f t="shared" ref="L7:L13" si="10">0.85*MIN(E7,F7)</f>
        <v>65.008</v>
      </c>
      <c r="M7" s="227"/>
      <c r="N7" s="228" t="b">
        <v>0</v>
      </c>
      <c r="O7" s="229"/>
      <c r="P7" s="230">
        <v>0.0</v>
      </c>
      <c r="Q7" s="230">
        <v>0.0</v>
      </c>
      <c r="R7" s="230">
        <v>0.0</v>
      </c>
      <c r="S7" s="230">
        <v>0.0</v>
      </c>
      <c r="T7" s="231">
        <v>0.0</v>
      </c>
      <c r="U7" s="232">
        <f t="shared" ref="U7:U26" si="11">iferror(M7/(0.252*D7),0)</f>
        <v>0</v>
      </c>
      <c r="V7" s="232">
        <f>SWITCH(W7,"cash",Reference!$E$5,"shares",Reference!$E$6,"balance",Reference!$E$7)</f>
        <v>0</v>
      </c>
      <c r="W7" s="233" t="s">
        <v>178</v>
      </c>
      <c r="X7" s="234">
        <f>Reference!$B$4*Reference!$B$3*$D7</f>
        <v>0</v>
      </c>
      <c r="Y7" s="234">
        <f>iferror(LET(ratio, U7,(1-ratio) * Reference!$B$3 * $D7),0)</f>
        <v>0</v>
      </c>
      <c r="Z7" s="234">
        <f>iferror(LET(ratio, V7,(1-ratio) * Reference!$B$3 * $D7),0)</f>
        <v>0</v>
      </c>
      <c r="AA7" s="234">
        <f>SWITCH(Reference!$E$4,"eTradeTransactionLog", X7, "eTradeHoldingRatio", X7, "eTradeLotQtyRatio",Y7, "manualLotRatio", Z7)</f>
        <v>0</v>
      </c>
      <c r="AB7" s="225">
        <f>IF(C7&lt;Reference!$B$26,Reference!$C$26,0)</f>
        <v>10.18</v>
      </c>
      <c r="AC7" s="225">
        <f>IF(C7&lt;Reference!$B$27,Reference!$C$27,0)</f>
        <v>16.87</v>
      </c>
      <c r="AD7" s="225">
        <f t="shared" ref="AD7:AD26" si="12">(L7 /0.85)-AB7-AC7</f>
        <v>49.43</v>
      </c>
      <c r="AE7" s="235">
        <f>$D7*Reference!$B$5*Reference!$B$6</f>
        <v>0</v>
      </c>
      <c r="AF7" s="235">
        <f>$D7*U7*Reference!$B$6</f>
        <v>0</v>
      </c>
      <c r="AG7" s="235">
        <f>$D7*V7*Reference!$B$6</f>
        <v>0</v>
      </c>
      <c r="AH7" s="235">
        <f>SWITCH(Reference!$E$4,"eTradeTransactionLog", AE7, "eTradeHoldingRatio", AE7, "eTradeLotQtyRatio",AF7, "manualLotRatio", AG7)</f>
        <v>0</v>
      </c>
      <c r="AI7" s="236">
        <f>MAX(AA7+(AH7*Reference!$B$18)-(D7*AD7),0)</f>
        <v>0</v>
      </c>
      <c r="AJ7" s="237">
        <f>IF(N7,Summary!$C$41/ ($N$28+RSU!J$86), 0)</f>
        <v>0</v>
      </c>
      <c r="AK7" s="238">
        <f>IF(N7,(Reference!$B$23 - AW7) * AJ7, 0)</f>
        <v>0</v>
      </c>
      <c r="AL7" s="239">
        <f t="shared" ref="AL7:AL26" si="13">MIN(AA7,AI7)</f>
        <v>0</v>
      </c>
      <c r="AM7" s="240">
        <f>IF(DATEDIF(C7,Reference!$B$28,"Y")&gt;=1,0,AK7+AL7)+iferror(((AZ7/D7)*AJ7),0)</f>
        <v>0</v>
      </c>
      <c r="AN7" s="240">
        <f>IF(DATEDIF(C7,Reference!$B$28,"Y")&gt;=1,AK7+AL7,0)</f>
        <v>0</v>
      </c>
      <c r="AO7" s="241" t="str">
        <f>IF(DATEDIF(L7,Reference!$B$28,"Y")&gt;=1,"Part II Box D","Part I Box A")</f>
        <v>Part II Box D</v>
      </c>
      <c r="AP7" s="242">
        <f t="shared" ref="AP7:AP26" si="14">C7</f>
        <v>41305</v>
      </c>
      <c r="AQ7" s="243">
        <f t="shared" ref="AQ7:AQ26" si="15">X7</f>
        <v>0</v>
      </c>
      <c r="AR7" s="243">
        <f>SWITCH(Reference!$E$9, "combined", AA7+(AH7*Reference!$B$18), "cashOnly", AA7)</f>
        <v>0</v>
      </c>
      <c r="AS7" s="244">
        <f t="shared" ref="AS7:AS26" si="16">P7</f>
        <v>0</v>
      </c>
      <c r="AT7" s="244" t="str">
        <f t="shared" ref="AT7:AT26" si="17">IF(AU7=0,,"B")</f>
        <v/>
      </c>
      <c r="AU7" s="243">
        <f>LET(avgoFMV, Reference!$B$18*AH7, vmwBasis, AD7*D7, AS7 - IF(AA7&lt;AI7,avgoFmv,vmwBasis))</f>
        <v>0</v>
      </c>
      <c r="AV7" s="245">
        <f t="shared" ref="AV7:AV26" si="18">MAX(AR7-AS7+AU7, 0)</f>
        <v>0</v>
      </c>
      <c r="AW7" s="246" t="str">
        <f t="shared" ref="AW7:AW26" si="19">IFERROR(((AD7*D7) - AA7 + AL7 + IF(AY7, 0, AZ7))/AH7, "n/a")</f>
        <v>n/a</v>
      </c>
      <c r="AX7" s="247">
        <f>iferror((Reference!$B$10-AW7)*(AH7 - AJ7), 0)</f>
        <v>0</v>
      </c>
      <c r="AY7" s="248" t="b">
        <f>AND(DATEDIF(B7,Reference!$B$29,"Y")&gt;=1, DATEDIF(A7, Reference!$B$29, "Y")&gt;=2)</f>
        <v>1</v>
      </c>
      <c r="AZ7" s="247">
        <f t="shared" ref="AZ7:AZ26" si="20">IF(AY7,D7*0.15*MIN(E7,F7),D7*(F7-L7))</f>
        <v>0</v>
      </c>
      <c r="BA7" s="249">
        <f>IF(DATEDIF(C7,Reference!$B$29,"Y")&gt;=1,0,AM7)</f>
        <v>0</v>
      </c>
      <c r="BB7" s="250">
        <f t="shared" ref="BB7:BB26" si="21">AX7</f>
        <v>0</v>
      </c>
    </row>
    <row r="8">
      <c r="A8" s="219">
        <f t="shared" si="6"/>
        <v>41306</v>
      </c>
      <c r="B8" s="220">
        <v>41306.0</v>
      </c>
      <c r="C8" s="221">
        <f t="shared" ref="C8:C10" si="22">DATE(YEAR(C7),MONTH(C7)+6,DAY(C7))</f>
        <v>41486</v>
      </c>
      <c r="D8" s="222"/>
      <c r="E8" s="223">
        <v>78.79</v>
      </c>
      <c r="F8" s="223">
        <v>82.19</v>
      </c>
      <c r="G8" s="224"/>
      <c r="H8" s="225">
        <f t="shared" si="7"/>
        <v>0</v>
      </c>
      <c r="I8" s="223">
        <f t="shared" ref="I8:I26" si="23">K7</f>
        <v>0</v>
      </c>
      <c r="J8" s="225">
        <f t="shared" si="8"/>
        <v>0</v>
      </c>
      <c r="K8" s="225">
        <f t="shared" si="9"/>
        <v>0</v>
      </c>
      <c r="L8" s="226">
        <f t="shared" si="10"/>
        <v>66.9715</v>
      </c>
      <c r="M8" s="227"/>
      <c r="N8" s="228" t="b">
        <v>0</v>
      </c>
      <c r="O8" s="251"/>
      <c r="P8" s="230">
        <v>0.0</v>
      </c>
      <c r="Q8" s="230">
        <v>0.0</v>
      </c>
      <c r="R8" s="230">
        <v>0.0</v>
      </c>
      <c r="S8" s="230">
        <v>0.0</v>
      </c>
      <c r="T8" s="231">
        <v>0.0</v>
      </c>
      <c r="U8" s="232">
        <f t="shared" si="11"/>
        <v>0</v>
      </c>
      <c r="V8" s="232">
        <f>SWITCH(W8,"cash",Reference!$E$5,"shares",Reference!$E$6,"balance",Reference!$E$7)</f>
        <v>0</v>
      </c>
      <c r="W8" s="233" t="s">
        <v>178</v>
      </c>
      <c r="X8" s="234">
        <f>Reference!$B$4*Reference!$B$3*D8</f>
        <v>0</v>
      </c>
      <c r="Y8" s="234">
        <f>iferror(LET(ratio, U8,(1-ratio) * Reference!$B$3 * D8),0)</f>
        <v>0</v>
      </c>
      <c r="Z8" s="234">
        <f>iferror(LET(ratio, V8,(1-ratio) * Reference!$B$3 * $D8),0)</f>
        <v>0</v>
      </c>
      <c r="AA8" s="234">
        <f>SWITCH(Reference!$E$4,"eTradeTransactionLog", X8, "eTradeHoldingRatio", X8, "eTradeLotQtyRatio",Y8, "manualLotRatio", Z8)</f>
        <v>0</v>
      </c>
      <c r="AB8" s="225">
        <f>IF(C8&lt;Reference!$B$26,Reference!$C$26,0)</f>
        <v>10.18</v>
      </c>
      <c r="AC8" s="225">
        <f>IF(C8&lt;Reference!$B$27,Reference!$C$27,0)</f>
        <v>16.87</v>
      </c>
      <c r="AD8" s="225">
        <f t="shared" si="12"/>
        <v>51.74</v>
      </c>
      <c r="AE8" s="235">
        <f>D8*Reference!$B$5*Reference!$B$6</f>
        <v>0</v>
      </c>
      <c r="AF8" s="235">
        <f>$D8*U8*Reference!$B$6</f>
        <v>0</v>
      </c>
      <c r="AG8" s="235">
        <f>$D8*V8*Reference!$B$6</f>
        <v>0</v>
      </c>
      <c r="AH8" s="235">
        <f>SWITCH(Reference!$E$4,"eTradeTransactionLog", AE8, "eTradeHoldingRatio", AE8, "eTradeLotQtyRatio",AF8, "manualLotRatio", AG8)</f>
        <v>0</v>
      </c>
      <c r="AI8" s="236">
        <f>MAX(AA8+(AH8*Reference!$B$18)-(D8*AD8),0)</f>
        <v>0</v>
      </c>
      <c r="AJ8" s="237">
        <f>IF(N8,Summary!$C$41/ ($N$28+RSU!J$86), 0)</f>
        <v>0</v>
      </c>
      <c r="AK8" s="238">
        <f>IF(N8,(Reference!$B$23 - AW8) * AJ8, 0)</f>
        <v>0</v>
      </c>
      <c r="AL8" s="239">
        <f t="shared" si="13"/>
        <v>0</v>
      </c>
      <c r="AM8" s="240">
        <f>IF(DATEDIF(C8,Reference!$B$28,"Y")&gt;=1,0,AK8+AL8)+iferror(((AZ8/D8)*AJ8),0)</f>
        <v>0</v>
      </c>
      <c r="AN8" s="240">
        <f>IF(DATEDIF(C8,Reference!$B$28,"Y")&gt;=1,AK8+AL8,0)</f>
        <v>0</v>
      </c>
      <c r="AO8" s="252" t="str">
        <f>IF(DATEDIF(L8,Reference!$B$28,"Y")&gt;=1,"Part II Box D","Part I Box A")</f>
        <v>Part II Box D</v>
      </c>
      <c r="AP8" s="253">
        <f t="shared" si="14"/>
        <v>41486</v>
      </c>
      <c r="AQ8" s="254">
        <f t="shared" si="15"/>
        <v>0</v>
      </c>
      <c r="AR8" s="254">
        <f>SWITCH(Reference!$E$9, "combined", AA8+(AH8*Reference!$B$18), "cashOnly", AA8)</f>
        <v>0</v>
      </c>
      <c r="AS8" s="255">
        <f t="shared" si="16"/>
        <v>0</v>
      </c>
      <c r="AT8" s="255" t="str">
        <f t="shared" si="17"/>
        <v/>
      </c>
      <c r="AU8" s="254">
        <f>LET(avgoFMV, Reference!$B$18*AH8, vmwBasis, AD8*D8, AS8 - IF(AA8&lt;AI8,avgoFmv,vmwBasis))</f>
        <v>0</v>
      </c>
      <c r="AV8" s="256">
        <f t="shared" si="18"/>
        <v>0</v>
      </c>
      <c r="AW8" s="246" t="str">
        <f t="shared" si="19"/>
        <v>n/a</v>
      </c>
      <c r="AX8" s="247">
        <f>iferror((Reference!$B$10-AW8)*(AH8 - AJ8), 0)</f>
        <v>0</v>
      </c>
      <c r="AY8" s="248" t="b">
        <f>AND(DATEDIF(B8,Reference!$B$29,"Y")&gt;=1, DATEDIF(A8, Reference!$B$29, "Y")&gt;=2)</f>
        <v>1</v>
      </c>
      <c r="AZ8" s="247">
        <f t="shared" si="20"/>
        <v>0</v>
      </c>
      <c r="BA8" s="249">
        <f>IF(DATEDIF(C8,Reference!$B$29,"Y")&gt;=1,0,AM8)</f>
        <v>0</v>
      </c>
      <c r="BB8" s="250">
        <f t="shared" si="21"/>
        <v>0</v>
      </c>
    </row>
    <row r="9">
      <c r="A9" s="219">
        <f t="shared" si="6"/>
        <v>41487</v>
      </c>
      <c r="B9" s="220">
        <v>41487.0</v>
      </c>
      <c r="C9" s="221">
        <f t="shared" si="22"/>
        <v>41670</v>
      </c>
      <c r="D9" s="222"/>
      <c r="E9" s="223">
        <v>82.1</v>
      </c>
      <c r="F9" s="223">
        <v>90.14</v>
      </c>
      <c r="G9" s="224"/>
      <c r="H9" s="225">
        <f t="shared" si="7"/>
        <v>0</v>
      </c>
      <c r="I9" s="223">
        <f t="shared" si="23"/>
        <v>0</v>
      </c>
      <c r="J9" s="225">
        <f t="shared" si="8"/>
        <v>0</v>
      </c>
      <c r="K9" s="225">
        <f t="shared" si="9"/>
        <v>0</v>
      </c>
      <c r="L9" s="226">
        <f t="shared" si="10"/>
        <v>69.785</v>
      </c>
      <c r="M9" s="227"/>
      <c r="N9" s="257" t="b">
        <v>0</v>
      </c>
      <c r="O9" s="229"/>
      <c r="P9" s="230">
        <v>0.0</v>
      </c>
      <c r="Q9" s="230">
        <v>0.0</v>
      </c>
      <c r="R9" s="230">
        <v>0.0</v>
      </c>
      <c r="S9" s="230">
        <v>0.0</v>
      </c>
      <c r="T9" s="231">
        <v>0.0</v>
      </c>
      <c r="U9" s="232">
        <f t="shared" si="11"/>
        <v>0</v>
      </c>
      <c r="V9" s="232">
        <f>SWITCH(W9,"cash",Reference!$E$5,"shares",Reference!$E$6,"balance",Reference!$E$7)</f>
        <v>0</v>
      </c>
      <c r="W9" s="233" t="s">
        <v>178</v>
      </c>
      <c r="X9" s="234">
        <f>Reference!$B$4*Reference!$B$3*D9</f>
        <v>0</v>
      </c>
      <c r="Y9" s="234">
        <f>iferror(LET(ratio, U9,(1-ratio) * Reference!$B$3 * D9),0)</f>
        <v>0</v>
      </c>
      <c r="Z9" s="234">
        <f>iferror(LET(ratio, V9,(1-ratio) * Reference!$B$3 * $D9),0)</f>
        <v>0</v>
      </c>
      <c r="AA9" s="234">
        <f>SWITCH(Reference!$E$4,"eTradeTransactionLog", X9, "eTradeHoldingRatio", X9, "eTradeLotQtyRatio",Y9, "manualLotRatio", Z9)</f>
        <v>0</v>
      </c>
      <c r="AB9" s="225">
        <f>IF(C9&lt;Reference!$B$26,Reference!$C$26,0)</f>
        <v>10.18</v>
      </c>
      <c r="AC9" s="225">
        <f>IF(C9&lt;Reference!$B$27,Reference!$C$27,0)</f>
        <v>16.87</v>
      </c>
      <c r="AD9" s="225">
        <f t="shared" si="12"/>
        <v>55.05</v>
      </c>
      <c r="AE9" s="235">
        <f>D9*Reference!$B$5*Reference!$B$6</f>
        <v>0</v>
      </c>
      <c r="AF9" s="235">
        <f>$D9*U9*Reference!$B$6</f>
        <v>0</v>
      </c>
      <c r="AG9" s="235">
        <f>$D9*V9*Reference!$B$6</f>
        <v>0</v>
      </c>
      <c r="AH9" s="235">
        <f>SWITCH(Reference!$E$4,"eTradeTransactionLog", AE9, "eTradeHoldingRatio", AE9, "eTradeLotQtyRatio",AF9, "manualLotRatio", AG9)</f>
        <v>0</v>
      </c>
      <c r="AI9" s="236">
        <f>MAX(AA9+(AH9*Reference!$B$18)-(D9*AD9),0)</f>
        <v>0</v>
      </c>
      <c r="AJ9" s="237">
        <f>IF(N9,Summary!$C$41/ ($N$28+RSU!J$86), 0)</f>
        <v>0</v>
      </c>
      <c r="AK9" s="238">
        <f>IF(N9,(Reference!$B$23 - AW9) * AJ9, 0)</f>
        <v>0</v>
      </c>
      <c r="AL9" s="239">
        <f t="shared" si="13"/>
        <v>0</v>
      </c>
      <c r="AM9" s="240">
        <f>IF(DATEDIF(C9,Reference!$B$28,"Y")&gt;=1,0,AK9+AL9)+iferror(((AZ9/D9)*AJ9),0)</f>
        <v>0</v>
      </c>
      <c r="AN9" s="240">
        <f>IF(DATEDIF(C9,Reference!$B$28,"Y")&gt;=1,AK9+AL9,0)</f>
        <v>0</v>
      </c>
      <c r="AO9" s="252" t="str">
        <f>IF(DATEDIF(L9,Reference!$B$28,"Y")&gt;=1,"Part II Box D","Part I Box A")</f>
        <v>Part II Box D</v>
      </c>
      <c r="AP9" s="253">
        <f t="shared" si="14"/>
        <v>41670</v>
      </c>
      <c r="AQ9" s="254">
        <f t="shared" si="15"/>
        <v>0</v>
      </c>
      <c r="AR9" s="254">
        <f>SWITCH(Reference!$E$9, "combined", AA9+(AH9*Reference!$B$18), "cashOnly", AA9)</f>
        <v>0</v>
      </c>
      <c r="AS9" s="255">
        <f t="shared" si="16"/>
        <v>0</v>
      </c>
      <c r="AT9" s="255" t="str">
        <f t="shared" si="17"/>
        <v/>
      </c>
      <c r="AU9" s="254">
        <f>LET(avgoFMV, Reference!$B$18*AH9, vmwBasis, AD9*D9, AS9 - IF(AA9&lt;AI9,avgoFmv,vmwBasis))</f>
        <v>0</v>
      </c>
      <c r="AV9" s="256">
        <f t="shared" si="18"/>
        <v>0</v>
      </c>
      <c r="AW9" s="246" t="str">
        <f t="shared" si="19"/>
        <v>n/a</v>
      </c>
      <c r="AX9" s="247">
        <f>iferror((Reference!$B$10-AW9)*(AH9 - AJ9), 0)</f>
        <v>0</v>
      </c>
      <c r="AY9" s="248" t="b">
        <f>AND(DATEDIF(B9,Reference!$B$29,"Y")&gt;=1, DATEDIF(A9, Reference!$B$29, "Y")&gt;=2)</f>
        <v>1</v>
      </c>
      <c r="AZ9" s="247">
        <f t="shared" si="20"/>
        <v>0</v>
      </c>
      <c r="BA9" s="249">
        <f>IF(DATEDIF(C9,Reference!$B$29,"Y")&gt;=1,0,AM9)</f>
        <v>0</v>
      </c>
      <c r="BB9" s="250">
        <f t="shared" si="21"/>
        <v>0</v>
      </c>
    </row>
    <row r="10">
      <c r="A10" s="219">
        <f t="shared" si="6"/>
        <v>41671</v>
      </c>
      <c r="B10" s="220">
        <v>41671.0</v>
      </c>
      <c r="C10" s="221">
        <f t="shared" si="22"/>
        <v>41851</v>
      </c>
      <c r="D10" s="222"/>
      <c r="E10" s="223">
        <v>90.14</v>
      </c>
      <c r="F10" s="223">
        <v>99.36</v>
      </c>
      <c r="G10" s="224"/>
      <c r="H10" s="225">
        <f t="shared" si="7"/>
        <v>0</v>
      </c>
      <c r="I10" s="223">
        <f t="shared" si="23"/>
        <v>0</v>
      </c>
      <c r="J10" s="225">
        <f t="shared" si="8"/>
        <v>0</v>
      </c>
      <c r="K10" s="225">
        <f t="shared" si="9"/>
        <v>0</v>
      </c>
      <c r="L10" s="226">
        <f t="shared" si="10"/>
        <v>76.619</v>
      </c>
      <c r="M10" s="227"/>
      <c r="N10" s="228" t="b">
        <v>0</v>
      </c>
      <c r="O10" s="251"/>
      <c r="P10" s="230">
        <v>0.0</v>
      </c>
      <c r="Q10" s="230">
        <v>0.0</v>
      </c>
      <c r="R10" s="230">
        <v>0.0</v>
      </c>
      <c r="S10" s="230">
        <v>0.0</v>
      </c>
      <c r="T10" s="231">
        <v>0.0</v>
      </c>
      <c r="U10" s="232">
        <f t="shared" si="11"/>
        <v>0</v>
      </c>
      <c r="V10" s="232">
        <f>SWITCH(W10,"cash",Reference!$E$5,"shares",Reference!$E$6,"balance",Reference!$E$7)</f>
        <v>0</v>
      </c>
      <c r="W10" s="233" t="s">
        <v>178</v>
      </c>
      <c r="X10" s="234">
        <f>Reference!$B$4*Reference!$B$3*D10</f>
        <v>0</v>
      </c>
      <c r="Y10" s="234">
        <f>iferror(LET(ratio, U10,(1-ratio) * Reference!$B$3 * D10),0)</f>
        <v>0</v>
      </c>
      <c r="Z10" s="234">
        <f>iferror(LET(ratio, V10,(1-ratio) * Reference!$B$3 * $D10),0)</f>
        <v>0</v>
      </c>
      <c r="AA10" s="234">
        <f>SWITCH(Reference!$E$4,"eTradeTransactionLog", X10, "eTradeHoldingRatio", X10, "eTradeLotQtyRatio",Y10, "manualLotRatio", Z10)</f>
        <v>0</v>
      </c>
      <c r="AB10" s="225">
        <f>IF(C10&lt;Reference!$B$26,Reference!$C$26,0)</f>
        <v>10.18</v>
      </c>
      <c r="AC10" s="225">
        <f>IF(C10&lt;Reference!$B$27,Reference!$C$27,0)</f>
        <v>16.87</v>
      </c>
      <c r="AD10" s="225">
        <f t="shared" si="12"/>
        <v>63.09</v>
      </c>
      <c r="AE10" s="235">
        <f>D10*Reference!$B$5*Reference!$B$6</f>
        <v>0</v>
      </c>
      <c r="AF10" s="235">
        <f>$D10*U10*Reference!$B$6</f>
        <v>0</v>
      </c>
      <c r="AG10" s="235">
        <f>$D10*V10*Reference!$B$6</f>
        <v>0</v>
      </c>
      <c r="AH10" s="235">
        <f>SWITCH(Reference!$E$4,"eTradeTransactionLog", AE10, "eTradeHoldingRatio", AE10, "eTradeLotQtyRatio",AF10, "manualLotRatio", AG10)</f>
        <v>0</v>
      </c>
      <c r="AI10" s="236">
        <f>MAX(AA10+(AH10*Reference!$B$18)-(D10*AD10),0)</f>
        <v>0</v>
      </c>
      <c r="AJ10" s="237">
        <f>IF(N10,Summary!$C$41/ ($N$28+RSU!J$86), 0)</f>
        <v>0</v>
      </c>
      <c r="AK10" s="238">
        <f>IF(N10,(Reference!$B$23 - AW10) * AJ10, 0)</f>
        <v>0</v>
      </c>
      <c r="AL10" s="239">
        <f t="shared" si="13"/>
        <v>0</v>
      </c>
      <c r="AM10" s="240">
        <f>IF(DATEDIF(C10,Reference!$B$28,"Y")&gt;=1,0,AK10+AL10)+iferror(((AZ10/D10)*AJ10),0)</f>
        <v>0</v>
      </c>
      <c r="AN10" s="240">
        <f>IF(DATEDIF(C10,Reference!$B$28,"Y")&gt;=1,AK10+AL10,0)</f>
        <v>0</v>
      </c>
      <c r="AO10" s="252" t="str">
        <f>IF(DATEDIF(L10,Reference!$B$28,"Y")&gt;=1,"Part II Box D","Part I Box A")</f>
        <v>Part II Box D</v>
      </c>
      <c r="AP10" s="253">
        <f t="shared" si="14"/>
        <v>41851</v>
      </c>
      <c r="AQ10" s="254">
        <f t="shared" si="15"/>
        <v>0</v>
      </c>
      <c r="AR10" s="254">
        <f>SWITCH(Reference!$E$9, "combined", AA10+(AH10*Reference!$B$18), "cashOnly", AA10)</f>
        <v>0</v>
      </c>
      <c r="AS10" s="255">
        <f t="shared" si="16"/>
        <v>0</v>
      </c>
      <c r="AT10" s="255" t="str">
        <f t="shared" si="17"/>
        <v/>
      </c>
      <c r="AU10" s="254">
        <f>LET(avgoFMV, Reference!$B$18*AH10, vmwBasis, AD10*D10, AS10 - IF(AA10&lt;AI10,avgoFmv,vmwBasis))</f>
        <v>0</v>
      </c>
      <c r="AV10" s="256">
        <f t="shared" si="18"/>
        <v>0</v>
      </c>
      <c r="AW10" s="246" t="str">
        <f t="shared" si="19"/>
        <v>n/a</v>
      </c>
      <c r="AX10" s="247">
        <f>iferror((Reference!$B$10-AW10)*(AH10 - AJ10), 0)</f>
        <v>0</v>
      </c>
      <c r="AY10" s="248" t="b">
        <f>AND(DATEDIF(B10,Reference!$B$29,"Y")&gt;=1, DATEDIF(A10, Reference!$B$29, "Y")&gt;=2)</f>
        <v>1</v>
      </c>
      <c r="AZ10" s="247">
        <f t="shared" si="20"/>
        <v>0</v>
      </c>
      <c r="BA10" s="249">
        <f>IF(DATEDIF(C10,Reference!$B$29,"Y")&gt;=1,0,AM10)</f>
        <v>0</v>
      </c>
      <c r="BB10" s="250">
        <f t="shared" si="21"/>
        <v>0</v>
      </c>
    </row>
    <row r="11">
      <c r="A11" s="219">
        <f t="shared" si="6"/>
        <v>41852</v>
      </c>
      <c r="B11" s="220">
        <v>41852.0</v>
      </c>
      <c r="C11" s="221">
        <v>42035.0</v>
      </c>
      <c r="D11" s="222"/>
      <c r="E11" s="223">
        <v>98.33</v>
      </c>
      <c r="F11" s="223">
        <v>77.1</v>
      </c>
      <c r="G11" s="224"/>
      <c r="H11" s="225">
        <f t="shared" si="7"/>
        <v>0</v>
      </c>
      <c r="I11" s="223">
        <f t="shared" si="23"/>
        <v>0</v>
      </c>
      <c r="J11" s="225">
        <f t="shared" si="8"/>
        <v>0</v>
      </c>
      <c r="K11" s="225">
        <f t="shared" si="9"/>
        <v>0</v>
      </c>
      <c r="L11" s="226">
        <f t="shared" si="10"/>
        <v>65.535</v>
      </c>
      <c r="M11" s="258"/>
      <c r="N11" s="257" t="b">
        <v>0</v>
      </c>
      <c r="O11" s="229"/>
      <c r="P11" s="230">
        <v>0.0</v>
      </c>
      <c r="Q11" s="230">
        <v>0.0</v>
      </c>
      <c r="R11" s="230">
        <v>0.0</v>
      </c>
      <c r="S11" s="230">
        <v>0.0</v>
      </c>
      <c r="T11" s="231">
        <v>0.0</v>
      </c>
      <c r="U11" s="232">
        <f t="shared" si="11"/>
        <v>0</v>
      </c>
      <c r="V11" s="232">
        <f>SWITCH(W11,"cash",Reference!$E$5,"shares",Reference!$E$6,"balance",Reference!$E$7)</f>
        <v>0</v>
      </c>
      <c r="W11" s="233" t="s">
        <v>178</v>
      </c>
      <c r="X11" s="234">
        <f>Reference!$B$4*Reference!$B$3*D11</f>
        <v>0</v>
      </c>
      <c r="Y11" s="234">
        <f>iferror(LET(ratio, U11,(1-ratio) * Reference!$B$3 * D11),0)</f>
        <v>0</v>
      </c>
      <c r="Z11" s="234">
        <f>iferror(LET(ratio, V11,(1-ratio) * Reference!$B$3 * $D11),0)</f>
        <v>0</v>
      </c>
      <c r="AA11" s="234">
        <f>SWITCH(Reference!$E$4,"eTradeTransactionLog", X11, "eTradeHoldingRatio", X11, "eTradeLotQtyRatio",Y11, "manualLotRatio", Z11)</f>
        <v>0</v>
      </c>
      <c r="AB11" s="225">
        <f>IF(C11&lt;Reference!$B$26,Reference!$C$26,0)</f>
        <v>10.18</v>
      </c>
      <c r="AC11" s="225">
        <f>IF(C11&lt;Reference!$B$27,Reference!$C$27,0)</f>
        <v>16.87</v>
      </c>
      <c r="AD11" s="225">
        <f t="shared" si="12"/>
        <v>50.05</v>
      </c>
      <c r="AE11" s="235">
        <f>D11*Reference!$B$5*Reference!$B$6</f>
        <v>0</v>
      </c>
      <c r="AF11" s="235">
        <f>$D11*U11*Reference!$B$6</f>
        <v>0</v>
      </c>
      <c r="AG11" s="235">
        <f>$D11*V11*Reference!$B$6</f>
        <v>0</v>
      </c>
      <c r="AH11" s="235">
        <f>SWITCH(Reference!$E$4,"eTradeTransactionLog", AE11, "eTradeHoldingRatio", AE11, "eTradeLotQtyRatio",AF11, "manualLotRatio", AG11)</f>
        <v>0</v>
      </c>
      <c r="AI11" s="236">
        <f>MAX(AA11+(AH11*Reference!$B$18)-(D11*AD11),0)</f>
        <v>0</v>
      </c>
      <c r="AJ11" s="237">
        <f>IF(N11,Summary!$C$41/ ($N$28+RSU!J$86), 0)</f>
        <v>0</v>
      </c>
      <c r="AK11" s="238">
        <f>IF(N11,(Reference!$B$23 - AW11) * AJ11, 0)</f>
        <v>0</v>
      </c>
      <c r="AL11" s="239">
        <f t="shared" si="13"/>
        <v>0</v>
      </c>
      <c r="AM11" s="240">
        <f>IF(DATEDIF(C11,Reference!$B$28,"Y")&gt;=1,0,AK11+AL11)+iferror(((AZ11/D11)*AJ11),0)</f>
        <v>0</v>
      </c>
      <c r="AN11" s="240">
        <f>IF(DATEDIF(C11,Reference!$B$28,"Y")&gt;=1,AK11+AL11,0)</f>
        <v>0</v>
      </c>
      <c r="AO11" s="252" t="str">
        <f>IF(DATEDIF(L11,Reference!$B$28,"Y")&gt;=1,"Part II Box D","Part I Box A")</f>
        <v>Part II Box D</v>
      </c>
      <c r="AP11" s="253">
        <f t="shared" si="14"/>
        <v>42035</v>
      </c>
      <c r="AQ11" s="254">
        <f t="shared" si="15"/>
        <v>0</v>
      </c>
      <c r="AR11" s="254">
        <f>SWITCH(Reference!$E$9, "combined", AA11+(AH11*Reference!$B$18), "cashOnly", AA11)</f>
        <v>0</v>
      </c>
      <c r="AS11" s="255">
        <f t="shared" si="16"/>
        <v>0</v>
      </c>
      <c r="AT11" s="255" t="str">
        <f t="shared" si="17"/>
        <v/>
      </c>
      <c r="AU11" s="254">
        <f>LET(avgoFMV, Reference!$B$18*AH11, vmwBasis, AD11*D11, AS11 - IF(AA11&lt;AI11,avgoFmv,vmwBasis))</f>
        <v>0</v>
      </c>
      <c r="AV11" s="256">
        <f t="shared" si="18"/>
        <v>0</v>
      </c>
      <c r="AW11" s="246" t="str">
        <f t="shared" si="19"/>
        <v>n/a</v>
      </c>
      <c r="AX11" s="247">
        <f>iferror((Reference!$B$10-AW11)*(AH11 - AJ11), 0)</f>
        <v>0</v>
      </c>
      <c r="AY11" s="248" t="b">
        <f>AND(DATEDIF(B11,Reference!$B$29,"Y")&gt;=1, DATEDIF(A11, Reference!$B$29, "Y")&gt;=2)</f>
        <v>1</v>
      </c>
      <c r="AZ11" s="247">
        <f t="shared" si="20"/>
        <v>0</v>
      </c>
      <c r="BA11" s="249">
        <f>IF(DATEDIF(C11,Reference!$B$29,"Y")&gt;=1,0,AM11)</f>
        <v>0</v>
      </c>
      <c r="BB11" s="250">
        <f t="shared" si="21"/>
        <v>0</v>
      </c>
    </row>
    <row r="12">
      <c r="A12" s="219">
        <f t="shared" si="6"/>
        <v>42036</v>
      </c>
      <c r="B12" s="220">
        <v>42036.0</v>
      </c>
      <c r="C12" s="221">
        <f t="shared" ref="C12:C14" si="24">DATE(YEAR(C11),MONTH(C11)+6,DAY(C11))</f>
        <v>42216</v>
      </c>
      <c r="D12" s="222"/>
      <c r="E12" s="223">
        <v>77.1</v>
      </c>
      <c r="F12" s="223">
        <v>89.13</v>
      </c>
      <c r="G12" s="224"/>
      <c r="H12" s="225">
        <f t="shared" si="7"/>
        <v>0</v>
      </c>
      <c r="I12" s="223">
        <f t="shared" si="23"/>
        <v>0</v>
      </c>
      <c r="J12" s="225">
        <f t="shared" si="8"/>
        <v>0</v>
      </c>
      <c r="K12" s="225">
        <f t="shared" si="9"/>
        <v>0</v>
      </c>
      <c r="L12" s="226">
        <f t="shared" si="10"/>
        <v>65.535</v>
      </c>
      <c r="M12" s="227"/>
      <c r="N12" s="257" t="b">
        <v>0</v>
      </c>
      <c r="O12" s="229"/>
      <c r="P12" s="230">
        <v>0.0</v>
      </c>
      <c r="Q12" s="230">
        <v>0.0</v>
      </c>
      <c r="R12" s="230">
        <v>0.0</v>
      </c>
      <c r="S12" s="230">
        <v>0.0</v>
      </c>
      <c r="T12" s="231">
        <v>0.0</v>
      </c>
      <c r="U12" s="232">
        <f t="shared" si="11"/>
        <v>0</v>
      </c>
      <c r="V12" s="232">
        <f>SWITCH(W12,"cash",Reference!$E$5,"shares",Reference!$E$6,"balance",Reference!$E$7)</f>
        <v>0</v>
      </c>
      <c r="W12" s="233" t="s">
        <v>178</v>
      </c>
      <c r="X12" s="234">
        <f>Reference!$B$4*Reference!$B$3*D12</f>
        <v>0</v>
      </c>
      <c r="Y12" s="234">
        <f>iferror(LET(ratio, U12,(1-ratio) * Reference!$B$3 * D12),0)</f>
        <v>0</v>
      </c>
      <c r="Z12" s="234">
        <f>iferror(LET(ratio, V12,(1-ratio) * Reference!$B$3 * $D12),0)</f>
        <v>0</v>
      </c>
      <c r="AA12" s="234">
        <f>SWITCH(Reference!$E$4,"eTradeTransactionLog", X12, "eTradeHoldingRatio", X12, "eTradeLotQtyRatio",Y12, "manualLotRatio", Z12)</f>
        <v>0</v>
      </c>
      <c r="AB12" s="225">
        <f>IF(C12&lt;Reference!$B$26,Reference!$C$26,0)</f>
        <v>10.18</v>
      </c>
      <c r="AC12" s="225">
        <f>IF(C12&lt;Reference!$B$27,Reference!$C$27,0)</f>
        <v>16.87</v>
      </c>
      <c r="AD12" s="225">
        <f t="shared" si="12"/>
        <v>50.05</v>
      </c>
      <c r="AE12" s="235">
        <f>D12*Reference!$B$5*Reference!$B$6</f>
        <v>0</v>
      </c>
      <c r="AF12" s="235">
        <f>$D12*U12*Reference!$B$6</f>
        <v>0</v>
      </c>
      <c r="AG12" s="235">
        <f>$D12*V12*Reference!$B$6</f>
        <v>0</v>
      </c>
      <c r="AH12" s="235">
        <f>SWITCH(Reference!$E$4,"eTradeTransactionLog", AE12, "eTradeHoldingRatio", AE12, "eTradeLotQtyRatio",AF12, "manualLotRatio", AG12)</f>
        <v>0</v>
      </c>
      <c r="AI12" s="236">
        <f>MAX(AA12+(AH12*Reference!$B$18)-(D12*AD12),0)</f>
        <v>0</v>
      </c>
      <c r="AJ12" s="237">
        <f>IF(N12,Summary!$C$41/ ($N$28+RSU!J$86), 0)</f>
        <v>0</v>
      </c>
      <c r="AK12" s="238">
        <f>IF(N12,(Reference!$B$23 - AW12) * AJ12, 0)</f>
        <v>0</v>
      </c>
      <c r="AL12" s="239">
        <f t="shared" si="13"/>
        <v>0</v>
      </c>
      <c r="AM12" s="240">
        <f>IF(DATEDIF(C12,Reference!$B$28,"Y")&gt;=1,0,AK12+AL12)+iferror(((AZ12/D12)*AJ12),0)</f>
        <v>0</v>
      </c>
      <c r="AN12" s="240">
        <f>IF(DATEDIF(C12,Reference!$B$28,"Y")&gt;=1,AK12+AL12,0)</f>
        <v>0</v>
      </c>
      <c r="AO12" s="252" t="str">
        <f>IF(DATEDIF(L12,Reference!$B$28,"Y")&gt;=1,"Part II Box D","Part I Box A")</f>
        <v>Part II Box D</v>
      </c>
      <c r="AP12" s="253">
        <f t="shared" si="14"/>
        <v>42216</v>
      </c>
      <c r="AQ12" s="254">
        <f t="shared" si="15"/>
        <v>0</v>
      </c>
      <c r="AR12" s="254">
        <f>SWITCH(Reference!$E$9, "combined", AA12+(AH12*Reference!$B$18), "cashOnly", AA12)</f>
        <v>0</v>
      </c>
      <c r="AS12" s="255">
        <f t="shared" si="16"/>
        <v>0</v>
      </c>
      <c r="AT12" s="255" t="str">
        <f t="shared" si="17"/>
        <v/>
      </c>
      <c r="AU12" s="254">
        <f>LET(avgoFMV, Reference!$B$18*AH12, vmwBasis, AD12*D12, AS12 - IF(AA12&lt;AI12,avgoFmv,vmwBasis))</f>
        <v>0</v>
      </c>
      <c r="AV12" s="256">
        <f t="shared" si="18"/>
        <v>0</v>
      </c>
      <c r="AW12" s="246" t="str">
        <f t="shared" si="19"/>
        <v>n/a</v>
      </c>
      <c r="AX12" s="247">
        <f>iferror((Reference!$B$10-AW12)*(AH12 - AJ12), 0)</f>
        <v>0</v>
      </c>
      <c r="AY12" s="248" t="b">
        <f>AND(DATEDIF(B12,Reference!$B$29,"Y")&gt;=1, DATEDIF(A12, Reference!$B$29, "Y")&gt;=2)</f>
        <v>1</v>
      </c>
      <c r="AZ12" s="247">
        <f t="shared" si="20"/>
        <v>0</v>
      </c>
      <c r="BA12" s="249">
        <f>IF(DATEDIF(C12,Reference!$B$29,"Y")&gt;=1,0,AM12)</f>
        <v>0</v>
      </c>
      <c r="BB12" s="250">
        <f t="shared" si="21"/>
        <v>0</v>
      </c>
    </row>
    <row r="13">
      <c r="A13" s="219">
        <f t="shared" si="6"/>
        <v>42217</v>
      </c>
      <c r="B13" s="220">
        <v>42217.0</v>
      </c>
      <c r="C13" s="221">
        <f t="shared" si="24"/>
        <v>42400</v>
      </c>
      <c r="D13" s="222"/>
      <c r="E13" s="223">
        <v>89.13</v>
      </c>
      <c r="F13" s="223">
        <v>45.75</v>
      </c>
      <c r="G13" s="224"/>
      <c r="H13" s="225">
        <f t="shared" si="7"/>
        <v>0</v>
      </c>
      <c r="I13" s="223">
        <f t="shared" si="23"/>
        <v>0</v>
      </c>
      <c r="J13" s="225">
        <f t="shared" si="8"/>
        <v>0</v>
      </c>
      <c r="K13" s="225">
        <f t="shared" si="9"/>
        <v>0</v>
      </c>
      <c r="L13" s="226">
        <f t="shared" si="10"/>
        <v>38.8875</v>
      </c>
      <c r="M13" s="227"/>
      <c r="N13" s="259" t="b">
        <v>0</v>
      </c>
      <c r="O13" s="260"/>
      <c r="P13" s="230">
        <v>0.0</v>
      </c>
      <c r="Q13" s="230">
        <v>0.0</v>
      </c>
      <c r="R13" s="230">
        <v>0.0</v>
      </c>
      <c r="S13" s="230">
        <v>0.0</v>
      </c>
      <c r="T13" s="231">
        <v>0.0</v>
      </c>
      <c r="U13" s="232">
        <f t="shared" si="11"/>
        <v>0</v>
      </c>
      <c r="V13" s="232">
        <f>SWITCH(W13,"cash",Reference!$E$5,"shares",Reference!$E$6,"balance",Reference!$E$7)</f>
        <v>0</v>
      </c>
      <c r="W13" s="233" t="s">
        <v>178</v>
      </c>
      <c r="X13" s="234">
        <f>Reference!$B$4*Reference!$B$3*D13</f>
        <v>0</v>
      </c>
      <c r="Y13" s="234">
        <f>iferror(LET(ratio, U13,(1-ratio) * Reference!$B$3 * D13),0)</f>
        <v>0</v>
      </c>
      <c r="Z13" s="234">
        <f>iferror(LET(ratio, V13,(1-ratio) * Reference!$B$3 * $D13),0)</f>
        <v>0</v>
      </c>
      <c r="AA13" s="234">
        <f>SWITCH(Reference!$E$4,"eTradeTransactionLog", X13, "eTradeHoldingRatio", X13, "eTradeLotQtyRatio",Y13, "manualLotRatio", Z13)</f>
        <v>0</v>
      </c>
      <c r="AB13" s="225">
        <f>IF(C13&lt;Reference!$B$26,Reference!$C$26,0)</f>
        <v>10.18</v>
      </c>
      <c r="AC13" s="225">
        <f>IF(C13&lt;Reference!$B$27,Reference!$C$27,0)</f>
        <v>16.87</v>
      </c>
      <c r="AD13" s="225">
        <f t="shared" si="12"/>
        <v>18.7</v>
      </c>
      <c r="AE13" s="235">
        <f>D13*Reference!$B$5*Reference!$B$6</f>
        <v>0</v>
      </c>
      <c r="AF13" s="235">
        <f>$D13*U13*Reference!$B$6</f>
        <v>0</v>
      </c>
      <c r="AG13" s="235">
        <f>$D13*V13*Reference!$B$6</f>
        <v>0</v>
      </c>
      <c r="AH13" s="235">
        <f>SWITCH(Reference!$E$4,"eTradeTransactionLog", AE13, "eTradeHoldingRatio", AE13, "eTradeLotQtyRatio",AF13, "manualLotRatio", AG13)</f>
        <v>0</v>
      </c>
      <c r="AI13" s="236">
        <f>MAX(AA13+(AH13*Reference!$B$18)-(D13*AD13),0)</f>
        <v>0</v>
      </c>
      <c r="AJ13" s="237">
        <f>IF(N13,Summary!$C$41/ ($N$28+RSU!J$86), 0)</f>
        <v>0</v>
      </c>
      <c r="AK13" s="238">
        <f>IF(N13,(Reference!$B$23 - AW13) * AJ13, 0)</f>
        <v>0</v>
      </c>
      <c r="AL13" s="239">
        <f t="shared" si="13"/>
        <v>0</v>
      </c>
      <c r="AM13" s="240">
        <f>IF(DATEDIF(C13,Reference!$B$28,"Y")&gt;=1,0,AK13+AL13)+iferror(((AZ13/D13)*AJ13),0)</f>
        <v>0</v>
      </c>
      <c r="AN13" s="240">
        <f>IF(DATEDIF(C13,Reference!$B$28,"Y")&gt;=1,AK13+AL13,0)</f>
        <v>0</v>
      </c>
      <c r="AO13" s="252" t="str">
        <f>IF(DATEDIF(L13,Reference!$B$28,"Y")&gt;=1,"Part II Box D","Part I Box A")</f>
        <v>Part II Box D</v>
      </c>
      <c r="AP13" s="253">
        <f t="shared" si="14"/>
        <v>42400</v>
      </c>
      <c r="AQ13" s="254">
        <f t="shared" si="15"/>
        <v>0</v>
      </c>
      <c r="AR13" s="254">
        <f>SWITCH(Reference!$E$9, "combined", AA13+(AH13*Reference!$B$18), "cashOnly", AA13)</f>
        <v>0</v>
      </c>
      <c r="AS13" s="255">
        <f t="shared" si="16"/>
        <v>0</v>
      </c>
      <c r="AT13" s="255" t="str">
        <f t="shared" si="17"/>
        <v/>
      </c>
      <c r="AU13" s="254">
        <f>LET(avgoFMV, Reference!$B$18*AH13, vmwBasis, AD13*D13, AS13 - IF(AA13&lt;AI13,avgoFmv,vmwBasis))</f>
        <v>0</v>
      </c>
      <c r="AV13" s="256">
        <f t="shared" si="18"/>
        <v>0</v>
      </c>
      <c r="AW13" s="246" t="str">
        <f t="shared" si="19"/>
        <v>n/a</v>
      </c>
      <c r="AX13" s="247">
        <f>iferror((Reference!$B$10-AW13)*(AH13 - AJ13), 0)</f>
        <v>0</v>
      </c>
      <c r="AY13" s="248" t="b">
        <f>AND(DATEDIF(B13,Reference!$B$29,"Y")&gt;=1, DATEDIF(A13, Reference!$B$29, "Y")&gt;=2)</f>
        <v>1</v>
      </c>
      <c r="AZ13" s="247">
        <f t="shared" si="20"/>
        <v>0</v>
      </c>
      <c r="BA13" s="249">
        <f>IF(DATEDIF(C13,Reference!$B$29,"Y")&gt;=1,0,AM13)</f>
        <v>0</v>
      </c>
      <c r="BB13" s="250">
        <f t="shared" si="21"/>
        <v>0</v>
      </c>
    </row>
    <row r="14">
      <c r="A14" s="219">
        <f t="shared" si="6"/>
        <v>42401</v>
      </c>
      <c r="B14" s="220">
        <v>42401.0</v>
      </c>
      <c r="C14" s="221">
        <f t="shared" si="24"/>
        <v>42582</v>
      </c>
      <c r="D14" s="222"/>
      <c r="E14" s="223">
        <v>45.49</v>
      </c>
      <c r="F14" s="223">
        <v>72.98</v>
      </c>
      <c r="G14" s="224"/>
      <c r="H14" s="225">
        <f t="shared" si="7"/>
        <v>0</v>
      </c>
      <c r="I14" s="223">
        <f t="shared" si="23"/>
        <v>0</v>
      </c>
      <c r="J14" s="225">
        <f t="shared" si="8"/>
        <v>0</v>
      </c>
      <c r="K14" s="225">
        <f t="shared" si="9"/>
        <v>0</v>
      </c>
      <c r="L14" s="261">
        <f t="shared" ref="L14:L26" si="25">ROUND(0.85*MIN(E14,F14),2)</f>
        <v>38.67</v>
      </c>
      <c r="M14" s="258"/>
      <c r="N14" s="259" t="b">
        <v>0</v>
      </c>
      <c r="O14" s="260"/>
      <c r="P14" s="230">
        <v>0.0</v>
      </c>
      <c r="Q14" s="230">
        <v>0.0</v>
      </c>
      <c r="R14" s="230">
        <v>0.0</v>
      </c>
      <c r="S14" s="230">
        <v>0.0</v>
      </c>
      <c r="T14" s="231">
        <v>0.0</v>
      </c>
      <c r="U14" s="232">
        <f t="shared" si="11"/>
        <v>0</v>
      </c>
      <c r="V14" s="232">
        <f>SWITCH(W14,"cash",Reference!$E$5,"shares",Reference!$E$6,"balance",Reference!$E$7)</f>
        <v>0</v>
      </c>
      <c r="W14" s="233" t="s">
        <v>178</v>
      </c>
      <c r="X14" s="234">
        <f>Reference!$B$4*Reference!$B$3*D14</f>
        <v>0</v>
      </c>
      <c r="Y14" s="234">
        <f>iferror(LET(ratio, U14,(1-ratio) * Reference!$B$3 * D14),0)</f>
        <v>0</v>
      </c>
      <c r="Z14" s="234">
        <f>iferror(LET(ratio, V14,(1-ratio) * Reference!$B$3 * $D14),0)</f>
        <v>0</v>
      </c>
      <c r="AA14" s="234">
        <f>SWITCH(Reference!$E$4,"eTradeTransactionLog", X14, "eTradeHoldingRatio", X14, "eTradeLotQtyRatio",Y14, "manualLotRatio", Z14)</f>
        <v>0</v>
      </c>
      <c r="AB14" s="225">
        <f>IF(C14&lt;Reference!$B$26,Reference!$C$26,0)</f>
        <v>10.18</v>
      </c>
      <c r="AC14" s="225">
        <f>IF(C14&lt;Reference!$B$27,Reference!$C$27,0)</f>
        <v>16.87</v>
      </c>
      <c r="AD14" s="225">
        <f t="shared" si="12"/>
        <v>18.44411765</v>
      </c>
      <c r="AE14" s="235">
        <f>D14*Reference!$B$5*Reference!$B$6</f>
        <v>0</v>
      </c>
      <c r="AF14" s="235">
        <f>$D14*U14*Reference!$B$6</f>
        <v>0</v>
      </c>
      <c r="AG14" s="235">
        <f>$D14*V14*Reference!$B$6</f>
        <v>0</v>
      </c>
      <c r="AH14" s="235">
        <f>SWITCH(Reference!$E$4,"eTradeTransactionLog", AE14, "eTradeHoldingRatio", AE14, "eTradeLotQtyRatio",AF14, "manualLotRatio", AG14)</f>
        <v>0</v>
      </c>
      <c r="AI14" s="236">
        <f>MAX(AA14+(AH14*Reference!$B$18)-(D14*AD14),0)</f>
        <v>0</v>
      </c>
      <c r="AJ14" s="237">
        <f>IF(N14,Summary!$C$41/ ($N$28+RSU!J$86), 0)</f>
        <v>0</v>
      </c>
      <c r="AK14" s="238">
        <f>IF(N14,(Reference!$B$23 - AW14) * AJ14, 0)</f>
        <v>0</v>
      </c>
      <c r="AL14" s="239">
        <f t="shared" si="13"/>
        <v>0</v>
      </c>
      <c r="AM14" s="240">
        <f>IF(DATEDIF(C14,Reference!$B$28,"Y")&gt;=1,0,AK14+AL14)+iferror(((AZ14/D14)*AJ14),0)</f>
        <v>0</v>
      </c>
      <c r="AN14" s="240">
        <f>IF(DATEDIF(C14,Reference!$B$28,"Y")&gt;=1,AK14+AL14,0)</f>
        <v>0</v>
      </c>
      <c r="AO14" s="252" t="str">
        <f>IF(DATEDIF(L14,Reference!$B$28,"Y")&gt;=1,"Part II Box D","Part I Box A")</f>
        <v>Part II Box D</v>
      </c>
      <c r="AP14" s="253">
        <f t="shared" si="14"/>
        <v>42582</v>
      </c>
      <c r="AQ14" s="254">
        <f t="shared" si="15"/>
        <v>0</v>
      </c>
      <c r="AR14" s="254">
        <f>SWITCH(Reference!$E$9, "combined", AA14+(AH14*Reference!$B$18), "cashOnly", AA14)</f>
        <v>0</v>
      </c>
      <c r="AS14" s="255">
        <f t="shared" si="16"/>
        <v>0</v>
      </c>
      <c r="AT14" s="255" t="str">
        <f t="shared" si="17"/>
        <v/>
      </c>
      <c r="AU14" s="254">
        <f>LET(avgoFMV, Reference!$B$18*AH14, vmwBasis, AD14*D14, AS14 - IF(AA14&lt;AI14,avgoFmv,vmwBasis))</f>
        <v>0</v>
      </c>
      <c r="AV14" s="256">
        <f t="shared" si="18"/>
        <v>0</v>
      </c>
      <c r="AW14" s="246" t="str">
        <f t="shared" si="19"/>
        <v>n/a</v>
      </c>
      <c r="AX14" s="247">
        <f>iferror((Reference!$B$10-AW14)*(AH14 - AJ14), 0)</f>
        <v>0</v>
      </c>
      <c r="AY14" s="248" t="b">
        <f>AND(DATEDIF(B14,Reference!$B$29,"Y")&gt;=1, DATEDIF(A14, Reference!$B$29, "Y")&gt;=2)</f>
        <v>1</v>
      </c>
      <c r="AZ14" s="247">
        <f t="shared" si="20"/>
        <v>0</v>
      </c>
      <c r="BA14" s="249">
        <f>IF(DATEDIF(C14,Reference!$B$29,"Y")&gt;=1,0,AM14)</f>
        <v>0</v>
      </c>
      <c r="BB14" s="250">
        <f t="shared" si="21"/>
        <v>0</v>
      </c>
    </row>
    <row r="15">
      <c r="A15" s="219">
        <f t="shared" si="6"/>
        <v>42401</v>
      </c>
      <c r="B15" s="220">
        <v>42401.0</v>
      </c>
      <c r="C15" s="221">
        <v>42766.0</v>
      </c>
      <c r="D15" s="222"/>
      <c r="E15" s="223">
        <v>45.49</v>
      </c>
      <c r="F15" s="223">
        <v>87.54</v>
      </c>
      <c r="G15" s="224"/>
      <c r="H15" s="225">
        <f t="shared" si="7"/>
        <v>0</v>
      </c>
      <c r="I15" s="223">
        <f t="shared" si="23"/>
        <v>0</v>
      </c>
      <c r="J15" s="225">
        <f t="shared" si="8"/>
        <v>0</v>
      </c>
      <c r="K15" s="225">
        <f t="shared" si="9"/>
        <v>0</v>
      </c>
      <c r="L15" s="261">
        <f t="shared" si="25"/>
        <v>38.67</v>
      </c>
      <c r="M15" s="258"/>
      <c r="N15" s="259" t="b">
        <v>0</v>
      </c>
      <c r="O15" s="260"/>
      <c r="P15" s="230">
        <v>0.0</v>
      </c>
      <c r="Q15" s="230">
        <v>0.0</v>
      </c>
      <c r="R15" s="230">
        <v>0.0</v>
      </c>
      <c r="S15" s="230">
        <v>0.0</v>
      </c>
      <c r="T15" s="231">
        <v>0.0</v>
      </c>
      <c r="U15" s="232">
        <f t="shared" si="11"/>
        <v>0</v>
      </c>
      <c r="V15" s="232">
        <f>SWITCH(W15,"cash",Reference!$E$5,"shares",Reference!$E$6,"balance",Reference!$E$7)</f>
        <v>0</v>
      </c>
      <c r="W15" s="233" t="s">
        <v>178</v>
      </c>
      <c r="X15" s="234">
        <f>Reference!$B$4*Reference!$B$3*D15</f>
        <v>0</v>
      </c>
      <c r="Y15" s="234">
        <f>iferror(LET(ratio, U15,(1-ratio) * Reference!$B$3 * D15),0)</f>
        <v>0</v>
      </c>
      <c r="Z15" s="234">
        <f>iferror(LET(ratio, V15,(1-ratio) * Reference!$B$3 * $D15),0)</f>
        <v>0</v>
      </c>
      <c r="AA15" s="234">
        <f>SWITCH(Reference!$E$4,"eTradeTransactionLog", X15, "eTradeHoldingRatio", X15, "eTradeLotQtyRatio",Y15, "manualLotRatio", Z15)</f>
        <v>0</v>
      </c>
      <c r="AB15" s="225">
        <f>IF(C15&lt;Reference!$B$26,Reference!$C$26,0)</f>
        <v>10.18</v>
      </c>
      <c r="AC15" s="225">
        <f>IF(C15&lt;Reference!$B$27,Reference!$C$27,0)</f>
        <v>16.87</v>
      </c>
      <c r="AD15" s="225">
        <f t="shared" si="12"/>
        <v>18.44411765</v>
      </c>
      <c r="AE15" s="235">
        <f>D15*Reference!$B$5*Reference!$B$6</f>
        <v>0</v>
      </c>
      <c r="AF15" s="235">
        <f>$D15*U15*Reference!$B$6</f>
        <v>0</v>
      </c>
      <c r="AG15" s="235">
        <f>$D15*V15*Reference!$B$6</f>
        <v>0</v>
      </c>
      <c r="AH15" s="235">
        <f>SWITCH(Reference!$E$4,"eTradeTransactionLog", AE15, "eTradeHoldingRatio", AE15, "eTradeLotQtyRatio",AF15, "manualLotRatio", AG15)</f>
        <v>0</v>
      </c>
      <c r="AI15" s="236">
        <f>MAX(AA15+(AH15*Reference!$B$18)-(D15*AD15),0)</f>
        <v>0</v>
      </c>
      <c r="AJ15" s="237">
        <f>IF(N15,Summary!$C$41/ ($N$28+RSU!J$86), 0)</f>
        <v>0</v>
      </c>
      <c r="AK15" s="238">
        <f>IF(N15,(Reference!$B$23 - AW15) * AJ15, 0)</f>
        <v>0</v>
      </c>
      <c r="AL15" s="239">
        <f t="shared" si="13"/>
        <v>0</v>
      </c>
      <c r="AM15" s="240">
        <f>IF(DATEDIF(C15,Reference!$B$28,"Y")&gt;=1,0,AK15+AL15)+iferror(((AZ15/D15)*AJ15),0)</f>
        <v>0</v>
      </c>
      <c r="AN15" s="240">
        <f>IF(DATEDIF(C15,Reference!$B$28,"Y")&gt;=1,AK15+AL15,0)</f>
        <v>0</v>
      </c>
      <c r="AO15" s="252" t="str">
        <f>IF(DATEDIF(L15,Reference!$B$28,"Y")&gt;=1,"Part II Box D","Part I Box A")</f>
        <v>Part II Box D</v>
      </c>
      <c r="AP15" s="253">
        <f t="shared" si="14"/>
        <v>42766</v>
      </c>
      <c r="AQ15" s="254">
        <f t="shared" si="15"/>
        <v>0</v>
      </c>
      <c r="AR15" s="254">
        <f>SWITCH(Reference!$E$9, "combined", AA15+(AH15*Reference!$B$18), "cashOnly", AA15)</f>
        <v>0</v>
      </c>
      <c r="AS15" s="255">
        <f t="shared" si="16"/>
        <v>0</v>
      </c>
      <c r="AT15" s="255" t="str">
        <f t="shared" si="17"/>
        <v/>
      </c>
      <c r="AU15" s="254">
        <f>LET(avgoFMV, Reference!$B$18*AH15, vmwBasis, AD15*D15, AS15 - IF(AA15&lt;AI15,avgoFmv,vmwBasis))</f>
        <v>0</v>
      </c>
      <c r="AV15" s="256">
        <f t="shared" si="18"/>
        <v>0</v>
      </c>
      <c r="AW15" s="246" t="str">
        <f t="shared" si="19"/>
        <v>n/a</v>
      </c>
      <c r="AX15" s="247">
        <f>iferror((Reference!$B$10-AW15)*(AH15 - AJ15), 0)</f>
        <v>0</v>
      </c>
      <c r="AY15" s="248" t="b">
        <f>AND(DATEDIF(B15,Reference!$B$29,"Y")&gt;=1, DATEDIF(A15, Reference!$B$29, "Y")&gt;=2)</f>
        <v>1</v>
      </c>
      <c r="AZ15" s="247">
        <f t="shared" si="20"/>
        <v>0</v>
      </c>
      <c r="BA15" s="249">
        <f>IF(DATEDIF(C15,Reference!$B$29,"Y")&gt;=1,0,AM15)</f>
        <v>0</v>
      </c>
      <c r="BB15" s="250">
        <f t="shared" si="21"/>
        <v>0</v>
      </c>
    </row>
    <row r="16">
      <c r="A16" s="219">
        <f t="shared" si="6"/>
        <v>42767</v>
      </c>
      <c r="B16" s="220">
        <v>42767.0</v>
      </c>
      <c r="C16" s="221">
        <v>42947.0</v>
      </c>
      <c r="D16" s="222"/>
      <c r="E16" s="223">
        <v>87.19</v>
      </c>
      <c r="F16" s="223">
        <v>92.71</v>
      </c>
      <c r="G16" s="224"/>
      <c r="H16" s="225">
        <f t="shared" si="7"/>
        <v>0</v>
      </c>
      <c r="I16" s="223">
        <f t="shared" si="23"/>
        <v>0</v>
      </c>
      <c r="J16" s="225">
        <f t="shared" si="8"/>
        <v>0</v>
      </c>
      <c r="K16" s="225">
        <f t="shared" si="9"/>
        <v>0</v>
      </c>
      <c r="L16" s="261">
        <f t="shared" si="25"/>
        <v>74.11</v>
      </c>
      <c r="M16" s="227"/>
      <c r="N16" s="259" t="b">
        <v>0</v>
      </c>
      <c r="O16" s="260"/>
      <c r="P16" s="230">
        <v>0.0</v>
      </c>
      <c r="Q16" s="230">
        <v>0.0</v>
      </c>
      <c r="R16" s="230">
        <v>0.0</v>
      </c>
      <c r="S16" s="230">
        <v>0.0</v>
      </c>
      <c r="T16" s="231">
        <v>0.0</v>
      </c>
      <c r="U16" s="232">
        <f t="shared" si="11"/>
        <v>0</v>
      </c>
      <c r="V16" s="232">
        <f>SWITCH(W16,"cash",Reference!$E$5,"shares",Reference!$E$6,"balance",Reference!$E$7)</f>
        <v>0</v>
      </c>
      <c r="W16" s="233" t="s">
        <v>178</v>
      </c>
      <c r="X16" s="234">
        <f>Reference!$B$4*Reference!$B$3*D16</f>
        <v>0</v>
      </c>
      <c r="Y16" s="234">
        <f>iferror(LET(ratio, U16,(1-ratio) * Reference!$B$3 * D16),0)</f>
        <v>0</v>
      </c>
      <c r="Z16" s="234">
        <f>iferror(LET(ratio, V16,(1-ratio) * Reference!$B$3 * $D16),0)</f>
        <v>0</v>
      </c>
      <c r="AA16" s="234">
        <f>SWITCH(Reference!$E$4,"eTradeTransactionLog", X16, "eTradeHoldingRatio", X16, "eTradeLotQtyRatio",Y16, "manualLotRatio", Z16)</f>
        <v>0</v>
      </c>
      <c r="AB16" s="225">
        <f>IF(C16&lt;Reference!$B$26,Reference!$C$26,0)</f>
        <v>10.18</v>
      </c>
      <c r="AC16" s="225">
        <f>IF(C16&lt;Reference!$B$27,Reference!$C$27,0)</f>
        <v>16.87</v>
      </c>
      <c r="AD16" s="225">
        <f t="shared" si="12"/>
        <v>60.13823529</v>
      </c>
      <c r="AE16" s="235">
        <f>D16*Reference!$B$5*Reference!$B$6</f>
        <v>0</v>
      </c>
      <c r="AF16" s="235">
        <f>$D16*U16*Reference!$B$6</f>
        <v>0</v>
      </c>
      <c r="AG16" s="235">
        <f>$D16*V16*Reference!$B$6</f>
        <v>0</v>
      </c>
      <c r="AH16" s="235">
        <f>SWITCH(Reference!$E$4,"eTradeTransactionLog", AE16, "eTradeHoldingRatio", AE16, "eTradeLotQtyRatio",AF16, "manualLotRatio", AG16)</f>
        <v>0</v>
      </c>
      <c r="AI16" s="236">
        <f>MAX(AA16+(AH16*Reference!$B$18)-(D16*AD16),0)</f>
        <v>0</v>
      </c>
      <c r="AJ16" s="237">
        <f>IF(N16,Summary!$C$41/ ($N$28+RSU!J$86), 0)</f>
        <v>0</v>
      </c>
      <c r="AK16" s="238">
        <f>IF(N16,(Reference!$B$23 - AW16) * AJ16, 0)</f>
        <v>0</v>
      </c>
      <c r="AL16" s="239">
        <f t="shared" si="13"/>
        <v>0</v>
      </c>
      <c r="AM16" s="240">
        <f>IF(DATEDIF(C16,Reference!$B$28,"Y")&gt;=1,0,AK16+AL16)+iferror(((AZ16/D16)*AJ16),0)</f>
        <v>0</v>
      </c>
      <c r="AN16" s="240">
        <f>IF(DATEDIF(C16,Reference!$B$28,"Y")&gt;=1,AK16+AL16,0)</f>
        <v>0</v>
      </c>
      <c r="AO16" s="252" t="str">
        <f>IF(DATEDIF(L16,Reference!$B$28,"Y")&gt;=1,"Part II Box D","Part I Box A")</f>
        <v>Part II Box D</v>
      </c>
      <c r="AP16" s="253">
        <f t="shared" si="14"/>
        <v>42947</v>
      </c>
      <c r="AQ16" s="254">
        <f t="shared" si="15"/>
        <v>0</v>
      </c>
      <c r="AR16" s="254">
        <f>SWITCH(Reference!$E$9, "combined", AA16+(AH16*Reference!$B$18), "cashOnly", AA16)</f>
        <v>0</v>
      </c>
      <c r="AS16" s="255">
        <f t="shared" si="16"/>
        <v>0</v>
      </c>
      <c r="AT16" s="255" t="str">
        <f t="shared" si="17"/>
        <v/>
      </c>
      <c r="AU16" s="254">
        <f>LET(avgoFMV, Reference!$B$18*AH16, vmwBasis, AD16*D16, AS16 - IF(AA16&lt;AI16,avgoFmv,vmwBasis))</f>
        <v>0</v>
      </c>
      <c r="AV16" s="256">
        <f t="shared" si="18"/>
        <v>0</v>
      </c>
      <c r="AW16" s="246" t="str">
        <f t="shared" si="19"/>
        <v>n/a</v>
      </c>
      <c r="AX16" s="247">
        <f>iferror((Reference!$B$10-AW16)*(AH16 - AJ16), 0)</f>
        <v>0</v>
      </c>
      <c r="AY16" s="248" t="b">
        <f>AND(DATEDIF(B16,Reference!$B$29,"Y")&gt;=1, DATEDIF(A16, Reference!$B$29, "Y")&gt;=2)</f>
        <v>1</v>
      </c>
      <c r="AZ16" s="247">
        <f t="shared" si="20"/>
        <v>0</v>
      </c>
      <c r="BA16" s="249">
        <f>IF(DATEDIF(C16,Reference!$B$29,"Y")&gt;=1,0,AM16)</f>
        <v>0</v>
      </c>
      <c r="BB16" s="250">
        <f t="shared" si="21"/>
        <v>0</v>
      </c>
    </row>
    <row r="17">
      <c r="A17" s="219">
        <f t="shared" si="6"/>
        <v>42767</v>
      </c>
      <c r="B17" s="220">
        <v>42767.0</v>
      </c>
      <c r="C17" s="221">
        <v>43159.0</v>
      </c>
      <c r="D17" s="222"/>
      <c r="E17" s="223">
        <v>87.19</v>
      </c>
      <c r="F17" s="223">
        <v>131.75</v>
      </c>
      <c r="G17" s="224"/>
      <c r="H17" s="225">
        <f t="shared" si="7"/>
        <v>0</v>
      </c>
      <c r="I17" s="223">
        <f t="shared" si="23"/>
        <v>0</v>
      </c>
      <c r="J17" s="225">
        <f t="shared" si="8"/>
        <v>0</v>
      </c>
      <c r="K17" s="225">
        <f t="shared" si="9"/>
        <v>0</v>
      </c>
      <c r="L17" s="261">
        <f t="shared" si="25"/>
        <v>74.11</v>
      </c>
      <c r="M17" s="227"/>
      <c r="N17" s="259" t="b">
        <v>0</v>
      </c>
      <c r="O17" s="260"/>
      <c r="P17" s="230">
        <v>0.0</v>
      </c>
      <c r="Q17" s="230">
        <v>0.0</v>
      </c>
      <c r="R17" s="230">
        <v>0.0</v>
      </c>
      <c r="S17" s="230">
        <v>0.0</v>
      </c>
      <c r="T17" s="231">
        <v>0.0</v>
      </c>
      <c r="U17" s="232">
        <f t="shared" si="11"/>
        <v>0</v>
      </c>
      <c r="V17" s="232">
        <f>SWITCH(W17,"cash",Reference!$E$5,"shares",Reference!$E$6,"balance",Reference!$E$7)</f>
        <v>0</v>
      </c>
      <c r="W17" s="233" t="s">
        <v>178</v>
      </c>
      <c r="X17" s="234">
        <f>Reference!$B$4*Reference!$B$3*D17</f>
        <v>0</v>
      </c>
      <c r="Y17" s="234">
        <f>iferror(LET(ratio, U17,(1-ratio) * Reference!$B$3 * D17),0)</f>
        <v>0</v>
      </c>
      <c r="Z17" s="234">
        <f>iferror(LET(ratio, V17,(1-ratio) * Reference!$B$3 * $D17),0)</f>
        <v>0</v>
      </c>
      <c r="AA17" s="234">
        <f>SWITCH(Reference!$E$4,"eTradeTransactionLog", X17, "eTradeHoldingRatio", X17, "eTradeLotQtyRatio",Y17, "manualLotRatio", Z17)</f>
        <v>0</v>
      </c>
      <c r="AB17" s="225">
        <f>IF(C17&lt;Reference!$B$26,Reference!$C$26,0)</f>
        <v>10.18</v>
      </c>
      <c r="AC17" s="225">
        <f>IF(C17&lt;Reference!$B$27,Reference!$C$27,0)</f>
        <v>16.87</v>
      </c>
      <c r="AD17" s="225">
        <f t="shared" si="12"/>
        <v>60.13823529</v>
      </c>
      <c r="AE17" s="235">
        <f>D17*Reference!$B$5*Reference!$B$6</f>
        <v>0</v>
      </c>
      <c r="AF17" s="235">
        <f>$D17*U17*Reference!$B$6</f>
        <v>0</v>
      </c>
      <c r="AG17" s="235">
        <f>$D17*V17*Reference!$B$6</f>
        <v>0</v>
      </c>
      <c r="AH17" s="235">
        <f>SWITCH(Reference!$E$4,"eTradeTransactionLog", AE17, "eTradeHoldingRatio", AE17, "eTradeLotQtyRatio",AF17, "manualLotRatio", AG17)</f>
        <v>0</v>
      </c>
      <c r="AI17" s="236">
        <f>MAX(AA17+(AH17*Reference!$B$18)-(D17*AD17),0)</f>
        <v>0</v>
      </c>
      <c r="AJ17" s="237">
        <f>IF(N17,Summary!$C$41/ ($N$28+RSU!J$86), 0)</f>
        <v>0</v>
      </c>
      <c r="AK17" s="238">
        <f>IF(N17,(Reference!$B$23 - AW17) * AJ17, 0)</f>
        <v>0</v>
      </c>
      <c r="AL17" s="239">
        <f t="shared" si="13"/>
        <v>0</v>
      </c>
      <c r="AM17" s="240">
        <f>IF(DATEDIF(C17,Reference!$B$28,"Y")&gt;=1,0,AK17+AL17)+iferror(((AZ17/D17)*AJ17),0)</f>
        <v>0</v>
      </c>
      <c r="AN17" s="240">
        <f>IF(DATEDIF(C17,Reference!$B$28,"Y")&gt;=1,AK17+AL17,0)</f>
        <v>0</v>
      </c>
      <c r="AO17" s="252" t="str">
        <f>IF(DATEDIF(L17,Reference!$B$28,"Y")&gt;=1,"Part II Box D","Part I Box A")</f>
        <v>Part II Box D</v>
      </c>
      <c r="AP17" s="253">
        <f t="shared" si="14"/>
        <v>43159</v>
      </c>
      <c r="AQ17" s="254">
        <f t="shared" si="15"/>
        <v>0</v>
      </c>
      <c r="AR17" s="254">
        <f>SWITCH(Reference!$E$9, "combined", AA17+(AH17*Reference!$B$18), "cashOnly", AA17)</f>
        <v>0</v>
      </c>
      <c r="AS17" s="255">
        <f t="shared" si="16"/>
        <v>0</v>
      </c>
      <c r="AT17" s="255" t="str">
        <f t="shared" si="17"/>
        <v/>
      </c>
      <c r="AU17" s="254">
        <f>LET(avgoFMV, Reference!$B$18*AH17, vmwBasis, AD17*D17, AS17 - IF(AA17&lt;AI17,avgoFmv,vmwBasis))</f>
        <v>0</v>
      </c>
      <c r="AV17" s="256">
        <f t="shared" si="18"/>
        <v>0</v>
      </c>
      <c r="AW17" s="246" t="str">
        <f t="shared" si="19"/>
        <v>n/a</v>
      </c>
      <c r="AX17" s="247">
        <f>iferror((Reference!$B$10-AW17)*(AH17 - AJ17), 0)</f>
        <v>0</v>
      </c>
      <c r="AY17" s="248" t="b">
        <f>AND(DATEDIF(B17,Reference!$B$29,"Y")&gt;=1, DATEDIF(A17, Reference!$B$29, "Y")&gt;=2)</f>
        <v>1</v>
      </c>
      <c r="AZ17" s="247">
        <f t="shared" si="20"/>
        <v>0</v>
      </c>
      <c r="BA17" s="249">
        <f>IF(DATEDIF(C17,Reference!$B$29,"Y")&gt;=1,0,AM17)</f>
        <v>0</v>
      </c>
      <c r="BB17" s="250">
        <f t="shared" si="21"/>
        <v>0</v>
      </c>
    </row>
    <row r="18">
      <c r="A18" s="219">
        <f t="shared" si="6"/>
        <v>43160</v>
      </c>
      <c r="B18" s="220">
        <v>43160.0</v>
      </c>
      <c r="C18" s="221">
        <v>43343.0</v>
      </c>
      <c r="D18" s="222"/>
      <c r="E18" s="223">
        <v>123.66</v>
      </c>
      <c r="F18" s="223">
        <v>153.26</v>
      </c>
      <c r="G18" s="224"/>
      <c r="H18" s="225">
        <f t="shared" si="7"/>
        <v>0</v>
      </c>
      <c r="I18" s="223">
        <f t="shared" si="23"/>
        <v>0</v>
      </c>
      <c r="J18" s="225">
        <f t="shared" si="8"/>
        <v>0</v>
      </c>
      <c r="K18" s="225">
        <f t="shared" si="9"/>
        <v>0</v>
      </c>
      <c r="L18" s="261">
        <f t="shared" si="25"/>
        <v>105.11</v>
      </c>
      <c r="M18" s="227"/>
      <c r="N18" s="259" t="b">
        <v>0</v>
      </c>
      <c r="O18" s="260"/>
      <c r="P18" s="230">
        <v>0.0</v>
      </c>
      <c r="Q18" s="230">
        <v>0.0</v>
      </c>
      <c r="R18" s="230">
        <v>0.0</v>
      </c>
      <c r="S18" s="230">
        <v>0.0</v>
      </c>
      <c r="T18" s="231">
        <v>0.0</v>
      </c>
      <c r="U18" s="232">
        <f t="shared" si="11"/>
        <v>0</v>
      </c>
      <c r="V18" s="232">
        <f>SWITCH(W18,"cash",Reference!$E$5,"shares",Reference!$E$6,"balance",Reference!$E$7)</f>
        <v>0</v>
      </c>
      <c r="W18" s="233" t="s">
        <v>178</v>
      </c>
      <c r="X18" s="234">
        <f>Reference!$B$4*Reference!$B$3*D18</f>
        <v>0</v>
      </c>
      <c r="Y18" s="234">
        <f>iferror(LET(ratio, U18,(1-ratio) * Reference!$B$3 * D18),0)</f>
        <v>0</v>
      </c>
      <c r="Z18" s="234">
        <f>iferror(LET(ratio, V18,(1-ratio) * Reference!$B$3 * $D18),0)</f>
        <v>0</v>
      </c>
      <c r="AA18" s="234">
        <f>SWITCH(Reference!$E$4,"eTradeTransactionLog", X18, "eTradeHoldingRatio", X18, "eTradeLotQtyRatio",Y18, "manualLotRatio", Z18)</f>
        <v>0</v>
      </c>
      <c r="AB18" s="225">
        <f>IF(C18&lt;Reference!$B$26,Reference!$C$26,0)</f>
        <v>10.18</v>
      </c>
      <c r="AC18" s="225">
        <f>IF(C18&lt;Reference!$B$27,Reference!$C$27,0)</f>
        <v>16.87</v>
      </c>
      <c r="AD18" s="225">
        <f t="shared" si="12"/>
        <v>96.60882353</v>
      </c>
      <c r="AE18" s="235">
        <f>D18*Reference!$B$5*Reference!$B$6</f>
        <v>0</v>
      </c>
      <c r="AF18" s="235">
        <f>$D18*U18*Reference!$B$6</f>
        <v>0</v>
      </c>
      <c r="AG18" s="235">
        <f>$D18*V18*Reference!$B$6</f>
        <v>0</v>
      </c>
      <c r="AH18" s="235">
        <f>SWITCH(Reference!$E$4,"eTradeTransactionLog", AE18, "eTradeHoldingRatio", AE18, "eTradeLotQtyRatio",AF18, "manualLotRatio", AG18)</f>
        <v>0</v>
      </c>
      <c r="AI18" s="236">
        <f>MAX(AA18+(AH18*Reference!$B$18)-(D18*AD18),0)</f>
        <v>0</v>
      </c>
      <c r="AJ18" s="237">
        <f>IF(N18,Summary!$C$41/ ($N$28+RSU!J$86), 0)</f>
        <v>0</v>
      </c>
      <c r="AK18" s="238">
        <f>IF(N18,(Reference!$B$23 - AW18) * AJ18, 0)</f>
        <v>0</v>
      </c>
      <c r="AL18" s="239">
        <f t="shared" si="13"/>
        <v>0</v>
      </c>
      <c r="AM18" s="240">
        <f>IF(DATEDIF(C18,Reference!$B$28,"Y")&gt;=1,0,AK18+AL18)+iferror(((AZ18/D18)*AJ18),0)</f>
        <v>0</v>
      </c>
      <c r="AN18" s="240">
        <f>IF(DATEDIF(C18,Reference!$B$28,"Y")&gt;=1,AK18+AL18,0)</f>
        <v>0</v>
      </c>
      <c r="AO18" s="252" t="str">
        <f>IF(DATEDIF(L18,Reference!$B$28,"Y")&gt;=1,"Part II Box D","Part I Box A")</f>
        <v>Part II Box D</v>
      </c>
      <c r="AP18" s="253">
        <f t="shared" si="14"/>
        <v>43343</v>
      </c>
      <c r="AQ18" s="254">
        <f t="shared" si="15"/>
        <v>0</v>
      </c>
      <c r="AR18" s="254">
        <f>SWITCH(Reference!$E$9, "combined", AA18+(AH18*Reference!$B$18), "cashOnly", AA18)</f>
        <v>0</v>
      </c>
      <c r="AS18" s="255">
        <f t="shared" si="16"/>
        <v>0</v>
      </c>
      <c r="AT18" s="255" t="str">
        <f t="shared" si="17"/>
        <v/>
      </c>
      <c r="AU18" s="254">
        <f>LET(avgoFMV, Reference!$B$18*AH18, vmwBasis, AD18*D18, AS18 - IF(AA18&lt;AI18,avgoFmv,vmwBasis))</f>
        <v>0</v>
      </c>
      <c r="AV18" s="256">
        <f t="shared" si="18"/>
        <v>0</v>
      </c>
      <c r="AW18" s="246" t="str">
        <f t="shared" si="19"/>
        <v>n/a</v>
      </c>
      <c r="AX18" s="247">
        <f>iferror((Reference!$B$10-AW18)*(AH18 - AJ18), 0)</f>
        <v>0</v>
      </c>
      <c r="AY18" s="248" t="b">
        <f>AND(DATEDIF(B18,Reference!$B$29,"Y")&gt;=1, DATEDIF(A18, Reference!$B$29, "Y")&gt;=2)</f>
        <v>1</v>
      </c>
      <c r="AZ18" s="247">
        <f t="shared" si="20"/>
        <v>0</v>
      </c>
      <c r="BA18" s="249">
        <f>IF(DATEDIF(C18,Reference!$B$29,"Y")&gt;=1,0,AM18)</f>
        <v>0</v>
      </c>
      <c r="BB18" s="250">
        <f t="shared" si="21"/>
        <v>0</v>
      </c>
    </row>
    <row r="19">
      <c r="A19" s="219">
        <f t="shared" si="6"/>
        <v>43160</v>
      </c>
      <c r="B19" s="220">
        <v>43160.0</v>
      </c>
      <c r="C19" s="221">
        <v>43524.0</v>
      </c>
      <c r="D19" s="222"/>
      <c r="E19" s="223">
        <v>123.66</v>
      </c>
      <c r="F19" s="223">
        <v>171.81</v>
      </c>
      <c r="G19" s="224"/>
      <c r="H19" s="225">
        <f t="shared" si="7"/>
        <v>0</v>
      </c>
      <c r="I19" s="223">
        <f t="shared" si="23"/>
        <v>0</v>
      </c>
      <c r="J19" s="225">
        <f t="shared" si="8"/>
        <v>0</v>
      </c>
      <c r="K19" s="225">
        <f t="shared" si="9"/>
        <v>0</v>
      </c>
      <c r="L19" s="261">
        <f t="shared" si="25"/>
        <v>105.11</v>
      </c>
      <c r="M19" s="227"/>
      <c r="N19" s="259" t="b">
        <v>0</v>
      </c>
      <c r="O19" s="260"/>
      <c r="P19" s="230">
        <v>0.0</v>
      </c>
      <c r="Q19" s="230">
        <v>0.0</v>
      </c>
      <c r="R19" s="230">
        <v>0.0</v>
      </c>
      <c r="S19" s="230">
        <v>0.0</v>
      </c>
      <c r="T19" s="231">
        <v>0.0</v>
      </c>
      <c r="U19" s="232">
        <f t="shared" si="11"/>
        <v>0</v>
      </c>
      <c r="V19" s="232">
        <f>SWITCH(W19,"cash",Reference!$E$5,"shares",Reference!$E$6,"balance",Reference!$E$7)</f>
        <v>0</v>
      </c>
      <c r="W19" s="233" t="s">
        <v>178</v>
      </c>
      <c r="X19" s="234">
        <f>Reference!$B$4*Reference!$B$3*D19</f>
        <v>0</v>
      </c>
      <c r="Y19" s="234">
        <f>iferror(LET(ratio, U19,(1-ratio) * Reference!$B$3 * D19),0)</f>
        <v>0</v>
      </c>
      <c r="Z19" s="234">
        <f>iferror(LET(ratio, V19,(1-ratio) * Reference!$B$3 * $D19),0)</f>
        <v>0</v>
      </c>
      <c r="AA19" s="234">
        <f>SWITCH(Reference!$E$4,"eTradeTransactionLog", X19, "eTradeHoldingRatio", X19, "eTradeLotQtyRatio",Y19, "manualLotRatio", Z19)</f>
        <v>0</v>
      </c>
      <c r="AB19" s="225">
        <f>IF(C19&lt;Reference!$B$26,Reference!$C$26,0)</f>
        <v>0</v>
      </c>
      <c r="AC19" s="225">
        <f>IF(C19&lt;Reference!$B$27,Reference!$C$27,0)</f>
        <v>16.87</v>
      </c>
      <c r="AD19" s="225">
        <f t="shared" si="12"/>
        <v>106.7888235</v>
      </c>
      <c r="AE19" s="235">
        <f>D19*Reference!$B$5*Reference!$B$6</f>
        <v>0</v>
      </c>
      <c r="AF19" s="235">
        <f>$D19*U19*Reference!$B$6</f>
        <v>0</v>
      </c>
      <c r="AG19" s="235">
        <f>$D19*V19*Reference!$B$6</f>
        <v>0</v>
      </c>
      <c r="AH19" s="235">
        <f>SWITCH(Reference!$E$4,"eTradeTransactionLog", AE19, "eTradeHoldingRatio", AE19, "eTradeLotQtyRatio",AF19, "manualLotRatio", AG19)</f>
        <v>0</v>
      </c>
      <c r="AI19" s="236">
        <f>MAX(AA19+(AH19*Reference!$B$18)-(D19*AD19),0)</f>
        <v>0</v>
      </c>
      <c r="AJ19" s="237">
        <f>IF(N19,Summary!$C$41/ ($N$28+RSU!J$86), 0)</f>
        <v>0</v>
      </c>
      <c r="AK19" s="238">
        <f>IF(N19,(Reference!$B$23 - AW19) * AJ19, 0)</f>
        <v>0</v>
      </c>
      <c r="AL19" s="239">
        <f t="shared" si="13"/>
        <v>0</v>
      </c>
      <c r="AM19" s="240">
        <f>IF(DATEDIF(C19,Reference!$B$28,"Y")&gt;=1,0,AK19+AL19)+iferror(((AZ19/D19)*AJ19),0)</f>
        <v>0</v>
      </c>
      <c r="AN19" s="240">
        <f>IF(DATEDIF(C19,Reference!$B$28,"Y")&gt;=1,AK19+AL19,0)</f>
        <v>0</v>
      </c>
      <c r="AO19" s="252" t="str">
        <f>IF(DATEDIF(L19,Reference!$B$28,"Y")&gt;=1,"Part II Box D","Part I Box A")</f>
        <v>Part II Box D</v>
      </c>
      <c r="AP19" s="253">
        <f t="shared" si="14"/>
        <v>43524</v>
      </c>
      <c r="AQ19" s="254">
        <f t="shared" si="15"/>
        <v>0</v>
      </c>
      <c r="AR19" s="254">
        <f>SWITCH(Reference!$E$9, "combined", AA19+(AH19*Reference!$B$18), "cashOnly", AA19)</f>
        <v>0</v>
      </c>
      <c r="AS19" s="255">
        <f t="shared" si="16"/>
        <v>0</v>
      </c>
      <c r="AT19" s="255" t="str">
        <f t="shared" si="17"/>
        <v/>
      </c>
      <c r="AU19" s="254">
        <f>LET(avgoFMV, Reference!$B$18*AH19, vmwBasis, AD19*D19, AS19 - IF(AA19&lt;AI19,avgoFmv,vmwBasis))</f>
        <v>0</v>
      </c>
      <c r="AV19" s="256">
        <f t="shared" si="18"/>
        <v>0</v>
      </c>
      <c r="AW19" s="246" t="str">
        <f t="shared" si="19"/>
        <v>n/a</v>
      </c>
      <c r="AX19" s="247">
        <f>iferror((Reference!$B$10-AW19)*(AH19 - AJ19), 0)</f>
        <v>0</v>
      </c>
      <c r="AY19" s="248" t="b">
        <f>AND(DATEDIF(B19,Reference!$B$29,"Y")&gt;=1, DATEDIF(A19, Reference!$B$29, "Y")&gt;=2)</f>
        <v>1</v>
      </c>
      <c r="AZ19" s="247">
        <f t="shared" si="20"/>
        <v>0</v>
      </c>
      <c r="BA19" s="249">
        <f>IF(DATEDIF(C19,Reference!$B$29,"Y")&gt;=1,0,AM19)</f>
        <v>0</v>
      </c>
      <c r="BB19" s="250">
        <f t="shared" si="21"/>
        <v>0</v>
      </c>
    </row>
    <row r="20">
      <c r="A20" s="219">
        <f t="shared" si="6"/>
        <v>43525</v>
      </c>
      <c r="B20" s="220">
        <v>43525.0</v>
      </c>
      <c r="C20" s="221">
        <v>43708.0</v>
      </c>
      <c r="D20" s="222"/>
      <c r="E20" s="223">
        <v>178.2</v>
      </c>
      <c r="F20" s="223">
        <v>141.44</v>
      </c>
      <c r="G20" s="224"/>
      <c r="H20" s="225">
        <f t="shared" si="7"/>
        <v>0</v>
      </c>
      <c r="I20" s="223">
        <f t="shared" si="23"/>
        <v>0</v>
      </c>
      <c r="J20" s="225">
        <f t="shared" si="8"/>
        <v>0</v>
      </c>
      <c r="K20" s="225">
        <f t="shared" si="9"/>
        <v>0</v>
      </c>
      <c r="L20" s="261">
        <f t="shared" si="25"/>
        <v>120.22</v>
      </c>
      <c r="M20" s="258"/>
      <c r="N20" s="259" t="b">
        <v>0</v>
      </c>
      <c r="O20" s="260"/>
      <c r="P20" s="230">
        <v>0.0</v>
      </c>
      <c r="Q20" s="230">
        <v>0.0</v>
      </c>
      <c r="R20" s="230">
        <v>0.0</v>
      </c>
      <c r="S20" s="230">
        <v>0.0</v>
      </c>
      <c r="T20" s="231">
        <v>0.0</v>
      </c>
      <c r="U20" s="232">
        <f t="shared" si="11"/>
        <v>0</v>
      </c>
      <c r="V20" s="232">
        <f>SWITCH(W20,"cash",Reference!$E$5,"shares",Reference!$E$6,"balance",Reference!$E$7)</f>
        <v>0</v>
      </c>
      <c r="W20" s="233" t="s">
        <v>178</v>
      </c>
      <c r="X20" s="234">
        <f>Reference!$B$4*Reference!$B$3*D20</f>
        <v>0</v>
      </c>
      <c r="Y20" s="234">
        <f>iferror(LET(ratio, U20,(1-ratio) * Reference!$B$3 * D20),0)</f>
        <v>0</v>
      </c>
      <c r="Z20" s="234">
        <f>iferror(LET(ratio, V20,(1-ratio) * Reference!$B$3 * $D20),0)</f>
        <v>0</v>
      </c>
      <c r="AA20" s="234">
        <f>SWITCH(Reference!$E$4,"eTradeTransactionLog", X20, "eTradeHoldingRatio", X20, "eTradeLotQtyRatio",Y20, "manualLotRatio", Z20)</f>
        <v>0</v>
      </c>
      <c r="AB20" s="225">
        <f>IF(C20&lt;Reference!$B$26,Reference!$C$26,0)</f>
        <v>0</v>
      </c>
      <c r="AC20" s="225">
        <f>IF(C20&lt;Reference!$B$27,Reference!$C$27,0)</f>
        <v>16.87</v>
      </c>
      <c r="AD20" s="225">
        <f t="shared" si="12"/>
        <v>124.5652941</v>
      </c>
      <c r="AE20" s="235">
        <f>D20*Reference!$B$5*Reference!$B$6</f>
        <v>0</v>
      </c>
      <c r="AF20" s="235">
        <f>$D20*U20*Reference!$B$6</f>
        <v>0</v>
      </c>
      <c r="AG20" s="235">
        <f>$D20*V20*Reference!$B$6</f>
        <v>0</v>
      </c>
      <c r="AH20" s="235">
        <f>SWITCH(Reference!$E$4,"eTradeTransactionLog", AE20, "eTradeHoldingRatio", AE20, "eTradeLotQtyRatio",AF20, "manualLotRatio", AG20)</f>
        <v>0</v>
      </c>
      <c r="AI20" s="236">
        <f>MAX(AA20+(AH20*Reference!$B$18)-(D20*AD20),0)</f>
        <v>0</v>
      </c>
      <c r="AJ20" s="237">
        <f>IF(N20,Summary!$C$41/ ($N$28+RSU!J$86), 0)</f>
        <v>0</v>
      </c>
      <c r="AK20" s="238">
        <f>IF(N20,(Reference!$B$23 - AW20) * AJ20, 0)</f>
        <v>0</v>
      </c>
      <c r="AL20" s="239">
        <f t="shared" si="13"/>
        <v>0</v>
      </c>
      <c r="AM20" s="240">
        <f>IF(DATEDIF(C20,Reference!$B$28,"Y")&gt;=1,0,AK20+AL20)+iferror(((AZ20/D20)*AJ20),0)</f>
        <v>0</v>
      </c>
      <c r="AN20" s="240">
        <f>IF(DATEDIF(C20,Reference!$B$28,"Y")&gt;=1,AK20+AL20,0)</f>
        <v>0</v>
      </c>
      <c r="AO20" s="252" t="str">
        <f>IF(DATEDIF(L20,Reference!$B$28,"Y")&gt;=1,"Part II Box D","Part I Box A")</f>
        <v>Part II Box D</v>
      </c>
      <c r="AP20" s="253">
        <f t="shared" si="14"/>
        <v>43708</v>
      </c>
      <c r="AQ20" s="254">
        <f t="shared" si="15"/>
        <v>0</v>
      </c>
      <c r="AR20" s="254">
        <f>SWITCH(Reference!$E$9, "combined", AA20+(AH20*Reference!$B$18), "cashOnly", AA20)</f>
        <v>0</v>
      </c>
      <c r="AS20" s="255">
        <f t="shared" si="16"/>
        <v>0</v>
      </c>
      <c r="AT20" s="255" t="str">
        <f t="shared" si="17"/>
        <v/>
      </c>
      <c r="AU20" s="254">
        <f>LET(avgoFMV, Reference!$B$18*AH20, vmwBasis, AD20*D20, AS20 - IF(AA20&lt;AI20,avgoFmv,vmwBasis))</f>
        <v>0</v>
      </c>
      <c r="AV20" s="256">
        <f t="shared" si="18"/>
        <v>0</v>
      </c>
      <c r="AW20" s="246" t="str">
        <f t="shared" si="19"/>
        <v>n/a</v>
      </c>
      <c r="AX20" s="247">
        <f>iferror((Reference!$B$10-AW20)*(AH20 - AJ20), 0)</f>
        <v>0</v>
      </c>
      <c r="AY20" s="248" t="b">
        <f>AND(DATEDIF(B20,Reference!$B$29,"Y")&gt;=1, DATEDIF(A20, Reference!$B$29, "Y")&gt;=2)</f>
        <v>1</v>
      </c>
      <c r="AZ20" s="247">
        <f t="shared" si="20"/>
        <v>0</v>
      </c>
      <c r="BA20" s="249">
        <f>IF(DATEDIF(C20,Reference!$B$29,"Y")&gt;=1,0,AM20)</f>
        <v>0</v>
      </c>
      <c r="BB20" s="250">
        <f t="shared" si="21"/>
        <v>0</v>
      </c>
    </row>
    <row r="21">
      <c r="A21" s="219">
        <f t="shared" si="6"/>
        <v>43709</v>
      </c>
      <c r="B21" s="220">
        <v>43709.0</v>
      </c>
      <c r="C21" s="221">
        <v>43890.0</v>
      </c>
      <c r="D21" s="222"/>
      <c r="E21" s="223">
        <v>141.44</v>
      </c>
      <c r="F21" s="223">
        <v>120.52</v>
      </c>
      <c r="G21" s="224"/>
      <c r="H21" s="225">
        <f t="shared" si="7"/>
        <v>0</v>
      </c>
      <c r="I21" s="223">
        <f t="shared" si="23"/>
        <v>0</v>
      </c>
      <c r="J21" s="225">
        <f t="shared" si="8"/>
        <v>0</v>
      </c>
      <c r="K21" s="225">
        <f t="shared" si="9"/>
        <v>0</v>
      </c>
      <c r="L21" s="261">
        <f t="shared" si="25"/>
        <v>102.44</v>
      </c>
      <c r="M21" s="258"/>
      <c r="N21" s="259" t="b">
        <v>0</v>
      </c>
      <c r="O21" s="260"/>
      <c r="P21" s="230">
        <v>0.0</v>
      </c>
      <c r="Q21" s="230">
        <v>0.0</v>
      </c>
      <c r="R21" s="230">
        <v>0.0</v>
      </c>
      <c r="S21" s="230">
        <v>0.0</v>
      </c>
      <c r="T21" s="231">
        <v>0.0</v>
      </c>
      <c r="U21" s="232">
        <f t="shared" si="11"/>
        <v>0</v>
      </c>
      <c r="V21" s="232">
        <f>SWITCH(W21,"cash",Reference!$E$5,"shares",Reference!$E$6,"balance",Reference!$E$7)</f>
        <v>0</v>
      </c>
      <c r="W21" s="233" t="s">
        <v>178</v>
      </c>
      <c r="X21" s="234">
        <f>Reference!$B$4*Reference!$B$3*D21</f>
        <v>0</v>
      </c>
      <c r="Y21" s="234">
        <f>iferror(LET(ratio, U21,(1-ratio) * Reference!$B$3 * D21),0)</f>
        <v>0</v>
      </c>
      <c r="Z21" s="234">
        <f>iferror(LET(ratio, V21,(1-ratio) * Reference!$B$3 * $D21),0)</f>
        <v>0</v>
      </c>
      <c r="AA21" s="234">
        <f>SWITCH(Reference!$E$4,"eTradeTransactionLog", X21, "eTradeHoldingRatio", X21, "eTradeLotQtyRatio",Y21, "manualLotRatio", Z21)</f>
        <v>0</v>
      </c>
      <c r="AB21" s="225">
        <f>IF(C21&lt;Reference!$B$26,Reference!$C$26,0)</f>
        <v>0</v>
      </c>
      <c r="AC21" s="225">
        <f>IF(C21&lt;Reference!$B$27,Reference!$C$27,0)</f>
        <v>16.87</v>
      </c>
      <c r="AD21" s="225">
        <f t="shared" si="12"/>
        <v>103.6476471</v>
      </c>
      <c r="AE21" s="235">
        <f>D21*Reference!$B$5*Reference!$B$6</f>
        <v>0</v>
      </c>
      <c r="AF21" s="235">
        <f>$D21*U21*Reference!$B$6</f>
        <v>0</v>
      </c>
      <c r="AG21" s="235">
        <f>$D21*V21*Reference!$B$6</f>
        <v>0</v>
      </c>
      <c r="AH21" s="235">
        <f>SWITCH(Reference!$E$4,"eTradeTransactionLog", AE21, "eTradeHoldingRatio", AE21, "eTradeLotQtyRatio",AF21, "manualLotRatio", AG21)</f>
        <v>0</v>
      </c>
      <c r="AI21" s="236">
        <f>MAX(AA21+(AH21*Reference!$B$18)-(D21*AD21),0)</f>
        <v>0</v>
      </c>
      <c r="AJ21" s="237">
        <f>IF(N21,Summary!$C$41/ ($N$28+RSU!J$86), 0)</f>
        <v>0</v>
      </c>
      <c r="AK21" s="238">
        <f>IF(N21,(Reference!$B$23 - AW21) * AJ21, 0)</f>
        <v>0</v>
      </c>
      <c r="AL21" s="239">
        <f t="shared" si="13"/>
        <v>0</v>
      </c>
      <c r="AM21" s="240">
        <f>IF(DATEDIF(C21,Reference!$B$28,"Y")&gt;=1,0,AK21+AL21)+iferror(((AZ21/D21)*AJ21),0)</f>
        <v>0</v>
      </c>
      <c r="AN21" s="240">
        <f>IF(DATEDIF(C21,Reference!$B$28,"Y")&gt;=1,AK21+AL21,0)</f>
        <v>0</v>
      </c>
      <c r="AO21" s="252" t="str">
        <f>IF(DATEDIF(L21,Reference!$B$28,"Y")&gt;=1,"Part II Box D","Part I Box A")</f>
        <v>Part II Box D</v>
      </c>
      <c r="AP21" s="253">
        <f t="shared" si="14"/>
        <v>43890</v>
      </c>
      <c r="AQ21" s="254">
        <f t="shared" si="15"/>
        <v>0</v>
      </c>
      <c r="AR21" s="254">
        <f>SWITCH(Reference!$E$9, "combined", AA21+(AH21*Reference!$B$18), "cashOnly", AA21)</f>
        <v>0</v>
      </c>
      <c r="AS21" s="255">
        <f t="shared" si="16"/>
        <v>0</v>
      </c>
      <c r="AT21" s="255" t="str">
        <f t="shared" si="17"/>
        <v/>
      </c>
      <c r="AU21" s="254">
        <f>LET(avgoFMV, Reference!$B$18*AH21, vmwBasis, AD21*D21, AS21 - IF(AA21&lt;AI21,avgoFmv,vmwBasis))</f>
        <v>0</v>
      </c>
      <c r="AV21" s="256">
        <f t="shared" si="18"/>
        <v>0</v>
      </c>
      <c r="AW21" s="246" t="str">
        <f t="shared" si="19"/>
        <v>n/a</v>
      </c>
      <c r="AX21" s="247">
        <f>iferror((Reference!$B$10-AW21)*(AH21 - AJ21), 0)</f>
        <v>0</v>
      </c>
      <c r="AY21" s="248" t="b">
        <f>AND(DATEDIF(B21,Reference!$B$29,"Y")&gt;=1, DATEDIF(A21, Reference!$B$29, "Y")&gt;=2)</f>
        <v>1</v>
      </c>
      <c r="AZ21" s="247">
        <f t="shared" si="20"/>
        <v>0</v>
      </c>
      <c r="BA21" s="249">
        <f>IF(DATEDIF(C21,Reference!$B$29,"Y")&gt;=1,0,AM21)</f>
        <v>0</v>
      </c>
      <c r="BB21" s="250">
        <f t="shared" si="21"/>
        <v>0</v>
      </c>
    </row>
    <row r="22">
      <c r="A22" s="219">
        <f t="shared" si="6"/>
        <v>43891</v>
      </c>
      <c r="B22" s="220">
        <v>43891.0</v>
      </c>
      <c r="C22" s="221">
        <v>44074.0</v>
      </c>
      <c r="D22" s="222"/>
      <c r="E22" s="223">
        <v>120.52</v>
      </c>
      <c r="F22" s="223">
        <v>144.44</v>
      </c>
      <c r="G22" s="224"/>
      <c r="H22" s="225">
        <f t="shared" si="7"/>
        <v>0</v>
      </c>
      <c r="I22" s="223">
        <f t="shared" si="23"/>
        <v>0</v>
      </c>
      <c r="J22" s="225">
        <f t="shared" si="8"/>
        <v>0</v>
      </c>
      <c r="K22" s="225">
        <f t="shared" si="9"/>
        <v>0</v>
      </c>
      <c r="L22" s="261">
        <f t="shared" si="25"/>
        <v>102.44</v>
      </c>
      <c r="M22" s="227"/>
      <c r="N22" s="259" t="b">
        <v>0</v>
      </c>
      <c r="O22" s="260"/>
      <c r="P22" s="230">
        <v>0.0</v>
      </c>
      <c r="Q22" s="230">
        <v>0.0</v>
      </c>
      <c r="R22" s="230">
        <v>0.0</v>
      </c>
      <c r="S22" s="230">
        <v>0.0</v>
      </c>
      <c r="T22" s="231">
        <v>0.0</v>
      </c>
      <c r="U22" s="232">
        <f t="shared" si="11"/>
        <v>0</v>
      </c>
      <c r="V22" s="232">
        <f>SWITCH(W22,"cash",Reference!$E$5,"shares",Reference!$E$6,"balance",Reference!$E$7)</f>
        <v>0</v>
      </c>
      <c r="W22" s="233" t="s">
        <v>178</v>
      </c>
      <c r="X22" s="234">
        <f>Reference!$B$4*Reference!$B$3*D22</f>
        <v>0</v>
      </c>
      <c r="Y22" s="234">
        <f>iferror(LET(ratio, U22,(1-ratio) * Reference!$B$3 * D22),0)</f>
        <v>0</v>
      </c>
      <c r="Z22" s="234">
        <f>iferror(LET(ratio, V22,(1-ratio) * Reference!$B$3 * $D22),0)</f>
        <v>0</v>
      </c>
      <c r="AA22" s="234">
        <f>SWITCH(Reference!$E$4,"eTradeTransactionLog", X22, "eTradeHoldingRatio", X22, "eTradeLotQtyRatio",Y22, "manualLotRatio", Z22)</f>
        <v>0</v>
      </c>
      <c r="AB22" s="225">
        <f>IF(C22&lt;Reference!$B$26,Reference!$C$26,0)</f>
        <v>0</v>
      </c>
      <c r="AC22" s="225">
        <f>IF(C22&lt;Reference!$B$27,Reference!$C$27,0)</f>
        <v>16.87</v>
      </c>
      <c r="AD22" s="225">
        <f t="shared" si="12"/>
        <v>103.6476471</v>
      </c>
      <c r="AE22" s="235">
        <f>D22*Reference!$B$5*Reference!$B$6</f>
        <v>0</v>
      </c>
      <c r="AF22" s="235">
        <f>$D22*U22*Reference!$B$6</f>
        <v>0</v>
      </c>
      <c r="AG22" s="235">
        <f>$D22*V22*Reference!$B$6</f>
        <v>0</v>
      </c>
      <c r="AH22" s="235">
        <f>SWITCH(Reference!$E$4,"eTradeTransactionLog", AE22, "eTradeHoldingRatio", AE22, "eTradeLotQtyRatio",AF22, "manualLotRatio", AG22)</f>
        <v>0</v>
      </c>
      <c r="AI22" s="236">
        <f>MAX(AA22+(AH22*Reference!$B$18)-(D22*AD22),0)</f>
        <v>0</v>
      </c>
      <c r="AJ22" s="237">
        <f>IF(N22,Summary!$C$41/ ($N$28+RSU!J$86), 0)</f>
        <v>0</v>
      </c>
      <c r="AK22" s="238">
        <f>IF(N22,(Reference!$B$23 - AW22) * AJ22, 0)</f>
        <v>0</v>
      </c>
      <c r="AL22" s="239">
        <f t="shared" si="13"/>
        <v>0</v>
      </c>
      <c r="AM22" s="240">
        <f>IF(DATEDIF(C22,Reference!$B$28,"Y")&gt;=1,0,AK22+AL22)+iferror(((AZ22/D22)*AJ22),0)</f>
        <v>0</v>
      </c>
      <c r="AN22" s="240">
        <f>IF(DATEDIF(C22,Reference!$B$28,"Y")&gt;=1,AK22+AL22,0)</f>
        <v>0</v>
      </c>
      <c r="AO22" s="252" t="str">
        <f>IF(DATEDIF(L22,Reference!$B$28,"Y")&gt;=1,"Part II Box D","Part I Box A")</f>
        <v>Part II Box D</v>
      </c>
      <c r="AP22" s="253">
        <f t="shared" si="14"/>
        <v>44074</v>
      </c>
      <c r="AQ22" s="254">
        <f t="shared" si="15"/>
        <v>0</v>
      </c>
      <c r="AR22" s="254">
        <f>SWITCH(Reference!$E$9, "combined", AA22+(AH22*Reference!$B$18), "cashOnly", AA22)</f>
        <v>0</v>
      </c>
      <c r="AS22" s="255">
        <f t="shared" si="16"/>
        <v>0</v>
      </c>
      <c r="AT22" s="255" t="str">
        <f t="shared" si="17"/>
        <v/>
      </c>
      <c r="AU22" s="254">
        <f>LET(avgoFMV, Reference!$B$18*AH22, vmwBasis, AD22*D22, AS22 - IF(AA22&lt;AI22,avgoFmv,vmwBasis))</f>
        <v>0</v>
      </c>
      <c r="AV22" s="256">
        <f t="shared" si="18"/>
        <v>0</v>
      </c>
      <c r="AW22" s="246" t="str">
        <f t="shared" si="19"/>
        <v>n/a</v>
      </c>
      <c r="AX22" s="247">
        <f>iferror((Reference!$B$10-AW22)*(AH22 - AJ22), 0)</f>
        <v>0</v>
      </c>
      <c r="AY22" s="248" t="b">
        <f>AND(DATEDIF(B22,Reference!$B$29,"Y")&gt;=1, DATEDIF(A22, Reference!$B$29, "Y")&gt;=2)</f>
        <v>1</v>
      </c>
      <c r="AZ22" s="247">
        <f t="shared" si="20"/>
        <v>0</v>
      </c>
      <c r="BA22" s="249">
        <f>IF(DATEDIF(C22,Reference!$B$29,"Y")&gt;=1,0,AM22)</f>
        <v>0</v>
      </c>
      <c r="BB22" s="250">
        <f t="shared" si="21"/>
        <v>0</v>
      </c>
    </row>
    <row r="23">
      <c r="A23" s="219">
        <f t="shared" si="6"/>
        <v>43891</v>
      </c>
      <c r="B23" s="220">
        <v>43891.0</v>
      </c>
      <c r="C23" s="221">
        <v>44255.0</v>
      </c>
      <c r="D23" s="222"/>
      <c r="E23" s="223">
        <v>120.52</v>
      </c>
      <c r="F23" s="223">
        <v>138.21</v>
      </c>
      <c r="G23" s="224"/>
      <c r="H23" s="225">
        <f t="shared" si="7"/>
        <v>0</v>
      </c>
      <c r="I23" s="223">
        <f t="shared" si="23"/>
        <v>0</v>
      </c>
      <c r="J23" s="225">
        <f t="shared" si="8"/>
        <v>0</v>
      </c>
      <c r="K23" s="225">
        <f t="shared" si="9"/>
        <v>0</v>
      </c>
      <c r="L23" s="261">
        <f t="shared" si="25"/>
        <v>102.44</v>
      </c>
      <c r="M23" s="258"/>
      <c r="N23" s="259" t="b">
        <v>0</v>
      </c>
      <c r="O23" s="260"/>
      <c r="P23" s="230">
        <v>0.0</v>
      </c>
      <c r="Q23" s="230">
        <v>0.0</v>
      </c>
      <c r="R23" s="230">
        <v>0.0</v>
      </c>
      <c r="S23" s="230">
        <v>0.0</v>
      </c>
      <c r="T23" s="231">
        <v>0.0</v>
      </c>
      <c r="U23" s="232">
        <f t="shared" si="11"/>
        <v>0</v>
      </c>
      <c r="V23" s="232">
        <f>SWITCH(W23,"cash",Reference!$E$5,"shares",Reference!$E$6,"balance",Reference!$E$7)</f>
        <v>0</v>
      </c>
      <c r="W23" s="233" t="s">
        <v>178</v>
      </c>
      <c r="X23" s="234">
        <f>Reference!$B$4*Reference!$B$3*D23</f>
        <v>0</v>
      </c>
      <c r="Y23" s="234">
        <f>iferror(LET(ratio, U23,(1-ratio) * Reference!$B$3 * D23),0)</f>
        <v>0</v>
      </c>
      <c r="Z23" s="234">
        <f>iferror(LET(ratio, V23,(1-ratio) * Reference!$B$3 * $D23),0)</f>
        <v>0</v>
      </c>
      <c r="AA23" s="234">
        <f>SWITCH(Reference!$E$4,"eTradeTransactionLog", X23, "eTradeHoldingRatio", X23, "eTradeLotQtyRatio",Y23, "manualLotRatio", Z23)</f>
        <v>0</v>
      </c>
      <c r="AB23" s="225">
        <f>IF(C23&lt;Reference!$B$26,Reference!$C$26,0)</f>
        <v>0</v>
      </c>
      <c r="AC23" s="225">
        <f>IF(C23&lt;Reference!$B$27,Reference!$C$27,0)</f>
        <v>16.87</v>
      </c>
      <c r="AD23" s="225">
        <f t="shared" si="12"/>
        <v>103.6476471</v>
      </c>
      <c r="AE23" s="235">
        <f>D23*Reference!$B$5*Reference!$B$6</f>
        <v>0</v>
      </c>
      <c r="AF23" s="235">
        <f>$D23*U23*Reference!$B$6</f>
        <v>0</v>
      </c>
      <c r="AG23" s="235">
        <f>$D23*V23*Reference!$B$6</f>
        <v>0</v>
      </c>
      <c r="AH23" s="235">
        <f>SWITCH(Reference!$E$4,"eTradeTransactionLog", AE23, "eTradeHoldingRatio", AE23, "eTradeLotQtyRatio",AF23, "manualLotRatio", AG23)</f>
        <v>0</v>
      </c>
      <c r="AI23" s="236">
        <f>MAX(AA23+(AH23*Reference!$B$18)-(D23*AD23),0)</f>
        <v>0</v>
      </c>
      <c r="AJ23" s="237">
        <f>IF(N23,Summary!$C$41/ ($N$28+RSU!J$86), 0)</f>
        <v>0</v>
      </c>
      <c r="AK23" s="238">
        <f>IF(N23,(Reference!$B$23 - AW23) * AJ23, 0)</f>
        <v>0</v>
      </c>
      <c r="AL23" s="239">
        <f t="shared" si="13"/>
        <v>0</v>
      </c>
      <c r="AM23" s="240">
        <f>IF(DATEDIF(C23,Reference!$B$28,"Y")&gt;=1,0,AK23+AL23)+iferror(((AZ23/D23)*AJ23),0)</f>
        <v>0</v>
      </c>
      <c r="AN23" s="240">
        <f>IF(DATEDIF(C23,Reference!$B$28,"Y")&gt;=1,AK23+AL23,0)</f>
        <v>0</v>
      </c>
      <c r="AO23" s="252" t="str">
        <f>IF(DATEDIF(L23,Reference!$B$28,"Y")&gt;=1,"Part II Box D","Part I Box A")</f>
        <v>Part II Box D</v>
      </c>
      <c r="AP23" s="253">
        <f t="shared" si="14"/>
        <v>44255</v>
      </c>
      <c r="AQ23" s="254">
        <f t="shared" si="15"/>
        <v>0</v>
      </c>
      <c r="AR23" s="254">
        <f>SWITCH(Reference!$E$9, "combined", AA23+(AH23*Reference!$B$18), "cashOnly", AA23)</f>
        <v>0</v>
      </c>
      <c r="AS23" s="255">
        <f t="shared" si="16"/>
        <v>0</v>
      </c>
      <c r="AT23" s="255" t="str">
        <f t="shared" si="17"/>
        <v/>
      </c>
      <c r="AU23" s="254">
        <f>LET(avgoFMV, Reference!$B$18*AH23, vmwBasis, AD23*D23, AS23 - IF(AA23&lt;AI23,avgoFmv,vmwBasis))</f>
        <v>0</v>
      </c>
      <c r="AV23" s="256">
        <f t="shared" si="18"/>
        <v>0</v>
      </c>
      <c r="AW23" s="246" t="str">
        <f t="shared" si="19"/>
        <v>n/a</v>
      </c>
      <c r="AX23" s="247">
        <f>iferror((Reference!$B$10-AW23)*(AH23 - AJ23), 0)</f>
        <v>0</v>
      </c>
      <c r="AY23" s="248" t="b">
        <f>AND(DATEDIF(B23,Reference!$B$29,"Y")&gt;=1, DATEDIF(A23, Reference!$B$29, "Y")&gt;=2)</f>
        <v>1</v>
      </c>
      <c r="AZ23" s="247">
        <f t="shared" si="20"/>
        <v>0</v>
      </c>
      <c r="BA23" s="249">
        <f>IF(DATEDIF(C23,Reference!$B$29,"Y")&gt;=1,0,AM23)</f>
        <v>0</v>
      </c>
      <c r="BB23" s="250">
        <f t="shared" si="21"/>
        <v>0</v>
      </c>
    </row>
    <row r="24">
      <c r="A24" s="219">
        <f t="shared" si="6"/>
        <v>44256</v>
      </c>
      <c r="B24" s="220">
        <v>44256.0</v>
      </c>
      <c r="C24" s="221">
        <v>44439.0</v>
      </c>
      <c r="D24" s="222"/>
      <c r="E24" s="223">
        <v>140.41</v>
      </c>
      <c r="F24" s="223">
        <v>148.87</v>
      </c>
      <c r="G24" s="224"/>
      <c r="H24" s="225">
        <f t="shared" si="7"/>
        <v>0</v>
      </c>
      <c r="I24" s="223">
        <f t="shared" si="23"/>
        <v>0</v>
      </c>
      <c r="J24" s="225">
        <f t="shared" si="8"/>
        <v>0</v>
      </c>
      <c r="K24" s="225">
        <f t="shared" si="9"/>
        <v>0</v>
      </c>
      <c r="L24" s="261">
        <f t="shared" si="25"/>
        <v>119.35</v>
      </c>
      <c r="M24" s="227"/>
      <c r="N24" s="259" t="b">
        <v>0</v>
      </c>
      <c r="O24" s="260"/>
      <c r="P24" s="230">
        <v>0.0</v>
      </c>
      <c r="Q24" s="230">
        <v>0.0</v>
      </c>
      <c r="R24" s="230">
        <v>0.0</v>
      </c>
      <c r="S24" s="230">
        <v>0.0</v>
      </c>
      <c r="T24" s="231">
        <v>0.0</v>
      </c>
      <c r="U24" s="232">
        <f t="shared" si="11"/>
        <v>0</v>
      </c>
      <c r="V24" s="232">
        <f>SWITCH(W24,"cash",Reference!$E$5,"shares",Reference!$E$6,"balance",Reference!$E$7)</f>
        <v>0</v>
      </c>
      <c r="W24" s="233" t="s">
        <v>178</v>
      </c>
      <c r="X24" s="234">
        <f>Reference!$B$4*Reference!$B$3*D24</f>
        <v>0</v>
      </c>
      <c r="Y24" s="234">
        <f>iferror(LET(ratio, U24,(1-ratio) * Reference!$B$3 * D24),0)</f>
        <v>0</v>
      </c>
      <c r="Z24" s="234">
        <f>iferror(LET(ratio, V24,(1-ratio) * Reference!$B$3 * $D24),0)</f>
        <v>0</v>
      </c>
      <c r="AA24" s="234">
        <f>SWITCH(Reference!$E$4,"eTradeTransactionLog", X24, "eTradeHoldingRatio", X24, "eTradeLotQtyRatio",Y24, "manualLotRatio", Z24)</f>
        <v>0</v>
      </c>
      <c r="AB24" s="225">
        <f>IF(C24&lt;Reference!$B$26,Reference!$C$26,0)</f>
        <v>0</v>
      </c>
      <c r="AC24" s="225">
        <f>IF(C24&lt;Reference!$B$27,Reference!$C$27,0)</f>
        <v>16.87</v>
      </c>
      <c r="AD24" s="225">
        <f t="shared" si="12"/>
        <v>123.5417647</v>
      </c>
      <c r="AE24" s="235">
        <f>D24*Reference!$B$5*Reference!$B$6</f>
        <v>0</v>
      </c>
      <c r="AF24" s="235">
        <f>$D24*U24*Reference!$B$6</f>
        <v>0</v>
      </c>
      <c r="AG24" s="235">
        <f>$D24*V24*Reference!$B$6</f>
        <v>0</v>
      </c>
      <c r="AH24" s="235">
        <f>SWITCH(Reference!$E$4,"eTradeTransactionLog", AE24, "eTradeHoldingRatio", AE24, "eTradeLotQtyRatio",AF24, "manualLotRatio", AG24)</f>
        <v>0</v>
      </c>
      <c r="AI24" s="236">
        <f>MAX(AA24+(AH24*Reference!$B$18)-(D24*AD24),0)</f>
        <v>0</v>
      </c>
      <c r="AJ24" s="237">
        <f>IF(N24,Summary!$C$41/ ($N$28+RSU!J$86), 0)</f>
        <v>0</v>
      </c>
      <c r="AK24" s="238">
        <f>IF(N24,(Reference!$B$23 - AW24) * AJ24, 0)</f>
        <v>0</v>
      </c>
      <c r="AL24" s="239">
        <f t="shared" si="13"/>
        <v>0</v>
      </c>
      <c r="AM24" s="240">
        <f>IF(DATEDIF(C24,Reference!$B$28,"Y")&gt;=1,0,AK24+AL24)+iferror(((AZ24/D24)*AJ24),0)</f>
        <v>0</v>
      </c>
      <c r="AN24" s="240">
        <f>IF(DATEDIF(C24,Reference!$B$28,"Y")&gt;=1,AK24+AL24,0)</f>
        <v>0</v>
      </c>
      <c r="AO24" s="252" t="str">
        <f>IF(DATEDIF(L24,Reference!$B$28,"Y")&gt;=1,"Part II Box D","Part I Box A")</f>
        <v>Part II Box D</v>
      </c>
      <c r="AP24" s="253">
        <f t="shared" si="14"/>
        <v>44439</v>
      </c>
      <c r="AQ24" s="254">
        <f t="shared" si="15"/>
        <v>0</v>
      </c>
      <c r="AR24" s="254">
        <f>SWITCH(Reference!$E$9, "combined", AA24+(AH24*Reference!$B$18), "cashOnly", AA24)</f>
        <v>0</v>
      </c>
      <c r="AS24" s="255">
        <f t="shared" si="16"/>
        <v>0</v>
      </c>
      <c r="AT24" s="255" t="str">
        <f t="shared" si="17"/>
        <v/>
      </c>
      <c r="AU24" s="254">
        <f>LET(avgoFMV, Reference!$B$18*AH24, vmwBasis, AD24*D24, AS24 - IF(AA24&lt;AI24,avgoFmv,vmwBasis))</f>
        <v>0</v>
      </c>
      <c r="AV24" s="256">
        <f t="shared" si="18"/>
        <v>0</v>
      </c>
      <c r="AW24" s="246" t="str">
        <f t="shared" si="19"/>
        <v>n/a</v>
      </c>
      <c r="AX24" s="247">
        <f>iferror((Reference!$B$10-AW24)*(AH24 - AJ24), 0)</f>
        <v>0</v>
      </c>
      <c r="AY24" s="248" t="b">
        <f>AND(DATEDIF(B24,Reference!$B$29,"Y")&gt;=1, DATEDIF(A24, Reference!$B$29, "Y")&gt;=2)</f>
        <v>1</v>
      </c>
      <c r="AZ24" s="247">
        <f t="shared" si="20"/>
        <v>0</v>
      </c>
      <c r="BA24" s="249">
        <f>IF(DATEDIF(C24,Reference!$B$29,"Y")&gt;=1,0,AM24)</f>
        <v>0</v>
      </c>
      <c r="BB24" s="250">
        <f t="shared" si="21"/>
        <v>0</v>
      </c>
    </row>
    <row r="25">
      <c r="A25" s="219">
        <f t="shared" si="6"/>
        <v>44256</v>
      </c>
      <c r="B25" s="220">
        <v>44256.0</v>
      </c>
      <c r="C25" s="221">
        <v>44620.0</v>
      </c>
      <c r="D25" s="222"/>
      <c r="E25" s="223">
        <v>140.41</v>
      </c>
      <c r="F25" s="223">
        <v>117.32</v>
      </c>
      <c r="G25" s="224"/>
      <c r="H25" s="225">
        <f t="shared" si="7"/>
        <v>0</v>
      </c>
      <c r="I25" s="223">
        <f t="shared" si="23"/>
        <v>0</v>
      </c>
      <c r="J25" s="225">
        <f t="shared" si="8"/>
        <v>0</v>
      </c>
      <c r="K25" s="225">
        <f t="shared" si="9"/>
        <v>0</v>
      </c>
      <c r="L25" s="261">
        <f t="shared" si="25"/>
        <v>99.72</v>
      </c>
      <c r="M25" s="227"/>
      <c r="N25" s="259" t="b">
        <v>0</v>
      </c>
      <c r="O25" s="260"/>
      <c r="P25" s="230">
        <v>0.0</v>
      </c>
      <c r="Q25" s="230">
        <v>0.0</v>
      </c>
      <c r="R25" s="230">
        <v>0.0</v>
      </c>
      <c r="S25" s="230">
        <v>0.0</v>
      </c>
      <c r="T25" s="231">
        <v>0.0</v>
      </c>
      <c r="U25" s="232">
        <f t="shared" si="11"/>
        <v>0</v>
      </c>
      <c r="V25" s="232">
        <f>SWITCH(W25,"cash",Reference!$E$5,"shares",Reference!$E$6,"balance",Reference!$E$7)</f>
        <v>0</v>
      </c>
      <c r="W25" s="233" t="s">
        <v>178</v>
      </c>
      <c r="X25" s="234">
        <f>Reference!$B$4*Reference!$B$3*D25</f>
        <v>0</v>
      </c>
      <c r="Y25" s="234">
        <f>iferror(LET(ratio, U25,(1-ratio) * Reference!$B$3 * D25),0)</f>
        <v>0</v>
      </c>
      <c r="Z25" s="234">
        <f>iferror(LET(ratio, V25,(1-ratio) * Reference!$B$3 * $D25),0)</f>
        <v>0</v>
      </c>
      <c r="AA25" s="234">
        <f>SWITCH(Reference!$E$4,"eTradeTransactionLog", X25, "eTradeHoldingRatio", X25, "eTradeLotQtyRatio",Y25, "manualLotRatio", Z25)</f>
        <v>0</v>
      </c>
      <c r="AB25" s="225">
        <f>IF(C25&lt;Reference!$B$26,Reference!$C$26,0)</f>
        <v>0</v>
      </c>
      <c r="AC25" s="225">
        <f>IF(C25&lt;Reference!$B$27,Reference!$C$27,0)</f>
        <v>0</v>
      </c>
      <c r="AD25" s="225">
        <f t="shared" si="12"/>
        <v>117.3176471</v>
      </c>
      <c r="AE25" s="235">
        <f>D25*Reference!$B$5*Reference!$B$6</f>
        <v>0</v>
      </c>
      <c r="AF25" s="235">
        <f>$D25*U25*Reference!$B$6</f>
        <v>0</v>
      </c>
      <c r="AG25" s="235">
        <f>$D25*V25*Reference!$B$6</f>
        <v>0</v>
      </c>
      <c r="AH25" s="235">
        <f>SWITCH(Reference!$E$4,"eTradeTransactionLog", AE25, "eTradeHoldingRatio", AE25, "eTradeLotQtyRatio",AF25, "manualLotRatio", AG25)</f>
        <v>0</v>
      </c>
      <c r="AI25" s="236">
        <f>MAX(AA25+(AH25*Reference!$B$18)-(D25*AD25),0)</f>
        <v>0</v>
      </c>
      <c r="AJ25" s="237">
        <f>IF(N25,Summary!$C$41/ ($N$28+RSU!J$86), 0)</f>
        <v>0</v>
      </c>
      <c r="AK25" s="238">
        <f>IF(N25,(Reference!$B$23 - AW25) * AJ25, 0)</f>
        <v>0</v>
      </c>
      <c r="AL25" s="239">
        <f t="shared" si="13"/>
        <v>0</v>
      </c>
      <c r="AM25" s="240">
        <f>IF(DATEDIF(C25,Reference!$B$28,"Y")&gt;=1,0,AK25+AL25)+iferror(((AZ25/D25)*AJ25),0)</f>
        <v>0</v>
      </c>
      <c r="AN25" s="240">
        <f>IF(DATEDIF(C25,Reference!$B$28,"Y")&gt;=1,AK25+AL25,0)</f>
        <v>0</v>
      </c>
      <c r="AO25" s="252" t="str">
        <f>IF(DATEDIF(L25,Reference!$B$28,"Y")&gt;=1,"Part II Box D","Part I Box A")</f>
        <v>Part II Box D</v>
      </c>
      <c r="AP25" s="253">
        <f t="shared" si="14"/>
        <v>44620</v>
      </c>
      <c r="AQ25" s="254">
        <f t="shared" si="15"/>
        <v>0</v>
      </c>
      <c r="AR25" s="254">
        <f>SWITCH(Reference!$E$9, "combined", AA25+(AH25*Reference!$B$18), "cashOnly", AA25)</f>
        <v>0</v>
      </c>
      <c r="AS25" s="255">
        <f t="shared" si="16"/>
        <v>0</v>
      </c>
      <c r="AT25" s="255" t="str">
        <f t="shared" si="17"/>
        <v/>
      </c>
      <c r="AU25" s="254">
        <f>LET(avgoFMV, Reference!$B$18*AH25, vmwBasis, AD25*D25, AS25 - IF(AA25&lt;AI25,avgoFmv,vmwBasis))</f>
        <v>0</v>
      </c>
      <c r="AV25" s="256">
        <f t="shared" si="18"/>
        <v>0</v>
      </c>
      <c r="AW25" s="246" t="str">
        <f t="shared" si="19"/>
        <v>n/a</v>
      </c>
      <c r="AX25" s="247">
        <f>iferror((Reference!$B$10-AW25)*(AH25 - AJ25), 0)</f>
        <v>0</v>
      </c>
      <c r="AY25" s="248" t="b">
        <f>AND(DATEDIF(B25,Reference!$B$29,"Y")&gt;=1, DATEDIF(A25, Reference!$B$29, "Y")&gt;=2)</f>
        <v>1</v>
      </c>
      <c r="AZ25" s="247">
        <f t="shared" si="20"/>
        <v>0</v>
      </c>
      <c r="BA25" s="249">
        <f>IF(DATEDIF(C25,Reference!$B$29,"Y")&gt;=1,0,AM25)</f>
        <v>0</v>
      </c>
      <c r="BB25" s="250">
        <f t="shared" si="21"/>
        <v>0</v>
      </c>
    </row>
    <row r="26">
      <c r="A26" s="262">
        <f t="shared" si="6"/>
        <v>44621</v>
      </c>
      <c r="B26" s="263">
        <v>44621.0</v>
      </c>
      <c r="C26" s="264">
        <v>44804.0</v>
      </c>
      <c r="D26" s="265"/>
      <c r="E26" s="266">
        <v>115.91</v>
      </c>
      <c r="F26" s="266">
        <v>116.03</v>
      </c>
      <c r="G26" s="267"/>
      <c r="H26" s="268">
        <f t="shared" si="7"/>
        <v>0</v>
      </c>
      <c r="I26" s="266">
        <f t="shared" si="23"/>
        <v>0</v>
      </c>
      <c r="J26" s="268">
        <f t="shared" si="8"/>
        <v>0</v>
      </c>
      <c r="K26" s="268">
        <f t="shared" si="9"/>
        <v>0</v>
      </c>
      <c r="L26" s="269">
        <f t="shared" si="25"/>
        <v>98.52</v>
      </c>
      <c r="M26" s="270"/>
      <c r="N26" s="271" t="b">
        <v>0</v>
      </c>
      <c r="O26" s="272"/>
      <c r="P26" s="273">
        <v>0.0</v>
      </c>
      <c r="Q26" s="273">
        <v>0.0</v>
      </c>
      <c r="R26" s="273">
        <v>0.0</v>
      </c>
      <c r="S26" s="273">
        <v>0.0</v>
      </c>
      <c r="T26" s="274">
        <v>0.0</v>
      </c>
      <c r="U26" s="275">
        <f t="shared" si="11"/>
        <v>0</v>
      </c>
      <c r="V26" s="275">
        <f>SWITCH(W26,"cash",Reference!$E$5,"shares",Reference!$E$6,"balance",Reference!$E$7)</f>
        <v>0</v>
      </c>
      <c r="W26" s="276" t="s">
        <v>178</v>
      </c>
      <c r="X26" s="277">
        <f>Reference!$B$4*Reference!$B$3*D26</f>
        <v>0</v>
      </c>
      <c r="Y26" s="277">
        <f>iferror(LET(ratio, U26,(1-ratio) * Reference!$B$3 * D26),0)</f>
        <v>0</v>
      </c>
      <c r="Z26" s="277">
        <f>iferror(LET(ratio, V26,(1-ratio) * Reference!$B$3 * $D26),0)</f>
        <v>0</v>
      </c>
      <c r="AA26" s="277">
        <f>SWITCH(Reference!$E$4,"eTradeTransactionLog", X26, "eTradeHoldingRatio", X26, "eTradeLotQtyRatio",Y26, "manualLotRatio", Z26)</f>
        <v>0</v>
      </c>
      <c r="AB26" s="268">
        <f>IF(C26&lt;Reference!$B$26,Reference!$C$26,0)</f>
        <v>0</v>
      </c>
      <c r="AC26" s="268">
        <f>IF(C26&lt;Reference!$B$27,Reference!$C$27,0)</f>
        <v>0</v>
      </c>
      <c r="AD26" s="268">
        <f t="shared" si="12"/>
        <v>115.9058824</v>
      </c>
      <c r="AE26" s="278">
        <f>D26*Reference!$B$5*Reference!$B$6</f>
        <v>0</v>
      </c>
      <c r="AF26" s="278">
        <f>$D26*U26*Reference!$B$6</f>
        <v>0</v>
      </c>
      <c r="AG26" s="278">
        <f>$D26*V26*Reference!$B$6</f>
        <v>0</v>
      </c>
      <c r="AH26" s="278">
        <f>SWITCH(Reference!$E$4,"eTradeTransactionLog", AE26, "eTradeHoldingRatio", AE26, "eTradeLotQtyRatio",AF26, "manualLotRatio", AG26)</f>
        <v>0</v>
      </c>
      <c r="AI26" s="279">
        <f>MAX(AA26+(AH26*Reference!$B$18)-(D26*AD26),0)</f>
        <v>0</v>
      </c>
      <c r="AJ26" s="280">
        <f>IF(N26,Summary!$C$41/ ($N$28+RSU!J$86), 0)</f>
        <v>0</v>
      </c>
      <c r="AK26" s="281">
        <f>IF(N26,(Reference!$B$23 - AW26) * AJ26, 0)</f>
        <v>0</v>
      </c>
      <c r="AL26" s="282">
        <f t="shared" si="13"/>
        <v>0</v>
      </c>
      <c r="AM26" s="283">
        <f>IF(DATEDIF(C26,Reference!$B$28,"Y")&gt;=1,0,AK26+AL26)+iferror(((AZ26/D26)*AJ26),0)</f>
        <v>0</v>
      </c>
      <c r="AN26" s="283">
        <f>IF(DATEDIF(C26,Reference!$B$28,"Y")&gt;=1,AK26+AL26,0)</f>
        <v>0</v>
      </c>
      <c r="AO26" s="284" t="str">
        <f>IF(DATEDIF(L26,Reference!$B$28,"Y")&gt;=1,"Part II Box D","Part I Box A")</f>
        <v>Part II Box D</v>
      </c>
      <c r="AP26" s="285">
        <f t="shared" si="14"/>
        <v>44804</v>
      </c>
      <c r="AQ26" s="286">
        <f t="shared" si="15"/>
        <v>0</v>
      </c>
      <c r="AR26" s="286">
        <f>SWITCH(Reference!$E$9, "combined", AA26+(AH26*Reference!$B$18), "cashOnly", AA26)</f>
        <v>0</v>
      </c>
      <c r="AS26" s="287">
        <f t="shared" si="16"/>
        <v>0</v>
      </c>
      <c r="AT26" s="287" t="str">
        <f t="shared" si="17"/>
        <v/>
      </c>
      <c r="AU26" s="286">
        <f>LET(avgoFMV, Reference!$B$18*AH26, vmwBasis, AD26*D26, AS26 - IF(AA26&lt;AI26,avgoFmv,vmwBasis))</f>
        <v>0</v>
      </c>
      <c r="AV26" s="288">
        <f t="shared" si="18"/>
        <v>0</v>
      </c>
      <c r="AW26" s="289" t="str">
        <f t="shared" si="19"/>
        <v>n/a</v>
      </c>
      <c r="AX26" s="290">
        <f>iferror((Reference!$B$10-AW26)*(AH26 - AJ26), 0)</f>
        <v>0</v>
      </c>
      <c r="AY26" s="291" t="b">
        <f>AND(DATEDIF(B26,Reference!$B$29,"Y")&gt;=1, DATEDIF(A26, Reference!$B$29, "Y")&gt;=2)</f>
        <v>0</v>
      </c>
      <c r="AZ26" s="290">
        <f t="shared" si="20"/>
        <v>0</v>
      </c>
      <c r="BA26" s="292">
        <f>IF(DATEDIF(C26,Reference!$B$29,"Y")&gt;=1,0,AM26)</f>
        <v>0</v>
      </c>
      <c r="BB26" s="293">
        <f t="shared" si="21"/>
        <v>0</v>
      </c>
    </row>
    <row r="27">
      <c r="A27" s="107"/>
      <c r="B27" s="107"/>
      <c r="C27" s="107"/>
      <c r="D27" s="107"/>
      <c r="E27" s="107"/>
      <c r="F27" s="107"/>
      <c r="G27" s="107"/>
      <c r="H27" s="107"/>
      <c r="I27" s="107"/>
      <c r="J27" s="107"/>
      <c r="K27" s="107"/>
      <c r="L27" s="107"/>
      <c r="M27" s="107"/>
      <c r="N27" s="107"/>
      <c r="O27" s="107"/>
      <c r="P27" s="107"/>
      <c r="Q27" s="107"/>
      <c r="R27" s="107"/>
      <c r="S27" s="107"/>
      <c r="T27" s="107"/>
      <c r="U27" s="107"/>
      <c r="V27" s="107"/>
      <c r="X27" s="294"/>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295"/>
      <c r="BB27" s="107"/>
    </row>
    <row r="28">
      <c r="A28" s="296"/>
      <c r="B28" s="103"/>
      <c r="C28" s="103"/>
      <c r="D28" s="297">
        <f>SUM(D7:D26)</f>
        <v>0</v>
      </c>
      <c r="E28" s="103"/>
      <c r="F28" s="103"/>
      <c r="G28" s="298"/>
      <c r="H28" s="299">
        <f>SUM(H7:H26)</f>
        <v>0</v>
      </c>
      <c r="I28" s="103"/>
      <c r="J28" s="103"/>
      <c r="K28" s="103"/>
      <c r="L28" s="103"/>
      <c r="M28" s="300">
        <f>SUM(M7:M26)</f>
        <v>0</v>
      </c>
      <c r="N28" s="298">
        <f>COUNTIF(N7:N26, TRUE)</f>
        <v>0</v>
      </c>
      <c r="O28" s="103"/>
      <c r="P28" s="103"/>
      <c r="Q28" s="103"/>
      <c r="R28" s="103"/>
      <c r="S28" s="103"/>
      <c r="T28" s="103"/>
      <c r="U28" s="103"/>
      <c r="V28" s="103"/>
      <c r="W28" s="301"/>
      <c r="X28" s="299">
        <f t="shared" ref="X28:AA28" si="26">SUM(X7:X26)</f>
        <v>0</v>
      </c>
      <c r="Y28" s="299">
        <f t="shared" si="26"/>
        <v>0</v>
      </c>
      <c r="Z28" s="299">
        <f t="shared" si="26"/>
        <v>0</v>
      </c>
      <c r="AA28" s="299">
        <f t="shared" si="26"/>
        <v>0</v>
      </c>
      <c r="AB28" s="103"/>
      <c r="AC28" s="103"/>
      <c r="AD28" s="103"/>
      <c r="AE28" s="302">
        <f t="shared" ref="AE28:AN28" si="27">SUM(AE7:AE26)</f>
        <v>0</v>
      </c>
      <c r="AF28" s="302">
        <f t="shared" si="27"/>
        <v>0</v>
      </c>
      <c r="AG28" s="302">
        <f t="shared" si="27"/>
        <v>0</v>
      </c>
      <c r="AH28" s="303">
        <f t="shared" si="27"/>
        <v>0</v>
      </c>
      <c r="AI28" s="299">
        <f t="shared" si="27"/>
        <v>0</v>
      </c>
      <c r="AJ28" s="304">
        <f t="shared" si="27"/>
        <v>0</v>
      </c>
      <c r="AK28" s="202">
        <f t="shared" si="27"/>
        <v>0</v>
      </c>
      <c r="AL28" s="133">
        <f t="shared" si="27"/>
        <v>0</v>
      </c>
      <c r="AM28" s="305">
        <f t="shared" si="27"/>
        <v>0</v>
      </c>
      <c r="AN28" s="306">
        <f t="shared" si="27"/>
        <v>0</v>
      </c>
      <c r="AO28" s="201"/>
      <c r="AP28" s="202"/>
      <c r="AQ28" s="202"/>
      <c r="AR28" s="202">
        <f t="shared" ref="AR28:AS28" si="28">AR5</f>
        <v>0</v>
      </c>
      <c r="AS28" s="202">
        <f t="shared" si="28"/>
        <v>0</v>
      </c>
      <c r="AT28" s="201"/>
      <c r="AU28" s="202">
        <f t="shared" ref="AU28:AV28" si="29">AU5</f>
        <v>0</v>
      </c>
      <c r="AV28" s="202">
        <f t="shared" si="29"/>
        <v>0</v>
      </c>
      <c r="AW28" s="103"/>
      <c r="AX28" s="102">
        <f>SUM(AX7:AX26)</f>
        <v>0</v>
      </c>
      <c r="AY28" s="102"/>
      <c r="AZ28" s="102">
        <f t="shared" ref="AZ28:BB28" si="30">SUM(AZ7:AZ26)</f>
        <v>0</v>
      </c>
      <c r="BA28" s="307">
        <f t="shared" si="30"/>
        <v>0</v>
      </c>
      <c r="BB28" s="104">
        <f t="shared" si="30"/>
        <v>0</v>
      </c>
    </row>
    <row r="29">
      <c r="AP29" s="308"/>
      <c r="AQ29" s="308"/>
      <c r="AR29" s="309" t="s">
        <v>179</v>
      </c>
    </row>
  </sheetData>
  <mergeCells count="19">
    <mergeCell ref="A1:W1"/>
    <mergeCell ref="X1:BB1"/>
    <mergeCell ref="M2:N2"/>
    <mergeCell ref="U2:W2"/>
    <mergeCell ref="X2:AI2"/>
    <mergeCell ref="AK2:AV2"/>
    <mergeCell ref="AW2:BB2"/>
    <mergeCell ref="AE3:AH3"/>
    <mergeCell ref="AK3:AL3"/>
    <mergeCell ref="AM3:AN3"/>
    <mergeCell ref="AO3:AV3"/>
    <mergeCell ref="AW3:BB3"/>
    <mergeCell ref="A2:L2"/>
    <mergeCell ref="B3:G3"/>
    <mergeCell ref="I3:L3"/>
    <mergeCell ref="O3:T3"/>
    <mergeCell ref="U3:W3"/>
    <mergeCell ref="X3:AA3"/>
    <mergeCell ref="AB3:AC3"/>
  </mergeCells>
  <conditionalFormatting sqref="M7:M26">
    <cfRule type="cellIs" dxfId="5" priority="1" operator="notEqual">
      <formula>ROUND(AE7,3)</formula>
    </cfRule>
  </conditionalFormatting>
  <conditionalFormatting sqref="AL7:AL26">
    <cfRule type="containsBlanks" dxfId="6" priority="2">
      <formula>LEN(TRIM(AL7))=0</formula>
    </cfRule>
  </conditionalFormatting>
  <conditionalFormatting sqref="AL7:AL26">
    <cfRule type="cellIs" dxfId="7" priority="3" operator="notEqual">
      <formula>AA7</formula>
    </cfRule>
  </conditionalFormatting>
  <conditionalFormatting sqref="AK7:AK26">
    <cfRule type="cellIs" dxfId="8" priority="4" operator="equal">
      <formula>0</formula>
    </cfRule>
  </conditionalFormatting>
  <conditionalFormatting sqref="AK7:AK26">
    <cfRule type="cellIs" dxfId="9" priority="5" operator="notEqual">
      <formula>0</formula>
    </cfRule>
  </conditionalFormatting>
  <conditionalFormatting sqref="O7:O26">
    <cfRule type="cellIs" dxfId="5" priority="6" operator="notEqual">
      <formula>"AA7"</formula>
    </cfRule>
  </conditionalFormatting>
  <dataValidations>
    <dataValidation type="decimal" operator="greaterThanOrEqual" allowBlank="1" showDropDown="1" showErrorMessage="1" sqref="D7:D26 G7:G26 M7:M26">
      <formula1>0.0</formula1>
    </dataValidation>
    <dataValidation type="list" allowBlank="1" showErrorMessage="1" sqref="W7:W26">
      <formula1>"balance,cash,shares"</formula1>
    </dataValidation>
  </dataValidations>
  <hyperlinks>
    <hyperlink r:id="rId2" location=":~:text=Attach%20a%20statement%20to%20your%20return%20explaining%20the%20adjustment%20that%20you%20made%20to%20the%20sales%20proceeds%20reported%20for%20that%20transaction." ref="AR29"/>
  </hyperlinks>
  <drawing r:id="rId3"/>
  <legacy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hidden="1" min="1" max="1" width="12.63"/>
    <col customWidth="1" hidden="1" min="2" max="2" width="9.5"/>
    <col customWidth="1" min="3" max="3" width="21.13"/>
    <col customWidth="1" min="4" max="4" width="14.75"/>
    <col customWidth="1" min="5" max="5" width="19.25"/>
    <col customWidth="1" hidden="1" min="6" max="6" width="24.75"/>
    <col customWidth="1" hidden="1" min="7" max="7" width="21.25"/>
    <col customWidth="1" hidden="1" min="8" max="8" width="15.63"/>
    <col customWidth="1" min="9" max="9" width="24.38"/>
    <col customWidth="1" min="10" max="10" width="12.25"/>
    <col customWidth="1" hidden="1" min="11" max="11" width="11.5"/>
    <col customWidth="1" hidden="1" min="12" max="12" width="15.5"/>
    <col customWidth="1" hidden="1" min="13" max="13" width="22.63"/>
    <col customWidth="1" hidden="1" min="14" max="14" width="24.88"/>
    <col customWidth="1" hidden="1" min="15" max="15" width="14.75"/>
    <col customWidth="1" hidden="1" min="16" max="17" width="15.5"/>
    <col customWidth="1" hidden="1" min="18" max="18" width="11.63"/>
    <col customWidth="1" min="19" max="19" width="14.38"/>
    <col customWidth="1" hidden="1" min="20" max="20" width="12.5"/>
    <col customWidth="1" hidden="1" min="21" max="21" width="17.38"/>
    <col customWidth="1" hidden="1" min="22" max="22" width="11.63"/>
    <col customWidth="1" hidden="1" min="23" max="23" width="11.38"/>
    <col customWidth="1" hidden="1" min="24" max="24" width="28.0"/>
    <col customWidth="1" hidden="1" min="25" max="25" width="23.38"/>
    <col customWidth="1" hidden="1" min="26" max="26" width="21.0"/>
    <col customWidth="1" hidden="1" min="27" max="31" width="18.88"/>
    <col customWidth="1" hidden="1" min="32" max="32" width="23.75"/>
    <col hidden="1" min="33" max="34" width="12.63"/>
    <col customWidth="1" min="36" max="36" width="19.63"/>
    <col customWidth="1" min="37" max="37" width="12.13"/>
    <col customWidth="1" min="38" max="38" width="15.0"/>
    <col customWidth="1" min="39" max="39" width="13.0"/>
    <col customWidth="1" min="40" max="40" width="13.88"/>
    <col customWidth="1" min="41" max="41" width="12.13"/>
    <col customWidth="1" min="42" max="42" width="13.25"/>
    <col customWidth="1" min="43" max="45" width="12.13"/>
    <col customWidth="1" min="46" max="46" width="19.75"/>
    <col customWidth="1" min="47" max="47" width="23.38"/>
    <col customWidth="1" min="48" max="49" width="19.88"/>
  </cols>
  <sheetData>
    <row r="1">
      <c r="A1" s="310" t="s">
        <v>1</v>
      </c>
      <c r="T1" s="310" t="s">
        <v>114</v>
      </c>
      <c r="AW1" s="152"/>
    </row>
    <row r="2">
      <c r="A2" s="311" t="s">
        <v>180</v>
      </c>
      <c r="B2" s="112"/>
      <c r="C2" s="112"/>
      <c r="D2" s="112"/>
      <c r="E2" s="112"/>
      <c r="F2" s="112"/>
      <c r="G2" s="112"/>
      <c r="H2" s="113"/>
      <c r="I2" s="312" t="s">
        <v>116</v>
      </c>
      <c r="J2" s="112"/>
      <c r="K2" s="112"/>
      <c r="L2" s="112"/>
      <c r="M2" s="112"/>
      <c r="N2" s="112"/>
      <c r="O2" s="112"/>
      <c r="P2" s="113"/>
      <c r="Q2" s="157"/>
      <c r="R2" s="112"/>
      <c r="S2" s="113"/>
      <c r="T2" s="311" t="s">
        <v>117</v>
      </c>
      <c r="U2" s="112"/>
      <c r="V2" s="112"/>
      <c r="W2" s="112"/>
      <c r="X2" s="112"/>
      <c r="Y2" s="112"/>
      <c r="Z2" s="112"/>
      <c r="AA2" s="112"/>
      <c r="AB2" s="112"/>
      <c r="AC2" s="112"/>
      <c r="AD2" s="112"/>
      <c r="AE2" s="112"/>
      <c r="AF2" s="112"/>
      <c r="AG2" s="313"/>
      <c r="AH2" s="311" t="s">
        <v>118</v>
      </c>
      <c r="AI2" s="112"/>
      <c r="AJ2" s="112"/>
      <c r="AK2" s="112"/>
      <c r="AL2" s="112"/>
      <c r="AM2" s="112"/>
      <c r="AN2" s="112"/>
      <c r="AO2" s="112"/>
      <c r="AP2" s="112"/>
      <c r="AQ2" s="112"/>
      <c r="AR2" s="112"/>
      <c r="AS2" s="113"/>
      <c r="AT2" s="314" t="s">
        <v>119</v>
      </c>
      <c r="AU2" s="112"/>
      <c r="AV2" s="112"/>
      <c r="AW2" s="113"/>
    </row>
    <row r="3">
      <c r="A3" s="315"/>
      <c r="B3" s="316" t="s">
        <v>120</v>
      </c>
      <c r="F3" s="317" t="s">
        <v>181</v>
      </c>
      <c r="G3" s="318" t="s">
        <v>121</v>
      </c>
      <c r="H3" s="152"/>
      <c r="I3" s="319" t="s">
        <v>123</v>
      </c>
      <c r="J3" s="320" t="s">
        <v>124</v>
      </c>
      <c r="K3" s="321" t="s">
        <v>125</v>
      </c>
      <c r="L3" s="164"/>
      <c r="M3" s="164"/>
      <c r="N3" s="164"/>
      <c r="O3" s="164"/>
      <c r="P3" s="165"/>
      <c r="Q3" s="321" t="s">
        <v>126</v>
      </c>
      <c r="R3" s="164"/>
      <c r="S3" s="165"/>
      <c r="T3" s="167" t="s">
        <v>127</v>
      </c>
      <c r="W3" s="152"/>
      <c r="X3" s="316" t="s">
        <v>128</v>
      </c>
      <c r="Y3" s="152"/>
      <c r="Z3" s="316" t="s">
        <v>182</v>
      </c>
      <c r="AB3" s="168" t="s">
        <v>130</v>
      </c>
      <c r="AE3" s="152"/>
      <c r="AF3" s="316" t="s">
        <v>131</v>
      </c>
      <c r="AG3" s="318"/>
      <c r="AH3" s="316" t="s">
        <v>132</v>
      </c>
      <c r="AI3" s="152"/>
      <c r="AJ3" s="316" t="s">
        <v>183</v>
      </c>
      <c r="AK3" s="152"/>
      <c r="AL3" s="74" t="s">
        <v>86</v>
      </c>
      <c r="AS3" s="152"/>
      <c r="AT3" s="322" t="s">
        <v>133</v>
      </c>
      <c r="AW3" s="152"/>
    </row>
    <row r="4">
      <c r="A4" s="323" t="s">
        <v>184</v>
      </c>
      <c r="B4" s="324" t="s">
        <v>185</v>
      </c>
      <c r="C4" s="324" t="s">
        <v>186</v>
      </c>
      <c r="D4" s="325" t="s">
        <v>187</v>
      </c>
      <c r="E4" s="181" t="s">
        <v>188</v>
      </c>
      <c r="F4" s="326" t="s">
        <v>189</v>
      </c>
      <c r="G4" s="327" t="s">
        <v>190</v>
      </c>
      <c r="H4" s="323" t="s">
        <v>191</v>
      </c>
      <c r="I4" s="328" t="s">
        <v>146</v>
      </c>
      <c r="J4" s="329"/>
      <c r="K4" s="330" t="s">
        <v>147</v>
      </c>
      <c r="L4" s="331" t="s">
        <v>148</v>
      </c>
      <c r="M4" s="331" t="s">
        <v>149</v>
      </c>
      <c r="N4" s="331" t="s">
        <v>150</v>
      </c>
      <c r="O4" s="331" t="s">
        <v>151</v>
      </c>
      <c r="P4" s="332" t="s">
        <v>152</v>
      </c>
      <c r="Q4" s="331" t="s">
        <v>153</v>
      </c>
      <c r="R4" s="331" t="s">
        <v>154</v>
      </c>
      <c r="S4" s="332" t="s">
        <v>155</v>
      </c>
      <c r="T4" s="174" t="s">
        <v>156</v>
      </c>
      <c r="U4" s="181" t="s">
        <v>157</v>
      </c>
      <c r="V4" s="181" t="s">
        <v>158</v>
      </c>
      <c r="W4" s="181" t="s">
        <v>159</v>
      </c>
      <c r="X4" s="325" t="s">
        <v>160</v>
      </c>
      <c r="Y4" s="323" t="s">
        <v>161</v>
      </c>
      <c r="Z4" s="181" t="s">
        <v>162</v>
      </c>
      <c r="AA4" s="181" t="s">
        <v>192</v>
      </c>
      <c r="AB4" s="183" t="s">
        <v>156</v>
      </c>
      <c r="AC4" s="174" t="s">
        <v>163</v>
      </c>
      <c r="AD4" s="174" t="s">
        <v>158</v>
      </c>
      <c r="AE4" s="182" t="s">
        <v>164</v>
      </c>
      <c r="AF4" s="325" t="s">
        <v>165</v>
      </c>
      <c r="AG4" s="333" t="s">
        <v>76</v>
      </c>
      <c r="AH4" s="334" t="s">
        <v>166</v>
      </c>
      <c r="AI4" s="323" t="s">
        <v>75</v>
      </c>
      <c r="AJ4" s="181" t="s">
        <v>167</v>
      </c>
      <c r="AK4" s="335" t="s">
        <v>168</v>
      </c>
      <c r="AL4" s="336" t="s">
        <v>169</v>
      </c>
      <c r="AM4" s="337" t="s">
        <v>170</v>
      </c>
      <c r="AN4" s="337" t="s">
        <v>171</v>
      </c>
      <c r="AO4" s="337" t="s">
        <v>87</v>
      </c>
      <c r="AP4" s="337" t="s">
        <v>88</v>
      </c>
      <c r="AQ4" s="337" t="s">
        <v>89</v>
      </c>
      <c r="AR4" s="337" t="s">
        <v>90</v>
      </c>
      <c r="AS4" s="338" t="s">
        <v>91</v>
      </c>
      <c r="AT4" s="339" t="s">
        <v>172</v>
      </c>
      <c r="AU4" s="339" t="s">
        <v>173</v>
      </c>
      <c r="AV4" s="190" t="s">
        <v>176</v>
      </c>
      <c r="AW4" s="329" t="s">
        <v>177</v>
      </c>
    </row>
    <row r="5">
      <c r="A5" s="296"/>
      <c r="B5" s="103"/>
      <c r="C5" s="103"/>
      <c r="D5" s="297">
        <f>SUM(D7:D84)</f>
        <v>0</v>
      </c>
      <c r="E5" s="103"/>
      <c r="F5" s="103"/>
      <c r="G5" s="132">
        <f t="shared" ref="G5:I5" si="1">SUM(G7:G84)</f>
        <v>0</v>
      </c>
      <c r="H5" s="299">
        <f t="shared" si="1"/>
        <v>0</v>
      </c>
      <c r="I5" s="340">
        <f t="shared" si="1"/>
        <v>0</v>
      </c>
      <c r="J5" s="103">
        <f>COUNTIF(#REF!, TRUE)</f>
        <v>0</v>
      </c>
      <c r="K5" s="103"/>
      <c r="L5" s="103"/>
      <c r="M5" s="103"/>
      <c r="N5" s="103"/>
      <c r="O5" s="103"/>
      <c r="P5" s="103"/>
      <c r="Q5" s="103"/>
      <c r="R5" s="103"/>
      <c r="S5" s="103"/>
      <c r="T5" s="341">
        <f t="shared" ref="T5:W5" si="2">SUM(T7:T84)</f>
        <v>0</v>
      </c>
      <c r="U5" s="341">
        <f t="shared" si="2"/>
        <v>0</v>
      </c>
      <c r="V5" s="341">
        <f t="shared" si="2"/>
        <v>0</v>
      </c>
      <c r="W5" s="341">
        <f t="shared" si="2"/>
        <v>0</v>
      </c>
      <c r="X5" s="103"/>
      <c r="Y5" s="103"/>
      <c r="Z5" s="103"/>
      <c r="AA5" s="299">
        <f t="shared" ref="AA5:AK5" si="3">SUM(AA7:AA84)</f>
        <v>0</v>
      </c>
      <c r="AB5" s="302">
        <f t="shared" si="3"/>
        <v>0</v>
      </c>
      <c r="AC5" s="302">
        <f t="shared" si="3"/>
        <v>0</v>
      </c>
      <c r="AD5" s="302">
        <f t="shared" si="3"/>
        <v>0</v>
      </c>
      <c r="AE5" s="302">
        <f t="shared" si="3"/>
        <v>0</v>
      </c>
      <c r="AF5" s="299">
        <f t="shared" si="3"/>
        <v>0</v>
      </c>
      <c r="AG5" s="304">
        <f t="shared" si="3"/>
        <v>0</v>
      </c>
      <c r="AH5" s="342">
        <f t="shared" si="3"/>
        <v>0</v>
      </c>
      <c r="AI5" s="299">
        <f t="shared" si="3"/>
        <v>0</v>
      </c>
      <c r="AJ5" s="305">
        <f t="shared" si="3"/>
        <v>0</v>
      </c>
      <c r="AK5" s="305">
        <f t="shared" si="3"/>
        <v>0</v>
      </c>
      <c r="AL5" s="343"/>
      <c r="AM5" s="201"/>
      <c r="AN5" s="201"/>
      <c r="AO5" s="202">
        <f t="shared" ref="AO5:AP5" si="4">SUM(AO7:AO84)</f>
        <v>0</v>
      </c>
      <c r="AP5" s="299">
        <f t="shared" si="4"/>
        <v>0</v>
      </c>
      <c r="AQ5" s="344"/>
      <c r="AR5" s="202">
        <f t="shared" ref="AR5:AS5" si="5">SUM(AR7:AR84)</f>
        <v>0</v>
      </c>
      <c r="AS5" s="306">
        <f t="shared" si="5"/>
        <v>0</v>
      </c>
      <c r="AT5" s="103"/>
      <c r="AU5" s="102">
        <f t="shared" ref="AU5:AW5" si="6">SUM(AU7:AU84)</f>
        <v>0</v>
      </c>
      <c r="AV5" s="102">
        <f t="shared" si="6"/>
        <v>0</v>
      </c>
      <c r="AW5" s="102">
        <f t="shared" si="6"/>
        <v>0</v>
      </c>
    </row>
    <row r="6">
      <c r="A6" s="345"/>
      <c r="B6" s="207"/>
      <c r="C6" s="207"/>
      <c r="D6" s="207"/>
      <c r="E6" s="207"/>
      <c r="F6" s="207"/>
      <c r="G6" s="207"/>
      <c r="H6" s="207"/>
      <c r="I6" s="207"/>
      <c r="J6" s="346"/>
      <c r="K6" s="208"/>
      <c r="L6" s="208"/>
      <c r="M6" s="208"/>
      <c r="N6" s="208"/>
      <c r="O6" s="208"/>
      <c r="P6" s="208"/>
      <c r="Q6" s="208"/>
      <c r="R6" s="208"/>
      <c r="S6" s="211"/>
      <c r="T6" s="207"/>
      <c r="U6" s="207"/>
      <c r="V6" s="207"/>
      <c r="W6" s="207"/>
      <c r="X6" s="207"/>
      <c r="Y6" s="207"/>
      <c r="Z6" s="207"/>
      <c r="AA6" s="207"/>
      <c r="AB6" s="207"/>
      <c r="AC6" s="207"/>
      <c r="AD6" s="207"/>
      <c r="AE6" s="207"/>
      <c r="AF6" s="207"/>
      <c r="AG6" s="207"/>
      <c r="AH6" s="207"/>
      <c r="AI6" s="207"/>
      <c r="AJ6" s="207"/>
      <c r="AK6" s="207"/>
      <c r="AL6" s="347"/>
      <c r="AM6" s="215"/>
      <c r="AN6" s="215"/>
      <c r="AO6" s="348"/>
      <c r="AP6" s="348"/>
      <c r="AQ6" s="348"/>
      <c r="AR6" s="348"/>
      <c r="AS6" s="349"/>
      <c r="AT6" s="350"/>
      <c r="AU6" s="207"/>
      <c r="AV6" s="207"/>
      <c r="AW6" s="207"/>
    </row>
    <row r="7">
      <c r="A7" s="351"/>
      <c r="B7" s="352">
        <v>40953.0</v>
      </c>
      <c r="C7" s="221">
        <v>41487.0</v>
      </c>
      <c r="D7" s="222"/>
      <c r="E7" s="353">
        <v>82.1</v>
      </c>
      <c r="F7" s="354"/>
      <c r="G7" s="225">
        <f t="shared" ref="G7:G84" si="7">D7*E7</f>
        <v>0</v>
      </c>
      <c r="H7" s="236">
        <f t="shared" ref="H7:H84" si="8">F7*E7</f>
        <v>0</v>
      </c>
      <c r="I7" s="355"/>
      <c r="J7" s="259" t="b">
        <v>0</v>
      </c>
      <c r="K7" s="356"/>
      <c r="L7" s="230">
        <v>0.0</v>
      </c>
      <c r="M7" s="230">
        <v>0.0</v>
      </c>
      <c r="N7" s="230">
        <v>0.0</v>
      </c>
      <c r="O7" s="230">
        <v>0.0</v>
      </c>
      <c r="P7" s="230">
        <v>0.0</v>
      </c>
      <c r="Q7" s="232">
        <f t="shared" ref="Q7:Q84" si="9">iferror(I7/(0.252*D7),0)</f>
        <v>0</v>
      </c>
      <c r="R7" s="232">
        <f>SWITCH(S7,"cash",Reference!E$5,"shares",Reference!$E$6,"balance",Reference!$E$7)</f>
        <v>0</v>
      </c>
      <c r="S7" s="233" t="s">
        <v>178</v>
      </c>
      <c r="T7" s="234">
        <f>LET(ratio,Reference!$B$4, ratio*Reference!$B$3*D7)</f>
        <v>0</v>
      </c>
      <c r="U7" s="234">
        <f>iferror(LET(ratio, Q7,(1-ratio) * Reference!$B$3 * $D7),0)</f>
        <v>0</v>
      </c>
      <c r="V7" s="234">
        <f>iferror(LET(ratio, R7,(1-ratio) * Reference!$B$3 * $D7),0)</f>
        <v>0</v>
      </c>
      <c r="W7" s="234">
        <f>SWITCH(Reference!$E$4,"eTradeTransactionLog", T7, "eTradeHoldingRatio",T7, "eTradeLotQtyRatio",U7,"manualLotRatio",V7)</f>
        <v>0</v>
      </c>
      <c r="X7" s="225">
        <f>IF(C7&lt;Reference!$B$26,Reference!$C$26,0)</f>
        <v>10.18</v>
      </c>
      <c r="Y7" s="225">
        <f>IF(C7&lt;Reference!$B$27,Reference!$C$27,0)</f>
        <v>16.87</v>
      </c>
      <c r="Z7" s="225">
        <f t="shared" ref="Z7:Z84" si="10">E7-X7-Y7</f>
        <v>55.05</v>
      </c>
      <c r="AA7" s="357">
        <f t="shared" ref="AA7:AA84" si="11">Z7*D7</f>
        <v>0</v>
      </c>
      <c r="AB7" s="235">
        <f>$D7*Reference!$B$5*Reference!$B$6</f>
        <v>0</v>
      </c>
      <c r="AC7" s="235">
        <f>$D7*Q7*Reference!$B$6</f>
        <v>0</v>
      </c>
      <c r="AD7" s="235">
        <f>$D7*R7*Reference!$B$6</f>
        <v>0</v>
      </c>
      <c r="AE7" s="235">
        <f>SWITCH(Reference!$E$4, "eTradeTransactionLog", AB7, "eTradeHoldingRatio",AB7, "eTradeLotQtyRatio",AC7,"manualLotRatio",AD7)</f>
        <v>0</v>
      </c>
      <c r="AF7" s="236">
        <f>MAX(W7+(AE7*Reference!$B$18)-AA7,0)</f>
        <v>0</v>
      </c>
      <c r="AG7" s="237">
        <f>IF(J7,Summary!$C$41/ (J$86+ESPP!$N$28), 0)</f>
        <v>0</v>
      </c>
      <c r="AH7" s="358">
        <f>IF(J7,(Reference!$B$23 - AT7) * AG7, 0)</f>
        <v>0</v>
      </c>
      <c r="AI7" s="359">
        <f t="shared" ref="AI7:AI84" si="12">MIN(W7,AF7)</f>
        <v>0</v>
      </c>
      <c r="AJ7" s="360">
        <f>IF(DATEDIF(C7,Reference!$B$28,"Y")&gt;=1,0,AI7+AH7)</f>
        <v>0</v>
      </c>
      <c r="AK7" s="360">
        <f>IF(DATEDIF(C7,Reference!$B$28,"Y")&gt;=1,AI7+AH7,0)</f>
        <v>0</v>
      </c>
      <c r="AL7" s="361" t="str">
        <f>IF(DATEDIF(C7,Reference!$B$28,"Y")&gt;=1,"Part II Box E","Part I Box B")</f>
        <v>Part II Box E</v>
      </c>
      <c r="AM7" s="242">
        <f t="shared" ref="AM7:AM84" si="13">C7</f>
        <v>41487</v>
      </c>
      <c r="AN7" s="243">
        <f t="shared" ref="AN7:AN84" si="14">T7</f>
        <v>0</v>
      </c>
      <c r="AO7" s="243">
        <f>SWITCH(Reference!$E$9, "combined", W7+(AE7*Reference!$B$18), "cashOnly", W7)</f>
        <v>0</v>
      </c>
      <c r="AP7" s="244">
        <f t="shared" ref="AP7:AP84" si="15">L7</f>
        <v>0</v>
      </c>
      <c r="AQ7" s="244" t="str">
        <f t="shared" ref="AQ7:AQ84" si="16">IF(AR7=0,,"B")</f>
        <v/>
      </c>
      <c r="AR7" s="243">
        <f>LET(avgoFMV, Reference!$B$18*AE7, vmwBasis, Z7*D7, AP7 - IF(W7&lt;AF7,avgoFmv,vmwBasis))</f>
        <v>0</v>
      </c>
      <c r="AS7" s="362">
        <f t="shared" ref="AS7:AS84" si="17">MAX(AO7+AR7, 0)</f>
        <v>0</v>
      </c>
      <c r="AT7" s="363" t="str">
        <f t="shared" ref="AT7:AT84" si="18">iferror((AA7 - W7 + AI7)/AE7,"n/a")</f>
        <v>n/a</v>
      </c>
      <c r="AU7" s="247">
        <f>iferror((Reference!$B$10-AT7)*(AE7 - AG7), 0)</f>
        <v>0</v>
      </c>
      <c r="AV7" s="247">
        <f>IF(DATEDIF(C7,Reference!$B$29,"Y")&gt;=1,0,AU7)</f>
        <v>0</v>
      </c>
      <c r="AW7" s="250">
        <f>IF(DATEDIF(C7,Reference!$B$29,"Y")&gt;=1,AU7,0)</f>
        <v>0</v>
      </c>
    </row>
    <row r="8">
      <c r="A8" s="351"/>
      <c r="B8" s="352">
        <v>40953.0</v>
      </c>
      <c r="C8" s="221">
        <v>41671.0</v>
      </c>
      <c r="D8" s="222"/>
      <c r="E8" s="353">
        <v>90.14</v>
      </c>
      <c r="F8" s="354"/>
      <c r="G8" s="225">
        <f t="shared" si="7"/>
        <v>0</v>
      </c>
      <c r="H8" s="236">
        <f t="shared" si="8"/>
        <v>0</v>
      </c>
      <c r="I8" s="355"/>
      <c r="J8" s="259" t="b">
        <v>0</v>
      </c>
      <c r="K8" s="356"/>
      <c r="L8" s="230">
        <v>0.0</v>
      </c>
      <c r="M8" s="230">
        <v>0.0</v>
      </c>
      <c r="N8" s="230">
        <v>0.0</v>
      </c>
      <c r="O8" s="230">
        <v>0.0</v>
      </c>
      <c r="P8" s="230">
        <v>0.0</v>
      </c>
      <c r="Q8" s="232">
        <f t="shared" si="9"/>
        <v>0</v>
      </c>
      <c r="R8" s="232">
        <f>SWITCH(S8,"cash",Reference!E$5,"shares",Reference!$E$6,"balance",Reference!$E$7)</f>
        <v>0</v>
      </c>
      <c r="S8" s="233" t="s">
        <v>178</v>
      </c>
      <c r="T8" s="234">
        <f>LET(ratio,Reference!$B$4, ratio*Reference!$B$3*D8)</f>
        <v>0</v>
      </c>
      <c r="U8" s="234">
        <f>iferror(LET(ratio, Q8,(1-ratio) * Reference!$B$3 * $D8),0)</f>
        <v>0</v>
      </c>
      <c r="V8" s="234">
        <f>iferror(LET(ratio, R8,(1-ratio) * Reference!$B$3 * $D8),0)</f>
        <v>0</v>
      </c>
      <c r="W8" s="234">
        <f>SWITCH(Reference!$E$4,"eTradeTransactionLog", T8, "eTradeHoldingRatio",T8, "eTradeLotQtyRatio",U8,"manualLotRatio",V8)</f>
        <v>0</v>
      </c>
      <c r="X8" s="225">
        <f>IF(C8&lt;Reference!$B$26,Reference!$C$26,0)</f>
        <v>10.18</v>
      </c>
      <c r="Y8" s="225">
        <f>IF(C8&lt;Reference!$B$27,Reference!$C$27,0)</f>
        <v>16.87</v>
      </c>
      <c r="Z8" s="225">
        <f t="shared" si="10"/>
        <v>63.09</v>
      </c>
      <c r="AA8" s="357">
        <f t="shared" si="11"/>
        <v>0</v>
      </c>
      <c r="AB8" s="235">
        <f>$D8*Reference!$B$5*Reference!$B$6</f>
        <v>0</v>
      </c>
      <c r="AC8" s="235">
        <f>$D8*Q8*Reference!$B$6</f>
        <v>0</v>
      </c>
      <c r="AD8" s="235">
        <f>$D8*R8*Reference!$B$6</f>
        <v>0</v>
      </c>
      <c r="AE8" s="235">
        <f>SWITCH(Reference!$E$4, "eTradeTransactionLog", AB8, "eTradeHoldingRatio",AB8, "eTradeLotQtyRatio",AC8,"manualLotRatio",AD8)</f>
        <v>0</v>
      </c>
      <c r="AF8" s="236">
        <f>MAX(W8+(AE8*Reference!$B$18)-AA8,0)</f>
        <v>0</v>
      </c>
      <c r="AG8" s="237">
        <f>IF(J8,Summary!$C$41/ (J$86+ESPP!$N$28), 0)</f>
        <v>0</v>
      </c>
      <c r="AH8" s="358">
        <f>IF(J8,(Reference!$B$23 - AT8) * AG8, 0)</f>
        <v>0</v>
      </c>
      <c r="AI8" s="359">
        <f t="shared" si="12"/>
        <v>0</v>
      </c>
      <c r="AJ8" s="360">
        <f>IF(DATEDIF(C8,Reference!$B$28,"Y")&gt;=1,0,AI8+AH8)</f>
        <v>0</v>
      </c>
      <c r="AK8" s="360">
        <f>IF(DATEDIF(C8,Reference!$B$28,"Y")&gt;=1,AI8+AH8,0)</f>
        <v>0</v>
      </c>
      <c r="AL8" s="364" t="str">
        <f>IF(DATEDIF(C8,Reference!$B$28,"Y")&gt;=1,"Part II Box E","Part I Box B")</f>
        <v>Part II Box E</v>
      </c>
      <c r="AM8" s="253">
        <f t="shared" si="13"/>
        <v>41671</v>
      </c>
      <c r="AN8" s="254">
        <f t="shared" si="14"/>
        <v>0</v>
      </c>
      <c r="AO8" s="254">
        <f>SWITCH(Reference!$E$9, "combined", W8+(AE8*Reference!$B$18), "cashOnly", W8)</f>
        <v>0</v>
      </c>
      <c r="AP8" s="255">
        <f t="shared" si="15"/>
        <v>0</v>
      </c>
      <c r="AQ8" s="255" t="str">
        <f t="shared" si="16"/>
        <v/>
      </c>
      <c r="AR8" s="254">
        <f>LET(avgoFMV, Reference!$B$18*AE8, vmwBasis, Z8*D8, AP8 - IF(W8&lt;AF8,avgoFmv,vmwBasis))</f>
        <v>0</v>
      </c>
      <c r="AS8" s="365">
        <f t="shared" si="17"/>
        <v>0</v>
      </c>
      <c r="AT8" s="363" t="str">
        <f t="shared" si="18"/>
        <v>n/a</v>
      </c>
      <c r="AU8" s="247">
        <f>iferror((Reference!$B$10-AT8)*(AE8 - AG8), 0)</f>
        <v>0</v>
      </c>
      <c r="AV8" s="247">
        <f>IF(DATEDIF(C8,Reference!$B$29,"Y")&gt;=1,0,AU8)</f>
        <v>0</v>
      </c>
      <c r="AW8" s="250">
        <f>IF(DATEDIF(C8,Reference!$B$29,"Y")&gt;=1,AU8,0)</f>
        <v>0</v>
      </c>
    </row>
    <row r="9">
      <c r="A9" s="351" t="s">
        <v>193</v>
      </c>
      <c r="B9" s="352">
        <v>40953.0</v>
      </c>
      <c r="C9" s="221">
        <v>41852.0</v>
      </c>
      <c r="D9" s="222"/>
      <c r="E9" s="353">
        <v>98.33</v>
      </c>
      <c r="F9" s="354"/>
      <c r="G9" s="225">
        <f t="shared" si="7"/>
        <v>0</v>
      </c>
      <c r="H9" s="236">
        <f t="shared" si="8"/>
        <v>0</v>
      </c>
      <c r="I9" s="355"/>
      <c r="J9" s="366" t="b">
        <v>0</v>
      </c>
      <c r="K9" s="356"/>
      <c r="L9" s="230">
        <v>0.0</v>
      </c>
      <c r="M9" s="230">
        <v>0.0</v>
      </c>
      <c r="N9" s="230">
        <v>0.0</v>
      </c>
      <c r="O9" s="230">
        <v>0.0</v>
      </c>
      <c r="P9" s="230">
        <v>0.0</v>
      </c>
      <c r="Q9" s="232">
        <f t="shared" si="9"/>
        <v>0</v>
      </c>
      <c r="R9" s="232">
        <f>SWITCH(S9,"cash",Reference!E$5,"shares",Reference!$E$6,"balance",Reference!$E$7)</f>
        <v>0</v>
      </c>
      <c r="S9" s="233" t="s">
        <v>178</v>
      </c>
      <c r="T9" s="234">
        <f>LET(ratio,Reference!$B$4, ratio*Reference!$B$3*D9)</f>
        <v>0</v>
      </c>
      <c r="U9" s="234">
        <f>iferror(LET(ratio, Q9,(1-ratio) * Reference!$B$3 * $D9),0)</f>
        <v>0</v>
      </c>
      <c r="V9" s="234">
        <f>iferror(LET(ratio, R9,(1-ratio) * Reference!$B$3 * $D9),0)</f>
        <v>0</v>
      </c>
      <c r="W9" s="234">
        <f>SWITCH(Reference!$E$4,"eTradeTransactionLog", T9, "eTradeHoldingRatio",T9, "eTradeLotQtyRatio",U9,"manualLotRatio",V9)</f>
        <v>0</v>
      </c>
      <c r="X9" s="225">
        <f>IF(C9&lt;Reference!$B$26,Reference!$C$26,0)</f>
        <v>10.18</v>
      </c>
      <c r="Y9" s="225">
        <f>IF(C9&lt;Reference!$B$27,Reference!$C$27,0)</f>
        <v>16.87</v>
      </c>
      <c r="Z9" s="225">
        <f t="shared" si="10"/>
        <v>71.28</v>
      </c>
      <c r="AA9" s="357">
        <f t="shared" si="11"/>
        <v>0</v>
      </c>
      <c r="AB9" s="235">
        <f>$D9*Reference!$B$5*Reference!$B$6</f>
        <v>0</v>
      </c>
      <c r="AC9" s="235">
        <f>$D9*Q9*Reference!$B$6</f>
        <v>0</v>
      </c>
      <c r="AD9" s="235">
        <f>$D9*R9*Reference!$B$6</f>
        <v>0</v>
      </c>
      <c r="AE9" s="235">
        <f>SWITCH(Reference!$E$4, "eTradeTransactionLog", AB9, "eTradeHoldingRatio",AB9, "eTradeLotQtyRatio",AC9,"manualLotRatio",AD9)</f>
        <v>0</v>
      </c>
      <c r="AF9" s="236">
        <f>MAX(W9+(AE9*Reference!$B$18)-AA9,0)</f>
        <v>0</v>
      </c>
      <c r="AG9" s="237">
        <f>IF(J9,Summary!$C$41/ (J$86+ESPP!$N$28), 0)</f>
        <v>0</v>
      </c>
      <c r="AH9" s="358">
        <f>IF(J9,(Reference!$B$23 - AT9) * AG9, 0)</f>
        <v>0</v>
      </c>
      <c r="AI9" s="359">
        <f t="shared" si="12"/>
        <v>0</v>
      </c>
      <c r="AJ9" s="360">
        <f>IF(DATEDIF(C9,Reference!$B$28,"Y")&gt;=1,0,AI9+AH9)</f>
        <v>0</v>
      </c>
      <c r="AK9" s="360">
        <f>IF(DATEDIF(C9,Reference!$B$28,"Y")&gt;=1,AI9+AH9,0)</f>
        <v>0</v>
      </c>
      <c r="AL9" s="364" t="str">
        <f>IF(DATEDIF(C9,Reference!$B$28,"Y")&gt;=1,"Part II Box E","Part I Box B")</f>
        <v>Part II Box E</v>
      </c>
      <c r="AM9" s="253">
        <f t="shared" si="13"/>
        <v>41852</v>
      </c>
      <c r="AN9" s="254">
        <f t="shared" si="14"/>
        <v>0</v>
      </c>
      <c r="AO9" s="254">
        <f>SWITCH(Reference!$E$9, "combined", W9+(AE9*Reference!$B$18), "cashOnly", W9)</f>
        <v>0</v>
      </c>
      <c r="AP9" s="255">
        <f t="shared" si="15"/>
        <v>0</v>
      </c>
      <c r="AQ9" s="255" t="str">
        <f t="shared" si="16"/>
        <v/>
      </c>
      <c r="AR9" s="254">
        <f>LET(avgoFMV, Reference!$B$18*AE9, vmwBasis, Z9*D9, AP9 - IF(W9&lt;AF9,avgoFmv,vmwBasis))</f>
        <v>0</v>
      </c>
      <c r="AS9" s="365">
        <f t="shared" si="17"/>
        <v>0</v>
      </c>
      <c r="AT9" s="363" t="str">
        <f t="shared" si="18"/>
        <v>n/a</v>
      </c>
      <c r="AU9" s="247">
        <f>iferror((Reference!$B$10-AT9)*(AE9 - AG9), 0)</f>
        <v>0</v>
      </c>
      <c r="AV9" s="247">
        <f>IF(DATEDIF(C9,Reference!$B$29,"Y")&gt;=1,0,AU9)</f>
        <v>0</v>
      </c>
      <c r="AW9" s="250">
        <f>IF(DATEDIF(C9,Reference!$B$29,"Y")&gt;=1,AU9,0)</f>
        <v>0</v>
      </c>
    </row>
    <row r="10">
      <c r="A10" s="351" t="s">
        <v>193</v>
      </c>
      <c r="B10" s="352">
        <v>40953.0</v>
      </c>
      <c r="C10" s="221">
        <v>42036.0</v>
      </c>
      <c r="D10" s="222"/>
      <c r="E10" s="353">
        <v>77.1</v>
      </c>
      <c r="F10" s="354"/>
      <c r="G10" s="225">
        <f t="shared" si="7"/>
        <v>0</v>
      </c>
      <c r="H10" s="236">
        <f t="shared" si="8"/>
        <v>0</v>
      </c>
      <c r="I10" s="367"/>
      <c r="J10" s="259" t="b">
        <v>0</v>
      </c>
      <c r="K10" s="356"/>
      <c r="L10" s="230">
        <v>0.0</v>
      </c>
      <c r="M10" s="230">
        <v>0.0</v>
      </c>
      <c r="N10" s="230">
        <v>0.0</v>
      </c>
      <c r="O10" s="230">
        <v>0.0</v>
      </c>
      <c r="P10" s="230">
        <v>0.0</v>
      </c>
      <c r="Q10" s="232">
        <f t="shared" si="9"/>
        <v>0</v>
      </c>
      <c r="R10" s="232">
        <f>SWITCH(S10,"cash",Reference!E$5,"shares",Reference!$E$6,"balance",Reference!$E$7)</f>
        <v>0</v>
      </c>
      <c r="S10" s="233" t="s">
        <v>178</v>
      </c>
      <c r="T10" s="234">
        <f>LET(ratio,Reference!$B$4, ratio*Reference!$B$3*D10)</f>
        <v>0</v>
      </c>
      <c r="U10" s="234">
        <f>iferror(LET(ratio, Q10,(1-ratio) * Reference!$B$3 * $D10),0)</f>
        <v>0</v>
      </c>
      <c r="V10" s="234">
        <f>iferror(LET(ratio, R10,(1-ratio) * Reference!$B$3 * $D10),0)</f>
        <v>0</v>
      </c>
      <c r="W10" s="234">
        <f>SWITCH(Reference!$E$4,"eTradeTransactionLog", T10, "eTradeHoldingRatio",T10, "eTradeLotQtyRatio",U10,"manualLotRatio",V10)</f>
        <v>0</v>
      </c>
      <c r="X10" s="225">
        <f>IF(C10&lt;Reference!$B$26,Reference!$C$26,0)</f>
        <v>10.18</v>
      </c>
      <c r="Y10" s="225">
        <f>IF(C10&lt;Reference!$B$27,Reference!$C$27,0)</f>
        <v>16.87</v>
      </c>
      <c r="Z10" s="225">
        <f t="shared" si="10"/>
        <v>50.05</v>
      </c>
      <c r="AA10" s="357">
        <f t="shared" si="11"/>
        <v>0</v>
      </c>
      <c r="AB10" s="235">
        <f>$D10*Reference!$B$5*Reference!$B$6</f>
        <v>0</v>
      </c>
      <c r="AC10" s="235">
        <f>$D10*Q10*Reference!$B$6</f>
        <v>0</v>
      </c>
      <c r="AD10" s="235">
        <f>$D10*R10*Reference!$B$6</f>
        <v>0</v>
      </c>
      <c r="AE10" s="235">
        <f>SWITCH(Reference!$E$4, "eTradeTransactionLog", AB10, "eTradeHoldingRatio",AB10, "eTradeLotQtyRatio",AC10,"manualLotRatio",AD10)</f>
        <v>0</v>
      </c>
      <c r="AF10" s="236">
        <f>MAX(W10+(AE10*Reference!$B$18)-AA10,0)</f>
        <v>0</v>
      </c>
      <c r="AG10" s="237">
        <f>IF(J10,Summary!$C$41/ (J$86+ESPP!$N$28), 0)</f>
        <v>0</v>
      </c>
      <c r="AH10" s="358">
        <f>IF(J10,(Reference!$B$23 - AT10) * AG10, 0)</f>
        <v>0</v>
      </c>
      <c r="AI10" s="359">
        <f t="shared" si="12"/>
        <v>0</v>
      </c>
      <c r="AJ10" s="360">
        <f>IF(DATEDIF(C10,Reference!$B$28,"Y")&gt;=1,0,AI10+AH10)</f>
        <v>0</v>
      </c>
      <c r="AK10" s="360">
        <f>IF(DATEDIF(C10,Reference!$B$28,"Y")&gt;=1,AI10+AH10,0)</f>
        <v>0</v>
      </c>
      <c r="AL10" s="364" t="str">
        <f>IF(DATEDIF(C10,Reference!$B$28,"Y")&gt;=1,"Part II Box E","Part I Box B")</f>
        <v>Part II Box E</v>
      </c>
      <c r="AM10" s="253">
        <f t="shared" si="13"/>
        <v>42036</v>
      </c>
      <c r="AN10" s="254">
        <f t="shared" si="14"/>
        <v>0</v>
      </c>
      <c r="AO10" s="254">
        <f>SWITCH(Reference!$E$9, "combined", W10+(AE10*Reference!$B$18), "cashOnly", W10)</f>
        <v>0</v>
      </c>
      <c r="AP10" s="255">
        <f t="shared" si="15"/>
        <v>0</v>
      </c>
      <c r="AQ10" s="255" t="str">
        <f t="shared" si="16"/>
        <v/>
      </c>
      <c r="AR10" s="254">
        <f>LET(avgoFMV, Reference!$B$18*AE10, vmwBasis, Z10*D10, AP10 - IF(W10&lt;AF10,avgoFmv,vmwBasis))</f>
        <v>0</v>
      </c>
      <c r="AS10" s="365">
        <f t="shared" si="17"/>
        <v>0</v>
      </c>
      <c r="AT10" s="363" t="str">
        <f t="shared" si="18"/>
        <v>n/a</v>
      </c>
      <c r="AU10" s="247">
        <f>iferror((Reference!$B$10-AT10)*(AE10 - AG10), 0)</f>
        <v>0</v>
      </c>
      <c r="AV10" s="247">
        <f>IF(DATEDIF(C10,Reference!$B$29,"Y")&gt;=1,0,AU10)</f>
        <v>0</v>
      </c>
      <c r="AW10" s="250">
        <f>IF(DATEDIF(C10,Reference!$B$29,"Y")&gt;=1,AU10,0)</f>
        <v>0</v>
      </c>
    </row>
    <row r="11">
      <c r="A11" s="351" t="s">
        <v>194</v>
      </c>
      <c r="B11" s="352">
        <v>41803.0</v>
      </c>
      <c r="C11" s="221">
        <v>42125.0</v>
      </c>
      <c r="D11" s="222"/>
      <c r="E11" s="353">
        <v>87.47</v>
      </c>
      <c r="F11" s="354"/>
      <c r="G11" s="225">
        <f t="shared" si="7"/>
        <v>0</v>
      </c>
      <c r="H11" s="236">
        <f t="shared" si="8"/>
        <v>0</v>
      </c>
      <c r="I11" s="355"/>
      <c r="J11" s="259" t="b">
        <v>0</v>
      </c>
      <c r="K11" s="356"/>
      <c r="L11" s="230">
        <v>0.0</v>
      </c>
      <c r="M11" s="230">
        <v>0.0</v>
      </c>
      <c r="N11" s="230">
        <v>0.0</v>
      </c>
      <c r="O11" s="230">
        <v>0.0</v>
      </c>
      <c r="P11" s="230">
        <v>0.0</v>
      </c>
      <c r="Q11" s="232">
        <f t="shared" si="9"/>
        <v>0</v>
      </c>
      <c r="R11" s="232">
        <f>SWITCH(S11,"cash",Reference!E$5,"shares",Reference!$E$6,"balance",Reference!$E$7)</f>
        <v>0</v>
      </c>
      <c r="S11" s="233" t="s">
        <v>178</v>
      </c>
      <c r="T11" s="234">
        <f>LET(ratio,Reference!$B$4, ratio*Reference!$B$3*D11)</f>
        <v>0</v>
      </c>
      <c r="U11" s="234">
        <f>iferror(LET(ratio, Q11,(1-ratio) * Reference!$B$3 * $D11),0)</f>
        <v>0</v>
      </c>
      <c r="V11" s="234">
        <f>iferror(LET(ratio, R11,(1-ratio) * Reference!$B$3 * $D11),0)</f>
        <v>0</v>
      </c>
      <c r="W11" s="234">
        <f>SWITCH(Reference!$E$4,"eTradeTransactionLog", T11, "eTradeHoldingRatio",T11, "eTradeLotQtyRatio",U11,"manualLotRatio",V11)</f>
        <v>0</v>
      </c>
      <c r="X11" s="225">
        <f>IF(C11&lt;Reference!$B$26,Reference!$C$26,0)</f>
        <v>10.18</v>
      </c>
      <c r="Y11" s="225">
        <f>IF(C11&lt;Reference!$B$27,Reference!$C$27,0)</f>
        <v>16.87</v>
      </c>
      <c r="Z11" s="225">
        <f t="shared" si="10"/>
        <v>60.42</v>
      </c>
      <c r="AA11" s="357">
        <f t="shared" si="11"/>
        <v>0</v>
      </c>
      <c r="AB11" s="235">
        <f>$D11*Reference!$B$5*Reference!$B$6</f>
        <v>0</v>
      </c>
      <c r="AC11" s="235">
        <f>$D11*Q11*Reference!$B$6</f>
        <v>0</v>
      </c>
      <c r="AD11" s="235">
        <f>$D11*R11*Reference!$B$6</f>
        <v>0</v>
      </c>
      <c r="AE11" s="235">
        <f>SWITCH(Reference!$E$4, "eTradeTransactionLog", AB11, "eTradeHoldingRatio",AB11, "eTradeLotQtyRatio",AC11,"manualLotRatio",AD11)</f>
        <v>0</v>
      </c>
      <c r="AF11" s="236">
        <f>MAX(W11+(AE11*Reference!$B$18)-AA11,0)</f>
        <v>0</v>
      </c>
      <c r="AG11" s="237">
        <f>IF(J11,Summary!$C$41/ (J$86+ESPP!$N$28), 0)</f>
        <v>0</v>
      </c>
      <c r="AH11" s="358">
        <f>IF(J11,(Reference!$B$23 - AT11) * AG11, 0)</f>
        <v>0</v>
      </c>
      <c r="AI11" s="359">
        <f t="shared" si="12"/>
        <v>0</v>
      </c>
      <c r="AJ11" s="360">
        <f>IF(DATEDIF(C11,Reference!$B$28,"Y")&gt;=1,0,AI11+AH11)</f>
        <v>0</v>
      </c>
      <c r="AK11" s="360">
        <f>IF(DATEDIF(C11,Reference!$B$28,"Y")&gt;=1,AI11+AH11,0)</f>
        <v>0</v>
      </c>
      <c r="AL11" s="364" t="str">
        <f>IF(DATEDIF(C11,Reference!$B$28,"Y")&gt;=1,"Part II Box E","Part I Box B")</f>
        <v>Part II Box E</v>
      </c>
      <c r="AM11" s="253">
        <f t="shared" si="13"/>
        <v>42125</v>
      </c>
      <c r="AN11" s="254">
        <f t="shared" si="14"/>
        <v>0</v>
      </c>
      <c r="AO11" s="254">
        <f>SWITCH(Reference!$E$9, "combined", W11+(AE11*Reference!$B$18), "cashOnly", W11)</f>
        <v>0</v>
      </c>
      <c r="AP11" s="255">
        <f t="shared" si="15"/>
        <v>0</v>
      </c>
      <c r="AQ11" s="255" t="str">
        <f t="shared" si="16"/>
        <v/>
      </c>
      <c r="AR11" s="254">
        <f>LET(avgoFMV, Reference!$B$18*AE11, vmwBasis, Z11*D11, AP11 - IF(W11&lt;AF11,avgoFmv,vmwBasis))</f>
        <v>0</v>
      </c>
      <c r="AS11" s="365">
        <f t="shared" si="17"/>
        <v>0</v>
      </c>
      <c r="AT11" s="363" t="str">
        <f t="shared" si="18"/>
        <v>n/a</v>
      </c>
      <c r="AU11" s="247">
        <f>iferror((Reference!$B$10-AT11)*(AE11 - AG11), 0)</f>
        <v>0</v>
      </c>
      <c r="AV11" s="247">
        <f>IF(DATEDIF(C11,Reference!$B$29,"Y")&gt;=1,0,AU11)</f>
        <v>0</v>
      </c>
      <c r="AW11" s="250">
        <f>IF(DATEDIF(C11,Reference!$B$29,"Y")&gt;=1,AU11,0)</f>
        <v>0</v>
      </c>
    </row>
    <row r="12">
      <c r="A12" s="351" t="s">
        <v>193</v>
      </c>
      <c r="B12" s="352">
        <v>40953.0</v>
      </c>
      <c r="C12" s="221">
        <v>42217.0</v>
      </c>
      <c r="D12" s="222"/>
      <c r="E12" s="353">
        <v>89.13</v>
      </c>
      <c r="F12" s="354"/>
      <c r="G12" s="225">
        <f t="shared" si="7"/>
        <v>0</v>
      </c>
      <c r="H12" s="236">
        <f t="shared" si="8"/>
        <v>0</v>
      </c>
      <c r="I12" s="355"/>
      <c r="J12" s="259" t="b">
        <v>0</v>
      </c>
      <c r="K12" s="356"/>
      <c r="L12" s="230">
        <v>0.0</v>
      </c>
      <c r="M12" s="230">
        <v>0.0</v>
      </c>
      <c r="N12" s="230">
        <v>0.0</v>
      </c>
      <c r="O12" s="230">
        <v>0.0</v>
      </c>
      <c r="P12" s="230">
        <v>0.0</v>
      </c>
      <c r="Q12" s="232">
        <f t="shared" si="9"/>
        <v>0</v>
      </c>
      <c r="R12" s="232">
        <f>SWITCH(S12,"cash",Reference!E$5,"shares",Reference!$E$6,"balance",Reference!$E$7)</f>
        <v>0</v>
      </c>
      <c r="S12" s="233" t="s">
        <v>178</v>
      </c>
      <c r="T12" s="234">
        <f>LET(ratio,Reference!$B$4, ratio*Reference!$B$3*D12)</f>
        <v>0</v>
      </c>
      <c r="U12" s="234">
        <f>iferror(LET(ratio, Q12,(1-ratio) * Reference!$B$3 * $D12),0)</f>
        <v>0</v>
      </c>
      <c r="V12" s="234">
        <f>iferror(LET(ratio, R12,(1-ratio) * Reference!$B$3 * $D12),0)</f>
        <v>0</v>
      </c>
      <c r="W12" s="234">
        <f>SWITCH(Reference!$E$4,"eTradeTransactionLog", T12, "eTradeHoldingRatio",T12, "eTradeLotQtyRatio",U12,"manualLotRatio",V12)</f>
        <v>0</v>
      </c>
      <c r="X12" s="225">
        <f>IF(C12&lt;Reference!$B$26,Reference!$C$26,0)</f>
        <v>10.18</v>
      </c>
      <c r="Y12" s="225">
        <f>IF(C12&lt;Reference!$B$27,Reference!$C$27,0)</f>
        <v>16.87</v>
      </c>
      <c r="Z12" s="225">
        <f t="shared" si="10"/>
        <v>62.08</v>
      </c>
      <c r="AA12" s="357">
        <f t="shared" si="11"/>
        <v>0</v>
      </c>
      <c r="AB12" s="235">
        <f>$D12*Reference!$B$5*Reference!$B$6</f>
        <v>0</v>
      </c>
      <c r="AC12" s="235">
        <f>$D12*Q12*Reference!$B$6</f>
        <v>0</v>
      </c>
      <c r="AD12" s="235">
        <f>$D12*R12*Reference!$B$6</f>
        <v>0</v>
      </c>
      <c r="AE12" s="235">
        <f>SWITCH(Reference!$E$4, "eTradeTransactionLog", AB12, "eTradeHoldingRatio",AB12, "eTradeLotQtyRatio",AC12,"manualLotRatio",AD12)</f>
        <v>0</v>
      </c>
      <c r="AF12" s="236">
        <f>MAX(W12+(AE12*Reference!$B$18)-AA12,0)</f>
        <v>0</v>
      </c>
      <c r="AG12" s="237">
        <f>IF(J12,Summary!$C$41/ (J$86+ESPP!$N$28), 0)</f>
        <v>0</v>
      </c>
      <c r="AH12" s="358">
        <f>IF(J12,(Reference!$B$23 - AT12) * AG12, 0)</f>
        <v>0</v>
      </c>
      <c r="AI12" s="359">
        <f t="shared" si="12"/>
        <v>0</v>
      </c>
      <c r="AJ12" s="360">
        <f>IF(DATEDIF(C12,Reference!$B$28,"Y")&gt;=1,0,AI12+AH12)</f>
        <v>0</v>
      </c>
      <c r="AK12" s="360">
        <f>IF(DATEDIF(C12,Reference!$B$28,"Y")&gt;=1,AI12+AH12,0)</f>
        <v>0</v>
      </c>
      <c r="AL12" s="364" t="str">
        <f>IF(DATEDIF(C12,Reference!$B$28,"Y")&gt;=1,"Part II Box E","Part I Box B")</f>
        <v>Part II Box E</v>
      </c>
      <c r="AM12" s="253">
        <f t="shared" si="13"/>
        <v>42217</v>
      </c>
      <c r="AN12" s="254">
        <f t="shared" si="14"/>
        <v>0</v>
      </c>
      <c r="AO12" s="254">
        <f>SWITCH(Reference!$E$9, "combined", W12+(AE12*Reference!$B$18), "cashOnly", W12)</f>
        <v>0</v>
      </c>
      <c r="AP12" s="255">
        <f t="shared" si="15"/>
        <v>0</v>
      </c>
      <c r="AQ12" s="255" t="str">
        <f t="shared" si="16"/>
        <v/>
      </c>
      <c r="AR12" s="254">
        <f>LET(avgoFMV, Reference!$B$18*AE12, vmwBasis, Z12*D12, AP12 - IF(W12&lt;AF12,avgoFmv,vmwBasis))</f>
        <v>0</v>
      </c>
      <c r="AS12" s="365">
        <f t="shared" si="17"/>
        <v>0</v>
      </c>
      <c r="AT12" s="363" t="str">
        <f t="shared" si="18"/>
        <v>n/a</v>
      </c>
      <c r="AU12" s="247">
        <f>iferror((Reference!$B$10-AT12)*(AE12 - AG12), 0)</f>
        <v>0</v>
      </c>
      <c r="AV12" s="247">
        <f>IF(DATEDIF(C12,Reference!$B$29,"Y")&gt;=1,0,AU12)</f>
        <v>0</v>
      </c>
      <c r="AW12" s="250">
        <f>IF(DATEDIF(C12,Reference!$B$29,"Y")&gt;=1,AU12,0)</f>
        <v>0</v>
      </c>
    </row>
    <row r="13">
      <c r="A13" s="351" t="s">
        <v>194</v>
      </c>
      <c r="B13" s="352">
        <v>41803.0</v>
      </c>
      <c r="C13" s="221">
        <v>42309.0</v>
      </c>
      <c r="D13" s="222"/>
      <c r="E13" s="353">
        <v>60.15</v>
      </c>
      <c r="F13" s="354"/>
      <c r="G13" s="225">
        <f t="shared" si="7"/>
        <v>0</v>
      </c>
      <c r="H13" s="236">
        <f t="shared" si="8"/>
        <v>0</v>
      </c>
      <c r="I13" s="355"/>
      <c r="J13" s="259" t="b">
        <v>0</v>
      </c>
      <c r="K13" s="356"/>
      <c r="L13" s="230">
        <v>0.0</v>
      </c>
      <c r="M13" s="230">
        <v>0.0</v>
      </c>
      <c r="N13" s="230">
        <v>0.0</v>
      </c>
      <c r="O13" s="230">
        <v>0.0</v>
      </c>
      <c r="P13" s="230">
        <v>0.0</v>
      </c>
      <c r="Q13" s="232">
        <f t="shared" si="9"/>
        <v>0</v>
      </c>
      <c r="R13" s="232">
        <f>SWITCH(S13,"cash",Reference!E$5,"shares",Reference!$E$6,"balance",Reference!$E$7)</f>
        <v>0</v>
      </c>
      <c r="S13" s="233" t="s">
        <v>178</v>
      </c>
      <c r="T13" s="234">
        <f>LET(ratio,Reference!$B$4, ratio*Reference!$B$3*D13)</f>
        <v>0</v>
      </c>
      <c r="U13" s="234">
        <f>iferror(LET(ratio, Q13,(1-ratio) * Reference!$B$3 * $D13),0)</f>
        <v>0</v>
      </c>
      <c r="V13" s="234">
        <f>iferror(LET(ratio, R13,(1-ratio) * Reference!$B$3 * $D13),0)</f>
        <v>0</v>
      </c>
      <c r="W13" s="234">
        <f>SWITCH(Reference!$E$4,"eTradeTransactionLog", T13, "eTradeHoldingRatio",T13, "eTradeLotQtyRatio",U13,"manualLotRatio",V13)</f>
        <v>0</v>
      </c>
      <c r="X13" s="225">
        <f>IF(C13&lt;Reference!$B$26,Reference!$C$26,0)</f>
        <v>10.18</v>
      </c>
      <c r="Y13" s="225">
        <f>IF(C13&lt;Reference!$B$27,Reference!$C$27,0)</f>
        <v>16.87</v>
      </c>
      <c r="Z13" s="225">
        <f t="shared" si="10"/>
        <v>33.1</v>
      </c>
      <c r="AA13" s="357">
        <f t="shared" si="11"/>
        <v>0</v>
      </c>
      <c r="AB13" s="235">
        <f>$D13*Reference!$B$5*Reference!$B$6</f>
        <v>0</v>
      </c>
      <c r="AC13" s="235">
        <f>$D13*Q13*Reference!$B$6</f>
        <v>0</v>
      </c>
      <c r="AD13" s="235">
        <f>$D13*R13*Reference!$B$6</f>
        <v>0</v>
      </c>
      <c r="AE13" s="235">
        <f>SWITCH(Reference!$E$4, "eTradeTransactionLog", AB13, "eTradeHoldingRatio",AB13, "eTradeLotQtyRatio",AC13,"manualLotRatio",AD13)</f>
        <v>0</v>
      </c>
      <c r="AF13" s="236">
        <f>MAX(W13+(AE13*Reference!$B$18)-AA13,0)</f>
        <v>0</v>
      </c>
      <c r="AG13" s="237">
        <f>IF(J13,Summary!$C$41/ (J$86+ESPP!$N$28), 0)</f>
        <v>0</v>
      </c>
      <c r="AH13" s="358">
        <f>IF(J13,(Reference!$B$23 - AT13) * AG13, 0)</f>
        <v>0</v>
      </c>
      <c r="AI13" s="359">
        <f t="shared" si="12"/>
        <v>0</v>
      </c>
      <c r="AJ13" s="360">
        <f>IF(DATEDIF(C13,Reference!$B$28,"Y")&gt;=1,0,AI13+AH13)</f>
        <v>0</v>
      </c>
      <c r="AK13" s="360">
        <f>IF(DATEDIF(C13,Reference!$B$28,"Y")&gt;=1,AI13+AH13,0)</f>
        <v>0</v>
      </c>
      <c r="AL13" s="364" t="str">
        <f>IF(DATEDIF(C13,Reference!$B$28,"Y")&gt;=1,"Part II Box E","Part I Box B")</f>
        <v>Part II Box E</v>
      </c>
      <c r="AM13" s="253">
        <f t="shared" si="13"/>
        <v>42309</v>
      </c>
      <c r="AN13" s="254">
        <f t="shared" si="14"/>
        <v>0</v>
      </c>
      <c r="AO13" s="254">
        <f>SWITCH(Reference!$E$9, "combined", W13+(AE13*Reference!$B$18), "cashOnly", W13)</f>
        <v>0</v>
      </c>
      <c r="AP13" s="255">
        <f t="shared" si="15"/>
        <v>0</v>
      </c>
      <c r="AQ13" s="255" t="str">
        <f t="shared" si="16"/>
        <v/>
      </c>
      <c r="AR13" s="254">
        <f>LET(avgoFMV, Reference!$B$18*AE13, vmwBasis, Z13*D13, AP13 - IF(W13&lt;AF13,avgoFmv,vmwBasis))</f>
        <v>0</v>
      </c>
      <c r="AS13" s="365">
        <f t="shared" si="17"/>
        <v>0</v>
      </c>
      <c r="AT13" s="363" t="str">
        <f t="shared" si="18"/>
        <v>n/a</v>
      </c>
      <c r="AU13" s="247">
        <f>iferror((Reference!$B$10-AT13)*(AE13 - AG13), 0)</f>
        <v>0</v>
      </c>
      <c r="AV13" s="247">
        <f>IF(DATEDIF(C13,Reference!$B$29,"Y")&gt;=1,0,AU13)</f>
        <v>0</v>
      </c>
      <c r="AW13" s="250">
        <f>IF(DATEDIF(C13,Reference!$B$29,"Y")&gt;=1,AU13,0)</f>
        <v>0</v>
      </c>
    </row>
    <row r="14">
      <c r="A14" s="351" t="s">
        <v>193</v>
      </c>
      <c r="B14" s="352">
        <v>40953.0</v>
      </c>
      <c r="C14" s="221">
        <v>42401.0</v>
      </c>
      <c r="D14" s="222"/>
      <c r="E14" s="353">
        <v>45.49</v>
      </c>
      <c r="F14" s="354"/>
      <c r="G14" s="225">
        <f t="shared" si="7"/>
        <v>0</v>
      </c>
      <c r="H14" s="236">
        <f t="shared" si="8"/>
        <v>0</v>
      </c>
      <c r="I14" s="355"/>
      <c r="J14" s="259" t="b">
        <v>0</v>
      </c>
      <c r="K14" s="356"/>
      <c r="L14" s="230">
        <v>0.0</v>
      </c>
      <c r="M14" s="230">
        <v>0.0</v>
      </c>
      <c r="N14" s="230">
        <v>0.0</v>
      </c>
      <c r="O14" s="230">
        <v>0.0</v>
      </c>
      <c r="P14" s="230">
        <v>0.0</v>
      </c>
      <c r="Q14" s="232">
        <f t="shared" si="9"/>
        <v>0</v>
      </c>
      <c r="R14" s="232">
        <f>SWITCH(S14,"cash",Reference!E$5,"shares",Reference!$E$6,"balance",Reference!$E$7)</f>
        <v>0</v>
      </c>
      <c r="S14" s="233" t="s">
        <v>178</v>
      </c>
      <c r="T14" s="234">
        <f>LET(ratio,Reference!$B$4, ratio*Reference!$B$3*D14)</f>
        <v>0</v>
      </c>
      <c r="U14" s="234">
        <f>iferror(LET(ratio, Q14,(1-ratio) * Reference!$B$3 * $D14),0)</f>
        <v>0</v>
      </c>
      <c r="V14" s="234">
        <f>iferror(LET(ratio, R14,(1-ratio) * Reference!$B$3 * $D14),0)</f>
        <v>0</v>
      </c>
      <c r="W14" s="234">
        <f>SWITCH(Reference!$E$4,"eTradeTransactionLog", T14, "eTradeHoldingRatio",T14, "eTradeLotQtyRatio",U14,"manualLotRatio",V14)</f>
        <v>0</v>
      </c>
      <c r="X14" s="225">
        <f>IF(C14&lt;Reference!$B$26,Reference!$C$26,0)</f>
        <v>10.18</v>
      </c>
      <c r="Y14" s="225">
        <f>IF(C14&lt;Reference!$B$27,Reference!$C$27,0)</f>
        <v>16.87</v>
      </c>
      <c r="Z14" s="225">
        <f t="shared" si="10"/>
        <v>18.44</v>
      </c>
      <c r="AA14" s="357">
        <f t="shared" si="11"/>
        <v>0</v>
      </c>
      <c r="AB14" s="235">
        <f>$D14*Reference!$B$5*Reference!$B$6</f>
        <v>0</v>
      </c>
      <c r="AC14" s="235">
        <f>$D14*Q14*Reference!$B$6</f>
        <v>0</v>
      </c>
      <c r="AD14" s="235">
        <f>$D14*R14*Reference!$B$6</f>
        <v>0</v>
      </c>
      <c r="AE14" s="235">
        <f>SWITCH(Reference!$E$4, "eTradeTransactionLog", AB14, "eTradeHoldingRatio",AB14, "eTradeLotQtyRatio",AC14,"manualLotRatio",AD14)</f>
        <v>0</v>
      </c>
      <c r="AF14" s="236">
        <f>MAX(W14+(AE14*Reference!$B$18)-AA14,0)</f>
        <v>0</v>
      </c>
      <c r="AG14" s="237">
        <f>IF(J14,Summary!$C$41/ (J$86+ESPP!$N$28), 0)</f>
        <v>0</v>
      </c>
      <c r="AH14" s="358">
        <f>IF(J14,(Reference!$B$23 - AT14) * AG14, 0)</f>
        <v>0</v>
      </c>
      <c r="AI14" s="359">
        <f t="shared" si="12"/>
        <v>0</v>
      </c>
      <c r="AJ14" s="360">
        <f>IF(DATEDIF(C14,Reference!$B$28,"Y")&gt;=1,0,AI14+AH14)</f>
        <v>0</v>
      </c>
      <c r="AK14" s="360">
        <f>IF(DATEDIF(C14,Reference!$B$28,"Y")&gt;=1,AI14+AH14,0)</f>
        <v>0</v>
      </c>
      <c r="AL14" s="364" t="str">
        <f>IF(DATEDIF(C14,Reference!$B$28,"Y")&gt;=1,"Part II Box E","Part I Box B")</f>
        <v>Part II Box E</v>
      </c>
      <c r="AM14" s="253">
        <f t="shared" si="13"/>
        <v>42401</v>
      </c>
      <c r="AN14" s="254">
        <f t="shared" si="14"/>
        <v>0</v>
      </c>
      <c r="AO14" s="254">
        <f>SWITCH(Reference!$E$9, "combined", W14+(AE14*Reference!$B$18), "cashOnly", W14)</f>
        <v>0</v>
      </c>
      <c r="AP14" s="255">
        <f t="shared" si="15"/>
        <v>0</v>
      </c>
      <c r="AQ14" s="255" t="str">
        <f t="shared" si="16"/>
        <v/>
      </c>
      <c r="AR14" s="254">
        <f>LET(avgoFMV, Reference!$B$18*AE14, vmwBasis, Z14*D14, AP14 - IF(W14&lt;AF14,avgoFmv,vmwBasis))</f>
        <v>0</v>
      </c>
      <c r="AS14" s="365">
        <f t="shared" si="17"/>
        <v>0</v>
      </c>
      <c r="AT14" s="363" t="str">
        <f t="shared" si="18"/>
        <v>n/a</v>
      </c>
      <c r="AU14" s="247">
        <f>iferror((Reference!$B$10-AT14)*(AE14 - AG14), 0)</f>
        <v>0</v>
      </c>
      <c r="AV14" s="247">
        <f>IF(DATEDIF(C14,Reference!$B$29,"Y")&gt;=1,0,AU14)</f>
        <v>0</v>
      </c>
      <c r="AW14" s="250">
        <f>IF(DATEDIF(C14,Reference!$B$29,"Y")&gt;=1,AU14,0)</f>
        <v>0</v>
      </c>
    </row>
    <row r="15">
      <c r="A15" s="351" t="s">
        <v>194</v>
      </c>
      <c r="B15" s="352">
        <v>41803.0</v>
      </c>
      <c r="C15" s="221">
        <v>42491.0</v>
      </c>
      <c r="D15" s="222"/>
      <c r="E15" s="353">
        <v>56.91</v>
      </c>
      <c r="F15" s="354"/>
      <c r="G15" s="225">
        <f t="shared" si="7"/>
        <v>0</v>
      </c>
      <c r="H15" s="236">
        <f t="shared" si="8"/>
        <v>0</v>
      </c>
      <c r="I15" s="355"/>
      <c r="J15" s="259" t="b">
        <v>0</v>
      </c>
      <c r="K15" s="356"/>
      <c r="L15" s="230">
        <v>0.0</v>
      </c>
      <c r="M15" s="230">
        <v>0.0</v>
      </c>
      <c r="N15" s="230">
        <v>0.0</v>
      </c>
      <c r="O15" s="230">
        <v>0.0</v>
      </c>
      <c r="P15" s="230">
        <v>0.0</v>
      </c>
      <c r="Q15" s="232">
        <f t="shared" si="9"/>
        <v>0</v>
      </c>
      <c r="R15" s="232">
        <f>SWITCH(S15,"cash",Reference!E$5,"shares",Reference!$E$6,"balance",Reference!$E$7)</f>
        <v>0</v>
      </c>
      <c r="S15" s="233" t="s">
        <v>178</v>
      </c>
      <c r="T15" s="234">
        <f>LET(ratio,Reference!$B$4, ratio*Reference!$B$3*D15)</f>
        <v>0</v>
      </c>
      <c r="U15" s="234">
        <f>iferror(LET(ratio, Q15,(1-ratio) * Reference!$B$3 * $D15),0)</f>
        <v>0</v>
      </c>
      <c r="V15" s="234">
        <f>iferror(LET(ratio, R15,(1-ratio) * Reference!$B$3 * $D15),0)</f>
        <v>0</v>
      </c>
      <c r="W15" s="234">
        <f>SWITCH(Reference!$E$4,"eTradeTransactionLog", T15, "eTradeHoldingRatio",T15, "eTradeLotQtyRatio",U15,"manualLotRatio",V15)</f>
        <v>0</v>
      </c>
      <c r="X15" s="225">
        <f>IF(C15&lt;Reference!$B$26,Reference!$C$26,0)</f>
        <v>10.18</v>
      </c>
      <c r="Y15" s="225">
        <f>IF(C15&lt;Reference!$B$27,Reference!$C$27,0)</f>
        <v>16.87</v>
      </c>
      <c r="Z15" s="225">
        <f t="shared" si="10"/>
        <v>29.86</v>
      </c>
      <c r="AA15" s="357">
        <f t="shared" si="11"/>
        <v>0</v>
      </c>
      <c r="AB15" s="235">
        <f>$D15*Reference!$B$5*Reference!$B$6</f>
        <v>0</v>
      </c>
      <c r="AC15" s="235">
        <f>$D15*Q15*Reference!$B$6</f>
        <v>0</v>
      </c>
      <c r="AD15" s="235">
        <f>$D15*R15*Reference!$B$6</f>
        <v>0</v>
      </c>
      <c r="AE15" s="235">
        <f>SWITCH(Reference!$E$4, "eTradeTransactionLog", AB15, "eTradeHoldingRatio",AB15, "eTradeLotQtyRatio",AC15,"manualLotRatio",AD15)</f>
        <v>0</v>
      </c>
      <c r="AF15" s="236">
        <f>MAX(W15+(AE15*Reference!$B$18)-AA15,0)</f>
        <v>0</v>
      </c>
      <c r="AG15" s="237">
        <f>IF(J15,Summary!$C$41/ (J$86+ESPP!$N$28), 0)</f>
        <v>0</v>
      </c>
      <c r="AH15" s="358">
        <f>IF(J15,(Reference!$B$23 - AT15) * AG15, 0)</f>
        <v>0</v>
      </c>
      <c r="AI15" s="359">
        <f t="shared" si="12"/>
        <v>0</v>
      </c>
      <c r="AJ15" s="360">
        <f>IF(DATEDIF(C15,Reference!$B$28,"Y")&gt;=1,0,AI15+AH15)</f>
        <v>0</v>
      </c>
      <c r="AK15" s="360">
        <f>IF(DATEDIF(C15,Reference!$B$28,"Y")&gt;=1,AI15+AH15,0)</f>
        <v>0</v>
      </c>
      <c r="AL15" s="364" t="str">
        <f>IF(DATEDIF(C15,Reference!$B$28,"Y")&gt;=1,"Part II Box E","Part I Box B")</f>
        <v>Part II Box E</v>
      </c>
      <c r="AM15" s="253">
        <f t="shared" si="13"/>
        <v>42491</v>
      </c>
      <c r="AN15" s="254">
        <f t="shared" si="14"/>
        <v>0</v>
      </c>
      <c r="AO15" s="254">
        <f>SWITCH(Reference!$E$9, "combined", W15+(AE15*Reference!$B$18), "cashOnly", W15)</f>
        <v>0</v>
      </c>
      <c r="AP15" s="255">
        <f t="shared" si="15"/>
        <v>0</v>
      </c>
      <c r="AQ15" s="255" t="str">
        <f t="shared" si="16"/>
        <v/>
      </c>
      <c r="AR15" s="254">
        <f>LET(avgoFMV, Reference!$B$18*AE15, vmwBasis, Z15*D15, AP15 - IF(W15&lt;AF15,avgoFmv,vmwBasis))</f>
        <v>0</v>
      </c>
      <c r="AS15" s="365">
        <f t="shared" si="17"/>
        <v>0</v>
      </c>
      <c r="AT15" s="363" t="str">
        <f t="shared" si="18"/>
        <v>n/a</v>
      </c>
      <c r="AU15" s="247">
        <f>iferror((Reference!$B$10-AT15)*(AE15 - AG15), 0)</f>
        <v>0</v>
      </c>
      <c r="AV15" s="247">
        <f>IF(DATEDIF(C15,Reference!$B$29,"Y")&gt;=1,0,AU15)</f>
        <v>0</v>
      </c>
      <c r="AW15" s="250">
        <f>IF(DATEDIF(C15,Reference!$B$29,"Y")&gt;=1,AU15,0)</f>
        <v>0</v>
      </c>
    </row>
    <row r="16">
      <c r="A16" s="351" t="s">
        <v>195</v>
      </c>
      <c r="B16" s="352">
        <v>42170.0</v>
      </c>
      <c r="C16" s="221">
        <v>42491.0</v>
      </c>
      <c r="D16" s="222"/>
      <c r="E16" s="353">
        <v>56.91</v>
      </c>
      <c r="F16" s="354"/>
      <c r="G16" s="225">
        <f t="shared" si="7"/>
        <v>0</v>
      </c>
      <c r="H16" s="236">
        <f t="shared" si="8"/>
        <v>0</v>
      </c>
      <c r="I16" s="355"/>
      <c r="J16" s="259" t="b">
        <v>0</v>
      </c>
      <c r="K16" s="356"/>
      <c r="L16" s="230">
        <v>0.0</v>
      </c>
      <c r="M16" s="230">
        <v>0.0</v>
      </c>
      <c r="N16" s="230">
        <v>0.0</v>
      </c>
      <c r="O16" s="230">
        <v>0.0</v>
      </c>
      <c r="P16" s="230">
        <v>0.0</v>
      </c>
      <c r="Q16" s="232">
        <f t="shared" si="9"/>
        <v>0</v>
      </c>
      <c r="R16" s="232">
        <f>SWITCH(S16,"cash",Reference!E$5,"shares",Reference!$E$6,"balance",Reference!$E$7)</f>
        <v>0</v>
      </c>
      <c r="S16" s="233" t="s">
        <v>178</v>
      </c>
      <c r="T16" s="234">
        <f>LET(ratio,Reference!$B$4, ratio*Reference!$B$3*D16)</f>
        <v>0</v>
      </c>
      <c r="U16" s="234">
        <f>iferror(LET(ratio, Q16,(1-ratio) * Reference!$B$3 * $D16),0)</f>
        <v>0</v>
      </c>
      <c r="V16" s="234">
        <f>iferror(LET(ratio, R16,(1-ratio) * Reference!$B$3 * $D16),0)</f>
        <v>0</v>
      </c>
      <c r="W16" s="234">
        <f>SWITCH(Reference!$E$4,"eTradeTransactionLog", T16, "eTradeHoldingRatio",T16, "eTradeLotQtyRatio",U16,"manualLotRatio",V16)</f>
        <v>0</v>
      </c>
      <c r="X16" s="225">
        <f>IF(C16&lt;Reference!$B$26,Reference!$C$26,0)</f>
        <v>10.18</v>
      </c>
      <c r="Y16" s="225">
        <f>IF(C16&lt;Reference!$B$27,Reference!$C$27,0)</f>
        <v>16.87</v>
      </c>
      <c r="Z16" s="225">
        <f t="shared" si="10"/>
        <v>29.86</v>
      </c>
      <c r="AA16" s="357">
        <f t="shared" si="11"/>
        <v>0</v>
      </c>
      <c r="AB16" s="235">
        <f>$D16*Reference!$B$5*Reference!$B$6</f>
        <v>0</v>
      </c>
      <c r="AC16" s="235">
        <f>$D16*Q16*Reference!$B$6</f>
        <v>0</v>
      </c>
      <c r="AD16" s="235">
        <f>$D16*R16*Reference!$B$6</f>
        <v>0</v>
      </c>
      <c r="AE16" s="235">
        <f>SWITCH(Reference!$E$4, "eTradeTransactionLog", AB16, "eTradeHoldingRatio",AB16, "eTradeLotQtyRatio",AC16,"manualLotRatio",AD16)</f>
        <v>0</v>
      </c>
      <c r="AF16" s="236">
        <f>MAX(W16+(AE16*Reference!$B$18)-AA16,0)</f>
        <v>0</v>
      </c>
      <c r="AG16" s="237">
        <f>IF(J16,Summary!$C$41/ (J$86+ESPP!$N$28), 0)</f>
        <v>0</v>
      </c>
      <c r="AH16" s="358">
        <f>IF(J16,(Reference!$B$23 - AT16) * AG16, 0)</f>
        <v>0</v>
      </c>
      <c r="AI16" s="359">
        <f t="shared" si="12"/>
        <v>0</v>
      </c>
      <c r="AJ16" s="360">
        <f>IF(DATEDIF(C16,Reference!$B$28,"Y")&gt;=1,0,AI16+AH16)</f>
        <v>0</v>
      </c>
      <c r="AK16" s="360">
        <f>IF(DATEDIF(C16,Reference!$B$28,"Y")&gt;=1,AI16+AH16,0)</f>
        <v>0</v>
      </c>
      <c r="AL16" s="364" t="str">
        <f>IF(DATEDIF(C16,Reference!$B$28,"Y")&gt;=1,"Part II Box E","Part I Box B")</f>
        <v>Part II Box E</v>
      </c>
      <c r="AM16" s="253">
        <f t="shared" si="13"/>
        <v>42491</v>
      </c>
      <c r="AN16" s="254">
        <f t="shared" si="14"/>
        <v>0</v>
      </c>
      <c r="AO16" s="254">
        <f>SWITCH(Reference!$E$9, "combined", W16+(AE16*Reference!$B$18), "cashOnly", W16)</f>
        <v>0</v>
      </c>
      <c r="AP16" s="255">
        <f t="shared" si="15"/>
        <v>0</v>
      </c>
      <c r="AQ16" s="255" t="str">
        <f t="shared" si="16"/>
        <v/>
      </c>
      <c r="AR16" s="254">
        <f>LET(avgoFMV, Reference!$B$18*AE16, vmwBasis, Z16*D16, AP16 - IF(W16&lt;AF16,avgoFmv,vmwBasis))</f>
        <v>0</v>
      </c>
      <c r="AS16" s="365">
        <f t="shared" si="17"/>
        <v>0</v>
      </c>
      <c r="AT16" s="363" t="str">
        <f t="shared" si="18"/>
        <v>n/a</v>
      </c>
      <c r="AU16" s="247">
        <f>iferror((Reference!$B$10-AT16)*(AE16 - AG16), 0)</f>
        <v>0</v>
      </c>
      <c r="AV16" s="247">
        <f>IF(DATEDIF(C16,Reference!$B$29,"Y")&gt;=1,0,AU16)</f>
        <v>0</v>
      </c>
      <c r="AW16" s="250">
        <f>IF(DATEDIF(C16,Reference!$B$29,"Y")&gt;=1,AU16,0)</f>
        <v>0</v>
      </c>
    </row>
    <row r="17">
      <c r="A17" s="351" t="s">
        <v>194</v>
      </c>
      <c r="B17" s="352">
        <v>41803.0</v>
      </c>
      <c r="C17" s="221">
        <v>42675.0</v>
      </c>
      <c r="D17" s="222"/>
      <c r="E17" s="353">
        <v>77.97</v>
      </c>
      <c r="F17" s="354"/>
      <c r="G17" s="225">
        <f t="shared" si="7"/>
        <v>0</v>
      </c>
      <c r="H17" s="236">
        <f t="shared" si="8"/>
        <v>0</v>
      </c>
      <c r="I17" s="355"/>
      <c r="J17" s="259" t="b">
        <v>0</v>
      </c>
      <c r="K17" s="356"/>
      <c r="L17" s="230">
        <v>0.0</v>
      </c>
      <c r="M17" s="230">
        <v>0.0</v>
      </c>
      <c r="N17" s="230">
        <v>0.0</v>
      </c>
      <c r="O17" s="230">
        <v>0.0</v>
      </c>
      <c r="P17" s="230">
        <v>0.0</v>
      </c>
      <c r="Q17" s="232">
        <f t="shared" si="9"/>
        <v>0</v>
      </c>
      <c r="R17" s="232">
        <f>SWITCH(S17,"cash",Reference!E$5,"shares",Reference!$E$6,"balance",Reference!$E$7)</f>
        <v>0</v>
      </c>
      <c r="S17" s="233" t="s">
        <v>178</v>
      </c>
      <c r="T17" s="234">
        <f>LET(ratio,Reference!$B$4, ratio*Reference!$B$3*D17)</f>
        <v>0</v>
      </c>
      <c r="U17" s="234">
        <f>iferror(LET(ratio, Q17,(1-ratio) * Reference!$B$3 * $D17),0)</f>
        <v>0</v>
      </c>
      <c r="V17" s="234">
        <f>iferror(LET(ratio, R17,(1-ratio) * Reference!$B$3 * $D17),0)</f>
        <v>0</v>
      </c>
      <c r="W17" s="234">
        <f>SWITCH(Reference!$E$4,"eTradeTransactionLog", T17, "eTradeHoldingRatio",T17, "eTradeLotQtyRatio",U17,"manualLotRatio",V17)</f>
        <v>0</v>
      </c>
      <c r="X17" s="225">
        <f>IF(C17&lt;Reference!$B$26,Reference!$C$26,0)</f>
        <v>10.18</v>
      </c>
      <c r="Y17" s="225">
        <f>IF(C17&lt;Reference!$B$27,Reference!$C$27,0)</f>
        <v>16.87</v>
      </c>
      <c r="Z17" s="225">
        <f t="shared" si="10"/>
        <v>50.92</v>
      </c>
      <c r="AA17" s="357">
        <f t="shared" si="11"/>
        <v>0</v>
      </c>
      <c r="AB17" s="235">
        <f>$D17*Reference!$B$5*Reference!$B$6</f>
        <v>0</v>
      </c>
      <c r="AC17" s="235">
        <f>$D17*Q17*Reference!$B$6</f>
        <v>0</v>
      </c>
      <c r="AD17" s="235">
        <f>$D17*R17*Reference!$B$6</f>
        <v>0</v>
      </c>
      <c r="AE17" s="235">
        <f>SWITCH(Reference!$E$4, "eTradeTransactionLog", AB17, "eTradeHoldingRatio",AB17, "eTradeLotQtyRatio",AC17,"manualLotRatio",AD17)</f>
        <v>0</v>
      </c>
      <c r="AF17" s="236">
        <f>MAX(W17+(AE17*Reference!$B$18)-AA17,0)</f>
        <v>0</v>
      </c>
      <c r="AG17" s="237">
        <f>IF(J17,Summary!$C$41/ (J$86+ESPP!$N$28), 0)</f>
        <v>0</v>
      </c>
      <c r="AH17" s="358">
        <f>IF(J17,(Reference!$B$23 - AT17) * AG17, 0)</f>
        <v>0</v>
      </c>
      <c r="AI17" s="359">
        <f t="shared" si="12"/>
        <v>0</v>
      </c>
      <c r="AJ17" s="360">
        <f>IF(DATEDIF(C17,Reference!$B$28,"Y")&gt;=1,0,AI17+AH17)</f>
        <v>0</v>
      </c>
      <c r="AK17" s="360">
        <f>IF(DATEDIF(C17,Reference!$B$28,"Y")&gt;=1,AI17+AH17,0)</f>
        <v>0</v>
      </c>
      <c r="AL17" s="364" t="str">
        <f>IF(DATEDIF(C17,Reference!$B$28,"Y")&gt;=1,"Part II Box E","Part I Box B")</f>
        <v>Part II Box E</v>
      </c>
      <c r="AM17" s="253">
        <f t="shared" si="13"/>
        <v>42675</v>
      </c>
      <c r="AN17" s="254">
        <f t="shared" si="14"/>
        <v>0</v>
      </c>
      <c r="AO17" s="254">
        <f>SWITCH(Reference!$E$9, "combined", W17+(AE17*Reference!$B$18), "cashOnly", W17)</f>
        <v>0</v>
      </c>
      <c r="AP17" s="255">
        <f t="shared" si="15"/>
        <v>0</v>
      </c>
      <c r="AQ17" s="255" t="str">
        <f t="shared" si="16"/>
        <v/>
      </c>
      <c r="AR17" s="254">
        <f>LET(avgoFMV, Reference!$B$18*AE17, vmwBasis, Z17*D17, AP17 - IF(W17&lt;AF17,avgoFmv,vmwBasis))</f>
        <v>0</v>
      </c>
      <c r="AS17" s="365">
        <f t="shared" si="17"/>
        <v>0</v>
      </c>
      <c r="AT17" s="363" t="str">
        <f t="shared" si="18"/>
        <v>n/a</v>
      </c>
      <c r="AU17" s="247">
        <f>iferror((Reference!$B$10-AT17)*(AE17 - AG17), 0)</f>
        <v>0</v>
      </c>
      <c r="AV17" s="247">
        <f>IF(DATEDIF(C17,Reference!$B$29,"Y")&gt;=1,0,AU17)</f>
        <v>0</v>
      </c>
      <c r="AW17" s="250">
        <f>IF(DATEDIF(C17,Reference!$B$29,"Y")&gt;=1,AU17,0)</f>
        <v>0</v>
      </c>
    </row>
    <row r="18">
      <c r="A18" s="351" t="s">
        <v>195</v>
      </c>
      <c r="B18" s="352">
        <v>42170.0</v>
      </c>
      <c r="C18" s="221">
        <v>42675.0</v>
      </c>
      <c r="D18" s="222"/>
      <c r="E18" s="353">
        <v>77.97</v>
      </c>
      <c r="F18" s="354"/>
      <c r="G18" s="225">
        <f t="shared" si="7"/>
        <v>0</v>
      </c>
      <c r="H18" s="236">
        <f t="shared" si="8"/>
        <v>0</v>
      </c>
      <c r="I18" s="355"/>
      <c r="J18" s="259" t="b">
        <v>0</v>
      </c>
      <c r="K18" s="356"/>
      <c r="L18" s="230">
        <v>0.0</v>
      </c>
      <c r="M18" s="230">
        <v>0.0</v>
      </c>
      <c r="N18" s="230">
        <v>0.0</v>
      </c>
      <c r="O18" s="230">
        <v>0.0</v>
      </c>
      <c r="P18" s="230">
        <v>0.0</v>
      </c>
      <c r="Q18" s="232">
        <f t="shared" si="9"/>
        <v>0</v>
      </c>
      <c r="R18" s="232">
        <f>SWITCH(S18,"cash",Reference!E$5,"shares",Reference!$E$6,"balance",Reference!$E$7)</f>
        <v>0</v>
      </c>
      <c r="S18" s="233" t="s">
        <v>178</v>
      </c>
      <c r="T18" s="234">
        <f>LET(ratio,Reference!$B$4, ratio*Reference!$B$3*D18)</f>
        <v>0</v>
      </c>
      <c r="U18" s="234">
        <f>iferror(LET(ratio, Q18,(1-ratio) * Reference!$B$3 * $D18),0)</f>
        <v>0</v>
      </c>
      <c r="V18" s="234">
        <f>iferror(LET(ratio, R18,(1-ratio) * Reference!$B$3 * $D18),0)</f>
        <v>0</v>
      </c>
      <c r="W18" s="234">
        <f>SWITCH(Reference!$E$4,"eTradeTransactionLog", T18, "eTradeHoldingRatio",T18, "eTradeLotQtyRatio",U18,"manualLotRatio",V18)</f>
        <v>0</v>
      </c>
      <c r="X18" s="225">
        <f>IF(C18&lt;Reference!$B$26,Reference!$C$26,0)</f>
        <v>10.18</v>
      </c>
      <c r="Y18" s="225">
        <f>IF(C18&lt;Reference!$B$27,Reference!$C$27,0)</f>
        <v>16.87</v>
      </c>
      <c r="Z18" s="225">
        <f t="shared" si="10"/>
        <v>50.92</v>
      </c>
      <c r="AA18" s="357">
        <f t="shared" si="11"/>
        <v>0</v>
      </c>
      <c r="AB18" s="235">
        <f>$D18*Reference!$B$5*Reference!$B$6</f>
        <v>0</v>
      </c>
      <c r="AC18" s="235">
        <f>$D18*Q18*Reference!$B$6</f>
        <v>0</v>
      </c>
      <c r="AD18" s="235">
        <f>$D18*R18*Reference!$B$6</f>
        <v>0</v>
      </c>
      <c r="AE18" s="235">
        <f>SWITCH(Reference!$E$4, "eTradeTransactionLog", AB18, "eTradeHoldingRatio",AB18, "eTradeLotQtyRatio",AC18,"manualLotRatio",AD18)</f>
        <v>0</v>
      </c>
      <c r="AF18" s="236">
        <f>MAX(W18+(AE18*Reference!$B$18)-AA18,0)</f>
        <v>0</v>
      </c>
      <c r="AG18" s="237">
        <f>IF(J18,Summary!$C$41/ (J$86+ESPP!$N$28), 0)</f>
        <v>0</v>
      </c>
      <c r="AH18" s="358">
        <f>IF(J18,(Reference!$B$23 - AT18) * AG18, 0)</f>
        <v>0</v>
      </c>
      <c r="AI18" s="359">
        <f t="shared" si="12"/>
        <v>0</v>
      </c>
      <c r="AJ18" s="360">
        <f>IF(DATEDIF(C18,Reference!$B$28,"Y")&gt;=1,0,AI18+AH18)</f>
        <v>0</v>
      </c>
      <c r="AK18" s="360">
        <f>IF(DATEDIF(C18,Reference!$B$28,"Y")&gt;=1,AI18+AH18,0)</f>
        <v>0</v>
      </c>
      <c r="AL18" s="364" t="str">
        <f>IF(DATEDIF(C18,Reference!$B$28,"Y")&gt;=1,"Part II Box E","Part I Box B")</f>
        <v>Part II Box E</v>
      </c>
      <c r="AM18" s="253">
        <f t="shared" si="13"/>
        <v>42675</v>
      </c>
      <c r="AN18" s="254">
        <f t="shared" si="14"/>
        <v>0</v>
      </c>
      <c r="AO18" s="254">
        <f>SWITCH(Reference!$E$9, "combined", W18+(AE18*Reference!$B$18), "cashOnly", W18)</f>
        <v>0</v>
      </c>
      <c r="AP18" s="255">
        <f t="shared" si="15"/>
        <v>0</v>
      </c>
      <c r="AQ18" s="255" t="str">
        <f t="shared" si="16"/>
        <v/>
      </c>
      <c r="AR18" s="254">
        <f>LET(avgoFMV, Reference!$B$18*AE18, vmwBasis, Z18*D18, AP18 - IF(W18&lt;AF18,avgoFmv,vmwBasis))</f>
        <v>0</v>
      </c>
      <c r="AS18" s="365">
        <f t="shared" si="17"/>
        <v>0</v>
      </c>
      <c r="AT18" s="363" t="str">
        <f t="shared" si="18"/>
        <v>n/a</v>
      </c>
      <c r="AU18" s="247">
        <f>iferror((Reference!$B$10-AT18)*(AE18 - AG18), 0)</f>
        <v>0</v>
      </c>
      <c r="AV18" s="247">
        <f>IF(DATEDIF(C18,Reference!$B$29,"Y")&gt;=1,0,AU18)</f>
        <v>0</v>
      </c>
      <c r="AW18" s="250">
        <f>IF(DATEDIF(C18,Reference!$B$29,"Y")&gt;=1,AU18,0)</f>
        <v>0</v>
      </c>
    </row>
    <row r="19">
      <c r="A19" s="351" t="s">
        <v>196</v>
      </c>
      <c r="B19" s="352">
        <v>42342.0</v>
      </c>
      <c r="C19" s="221">
        <v>42705.0</v>
      </c>
      <c r="D19" s="222"/>
      <c r="E19" s="353">
        <v>78.04</v>
      </c>
      <c r="F19" s="354"/>
      <c r="G19" s="225">
        <f t="shared" si="7"/>
        <v>0</v>
      </c>
      <c r="H19" s="236">
        <f t="shared" si="8"/>
        <v>0</v>
      </c>
      <c r="I19" s="355"/>
      <c r="J19" s="259" t="b">
        <v>0</v>
      </c>
      <c r="K19" s="356"/>
      <c r="L19" s="230">
        <v>0.0</v>
      </c>
      <c r="M19" s="230">
        <v>0.0</v>
      </c>
      <c r="N19" s="230">
        <v>0.0</v>
      </c>
      <c r="O19" s="230">
        <v>0.0</v>
      </c>
      <c r="P19" s="230">
        <v>0.0</v>
      </c>
      <c r="Q19" s="232">
        <f t="shared" si="9"/>
        <v>0</v>
      </c>
      <c r="R19" s="232">
        <f>SWITCH(S19,"cash",Reference!E$5,"shares",Reference!$E$6,"balance",Reference!$E$7)</f>
        <v>0</v>
      </c>
      <c r="S19" s="233" t="s">
        <v>178</v>
      </c>
      <c r="T19" s="234">
        <f>LET(ratio,Reference!$B$4, ratio*Reference!$B$3*D19)</f>
        <v>0</v>
      </c>
      <c r="U19" s="234">
        <f>iferror(LET(ratio, Q19,(1-ratio) * Reference!$B$3 * $D19),0)</f>
        <v>0</v>
      </c>
      <c r="V19" s="234">
        <f>iferror(LET(ratio, R19,(1-ratio) * Reference!$B$3 * $D19),0)</f>
        <v>0</v>
      </c>
      <c r="W19" s="234">
        <f>SWITCH(Reference!$E$4,"eTradeTransactionLog", T19, "eTradeHoldingRatio",T19, "eTradeLotQtyRatio",U19,"manualLotRatio",V19)</f>
        <v>0</v>
      </c>
      <c r="X19" s="225">
        <f>IF(C19&lt;Reference!$B$26,Reference!$C$26,0)</f>
        <v>10.18</v>
      </c>
      <c r="Y19" s="225">
        <f>IF(C19&lt;Reference!$B$27,Reference!$C$27,0)</f>
        <v>16.87</v>
      </c>
      <c r="Z19" s="225">
        <f t="shared" si="10"/>
        <v>50.99</v>
      </c>
      <c r="AA19" s="357">
        <f t="shared" si="11"/>
        <v>0</v>
      </c>
      <c r="AB19" s="235">
        <f>$D19*Reference!$B$5*Reference!$B$6</f>
        <v>0</v>
      </c>
      <c r="AC19" s="235">
        <f>$D19*Q19*Reference!$B$6</f>
        <v>0</v>
      </c>
      <c r="AD19" s="235">
        <f>$D19*R19*Reference!$B$6</f>
        <v>0</v>
      </c>
      <c r="AE19" s="235">
        <f>SWITCH(Reference!$E$4, "eTradeTransactionLog", AB19, "eTradeHoldingRatio",AB19, "eTradeLotQtyRatio",AC19,"manualLotRatio",AD19)</f>
        <v>0</v>
      </c>
      <c r="AF19" s="236">
        <f>MAX(W19+(AE19*Reference!$B$18)-AA19,0)</f>
        <v>0</v>
      </c>
      <c r="AG19" s="237">
        <f>IF(J19,Summary!$C$41/ (J$86+ESPP!$N$28), 0)</f>
        <v>0</v>
      </c>
      <c r="AH19" s="358">
        <f>IF(J19,(Reference!$B$23 - AT19) * AG19, 0)</f>
        <v>0</v>
      </c>
      <c r="AI19" s="359">
        <f t="shared" si="12"/>
        <v>0</v>
      </c>
      <c r="AJ19" s="360">
        <f>IF(DATEDIF(C19,Reference!$B$28,"Y")&gt;=1,0,AI19+AH19)</f>
        <v>0</v>
      </c>
      <c r="AK19" s="360">
        <f>IF(DATEDIF(C19,Reference!$B$28,"Y")&gt;=1,AI19+AH19,0)</f>
        <v>0</v>
      </c>
      <c r="AL19" s="364" t="str">
        <f>IF(DATEDIF(C19,Reference!$B$28,"Y")&gt;=1,"Part II Box E","Part I Box B")</f>
        <v>Part II Box E</v>
      </c>
      <c r="AM19" s="253">
        <f t="shared" si="13"/>
        <v>42705</v>
      </c>
      <c r="AN19" s="254">
        <f t="shared" si="14"/>
        <v>0</v>
      </c>
      <c r="AO19" s="254">
        <f>SWITCH(Reference!$E$9, "combined", W19+(AE19*Reference!$B$18), "cashOnly", W19)</f>
        <v>0</v>
      </c>
      <c r="AP19" s="255">
        <f t="shared" si="15"/>
        <v>0</v>
      </c>
      <c r="AQ19" s="255" t="str">
        <f t="shared" si="16"/>
        <v/>
      </c>
      <c r="AR19" s="254">
        <f>LET(avgoFMV, Reference!$B$18*AE19, vmwBasis, Z19*D19, AP19 - IF(W19&lt;AF19,avgoFmv,vmwBasis))</f>
        <v>0</v>
      </c>
      <c r="AS19" s="365">
        <f t="shared" si="17"/>
        <v>0</v>
      </c>
      <c r="AT19" s="363" t="str">
        <f t="shared" si="18"/>
        <v>n/a</v>
      </c>
      <c r="AU19" s="247">
        <f>iferror((Reference!$B$10-AT19)*(AE19 - AG19), 0)</f>
        <v>0</v>
      </c>
      <c r="AV19" s="247">
        <f>IF(DATEDIF(C19,Reference!$B$29,"Y")&gt;=1,0,AU19)</f>
        <v>0</v>
      </c>
      <c r="AW19" s="250">
        <f>IF(DATEDIF(C19,Reference!$B$29,"Y")&gt;=1,AU19,0)</f>
        <v>0</v>
      </c>
    </row>
    <row r="20">
      <c r="A20" s="351" t="s">
        <v>194</v>
      </c>
      <c r="B20" s="352">
        <v>41803.0</v>
      </c>
      <c r="C20" s="221">
        <v>42856.0</v>
      </c>
      <c r="D20" s="222"/>
      <c r="E20" s="353">
        <v>94.58</v>
      </c>
      <c r="F20" s="354"/>
      <c r="G20" s="225">
        <f t="shared" si="7"/>
        <v>0</v>
      </c>
      <c r="H20" s="236">
        <f t="shared" si="8"/>
        <v>0</v>
      </c>
      <c r="I20" s="355"/>
      <c r="J20" s="259" t="b">
        <v>0</v>
      </c>
      <c r="K20" s="356"/>
      <c r="L20" s="230">
        <v>0.0</v>
      </c>
      <c r="M20" s="230">
        <v>0.0</v>
      </c>
      <c r="N20" s="230">
        <v>0.0</v>
      </c>
      <c r="O20" s="230">
        <v>0.0</v>
      </c>
      <c r="P20" s="230">
        <v>0.0</v>
      </c>
      <c r="Q20" s="232">
        <f t="shared" si="9"/>
        <v>0</v>
      </c>
      <c r="R20" s="232">
        <f>SWITCH(S20,"cash",Reference!E$5,"shares",Reference!$E$6,"balance",Reference!$E$7)</f>
        <v>0</v>
      </c>
      <c r="S20" s="233" t="s">
        <v>178</v>
      </c>
      <c r="T20" s="234">
        <f>LET(ratio,Reference!$B$4, ratio*Reference!$B$3*D20)</f>
        <v>0</v>
      </c>
      <c r="U20" s="234">
        <f>iferror(LET(ratio, Q20,(1-ratio) * Reference!$B$3 * $D20),0)</f>
        <v>0</v>
      </c>
      <c r="V20" s="234">
        <f>iferror(LET(ratio, R20,(1-ratio) * Reference!$B$3 * $D20),0)</f>
        <v>0</v>
      </c>
      <c r="W20" s="234">
        <f>SWITCH(Reference!$E$4,"eTradeTransactionLog", T20, "eTradeHoldingRatio",T20, "eTradeLotQtyRatio",U20,"manualLotRatio",V20)</f>
        <v>0</v>
      </c>
      <c r="X20" s="225">
        <f>IF(C20&lt;Reference!$B$26,Reference!$C$26,0)</f>
        <v>10.18</v>
      </c>
      <c r="Y20" s="225">
        <f>IF(C20&lt;Reference!$B$27,Reference!$C$27,0)</f>
        <v>16.87</v>
      </c>
      <c r="Z20" s="225">
        <f t="shared" si="10"/>
        <v>67.53</v>
      </c>
      <c r="AA20" s="357">
        <f t="shared" si="11"/>
        <v>0</v>
      </c>
      <c r="AB20" s="235">
        <f>$D20*Reference!$B$5*Reference!$B$6</f>
        <v>0</v>
      </c>
      <c r="AC20" s="235">
        <f>$D20*Q20*Reference!$B$6</f>
        <v>0</v>
      </c>
      <c r="AD20" s="235">
        <f>$D20*R20*Reference!$B$6</f>
        <v>0</v>
      </c>
      <c r="AE20" s="235">
        <f>SWITCH(Reference!$E$4, "eTradeTransactionLog", AB20, "eTradeHoldingRatio",AB20, "eTradeLotQtyRatio",AC20,"manualLotRatio",AD20)</f>
        <v>0</v>
      </c>
      <c r="AF20" s="236">
        <f>MAX(W20+(AE20*Reference!$B$18)-AA20,0)</f>
        <v>0</v>
      </c>
      <c r="AG20" s="237">
        <f>IF(J20,Summary!$C$41/ (J$86+ESPP!$N$28), 0)</f>
        <v>0</v>
      </c>
      <c r="AH20" s="358">
        <f>IF(J20,(Reference!$B$23 - AT20) * AG20, 0)</f>
        <v>0</v>
      </c>
      <c r="AI20" s="359">
        <f t="shared" si="12"/>
        <v>0</v>
      </c>
      <c r="AJ20" s="360">
        <f>IF(DATEDIF(C20,Reference!$B$28,"Y")&gt;=1,0,AI20+AH20)</f>
        <v>0</v>
      </c>
      <c r="AK20" s="360">
        <f>IF(DATEDIF(C20,Reference!$B$28,"Y")&gt;=1,AI20+AH20,0)</f>
        <v>0</v>
      </c>
      <c r="AL20" s="364" t="str">
        <f>IF(DATEDIF(C20,Reference!$B$28,"Y")&gt;=1,"Part II Box E","Part I Box B")</f>
        <v>Part II Box E</v>
      </c>
      <c r="AM20" s="253">
        <f t="shared" si="13"/>
        <v>42856</v>
      </c>
      <c r="AN20" s="254">
        <f t="shared" si="14"/>
        <v>0</v>
      </c>
      <c r="AO20" s="254">
        <f>SWITCH(Reference!$E$9, "combined", W20+(AE20*Reference!$B$18), "cashOnly", W20)</f>
        <v>0</v>
      </c>
      <c r="AP20" s="255">
        <f t="shared" si="15"/>
        <v>0</v>
      </c>
      <c r="AQ20" s="255" t="str">
        <f t="shared" si="16"/>
        <v/>
      </c>
      <c r="AR20" s="254">
        <f>LET(avgoFMV, Reference!$B$18*AE20, vmwBasis, Z20*D20, AP20 - IF(W20&lt;AF20,avgoFmv,vmwBasis))</f>
        <v>0</v>
      </c>
      <c r="AS20" s="365">
        <f t="shared" si="17"/>
        <v>0</v>
      </c>
      <c r="AT20" s="363" t="str">
        <f t="shared" si="18"/>
        <v>n/a</v>
      </c>
      <c r="AU20" s="247">
        <f>iferror((Reference!$B$10-AT20)*(AE20 - AG20), 0)</f>
        <v>0</v>
      </c>
      <c r="AV20" s="247">
        <f>IF(DATEDIF(C20,Reference!$B$29,"Y")&gt;=1,0,AU20)</f>
        <v>0</v>
      </c>
      <c r="AW20" s="250">
        <f>IF(DATEDIF(C20,Reference!$B$29,"Y")&gt;=1,AU20,0)</f>
        <v>0</v>
      </c>
    </row>
    <row r="21">
      <c r="A21" s="351" t="s">
        <v>195</v>
      </c>
      <c r="B21" s="352">
        <v>42170.0</v>
      </c>
      <c r="C21" s="221">
        <v>42856.0</v>
      </c>
      <c r="D21" s="222"/>
      <c r="E21" s="353">
        <v>94.58</v>
      </c>
      <c r="F21" s="354"/>
      <c r="G21" s="225">
        <f t="shared" si="7"/>
        <v>0</v>
      </c>
      <c r="H21" s="236">
        <f t="shared" si="8"/>
        <v>0</v>
      </c>
      <c r="I21" s="355"/>
      <c r="J21" s="259" t="b">
        <v>0</v>
      </c>
      <c r="K21" s="356"/>
      <c r="L21" s="230">
        <v>0.0</v>
      </c>
      <c r="M21" s="230">
        <v>0.0</v>
      </c>
      <c r="N21" s="230">
        <v>0.0</v>
      </c>
      <c r="O21" s="230">
        <v>0.0</v>
      </c>
      <c r="P21" s="230">
        <v>0.0</v>
      </c>
      <c r="Q21" s="232">
        <f t="shared" si="9"/>
        <v>0</v>
      </c>
      <c r="R21" s="232">
        <f>SWITCH(S21,"cash",Reference!E$5,"shares",Reference!$E$6,"balance",Reference!$E$7)</f>
        <v>0</v>
      </c>
      <c r="S21" s="233" t="s">
        <v>178</v>
      </c>
      <c r="T21" s="234">
        <f>LET(ratio,Reference!$B$4, ratio*Reference!$B$3*D21)</f>
        <v>0</v>
      </c>
      <c r="U21" s="234">
        <f>iferror(LET(ratio, Q21,(1-ratio) * Reference!$B$3 * $D21),0)</f>
        <v>0</v>
      </c>
      <c r="V21" s="234">
        <f>iferror(LET(ratio, R21,(1-ratio) * Reference!$B$3 * $D21),0)</f>
        <v>0</v>
      </c>
      <c r="W21" s="234">
        <f>SWITCH(Reference!$E$4,"eTradeTransactionLog", T21, "eTradeHoldingRatio",T21, "eTradeLotQtyRatio",U21,"manualLotRatio",V21)</f>
        <v>0</v>
      </c>
      <c r="X21" s="225">
        <f>IF(C21&lt;Reference!$B$26,Reference!$C$26,0)</f>
        <v>10.18</v>
      </c>
      <c r="Y21" s="225">
        <f>IF(C21&lt;Reference!$B$27,Reference!$C$27,0)</f>
        <v>16.87</v>
      </c>
      <c r="Z21" s="225">
        <f t="shared" si="10"/>
        <v>67.53</v>
      </c>
      <c r="AA21" s="357">
        <f t="shared" si="11"/>
        <v>0</v>
      </c>
      <c r="AB21" s="235">
        <f>$D21*Reference!$B$5*Reference!$B$6</f>
        <v>0</v>
      </c>
      <c r="AC21" s="235">
        <f>$D21*Q21*Reference!$B$6</f>
        <v>0</v>
      </c>
      <c r="AD21" s="235">
        <f>$D21*R21*Reference!$B$6</f>
        <v>0</v>
      </c>
      <c r="AE21" s="235">
        <f>SWITCH(Reference!$E$4, "eTradeTransactionLog", AB21, "eTradeHoldingRatio",AB21, "eTradeLotQtyRatio",AC21,"manualLotRatio",AD21)</f>
        <v>0</v>
      </c>
      <c r="AF21" s="236">
        <f>MAX(W21+(AE21*Reference!$B$18)-AA21,0)</f>
        <v>0</v>
      </c>
      <c r="AG21" s="237">
        <f>IF(J21,Summary!$C$41/ (J$86+ESPP!$N$28), 0)</f>
        <v>0</v>
      </c>
      <c r="AH21" s="358">
        <f>IF(J21,(Reference!$B$23 - AT21) * AG21, 0)</f>
        <v>0</v>
      </c>
      <c r="AI21" s="359">
        <f t="shared" si="12"/>
        <v>0</v>
      </c>
      <c r="AJ21" s="360">
        <f>IF(DATEDIF(C21,Reference!$B$28,"Y")&gt;=1,0,AI21+AH21)</f>
        <v>0</v>
      </c>
      <c r="AK21" s="360">
        <f>IF(DATEDIF(C21,Reference!$B$28,"Y")&gt;=1,AI21+AH21,0)</f>
        <v>0</v>
      </c>
      <c r="AL21" s="364" t="str">
        <f>IF(DATEDIF(C21,Reference!$B$28,"Y")&gt;=1,"Part II Box E","Part I Box B")</f>
        <v>Part II Box E</v>
      </c>
      <c r="AM21" s="253">
        <f t="shared" si="13"/>
        <v>42856</v>
      </c>
      <c r="AN21" s="254">
        <f t="shared" si="14"/>
        <v>0</v>
      </c>
      <c r="AO21" s="254">
        <f>SWITCH(Reference!$E$9, "combined", W21+(AE21*Reference!$B$18), "cashOnly", W21)</f>
        <v>0</v>
      </c>
      <c r="AP21" s="255">
        <f t="shared" si="15"/>
        <v>0</v>
      </c>
      <c r="AQ21" s="255" t="str">
        <f t="shared" si="16"/>
        <v/>
      </c>
      <c r="AR21" s="254">
        <f>LET(avgoFMV, Reference!$B$18*AE21, vmwBasis, Z21*D21, AP21 - IF(W21&lt;AF21,avgoFmv,vmwBasis))</f>
        <v>0</v>
      </c>
      <c r="AS21" s="365">
        <f t="shared" si="17"/>
        <v>0</v>
      </c>
      <c r="AT21" s="363" t="str">
        <f t="shared" si="18"/>
        <v>n/a</v>
      </c>
      <c r="AU21" s="247">
        <f>iferror((Reference!$B$10-AT21)*(AE21 - AG21), 0)</f>
        <v>0</v>
      </c>
      <c r="AV21" s="247">
        <f>IF(DATEDIF(C21,Reference!$B$29,"Y")&gt;=1,0,AU21)</f>
        <v>0</v>
      </c>
      <c r="AW21" s="250">
        <f>IF(DATEDIF(C21,Reference!$B$29,"Y")&gt;=1,AU21,0)</f>
        <v>0</v>
      </c>
    </row>
    <row r="22">
      <c r="A22" s="351" t="s">
        <v>197</v>
      </c>
      <c r="B22" s="352">
        <v>42489.0</v>
      </c>
      <c r="C22" s="221">
        <v>42856.0</v>
      </c>
      <c r="D22" s="222"/>
      <c r="E22" s="353">
        <v>94.58</v>
      </c>
      <c r="F22" s="354"/>
      <c r="G22" s="225">
        <f t="shared" si="7"/>
        <v>0</v>
      </c>
      <c r="H22" s="236">
        <f t="shared" si="8"/>
        <v>0</v>
      </c>
      <c r="I22" s="367"/>
      <c r="J22" s="259" t="b">
        <v>0</v>
      </c>
      <c r="K22" s="356"/>
      <c r="L22" s="230">
        <v>0.0</v>
      </c>
      <c r="M22" s="230">
        <v>0.0</v>
      </c>
      <c r="N22" s="230">
        <v>0.0</v>
      </c>
      <c r="O22" s="230">
        <v>0.0</v>
      </c>
      <c r="P22" s="230">
        <v>0.0</v>
      </c>
      <c r="Q22" s="232">
        <f t="shared" si="9"/>
        <v>0</v>
      </c>
      <c r="R22" s="232">
        <f>SWITCH(S22,"cash",Reference!E$5,"shares",Reference!$E$6,"balance",Reference!$E$7)</f>
        <v>0</v>
      </c>
      <c r="S22" s="233" t="s">
        <v>178</v>
      </c>
      <c r="T22" s="234">
        <f>LET(ratio,Reference!$B$4, ratio*Reference!$B$3*D22)</f>
        <v>0</v>
      </c>
      <c r="U22" s="234">
        <f>iferror(LET(ratio, Q22,(1-ratio) * Reference!$B$3 * $D22),0)</f>
        <v>0</v>
      </c>
      <c r="V22" s="234">
        <f>iferror(LET(ratio, R22,(1-ratio) * Reference!$B$3 * $D22),0)</f>
        <v>0</v>
      </c>
      <c r="W22" s="234">
        <f>SWITCH(Reference!$E$4,"eTradeTransactionLog", T22, "eTradeHoldingRatio",T22, "eTradeLotQtyRatio",U22,"manualLotRatio",V22)</f>
        <v>0</v>
      </c>
      <c r="X22" s="225">
        <f>IF(C22&lt;Reference!$B$26,Reference!$C$26,0)</f>
        <v>10.18</v>
      </c>
      <c r="Y22" s="225">
        <f>IF(C22&lt;Reference!$B$27,Reference!$C$27,0)</f>
        <v>16.87</v>
      </c>
      <c r="Z22" s="225">
        <f t="shared" si="10"/>
        <v>67.53</v>
      </c>
      <c r="AA22" s="357">
        <f t="shared" si="11"/>
        <v>0</v>
      </c>
      <c r="AB22" s="235">
        <f>$D22*Reference!$B$5*Reference!$B$6</f>
        <v>0</v>
      </c>
      <c r="AC22" s="235">
        <f>$D22*Q22*Reference!$B$6</f>
        <v>0</v>
      </c>
      <c r="AD22" s="235">
        <f>$D22*R22*Reference!$B$6</f>
        <v>0</v>
      </c>
      <c r="AE22" s="235">
        <f>SWITCH(Reference!$E$4, "eTradeTransactionLog", AB22, "eTradeHoldingRatio",AB22, "eTradeLotQtyRatio",AC22,"manualLotRatio",AD22)</f>
        <v>0</v>
      </c>
      <c r="AF22" s="236">
        <f>MAX(W22+(AE22*Reference!$B$18)-AA22,0)</f>
        <v>0</v>
      </c>
      <c r="AG22" s="237">
        <f>IF(J22,Summary!$C$41/ (J$86+ESPP!$N$28), 0)</f>
        <v>0</v>
      </c>
      <c r="AH22" s="358">
        <f>IF(J22,(Reference!$B$23 - AT22) * AG22, 0)</f>
        <v>0</v>
      </c>
      <c r="AI22" s="359">
        <f t="shared" si="12"/>
        <v>0</v>
      </c>
      <c r="AJ22" s="360">
        <f>IF(DATEDIF(C22,Reference!$B$28,"Y")&gt;=1,0,AI22+AH22)</f>
        <v>0</v>
      </c>
      <c r="AK22" s="360">
        <f>IF(DATEDIF(C22,Reference!$B$28,"Y")&gt;=1,AI22+AH22,0)</f>
        <v>0</v>
      </c>
      <c r="AL22" s="364" t="str">
        <f>IF(DATEDIF(C22,Reference!$B$28,"Y")&gt;=1,"Part II Box E","Part I Box B")</f>
        <v>Part II Box E</v>
      </c>
      <c r="AM22" s="253">
        <f t="shared" si="13"/>
        <v>42856</v>
      </c>
      <c r="AN22" s="254">
        <f t="shared" si="14"/>
        <v>0</v>
      </c>
      <c r="AO22" s="254">
        <f>SWITCH(Reference!$E$9, "combined", W22+(AE22*Reference!$B$18), "cashOnly", W22)</f>
        <v>0</v>
      </c>
      <c r="AP22" s="255">
        <f t="shared" si="15"/>
        <v>0</v>
      </c>
      <c r="AQ22" s="255" t="str">
        <f t="shared" si="16"/>
        <v/>
      </c>
      <c r="AR22" s="254">
        <f>LET(avgoFMV, Reference!$B$18*AE22, vmwBasis, Z22*D22, AP22 - IF(W22&lt;AF22,avgoFmv,vmwBasis))</f>
        <v>0</v>
      </c>
      <c r="AS22" s="365">
        <f t="shared" si="17"/>
        <v>0</v>
      </c>
      <c r="AT22" s="363" t="str">
        <f t="shared" si="18"/>
        <v>n/a</v>
      </c>
      <c r="AU22" s="247">
        <f>iferror((Reference!$B$10-AT22)*(AE22 - AG22), 0)</f>
        <v>0</v>
      </c>
      <c r="AV22" s="247">
        <f>IF(DATEDIF(C22,Reference!$B$29,"Y")&gt;=1,0,AU22)</f>
        <v>0</v>
      </c>
      <c r="AW22" s="250">
        <f>IF(DATEDIF(C22,Reference!$B$29,"Y")&gt;=1,AU22,0)</f>
        <v>0</v>
      </c>
    </row>
    <row r="23">
      <c r="A23" s="351" t="s">
        <v>196</v>
      </c>
      <c r="B23" s="352">
        <v>42342.0</v>
      </c>
      <c r="C23" s="221">
        <v>42887.0</v>
      </c>
      <c r="D23" s="222"/>
      <c r="E23" s="353">
        <v>97.4</v>
      </c>
      <c r="F23" s="354"/>
      <c r="G23" s="225">
        <f t="shared" si="7"/>
        <v>0</v>
      </c>
      <c r="H23" s="236">
        <f t="shared" si="8"/>
        <v>0</v>
      </c>
      <c r="I23" s="355"/>
      <c r="J23" s="259" t="b">
        <v>0</v>
      </c>
      <c r="K23" s="356"/>
      <c r="L23" s="230">
        <v>0.0</v>
      </c>
      <c r="M23" s="230">
        <v>0.0</v>
      </c>
      <c r="N23" s="230">
        <v>0.0</v>
      </c>
      <c r="O23" s="230">
        <v>0.0</v>
      </c>
      <c r="P23" s="230">
        <v>0.0</v>
      </c>
      <c r="Q23" s="232">
        <f t="shared" si="9"/>
        <v>0</v>
      </c>
      <c r="R23" s="232">
        <f>SWITCH(S23,"cash",Reference!E$5,"shares",Reference!$E$6,"balance",Reference!$E$7)</f>
        <v>0</v>
      </c>
      <c r="S23" s="233" t="s">
        <v>178</v>
      </c>
      <c r="T23" s="234">
        <f>LET(ratio,Reference!$B$4, ratio*Reference!$B$3*D23)</f>
        <v>0</v>
      </c>
      <c r="U23" s="234">
        <f>iferror(LET(ratio, Q23,(1-ratio) * Reference!$B$3 * $D23),0)</f>
        <v>0</v>
      </c>
      <c r="V23" s="234">
        <f>iferror(LET(ratio, R23,(1-ratio) * Reference!$B$3 * $D23),0)</f>
        <v>0</v>
      </c>
      <c r="W23" s="234">
        <f>SWITCH(Reference!$E$4,"eTradeTransactionLog", T23, "eTradeHoldingRatio",T23, "eTradeLotQtyRatio",U23,"manualLotRatio",V23)</f>
        <v>0</v>
      </c>
      <c r="X23" s="225">
        <f>IF(C23&lt;Reference!$B$26,Reference!$C$26,0)</f>
        <v>10.18</v>
      </c>
      <c r="Y23" s="225">
        <f>IF(C23&lt;Reference!$B$27,Reference!$C$27,0)</f>
        <v>16.87</v>
      </c>
      <c r="Z23" s="225">
        <f t="shared" si="10"/>
        <v>70.35</v>
      </c>
      <c r="AA23" s="357">
        <f t="shared" si="11"/>
        <v>0</v>
      </c>
      <c r="AB23" s="235">
        <f>$D23*Reference!$B$5*Reference!$B$6</f>
        <v>0</v>
      </c>
      <c r="AC23" s="235">
        <f>$D23*Q23*Reference!$B$6</f>
        <v>0</v>
      </c>
      <c r="AD23" s="235">
        <f>$D23*R23*Reference!$B$6</f>
        <v>0</v>
      </c>
      <c r="AE23" s="235">
        <f>SWITCH(Reference!$E$4, "eTradeTransactionLog", AB23, "eTradeHoldingRatio",AB23, "eTradeLotQtyRatio",AC23,"manualLotRatio",AD23)</f>
        <v>0</v>
      </c>
      <c r="AF23" s="236">
        <f>MAX(W23+(AE23*Reference!$B$18)-AA23,0)</f>
        <v>0</v>
      </c>
      <c r="AG23" s="237">
        <f>IF(J23,Summary!$C$41/ (J$86+ESPP!$N$28), 0)</f>
        <v>0</v>
      </c>
      <c r="AH23" s="358">
        <f>IF(J23,(Reference!$B$23 - AT23) * AG23, 0)</f>
        <v>0</v>
      </c>
      <c r="AI23" s="359">
        <f t="shared" si="12"/>
        <v>0</v>
      </c>
      <c r="AJ23" s="360">
        <f>IF(DATEDIF(C23,Reference!$B$28,"Y")&gt;=1,0,AI23+AH23)</f>
        <v>0</v>
      </c>
      <c r="AK23" s="360">
        <f>IF(DATEDIF(C23,Reference!$B$28,"Y")&gt;=1,AI23+AH23,0)</f>
        <v>0</v>
      </c>
      <c r="AL23" s="364" t="str">
        <f>IF(DATEDIF(C23,Reference!$B$28,"Y")&gt;=1,"Part II Box E","Part I Box B")</f>
        <v>Part II Box E</v>
      </c>
      <c r="AM23" s="253">
        <f t="shared" si="13"/>
        <v>42887</v>
      </c>
      <c r="AN23" s="254">
        <f t="shared" si="14"/>
        <v>0</v>
      </c>
      <c r="AO23" s="254">
        <f>SWITCH(Reference!$E$9, "combined", W23+(AE23*Reference!$B$18), "cashOnly", W23)</f>
        <v>0</v>
      </c>
      <c r="AP23" s="255">
        <f t="shared" si="15"/>
        <v>0</v>
      </c>
      <c r="AQ23" s="255" t="str">
        <f t="shared" si="16"/>
        <v/>
      </c>
      <c r="AR23" s="254">
        <f>LET(avgoFMV, Reference!$B$18*AE23, vmwBasis, Z23*D23, AP23 - IF(W23&lt;AF23,avgoFmv,vmwBasis))</f>
        <v>0</v>
      </c>
      <c r="AS23" s="365">
        <f t="shared" si="17"/>
        <v>0</v>
      </c>
      <c r="AT23" s="363" t="str">
        <f t="shared" si="18"/>
        <v>n/a</v>
      </c>
      <c r="AU23" s="247">
        <f>iferror((Reference!$B$10-AT23)*(AE23 - AG23), 0)</f>
        <v>0</v>
      </c>
      <c r="AV23" s="247">
        <f>IF(DATEDIF(C23,Reference!$B$29,"Y")&gt;=1,0,AU23)</f>
        <v>0</v>
      </c>
      <c r="AW23" s="250">
        <f>IF(DATEDIF(C23,Reference!$B$29,"Y")&gt;=1,AU23,0)</f>
        <v>0</v>
      </c>
    </row>
    <row r="24">
      <c r="A24" s="351" t="s">
        <v>194</v>
      </c>
      <c r="B24" s="352">
        <v>41803.0</v>
      </c>
      <c r="C24" s="221">
        <v>43040.0</v>
      </c>
      <c r="D24" s="222"/>
      <c r="E24" s="353">
        <v>119.12</v>
      </c>
      <c r="F24" s="354"/>
      <c r="G24" s="225">
        <f t="shared" si="7"/>
        <v>0</v>
      </c>
      <c r="H24" s="236">
        <f t="shared" si="8"/>
        <v>0</v>
      </c>
      <c r="I24" s="355"/>
      <c r="J24" s="259" t="b">
        <v>0</v>
      </c>
      <c r="K24" s="356"/>
      <c r="L24" s="230">
        <v>0.0</v>
      </c>
      <c r="M24" s="230">
        <v>0.0</v>
      </c>
      <c r="N24" s="230">
        <v>0.0</v>
      </c>
      <c r="O24" s="230">
        <v>0.0</v>
      </c>
      <c r="P24" s="230">
        <v>0.0</v>
      </c>
      <c r="Q24" s="232">
        <f t="shared" si="9"/>
        <v>0</v>
      </c>
      <c r="R24" s="232">
        <f>SWITCH(S24,"cash",Reference!E$5,"shares",Reference!$E$6,"balance",Reference!$E$7)</f>
        <v>0</v>
      </c>
      <c r="S24" s="233" t="s">
        <v>178</v>
      </c>
      <c r="T24" s="234">
        <f>LET(ratio,Reference!$B$4, ratio*Reference!$B$3*D24)</f>
        <v>0</v>
      </c>
      <c r="U24" s="234">
        <f>iferror(LET(ratio, Q24,(1-ratio) * Reference!$B$3 * $D24),0)</f>
        <v>0</v>
      </c>
      <c r="V24" s="234">
        <f>iferror(LET(ratio, R24,(1-ratio) * Reference!$B$3 * $D24),0)</f>
        <v>0</v>
      </c>
      <c r="W24" s="234">
        <f>SWITCH(Reference!$E$4,"eTradeTransactionLog", T24, "eTradeHoldingRatio",T24, "eTradeLotQtyRatio",U24,"manualLotRatio",V24)</f>
        <v>0</v>
      </c>
      <c r="X24" s="225">
        <f>IF(C24&lt;Reference!$B$26,Reference!$C$26,0)</f>
        <v>10.18</v>
      </c>
      <c r="Y24" s="225">
        <f>IF(C24&lt;Reference!$B$27,Reference!$C$27,0)</f>
        <v>16.87</v>
      </c>
      <c r="Z24" s="225">
        <f t="shared" si="10"/>
        <v>92.07</v>
      </c>
      <c r="AA24" s="357">
        <f t="shared" si="11"/>
        <v>0</v>
      </c>
      <c r="AB24" s="235">
        <f>$D24*Reference!$B$5*Reference!$B$6</f>
        <v>0</v>
      </c>
      <c r="AC24" s="235">
        <f>$D24*Q24*Reference!$B$6</f>
        <v>0</v>
      </c>
      <c r="AD24" s="235">
        <f>$D24*R24*Reference!$B$6</f>
        <v>0</v>
      </c>
      <c r="AE24" s="235">
        <f>SWITCH(Reference!$E$4, "eTradeTransactionLog", AB24, "eTradeHoldingRatio",AB24, "eTradeLotQtyRatio",AC24,"manualLotRatio",AD24)</f>
        <v>0</v>
      </c>
      <c r="AF24" s="236">
        <f>MAX(W24+(AE24*Reference!$B$18)-AA24,0)</f>
        <v>0</v>
      </c>
      <c r="AG24" s="237">
        <f>IF(J24,Summary!$C$41/ (J$86+ESPP!$N$28), 0)</f>
        <v>0</v>
      </c>
      <c r="AH24" s="358">
        <f>IF(J24,(Reference!$B$23 - AT24) * AG24, 0)</f>
        <v>0</v>
      </c>
      <c r="AI24" s="359">
        <f t="shared" si="12"/>
        <v>0</v>
      </c>
      <c r="AJ24" s="360">
        <f>IF(DATEDIF(C24,Reference!$B$28,"Y")&gt;=1,0,AI24+AH24)</f>
        <v>0</v>
      </c>
      <c r="AK24" s="360">
        <f>IF(DATEDIF(C24,Reference!$B$28,"Y")&gt;=1,AI24+AH24,0)</f>
        <v>0</v>
      </c>
      <c r="AL24" s="364" t="str">
        <f>IF(DATEDIF(C24,Reference!$B$28,"Y")&gt;=1,"Part II Box E","Part I Box B")</f>
        <v>Part II Box E</v>
      </c>
      <c r="AM24" s="253">
        <f t="shared" si="13"/>
        <v>43040</v>
      </c>
      <c r="AN24" s="254">
        <f t="shared" si="14"/>
        <v>0</v>
      </c>
      <c r="AO24" s="254">
        <f>SWITCH(Reference!$E$9, "combined", W24+(AE24*Reference!$B$18), "cashOnly", W24)</f>
        <v>0</v>
      </c>
      <c r="AP24" s="255">
        <f t="shared" si="15"/>
        <v>0</v>
      </c>
      <c r="AQ24" s="255" t="str">
        <f t="shared" si="16"/>
        <v/>
      </c>
      <c r="AR24" s="254">
        <f>LET(avgoFMV, Reference!$B$18*AE24, vmwBasis, Z24*D24, AP24 - IF(W24&lt;AF24,avgoFmv,vmwBasis))</f>
        <v>0</v>
      </c>
      <c r="AS24" s="365">
        <f t="shared" si="17"/>
        <v>0</v>
      </c>
      <c r="AT24" s="363" t="str">
        <f t="shared" si="18"/>
        <v>n/a</v>
      </c>
      <c r="AU24" s="247">
        <f>iferror((Reference!$B$10-AT24)*(AE24 - AG24), 0)</f>
        <v>0</v>
      </c>
      <c r="AV24" s="247">
        <f>IF(DATEDIF(C24,Reference!$B$29,"Y")&gt;=1,0,AU24)</f>
        <v>0</v>
      </c>
      <c r="AW24" s="250">
        <f>IF(DATEDIF(C24,Reference!$B$29,"Y")&gt;=1,AU24,0)</f>
        <v>0</v>
      </c>
    </row>
    <row r="25">
      <c r="A25" s="351" t="s">
        <v>195</v>
      </c>
      <c r="B25" s="352">
        <v>42170.0</v>
      </c>
      <c r="C25" s="221">
        <v>43040.0</v>
      </c>
      <c r="D25" s="222"/>
      <c r="E25" s="353">
        <v>119.12</v>
      </c>
      <c r="F25" s="354"/>
      <c r="G25" s="225">
        <f t="shared" si="7"/>
        <v>0</v>
      </c>
      <c r="H25" s="236">
        <f t="shared" si="8"/>
        <v>0</v>
      </c>
      <c r="I25" s="367"/>
      <c r="J25" s="259" t="b">
        <v>0</v>
      </c>
      <c r="K25" s="356"/>
      <c r="L25" s="230">
        <v>0.0</v>
      </c>
      <c r="M25" s="230">
        <v>0.0</v>
      </c>
      <c r="N25" s="230">
        <v>0.0</v>
      </c>
      <c r="O25" s="230">
        <v>0.0</v>
      </c>
      <c r="P25" s="230">
        <v>0.0</v>
      </c>
      <c r="Q25" s="232">
        <f t="shared" si="9"/>
        <v>0</v>
      </c>
      <c r="R25" s="232">
        <f>SWITCH(S25,"cash",Reference!E$5,"shares",Reference!$E$6,"balance",Reference!$E$7)</f>
        <v>0</v>
      </c>
      <c r="S25" s="233" t="s">
        <v>178</v>
      </c>
      <c r="T25" s="234">
        <f>LET(ratio,Reference!$B$4, ratio*Reference!$B$3*D25)</f>
        <v>0</v>
      </c>
      <c r="U25" s="234">
        <f>iferror(LET(ratio, Q25,(1-ratio) * Reference!$B$3 * $D25),0)</f>
        <v>0</v>
      </c>
      <c r="V25" s="234">
        <f>iferror(LET(ratio, R25,(1-ratio) * Reference!$B$3 * $D25),0)</f>
        <v>0</v>
      </c>
      <c r="W25" s="234">
        <f>SWITCH(Reference!$E$4,"eTradeTransactionLog", T25, "eTradeHoldingRatio",T25, "eTradeLotQtyRatio",U25,"manualLotRatio",V25)</f>
        <v>0</v>
      </c>
      <c r="X25" s="225">
        <f>IF(C25&lt;Reference!$B$26,Reference!$C$26,0)</f>
        <v>10.18</v>
      </c>
      <c r="Y25" s="225">
        <f>IF(C25&lt;Reference!$B$27,Reference!$C$27,0)</f>
        <v>16.87</v>
      </c>
      <c r="Z25" s="225">
        <f t="shared" si="10"/>
        <v>92.07</v>
      </c>
      <c r="AA25" s="357">
        <f t="shared" si="11"/>
        <v>0</v>
      </c>
      <c r="AB25" s="235">
        <f>$D25*Reference!$B$5*Reference!$B$6</f>
        <v>0</v>
      </c>
      <c r="AC25" s="235">
        <f>$D25*Q25*Reference!$B$6</f>
        <v>0</v>
      </c>
      <c r="AD25" s="235">
        <f>$D25*R25*Reference!$B$6</f>
        <v>0</v>
      </c>
      <c r="AE25" s="235">
        <f>SWITCH(Reference!$E$4, "eTradeTransactionLog", AB25, "eTradeHoldingRatio",AB25, "eTradeLotQtyRatio",AC25,"manualLotRatio",AD25)</f>
        <v>0</v>
      </c>
      <c r="AF25" s="236">
        <f>MAX(W25+(AE25*Reference!$B$18)-AA25,0)</f>
        <v>0</v>
      </c>
      <c r="AG25" s="237">
        <f>IF(J25,Summary!$C$41/ (J$86+ESPP!$N$28), 0)</f>
        <v>0</v>
      </c>
      <c r="AH25" s="358">
        <f>IF(J25,(Reference!$B$23 - AT25) * AG25, 0)</f>
        <v>0</v>
      </c>
      <c r="AI25" s="359">
        <f t="shared" si="12"/>
        <v>0</v>
      </c>
      <c r="AJ25" s="360">
        <f>IF(DATEDIF(C25,Reference!$B$28,"Y")&gt;=1,0,AI25+AH25)</f>
        <v>0</v>
      </c>
      <c r="AK25" s="360">
        <f>IF(DATEDIF(C25,Reference!$B$28,"Y")&gt;=1,AI25+AH25,0)</f>
        <v>0</v>
      </c>
      <c r="AL25" s="364" t="str">
        <f>IF(DATEDIF(C25,Reference!$B$28,"Y")&gt;=1,"Part II Box E","Part I Box B")</f>
        <v>Part II Box E</v>
      </c>
      <c r="AM25" s="253">
        <f t="shared" si="13"/>
        <v>43040</v>
      </c>
      <c r="AN25" s="254">
        <f t="shared" si="14"/>
        <v>0</v>
      </c>
      <c r="AO25" s="254">
        <f>SWITCH(Reference!$E$9, "combined", W25+(AE25*Reference!$B$18), "cashOnly", W25)</f>
        <v>0</v>
      </c>
      <c r="AP25" s="255">
        <f t="shared" si="15"/>
        <v>0</v>
      </c>
      <c r="AQ25" s="255" t="str">
        <f t="shared" si="16"/>
        <v/>
      </c>
      <c r="AR25" s="254">
        <f>LET(avgoFMV, Reference!$B$18*AE25, vmwBasis, Z25*D25, AP25 - IF(W25&lt;AF25,avgoFmv,vmwBasis))</f>
        <v>0</v>
      </c>
      <c r="AS25" s="365">
        <f t="shared" si="17"/>
        <v>0</v>
      </c>
      <c r="AT25" s="363" t="str">
        <f t="shared" si="18"/>
        <v>n/a</v>
      </c>
      <c r="AU25" s="247">
        <f>iferror((Reference!$B$10-AT25)*(AE25 - AG25), 0)</f>
        <v>0</v>
      </c>
      <c r="AV25" s="247">
        <f>IF(DATEDIF(C25,Reference!$B$29,"Y")&gt;=1,0,AU25)</f>
        <v>0</v>
      </c>
      <c r="AW25" s="250">
        <f>IF(DATEDIF(C25,Reference!$B$29,"Y")&gt;=1,AU25,0)</f>
        <v>0</v>
      </c>
    </row>
    <row r="26">
      <c r="A26" s="351" t="s">
        <v>197</v>
      </c>
      <c r="B26" s="352">
        <v>42489.0</v>
      </c>
      <c r="C26" s="221">
        <v>43040.0</v>
      </c>
      <c r="D26" s="222"/>
      <c r="E26" s="353">
        <v>119.12</v>
      </c>
      <c r="F26" s="354"/>
      <c r="G26" s="225">
        <f t="shared" si="7"/>
        <v>0</v>
      </c>
      <c r="H26" s="236">
        <f t="shared" si="8"/>
        <v>0</v>
      </c>
      <c r="I26" s="355"/>
      <c r="J26" s="259" t="b">
        <v>0</v>
      </c>
      <c r="K26" s="356"/>
      <c r="L26" s="230">
        <v>0.0</v>
      </c>
      <c r="M26" s="230">
        <v>0.0</v>
      </c>
      <c r="N26" s="230">
        <v>0.0</v>
      </c>
      <c r="O26" s="230">
        <v>0.0</v>
      </c>
      <c r="P26" s="230">
        <v>0.0</v>
      </c>
      <c r="Q26" s="232">
        <f t="shared" si="9"/>
        <v>0</v>
      </c>
      <c r="R26" s="232">
        <f>SWITCH(S26,"cash",Reference!E$5,"shares",Reference!$E$6,"balance",Reference!$E$7)</f>
        <v>0</v>
      </c>
      <c r="S26" s="233" t="s">
        <v>178</v>
      </c>
      <c r="T26" s="234">
        <f>LET(ratio,Reference!$B$4, ratio*Reference!$B$3*D26)</f>
        <v>0</v>
      </c>
      <c r="U26" s="234">
        <f>iferror(LET(ratio, Q26,(1-ratio) * Reference!$B$3 * $D26),0)</f>
        <v>0</v>
      </c>
      <c r="V26" s="234">
        <f>iferror(LET(ratio, R26,(1-ratio) * Reference!$B$3 * $D26),0)</f>
        <v>0</v>
      </c>
      <c r="W26" s="234">
        <f>SWITCH(Reference!$E$4,"eTradeTransactionLog", T26, "eTradeHoldingRatio",T26, "eTradeLotQtyRatio",U26,"manualLotRatio",V26)</f>
        <v>0</v>
      </c>
      <c r="X26" s="225">
        <f>IF(C26&lt;Reference!$B$26,Reference!$C$26,0)</f>
        <v>10.18</v>
      </c>
      <c r="Y26" s="225">
        <f>IF(C26&lt;Reference!$B$27,Reference!$C$27,0)</f>
        <v>16.87</v>
      </c>
      <c r="Z26" s="225">
        <f t="shared" si="10"/>
        <v>92.07</v>
      </c>
      <c r="AA26" s="357">
        <f t="shared" si="11"/>
        <v>0</v>
      </c>
      <c r="AB26" s="235">
        <f>$D26*Reference!$B$5*Reference!$B$6</f>
        <v>0</v>
      </c>
      <c r="AC26" s="235">
        <f>$D26*Q26*Reference!$B$6</f>
        <v>0</v>
      </c>
      <c r="AD26" s="235">
        <f>$D26*R26*Reference!$B$6</f>
        <v>0</v>
      </c>
      <c r="AE26" s="235">
        <f>SWITCH(Reference!$E$4, "eTradeTransactionLog", AB26, "eTradeHoldingRatio",AB26, "eTradeLotQtyRatio",AC26,"manualLotRatio",AD26)</f>
        <v>0</v>
      </c>
      <c r="AF26" s="236">
        <f>MAX(W26+(AE26*Reference!$B$18)-AA26,0)</f>
        <v>0</v>
      </c>
      <c r="AG26" s="237">
        <f>IF(J26,Summary!$C$41/ (J$86+ESPP!$N$28), 0)</f>
        <v>0</v>
      </c>
      <c r="AH26" s="358">
        <f>IF(J26,(Reference!$B$23 - AT26) * AG26, 0)</f>
        <v>0</v>
      </c>
      <c r="AI26" s="359">
        <f t="shared" si="12"/>
        <v>0</v>
      </c>
      <c r="AJ26" s="360">
        <f>IF(DATEDIF(C26,Reference!$B$28,"Y")&gt;=1,0,AI26+AH26)</f>
        <v>0</v>
      </c>
      <c r="AK26" s="360">
        <f>IF(DATEDIF(C26,Reference!$B$28,"Y")&gt;=1,AI26+AH26,0)</f>
        <v>0</v>
      </c>
      <c r="AL26" s="364" t="str">
        <f>IF(DATEDIF(C26,Reference!$B$28,"Y")&gt;=1,"Part II Box E","Part I Box B")</f>
        <v>Part II Box E</v>
      </c>
      <c r="AM26" s="253">
        <f t="shared" si="13"/>
        <v>43040</v>
      </c>
      <c r="AN26" s="254">
        <f t="shared" si="14"/>
        <v>0</v>
      </c>
      <c r="AO26" s="254">
        <f>SWITCH(Reference!$E$9, "combined", W26+(AE26*Reference!$B$18), "cashOnly", W26)</f>
        <v>0</v>
      </c>
      <c r="AP26" s="255">
        <f t="shared" si="15"/>
        <v>0</v>
      </c>
      <c r="AQ26" s="255" t="str">
        <f t="shared" si="16"/>
        <v/>
      </c>
      <c r="AR26" s="254">
        <f>LET(avgoFMV, Reference!$B$18*AE26, vmwBasis, Z26*D26, AP26 - IF(W26&lt;AF26,avgoFmv,vmwBasis))</f>
        <v>0</v>
      </c>
      <c r="AS26" s="365">
        <f t="shared" si="17"/>
        <v>0</v>
      </c>
      <c r="AT26" s="363" t="str">
        <f t="shared" si="18"/>
        <v>n/a</v>
      </c>
      <c r="AU26" s="247">
        <f>iferror((Reference!$B$10-AT26)*(AE26 - AG26), 0)</f>
        <v>0</v>
      </c>
      <c r="AV26" s="247">
        <f>IF(DATEDIF(C26,Reference!$B$29,"Y")&gt;=1,0,AU26)</f>
        <v>0</v>
      </c>
      <c r="AW26" s="250">
        <f>IF(DATEDIF(C26,Reference!$B$29,"Y")&gt;=1,AU26,0)</f>
        <v>0</v>
      </c>
    </row>
    <row r="27">
      <c r="A27" s="351" t="s">
        <v>196</v>
      </c>
      <c r="B27" s="352">
        <v>42342.0</v>
      </c>
      <c r="C27" s="221">
        <v>43070.0</v>
      </c>
      <c r="D27" s="222"/>
      <c r="E27" s="353">
        <v>124.44</v>
      </c>
      <c r="F27" s="354"/>
      <c r="G27" s="225">
        <f t="shared" si="7"/>
        <v>0</v>
      </c>
      <c r="H27" s="236">
        <f t="shared" si="8"/>
        <v>0</v>
      </c>
      <c r="I27" s="355"/>
      <c r="J27" s="259" t="b">
        <v>0</v>
      </c>
      <c r="K27" s="356"/>
      <c r="L27" s="230">
        <v>0.0</v>
      </c>
      <c r="M27" s="230">
        <v>0.0</v>
      </c>
      <c r="N27" s="230">
        <v>0.0</v>
      </c>
      <c r="O27" s="230">
        <v>0.0</v>
      </c>
      <c r="P27" s="230">
        <v>0.0</v>
      </c>
      <c r="Q27" s="232">
        <f t="shared" si="9"/>
        <v>0</v>
      </c>
      <c r="R27" s="232">
        <f>SWITCH(S27,"cash",Reference!E$5,"shares",Reference!$E$6,"balance",Reference!$E$7)</f>
        <v>0</v>
      </c>
      <c r="S27" s="233" t="s">
        <v>178</v>
      </c>
      <c r="T27" s="234">
        <f>LET(ratio,Reference!$B$4, ratio*Reference!$B$3*D27)</f>
        <v>0</v>
      </c>
      <c r="U27" s="234">
        <f>iferror(LET(ratio, Q27,(1-ratio) * Reference!$B$3 * $D27),0)</f>
        <v>0</v>
      </c>
      <c r="V27" s="234">
        <f>iferror(LET(ratio, R27,(1-ratio) * Reference!$B$3 * $D27),0)</f>
        <v>0</v>
      </c>
      <c r="W27" s="234">
        <f>SWITCH(Reference!$E$4,"eTradeTransactionLog", T27, "eTradeHoldingRatio",T27, "eTradeLotQtyRatio",U27,"manualLotRatio",V27)</f>
        <v>0</v>
      </c>
      <c r="X27" s="225">
        <f>IF(C27&lt;Reference!$B$26,Reference!$C$26,0)</f>
        <v>10.18</v>
      </c>
      <c r="Y27" s="225">
        <f>IF(C27&lt;Reference!$B$27,Reference!$C$27,0)</f>
        <v>16.87</v>
      </c>
      <c r="Z27" s="225">
        <f t="shared" si="10"/>
        <v>97.39</v>
      </c>
      <c r="AA27" s="357">
        <f t="shared" si="11"/>
        <v>0</v>
      </c>
      <c r="AB27" s="235">
        <f>$D27*Reference!$B$5*Reference!$B$6</f>
        <v>0</v>
      </c>
      <c r="AC27" s="235">
        <f>$D27*Q27*Reference!$B$6</f>
        <v>0</v>
      </c>
      <c r="AD27" s="235">
        <f>$D27*R27*Reference!$B$6</f>
        <v>0</v>
      </c>
      <c r="AE27" s="235">
        <f>SWITCH(Reference!$E$4, "eTradeTransactionLog", AB27, "eTradeHoldingRatio",AB27, "eTradeLotQtyRatio",AC27,"manualLotRatio",AD27)</f>
        <v>0</v>
      </c>
      <c r="AF27" s="236">
        <f>MAX(W27+(AE27*Reference!$B$18)-AA27,0)</f>
        <v>0</v>
      </c>
      <c r="AG27" s="237">
        <f>IF(J27,Summary!$C$41/ (J$86+ESPP!$N$28), 0)</f>
        <v>0</v>
      </c>
      <c r="AH27" s="358">
        <f>IF(J27,(Reference!$B$23 - AT27) * AG27, 0)</f>
        <v>0</v>
      </c>
      <c r="AI27" s="359">
        <f t="shared" si="12"/>
        <v>0</v>
      </c>
      <c r="AJ27" s="360">
        <f>IF(DATEDIF(C27,Reference!$B$28,"Y")&gt;=1,0,AI27+AH27)</f>
        <v>0</v>
      </c>
      <c r="AK27" s="360">
        <f>IF(DATEDIF(C27,Reference!$B$28,"Y")&gt;=1,AI27+AH27,0)</f>
        <v>0</v>
      </c>
      <c r="AL27" s="364" t="str">
        <f>IF(DATEDIF(C27,Reference!$B$28,"Y")&gt;=1,"Part II Box E","Part I Box B")</f>
        <v>Part II Box E</v>
      </c>
      <c r="AM27" s="253">
        <f t="shared" si="13"/>
        <v>43070</v>
      </c>
      <c r="AN27" s="254">
        <f t="shared" si="14"/>
        <v>0</v>
      </c>
      <c r="AO27" s="254">
        <f>SWITCH(Reference!$E$9, "combined", W27+(AE27*Reference!$B$18), "cashOnly", W27)</f>
        <v>0</v>
      </c>
      <c r="AP27" s="255">
        <f t="shared" si="15"/>
        <v>0</v>
      </c>
      <c r="AQ27" s="255" t="str">
        <f t="shared" si="16"/>
        <v/>
      </c>
      <c r="AR27" s="254">
        <f>LET(avgoFMV, Reference!$B$18*AE27, vmwBasis, Z27*D27, AP27 - IF(W27&lt;AF27,avgoFmv,vmwBasis))</f>
        <v>0</v>
      </c>
      <c r="AS27" s="365">
        <f t="shared" si="17"/>
        <v>0</v>
      </c>
      <c r="AT27" s="363" t="str">
        <f t="shared" si="18"/>
        <v>n/a</v>
      </c>
      <c r="AU27" s="247">
        <f>iferror((Reference!$B$10-AT27)*(AE27 - AG27), 0)</f>
        <v>0</v>
      </c>
      <c r="AV27" s="247">
        <f>IF(DATEDIF(C27,Reference!$B$29,"Y")&gt;=1,0,AU27)</f>
        <v>0</v>
      </c>
      <c r="AW27" s="250">
        <f>IF(DATEDIF(C27,Reference!$B$29,"Y")&gt;=1,AU27,0)</f>
        <v>0</v>
      </c>
    </row>
    <row r="28">
      <c r="A28" s="351" t="s">
        <v>194</v>
      </c>
      <c r="B28" s="352">
        <v>41803.0</v>
      </c>
      <c r="C28" s="221">
        <v>43221.0</v>
      </c>
      <c r="D28" s="222"/>
      <c r="E28" s="353">
        <v>133.22</v>
      </c>
      <c r="F28" s="354"/>
      <c r="G28" s="225">
        <f t="shared" si="7"/>
        <v>0</v>
      </c>
      <c r="H28" s="236">
        <f t="shared" si="8"/>
        <v>0</v>
      </c>
      <c r="I28" s="367"/>
      <c r="J28" s="259" t="b">
        <v>0</v>
      </c>
      <c r="K28" s="356"/>
      <c r="L28" s="230">
        <v>0.0</v>
      </c>
      <c r="M28" s="230">
        <v>0.0</v>
      </c>
      <c r="N28" s="230">
        <v>0.0</v>
      </c>
      <c r="O28" s="230">
        <v>0.0</v>
      </c>
      <c r="P28" s="230">
        <v>0.0</v>
      </c>
      <c r="Q28" s="232">
        <f t="shared" si="9"/>
        <v>0</v>
      </c>
      <c r="R28" s="232">
        <f>SWITCH(S28,"cash",Reference!E$5,"shares",Reference!$E$6,"balance",Reference!$E$7)</f>
        <v>0</v>
      </c>
      <c r="S28" s="233" t="s">
        <v>178</v>
      </c>
      <c r="T28" s="234">
        <f>LET(ratio,Reference!$B$4, ratio*Reference!$B$3*D28)</f>
        <v>0</v>
      </c>
      <c r="U28" s="234">
        <f>iferror(LET(ratio, Q28,(1-ratio) * Reference!$B$3 * $D28),0)</f>
        <v>0</v>
      </c>
      <c r="V28" s="234">
        <f>iferror(LET(ratio, R28,(1-ratio) * Reference!$B$3 * $D28),0)</f>
        <v>0</v>
      </c>
      <c r="W28" s="234">
        <f>SWITCH(Reference!$E$4,"eTradeTransactionLog", T28, "eTradeHoldingRatio",T28, "eTradeLotQtyRatio",U28,"manualLotRatio",V28)</f>
        <v>0</v>
      </c>
      <c r="X28" s="225">
        <f>IF(C28&lt;Reference!$B$26,Reference!$C$26,0)</f>
        <v>10.18</v>
      </c>
      <c r="Y28" s="225">
        <f>IF(C28&lt;Reference!$B$27,Reference!$C$27,0)</f>
        <v>16.87</v>
      </c>
      <c r="Z28" s="225">
        <f t="shared" si="10"/>
        <v>106.17</v>
      </c>
      <c r="AA28" s="357">
        <f t="shared" si="11"/>
        <v>0</v>
      </c>
      <c r="AB28" s="235">
        <f>$D28*Reference!$B$5*Reference!$B$6</f>
        <v>0</v>
      </c>
      <c r="AC28" s="235">
        <f>$D28*Q28*Reference!$B$6</f>
        <v>0</v>
      </c>
      <c r="AD28" s="235">
        <f>$D28*R28*Reference!$B$6</f>
        <v>0</v>
      </c>
      <c r="AE28" s="235">
        <f>SWITCH(Reference!$E$4, "eTradeTransactionLog", AB28, "eTradeHoldingRatio",AB28, "eTradeLotQtyRatio",AC28,"manualLotRatio",AD28)</f>
        <v>0</v>
      </c>
      <c r="AF28" s="236">
        <f>MAX(W28+(AE28*Reference!$B$18)-AA28,0)</f>
        <v>0</v>
      </c>
      <c r="AG28" s="237">
        <f>IF(J28,Summary!$C$41/ (J$86+ESPP!$N$28), 0)</f>
        <v>0</v>
      </c>
      <c r="AH28" s="358">
        <f>IF(J28,(Reference!$B$23 - AT28) * AG28, 0)</f>
        <v>0</v>
      </c>
      <c r="AI28" s="359">
        <f t="shared" si="12"/>
        <v>0</v>
      </c>
      <c r="AJ28" s="360">
        <f>IF(DATEDIF(C28,Reference!$B$28,"Y")&gt;=1,0,AI28+AH28)</f>
        <v>0</v>
      </c>
      <c r="AK28" s="360">
        <f>IF(DATEDIF(C28,Reference!$B$28,"Y")&gt;=1,AI28+AH28,0)</f>
        <v>0</v>
      </c>
      <c r="AL28" s="364" t="str">
        <f>IF(DATEDIF(C28,Reference!$B$28,"Y")&gt;=1,"Part II Box E","Part I Box B")</f>
        <v>Part II Box E</v>
      </c>
      <c r="AM28" s="253">
        <f t="shared" si="13"/>
        <v>43221</v>
      </c>
      <c r="AN28" s="254">
        <f t="shared" si="14"/>
        <v>0</v>
      </c>
      <c r="AO28" s="254">
        <f>SWITCH(Reference!$E$9, "combined", W28+(AE28*Reference!$B$18), "cashOnly", W28)</f>
        <v>0</v>
      </c>
      <c r="AP28" s="255">
        <f t="shared" si="15"/>
        <v>0</v>
      </c>
      <c r="AQ28" s="255" t="str">
        <f t="shared" si="16"/>
        <v/>
      </c>
      <c r="AR28" s="254">
        <f>LET(avgoFMV, Reference!$B$18*AE28, vmwBasis, Z28*D28, AP28 - IF(W28&lt;AF28,avgoFmv,vmwBasis))</f>
        <v>0</v>
      </c>
      <c r="AS28" s="365">
        <f t="shared" si="17"/>
        <v>0</v>
      </c>
      <c r="AT28" s="363" t="str">
        <f t="shared" si="18"/>
        <v>n/a</v>
      </c>
      <c r="AU28" s="247">
        <f>iferror((Reference!$B$10-AT28)*(AE28 - AG28), 0)</f>
        <v>0</v>
      </c>
      <c r="AV28" s="247">
        <f>IF(DATEDIF(C28,Reference!$B$29,"Y")&gt;=1,0,AU28)</f>
        <v>0</v>
      </c>
      <c r="AW28" s="250">
        <f>IF(DATEDIF(C28,Reference!$B$29,"Y")&gt;=1,AU28,0)</f>
        <v>0</v>
      </c>
    </row>
    <row r="29">
      <c r="A29" s="351" t="s">
        <v>195</v>
      </c>
      <c r="B29" s="352">
        <v>42170.0</v>
      </c>
      <c r="C29" s="221">
        <v>43221.0</v>
      </c>
      <c r="D29" s="222"/>
      <c r="E29" s="353">
        <v>133.22</v>
      </c>
      <c r="F29" s="354"/>
      <c r="G29" s="225">
        <f t="shared" si="7"/>
        <v>0</v>
      </c>
      <c r="H29" s="236">
        <f t="shared" si="8"/>
        <v>0</v>
      </c>
      <c r="I29" s="355"/>
      <c r="J29" s="259" t="b">
        <v>0</v>
      </c>
      <c r="K29" s="356"/>
      <c r="L29" s="230">
        <v>0.0</v>
      </c>
      <c r="M29" s="230">
        <v>0.0</v>
      </c>
      <c r="N29" s="230">
        <v>0.0</v>
      </c>
      <c r="O29" s="230">
        <v>0.0</v>
      </c>
      <c r="P29" s="230">
        <v>0.0</v>
      </c>
      <c r="Q29" s="232">
        <f t="shared" si="9"/>
        <v>0</v>
      </c>
      <c r="R29" s="232">
        <f>SWITCH(S29,"cash",Reference!E$5,"shares",Reference!$E$6,"balance",Reference!$E$7)</f>
        <v>0</v>
      </c>
      <c r="S29" s="233" t="s">
        <v>178</v>
      </c>
      <c r="T29" s="234">
        <f>LET(ratio,Reference!$B$4, ratio*Reference!$B$3*D29)</f>
        <v>0</v>
      </c>
      <c r="U29" s="234">
        <f>iferror(LET(ratio, Q29,(1-ratio) * Reference!$B$3 * $D29),0)</f>
        <v>0</v>
      </c>
      <c r="V29" s="234">
        <f>iferror(LET(ratio, R29,(1-ratio) * Reference!$B$3 * $D29),0)</f>
        <v>0</v>
      </c>
      <c r="W29" s="234">
        <f>SWITCH(Reference!$E$4,"eTradeTransactionLog", T29, "eTradeHoldingRatio",T29, "eTradeLotQtyRatio",U29,"manualLotRatio",V29)</f>
        <v>0</v>
      </c>
      <c r="X29" s="225">
        <f>IF(C29&lt;Reference!$B$26,Reference!$C$26,0)</f>
        <v>10.18</v>
      </c>
      <c r="Y29" s="225">
        <f>IF(C29&lt;Reference!$B$27,Reference!$C$27,0)</f>
        <v>16.87</v>
      </c>
      <c r="Z29" s="225">
        <f t="shared" si="10"/>
        <v>106.17</v>
      </c>
      <c r="AA29" s="357">
        <f t="shared" si="11"/>
        <v>0</v>
      </c>
      <c r="AB29" s="235">
        <f>$D29*Reference!$B$5*Reference!$B$6</f>
        <v>0</v>
      </c>
      <c r="AC29" s="235">
        <f>$D29*Q29*Reference!$B$6</f>
        <v>0</v>
      </c>
      <c r="AD29" s="235">
        <f>$D29*R29*Reference!$B$6</f>
        <v>0</v>
      </c>
      <c r="AE29" s="235">
        <f>SWITCH(Reference!$E$4, "eTradeTransactionLog", AB29, "eTradeHoldingRatio",AB29, "eTradeLotQtyRatio",AC29,"manualLotRatio",AD29)</f>
        <v>0</v>
      </c>
      <c r="AF29" s="236">
        <f>MAX(W29+(AE29*Reference!$B$18)-AA29,0)</f>
        <v>0</v>
      </c>
      <c r="AG29" s="237">
        <f>IF(J29,Summary!$C$41/ (J$86+ESPP!$N$28), 0)</f>
        <v>0</v>
      </c>
      <c r="AH29" s="358">
        <f>IF(J29,(Reference!$B$23 - AT29) * AG29, 0)</f>
        <v>0</v>
      </c>
      <c r="AI29" s="359">
        <f t="shared" si="12"/>
        <v>0</v>
      </c>
      <c r="AJ29" s="360">
        <f>IF(DATEDIF(C29,Reference!$B$28,"Y")&gt;=1,0,AI29+AH29)</f>
        <v>0</v>
      </c>
      <c r="AK29" s="360">
        <f>IF(DATEDIF(C29,Reference!$B$28,"Y")&gt;=1,AI29+AH29,0)</f>
        <v>0</v>
      </c>
      <c r="AL29" s="364" t="str">
        <f>IF(DATEDIF(C29,Reference!$B$28,"Y")&gt;=1,"Part II Box E","Part I Box B")</f>
        <v>Part II Box E</v>
      </c>
      <c r="AM29" s="253">
        <f t="shared" si="13"/>
        <v>43221</v>
      </c>
      <c r="AN29" s="254">
        <f t="shared" si="14"/>
        <v>0</v>
      </c>
      <c r="AO29" s="254">
        <f>SWITCH(Reference!$E$9, "combined", W29+(AE29*Reference!$B$18), "cashOnly", W29)</f>
        <v>0</v>
      </c>
      <c r="AP29" s="255">
        <f t="shared" si="15"/>
        <v>0</v>
      </c>
      <c r="AQ29" s="255" t="str">
        <f t="shared" si="16"/>
        <v/>
      </c>
      <c r="AR29" s="254">
        <f>LET(avgoFMV, Reference!$B$18*AE29, vmwBasis, Z29*D29, AP29 - IF(W29&lt;AF29,avgoFmv,vmwBasis))</f>
        <v>0</v>
      </c>
      <c r="AS29" s="365">
        <f t="shared" si="17"/>
        <v>0</v>
      </c>
      <c r="AT29" s="363" t="str">
        <f t="shared" si="18"/>
        <v>n/a</v>
      </c>
      <c r="AU29" s="247">
        <f>iferror((Reference!$B$10-AT29)*(AE29 - AG29), 0)</f>
        <v>0</v>
      </c>
      <c r="AV29" s="247">
        <f>IF(DATEDIF(C29,Reference!$B$29,"Y")&gt;=1,0,AU29)</f>
        <v>0</v>
      </c>
      <c r="AW29" s="250">
        <f>IF(DATEDIF(C29,Reference!$B$29,"Y")&gt;=1,AU29,0)</f>
        <v>0</v>
      </c>
    </row>
    <row r="30">
      <c r="A30" s="351" t="s">
        <v>197</v>
      </c>
      <c r="B30" s="352">
        <v>42489.0</v>
      </c>
      <c r="C30" s="221">
        <v>43221.0</v>
      </c>
      <c r="D30" s="222"/>
      <c r="E30" s="353">
        <v>133.22</v>
      </c>
      <c r="F30" s="354"/>
      <c r="G30" s="225">
        <f t="shared" si="7"/>
        <v>0</v>
      </c>
      <c r="H30" s="236">
        <f t="shared" si="8"/>
        <v>0</v>
      </c>
      <c r="I30" s="367"/>
      <c r="J30" s="259" t="b">
        <v>0</v>
      </c>
      <c r="K30" s="356"/>
      <c r="L30" s="230">
        <v>0.0</v>
      </c>
      <c r="M30" s="230">
        <v>0.0</v>
      </c>
      <c r="N30" s="230">
        <v>0.0</v>
      </c>
      <c r="O30" s="230">
        <v>0.0</v>
      </c>
      <c r="P30" s="230">
        <v>0.0</v>
      </c>
      <c r="Q30" s="232">
        <f t="shared" si="9"/>
        <v>0</v>
      </c>
      <c r="R30" s="232">
        <f>SWITCH(S30,"cash",Reference!E$5,"shares",Reference!$E$6,"balance",Reference!$E$7)</f>
        <v>0</v>
      </c>
      <c r="S30" s="233" t="s">
        <v>178</v>
      </c>
      <c r="T30" s="234">
        <f>LET(ratio,Reference!$B$4, ratio*Reference!$B$3*D30)</f>
        <v>0</v>
      </c>
      <c r="U30" s="234">
        <f>iferror(LET(ratio, Q30,(1-ratio) * Reference!$B$3 * $D30),0)</f>
        <v>0</v>
      </c>
      <c r="V30" s="234">
        <f>iferror(LET(ratio, R30,(1-ratio) * Reference!$B$3 * $D30),0)</f>
        <v>0</v>
      </c>
      <c r="W30" s="234">
        <f>SWITCH(Reference!$E$4,"eTradeTransactionLog", T30, "eTradeHoldingRatio",T30, "eTradeLotQtyRatio",U30,"manualLotRatio",V30)</f>
        <v>0</v>
      </c>
      <c r="X30" s="225">
        <f>IF(C30&lt;Reference!$B$26,Reference!$C$26,0)</f>
        <v>10.18</v>
      </c>
      <c r="Y30" s="225">
        <f>IF(C30&lt;Reference!$B$27,Reference!$C$27,0)</f>
        <v>16.87</v>
      </c>
      <c r="Z30" s="225">
        <f t="shared" si="10"/>
        <v>106.17</v>
      </c>
      <c r="AA30" s="357">
        <f t="shared" si="11"/>
        <v>0</v>
      </c>
      <c r="AB30" s="235">
        <f>$D30*Reference!$B$5*Reference!$B$6</f>
        <v>0</v>
      </c>
      <c r="AC30" s="235">
        <f>$D30*Q30*Reference!$B$6</f>
        <v>0</v>
      </c>
      <c r="AD30" s="235">
        <f>$D30*R30*Reference!$B$6</f>
        <v>0</v>
      </c>
      <c r="AE30" s="235">
        <f>SWITCH(Reference!$E$4, "eTradeTransactionLog", AB30, "eTradeHoldingRatio",AB30, "eTradeLotQtyRatio",AC30,"manualLotRatio",AD30)</f>
        <v>0</v>
      </c>
      <c r="AF30" s="236">
        <f>MAX(W30+(AE30*Reference!$B$18)-AA30,0)</f>
        <v>0</v>
      </c>
      <c r="AG30" s="237">
        <f>IF(J30,Summary!$C$41/ (J$86+ESPP!$N$28), 0)</f>
        <v>0</v>
      </c>
      <c r="AH30" s="358">
        <f>IF(J30,(Reference!$B$23 - AT30) * AG30, 0)</f>
        <v>0</v>
      </c>
      <c r="AI30" s="359">
        <f t="shared" si="12"/>
        <v>0</v>
      </c>
      <c r="AJ30" s="360">
        <f>IF(DATEDIF(C30,Reference!$B$28,"Y")&gt;=1,0,AI30+AH30)</f>
        <v>0</v>
      </c>
      <c r="AK30" s="360">
        <f>IF(DATEDIF(C30,Reference!$B$28,"Y")&gt;=1,AI30+AH30,0)</f>
        <v>0</v>
      </c>
      <c r="AL30" s="364" t="str">
        <f>IF(DATEDIF(C30,Reference!$B$28,"Y")&gt;=1,"Part II Box E","Part I Box B")</f>
        <v>Part II Box E</v>
      </c>
      <c r="AM30" s="253">
        <f t="shared" si="13"/>
        <v>43221</v>
      </c>
      <c r="AN30" s="254">
        <f t="shared" si="14"/>
        <v>0</v>
      </c>
      <c r="AO30" s="254">
        <f>SWITCH(Reference!$E$9, "combined", W30+(AE30*Reference!$B$18), "cashOnly", W30)</f>
        <v>0</v>
      </c>
      <c r="AP30" s="255">
        <f t="shared" si="15"/>
        <v>0</v>
      </c>
      <c r="AQ30" s="255" t="str">
        <f t="shared" si="16"/>
        <v/>
      </c>
      <c r="AR30" s="254">
        <f>LET(avgoFMV, Reference!$B$18*AE30, vmwBasis, Z30*D30, AP30 - IF(W30&lt;AF30,avgoFmv,vmwBasis))</f>
        <v>0</v>
      </c>
      <c r="AS30" s="365">
        <f t="shared" si="17"/>
        <v>0</v>
      </c>
      <c r="AT30" s="363" t="str">
        <f t="shared" si="18"/>
        <v>n/a</v>
      </c>
      <c r="AU30" s="247">
        <f>iferror((Reference!$B$10-AT30)*(AE30 - AG30), 0)</f>
        <v>0</v>
      </c>
      <c r="AV30" s="247">
        <f>IF(DATEDIF(C30,Reference!$B$29,"Y")&gt;=1,0,AU30)</f>
        <v>0</v>
      </c>
      <c r="AW30" s="250">
        <f>IF(DATEDIF(C30,Reference!$B$29,"Y")&gt;=1,AU30,0)</f>
        <v>0</v>
      </c>
    </row>
    <row r="31">
      <c r="A31" s="351" t="s">
        <v>196</v>
      </c>
      <c r="B31" s="352">
        <v>42342.0</v>
      </c>
      <c r="C31" s="221">
        <v>43252.0</v>
      </c>
      <c r="D31" s="222"/>
      <c r="E31" s="353">
        <v>145.93</v>
      </c>
      <c r="F31" s="354"/>
      <c r="G31" s="225">
        <f t="shared" si="7"/>
        <v>0</v>
      </c>
      <c r="H31" s="236">
        <f t="shared" si="8"/>
        <v>0</v>
      </c>
      <c r="I31" s="355"/>
      <c r="J31" s="259" t="b">
        <v>0</v>
      </c>
      <c r="K31" s="356"/>
      <c r="L31" s="230">
        <v>0.0</v>
      </c>
      <c r="M31" s="230">
        <v>0.0</v>
      </c>
      <c r="N31" s="230">
        <v>0.0</v>
      </c>
      <c r="O31" s="230">
        <v>0.0</v>
      </c>
      <c r="P31" s="230">
        <v>0.0</v>
      </c>
      <c r="Q31" s="232">
        <f t="shared" si="9"/>
        <v>0</v>
      </c>
      <c r="R31" s="232">
        <f>SWITCH(S31,"cash",Reference!E$5,"shares",Reference!$E$6,"balance",Reference!$E$7)</f>
        <v>0</v>
      </c>
      <c r="S31" s="233" t="s">
        <v>178</v>
      </c>
      <c r="T31" s="234">
        <f>LET(ratio,Reference!$B$4, ratio*Reference!$B$3*D31)</f>
        <v>0</v>
      </c>
      <c r="U31" s="234">
        <f>iferror(LET(ratio, Q31,(1-ratio) * Reference!$B$3 * $D31),0)</f>
        <v>0</v>
      </c>
      <c r="V31" s="234">
        <f>iferror(LET(ratio, R31,(1-ratio) * Reference!$B$3 * $D31),0)</f>
        <v>0</v>
      </c>
      <c r="W31" s="234">
        <f>SWITCH(Reference!$E$4,"eTradeTransactionLog", T31, "eTradeHoldingRatio",T31, "eTradeLotQtyRatio",U31,"manualLotRatio",V31)</f>
        <v>0</v>
      </c>
      <c r="X31" s="225">
        <f>IF(C31&lt;Reference!$B$26,Reference!$C$26,0)</f>
        <v>10.18</v>
      </c>
      <c r="Y31" s="225">
        <f>IF(C31&lt;Reference!$B$27,Reference!$C$27,0)</f>
        <v>16.87</v>
      </c>
      <c r="Z31" s="225">
        <f t="shared" si="10"/>
        <v>118.88</v>
      </c>
      <c r="AA31" s="357">
        <f t="shared" si="11"/>
        <v>0</v>
      </c>
      <c r="AB31" s="235">
        <f>$D31*Reference!$B$5*Reference!$B$6</f>
        <v>0</v>
      </c>
      <c r="AC31" s="235">
        <f>$D31*Q31*Reference!$B$6</f>
        <v>0</v>
      </c>
      <c r="AD31" s="235">
        <f>$D31*R31*Reference!$B$6</f>
        <v>0</v>
      </c>
      <c r="AE31" s="235">
        <f>SWITCH(Reference!$E$4, "eTradeTransactionLog", AB31, "eTradeHoldingRatio",AB31, "eTradeLotQtyRatio",AC31,"manualLotRatio",AD31)</f>
        <v>0</v>
      </c>
      <c r="AF31" s="236">
        <f>MAX(W31+(AE31*Reference!$B$18)-AA31,0)</f>
        <v>0</v>
      </c>
      <c r="AG31" s="237">
        <f>IF(J31,Summary!$C$41/ (J$86+ESPP!$N$28), 0)</f>
        <v>0</v>
      </c>
      <c r="AH31" s="358">
        <f>IF(J31,(Reference!$B$23 - AT31) * AG31, 0)</f>
        <v>0</v>
      </c>
      <c r="AI31" s="359">
        <f t="shared" si="12"/>
        <v>0</v>
      </c>
      <c r="AJ31" s="360">
        <f>IF(DATEDIF(C31,Reference!$B$28,"Y")&gt;=1,0,AI31+AH31)</f>
        <v>0</v>
      </c>
      <c r="AK31" s="360">
        <f>IF(DATEDIF(C31,Reference!$B$28,"Y")&gt;=1,AI31+AH31,0)</f>
        <v>0</v>
      </c>
      <c r="AL31" s="364" t="str">
        <f>IF(DATEDIF(C31,Reference!$B$28,"Y")&gt;=1,"Part II Box E","Part I Box B")</f>
        <v>Part II Box E</v>
      </c>
      <c r="AM31" s="253">
        <f t="shared" si="13"/>
        <v>43252</v>
      </c>
      <c r="AN31" s="254">
        <f t="shared" si="14"/>
        <v>0</v>
      </c>
      <c r="AO31" s="254">
        <f>SWITCH(Reference!$E$9, "combined", W31+(AE31*Reference!$B$18), "cashOnly", W31)</f>
        <v>0</v>
      </c>
      <c r="AP31" s="255">
        <f t="shared" si="15"/>
        <v>0</v>
      </c>
      <c r="AQ31" s="255" t="str">
        <f t="shared" si="16"/>
        <v/>
      </c>
      <c r="AR31" s="254">
        <f>LET(avgoFMV, Reference!$B$18*AE31, vmwBasis, Z31*D31, AP31 - IF(W31&lt;AF31,avgoFmv,vmwBasis))</f>
        <v>0</v>
      </c>
      <c r="AS31" s="365">
        <f t="shared" si="17"/>
        <v>0</v>
      </c>
      <c r="AT31" s="363" t="str">
        <f t="shared" si="18"/>
        <v>n/a</v>
      </c>
      <c r="AU31" s="247">
        <f>iferror((Reference!$B$10-AT31)*(AE31 - AG31), 0)</f>
        <v>0</v>
      </c>
      <c r="AV31" s="247">
        <f>IF(DATEDIF(C31,Reference!$B$29,"Y")&gt;=1,0,AU31)</f>
        <v>0</v>
      </c>
      <c r="AW31" s="250">
        <f>IF(DATEDIF(C31,Reference!$B$29,"Y")&gt;=1,AU31,0)</f>
        <v>0</v>
      </c>
    </row>
    <row r="32">
      <c r="A32" s="351" t="s">
        <v>198</v>
      </c>
      <c r="B32" s="352">
        <v>42929.0</v>
      </c>
      <c r="C32" s="221">
        <v>43282.0</v>
      </c>
      <c r="D32" s="222"/>
      <c r="E32" s="353">
        <v>146.97</v>
      </c>
      <c r="F32" s="354"/>
      <c r="G32" s="225">
        <f t="shared" si="7"/>
        <v>0</v>
      </c>
      <c r="H32" s="236">
        <f t="shared" si="8"/>
        <v>0</v>
      </c>
      <c r="I32" s="355"/>
      <c r="J32" s="259" t="b">
        <v>0</v>
      </c>
      <c r="K32" s="356"/>
      <c r="L32" s="230">
        <v>0.0</v>
      </c>
      <c r="M32" s="230">
        <v>0.0</v>
      </c>
      <c r="N32" s="230">
        <v>0.0</v>
      </c>
      <c r="O32" s="230">
        <v>0.0</v>
      </c>
      <c r="P32" s="230">
        <v>0.0</v>
      </c>
      <c r="Q32" s="232">
        <f t="shared" si="9"/>
        <v>0</v>
      </c>
      <c r="R32" s="232">
        <f>SWITCH(S32,"cash",Reference!E$5,"shares",Reference!$E$6,"balance",Reference!$E$7)</f>
        <v>0</v>
      </c>
      <c r="S32" s="233" t="s">
        <v>178</v>
      </c>
      <c r="T32" s="234">
        <f>LET(ratio,Reference!$B$4, ratio*Reference!$B$3*D32)</f>
        <v>0</v>
      </c>
      <c r="U32" s="234">
        <f>iferror(LET(ratio, Q32,(1-ratio) * Reference!$B$3 * $D32),0)</f>
        <v>0</v>
      </c>
      <c r="V32" s="234">
        <f>iferror(LET(ratio, R32,(1-ratio) * Reference!$B$3 * $D32),0)</f>
        <v>0</v>
      </c>
      <c r="W32" s="234">
        <f>SWITCH(Reference!$E$4,"eTradeTransactionLog", T32, "eTradeHoldingRatio",T32, "eTradeLotQtyRatio",U32,"manualLotRatio",V32)</f>
        <v>0</v>
      </c>
      <c r="X32" s="225">
        <f>IF(C32&lt;Reference!$B$26,Reference!$C$26,0)</f>
        <v>10.18</v>
      </c>
      <c r="Y32" s="225">
        <f>IF(C32&lt;Reference!$B$27,Reference!$C$27,0)</f>
        <v>16.87</v>
      </c>
      <c r="Z32" s="225">
        <f t="shared" si="10"/>
        <v>119.92</v>
      </c>
      <c r="AA32" s="357">
        <f t="shared" si="11"/>
        <v>0</v>
      </c>
      <c r="AB32" s="235">
        <f>$D32*Reference!$B$5*Reference!$B$6</f>
        <v>0</v>
      </c>
      <c r="AC32" s="235">
        <f>$D32*Q32*Reference!$B$6</f>
        <v>0</v>
      </c>
      <c r="AD32" s="235">
        <f>$D32*R32*Reference!$B$6</f>
        <v>0</v>
      </c>
      <c r="AE32" s="235">
        <f>SWITCH(Reference!$E$4, "eTradeTransactionLog", AB32, "eTradeHoldingRatio",AB32, "eTradeLotQtyRatio",AC32,"manualLotRatio",AD32)</f>
        <v>0</v>
      </c>
      <c r="AF32" s="236">
        <f>MAX(W32+(AE32*Reference!$B$18)-AA32,0)</f>
        <v>0</v>
      </c>
      <c r="AG32" s="237">
        <f>IF(J32,Summary!$C$41/ (J$86+ESPP!$N$28), 0)</f>
        <v>0</v>
      </c>
      <c r="AH32" s="358">
        <f>IF(J32,(Reference!$B$23 - AT32) * AG32, 0)</f>
        <v>0</v>
      </c>
      <c r="AI32" s="359">
        <f t="shared" si="12"/>
        <v>0</v>
      </c>
      <c r="AJ32" s="360">
        <f>IF(DATEDIF(C32,Reference!$B$28,"Y")&gt;=1,0,AI32+AH32)</f>
        <v>0</v>
      </c>
      <c r="AK32" s="360">
        <f>IF(DATEDIF(C32,Reference!$B$28,"Y")&gt;=1,AI32+AH32,0)</f>
        <v>0</v>
      </c>
      <c r="AL32" s="364" t="str">
        <f>IF(DATEDIF(C32,Reference!$B$28,"Y")&gt;=1,"Part II Box E","Part I Box B")</f>
        <v>Part II Box E</v>
      </c>
      <c r="AM32" s="253">
        <f t="shared" si="13"/>
        <v>43282</v>
      </c>
      <c r="AN32" s="254">
        <f t="shared" si="14"/>
        <v>0</v>
      </c>
      <c r="AO32" s="254">
        <f>SWITCH(Reference!$E$9, "combined", W32+(AE32*Reference!$B$18), "cashOnly", W32)</f>
        <v>0</v>
      </c>
      <c r="AP32" s="255">
        <f t="shared" si="15"/>
        <v>0</v>
      </c>
      <c r="AQ32" s="255" t="str">
        <f t="shared" si="16"/>
        <v/>
      </c>
      <c r="AR32" s="254">
        <f>LET(avgoFMV, Reference!$B$18*AE32, vmwBasis, Z32*D32, AP32 - IF(W32&lt;AF32,avgoFmv,vmwBasis))</f>
        <v>0</v>
      </c>
      <c r="AS32" s="365">
        <f t="shared" si="17"/>
        <v>0</v>
      </c>
      <c r="AT32" s="363" t="str">
        <f t="shared" si="18"/>
        <v>n/a</v>
      </c>
      <c r="AU32" s="247">
        <f>iferror((Reference!$B$10-AT32)*(AE32 - AG32), 0)</f>
        <v>0</v>
      </c>
      <c r="AV32" s="247">
        <f>IF(DATEDIF(C32,Reference!$B$29,"Y")&gt;=1,0,AU32)</f>
        <v>0</v>
      </c>
      <c r="AW32" s="250">
        <f>IF(DATEDIF(C32,Reference!$B$29,"Y")&gt;=1,AU32,0)</f>
        <v>0</v>
      </c>
    </row>
    <row r="33">
      <c r="A33" s="351" t="s">
        <v>195</v>
      </c>
      <c r="B33" s="352">
        <v>42170.0</v>
      </c>
      <c r="C33" s="221">
        <v>43405.0</v>
      </c>
      <c r="D33" s="222"/>
      <c r="E33" s="353">
        <v>144.64</v>
      </c>
      <c r="F33" s="354"/>
      <c r="G33" s="225">
        <f t="shared" si="7"/>
        <v>0</v>
      </c>
      <c r="H33" s="236">
        <f t="shared" si="8"/>
        <v>0</v>
      </c>
      <c r="I33" s="355"/>
      <c r="J33" s="259" t="b">
        <v>0</v>
      </c>
      <c r="K33" s="356"/>
      <c r="L33" s="230">
        <v>0.0</v>
      </c>
      <c r="M33" s="230">
        <v>0.0</v>
      </c>
      <c r="N33" s="230">
        <v>0.0</v>
      </c>
      <c r="O33" s="230">
        <v>0.0</v>
      </c>
      <c r="P33" s="230">
        <v>0.0</v>
      </c>
      <c r="Q33" s="232">
        <f t="shared" si="9"/>
        <v>0</v>
      </c>
      <c r="R33" s="232">
        <f>SWITCH(S33,"cash",Reference!E$5,"shares",Reference!$E$6,"balance",Reference!$E$7)</f>
        <v>0</v>
      </c>
      <c r="S33" s="233" t="s">
        <v>178</v>
      </c>
      <c r="T33" s="234">
        <f>LET(ratio,Reference!$B$4, ratio*Reference!$B$3*D33)</f>
        <v>0</v>
      </c>
      <c r="U33" s="234">
        <f>iferror(LET(ratio, Q33,(1-ratio) * Reference!$B$3 * $D33),0)</f>
        <v>0</v>
      </c>
      <c r="V33" s="234">
        <f>iferror(LET(ratio, R33,(1-ratio) * Reference!$B$3 * $D33),0)</f>
        <v>0</v>
      </c>
      <c r="W33" s="234">
        <f>SWITCH(Reference!$E$4,"eTradeTransactionLog", T33, "eTradeHoldingRatio",T33, "eTradeLotQtyRatio",U33,"manualLotRatio",V33)</f>
        <v>0</v>
      </c>
      <c r="X33" s="225">
        <f>IF(C33&lt;Reference!$B$26,Reference!$C$26,0)</f>
        <v>10.18</v>
      </c>
      <c r="Y33" s="225">
        <f>IF(C33&lt;Reference!$B$27,Reference!$C$27,0)</f>
        <v>16.87</v>
      </c>
      <c r="Z33" s="225">
        <f t="shared" si="10"/>
        <v>117.59</v>
      </c>
      <c r="AA33" s="357">
        <f t="shared" si="11"/>
        <v>0</v>
      </c>
      <c r="AB33" s="235">
        <f>$D33*Reference!$B$5*Reference!$B$6</f>
        <v>0</v>
      </c>
      <c r="AC33" s="235">
        <f>$D33*Q33*Reference!$B$6</f>
        <v>0</v>
      </c>
      <c r="AD33" s="235">
        <f>$D33*R33*Reference!$B$6</f>
        <v>0</v>
      </c>
      <c r="AE33" s="235">
        <f>SWITCH(Reference!$E$4, "eTradeTransactionLog", AB33, "eTradeHoldingRatio",AB33, "eTradeLotQtyRatio",AC33,"manualLotRatio",AD33)</f>
        <v>0</v>
      </c>
      <c r="AF33" s="236">
        <f>MAX(W33+(AE33*Reference!$B$18)-AA33,0)</f>
        <v>0</v>
      </c>
      <c r="AG33" s="237">
        <f>IF(J33,Summary!$C$41/ (J$86+ESPP!$N$28), 0)</f>
        <v>0</v>
      </c>
      <c r="AH33" s="358">
        <f>IF(J33,(Reference!$B$23 - AT33) * AG33, 0)</f>
        <v>0</v>
      </c>
      <c r="AI33" s="359">
        <f t="shared" si="12"/>
        <v>0</v>
      </c>
      <c r="AJ33" s="360">
        <f>IF(DATEDIF(C33,Reference!$B$28,"Y")&gt;=1,0,AI33+AH33)</f>
        <v>0</v>
      </c>
      <c r="AK33" s="360">
        <f>IF(DATEDIF(C33,Reference!$B$28,"Y")&gt;=1,AI33+AH33,0)</f>
        <v>0</v>
      </c>
      <c r="AL33" s="364" t="str">
        <f>IF(DATEDIF(C33,Reference!$B$28,"Y")&gt;=1,"Part II Box E","Part I Box B")</f>
        <v>Part II Box E</v>
      </c>
      <c r="AM33" s="253">
        <f t="shared" si="13"/>
        <v>43405</v>
      </c>
      <c r="AN33" s="254">
        <f t="shared" si="14"/>
        <v>0</v>
      </c>
      <c r="AO33" s="254">
        <f>SWITCH(Reference!$E$9, "combined", W33+(AE33*Reference!$B$18), "cashOnly", W33)</f>
        <v>0</v>
      </c>
      <c r="AP33" s="255">
        <f t="shared" si="15"/>
        <v>0</v>
      </c>
      <c r="AQ33" s="255" t="str">
        <f t="shared" si="16"/>
        <v/>
      </c>
      <c r="AR33" s="254">
        <f>LET(avgoFMV, Reference!$B$18*AE33, vmwBasis, Z33*D33, AP33 - IF(W33&lt;AF33,avgoFmv,vmwBasis))</f>
        <v>0</v>
      </c>
      <c r="AS33" s="365">
        <f t="shared" si="17"/>
        <v>0</v>
      </c>
      <c r="AT33" s="363" t="str">
        <f t="shared" si="18"/>
        <v>n/a</v>
      </c>
      <c r="AU33" s="247">
        <f>iferror((Reference!$B$10-AT33)*(AE33 - AG33), 0)</f>
        <v>0</v>
      </c>
      <c r="AV33" s="247">
        <f>IF(DATEDIF(C33,Reference!$B$29,"Y")&gt;=1,0,AU33)</f>
        <v>0</v>
      </c>
      <c r="AW33" s="250">
        <f>IF(DATEDIF(C33,Reference!$B$29,"Y")&gt;=1,AU33,0)</f>
        <v>0</v>
      </c>
    </row>
    <row r="34">
      <c r="A34" s="351" t="s">
        <v>197</v>
      </c>
      <c r="B34" s="352">
        <v>42489.0</v>
      </c>
      <c r="C34" s="221">
        <v>43405.0</v>
      </c>
      <c r="D34" s="222"/>
      <c r="E34" s="353">
        <v>144.64</v>
      </c>
      <c r="F34" s="354"/>
      <c r="G34" s="225">
        <f t="shared" si="7"/>
        <v>0</v>
      </c>
      <c r="H34" s="236">
        <f t="shared" si="8"/>
        <v>0</v>
      </c>
      <c r="I34" s="355"/>
      <c r="J34" s="259" t="b">
        <v>0</v>
      </c>
      <c r="K34" s="356"/>
      <c r="L34" s="230">
        <v>0.0</v>
      </c>
      <c r="M34" s="230">
        <v>0.0</v>
      </c>
      <c r="N34" s="230">
        <v>0.0</v>
      </c>
      <c r="O34" s="230">
        <v>0.0</v>
      </c>
      <c r="P34" s="230">
        <v>0.0</v>
      </c>
      <c r="Q34" s="232">
        <f t="shared" si="9"/>
        <v>0</v>
      </c>
      <c r="R34" s="232">
        <f>SWITCH(S34,"cash",Reference!E$5,"shares",Reference!$E$6,"balance",Reference!$E$7)</f>
        <v>0</v>
      </c>
      <c r="S34" s="233" t="s">
        <v>178</v>
      </c>
      <c r="T34" s="234">
        <f>LET(ratio,Reference!$B$4, ratio*Reference!$B$3*D34)</f>
        <v>0</v>
      </c>
      <c r="U34" s="234">
        <f>iferror(LET(ratio, Q34,(1-ratio) * Reference!$B$3 * $D34),0)</f>
        <v>0</v>
      </c>
      <c r="V34" s="234">
        <f>iferror(LET(ratio, R34,(1-ratio) * Reference!$B$3 * $D34),0)</f>
        <v>0</v>
      </c>
      <c r="W34" s="234">
        <f>SWITCH(Reference!$E$4,"eTradeTransactionLog", T34, "eTradeHoldingRatio",T34, "eTradeLotQtyRatio",U34,"manualLotRatio",V34)</f>
        <v>0</v>
      </c>
      <c r="X34" s="225">
        <f>IF(C34&lt;Reference!$B$26,Reference!$C$26,0)</f>
        <v>10.18</v>
      </c>
      <c r="Y34" s="225">
        <f>IF(C34&lt;Reference!$B$27,Reference!$C$27,0)</f>
        <v>16.87</v>
      </c>
      <c r="Z34" s="225">
        <f t="shared" si="10"/>
        <v>117.59</v>
      </c>
      <c r="AA34" s="357">
        <f t="shared" si="11"/>
        <v>0</v>
      </c>
      <c r="AB34" s="235">
        <f>$D34*Reference!$B$5*Reference!$B$6</f>
        <v>0</v>
      </c>
      <c r="AC34" s="235">
        <f>$D34*Q34*Reference!$B$6</f>
        <v>0</v>
      </c>
      <c r="AD34" s="235">
        <f>$D34*R34*Reference!$B$6</f>
        <v>0</v>
      </c>
      <c r="AE34" s="235">
        <f>SWITCH(Reference!$E$4, "eTradeTransactionLog", AB34, "eTradeHoldingRatio",AB34, "eTradeLotQtyRatio",AC34,"manualLotRatio",AD34)</f>
        <v>0</v>
      </c>
      <c r="AF34" s="236">
        <f>MAX(W34+(AE34*Reference!$B$18)-AA34,0)</f>
        <v>0</v>
      </c>
      <c r="AG34" s="237">
        <f>IF(J34,Summary!$C$41/ (J$86+ESPP!$N$28), 0)</f>
        <v>0</v>
      </c>
      <c r="AH34" s="358">
        <f>IF(J34,(Reference!$B$23 - AT34) * AG34, 0)</f>
        <v>0</v>
      </c>
      <c r="AI34" s="359">
        <f t="shared" si="12"/>
        <v>0</v>
      </c>
      <c r="AJ34" s="360">
        <f>IF(DATEDIF(C34,Reference!$B$28,"Y")&gt;=1,0,AI34+AH34)</f>
        <v>0</v>
      </c>
      <c r="AK34" s="360">
        <f>IF(DATEDIF(C34,Reference!$B$28,"Y")&gt;=1,AI34+AH34,0)</f>
        <v>0</v>
      </c>
      <c r="AL34" s="364" t="str">
        <f>IF(DATEDIF(C34,Reference!$B$28,"Y")&gt;=1,"Part II Box E","Part I Box B")</f>
        <v>Part II Box E</v>
      </c>
      <c r="AM34" s="253">
        <f t="shared" si="13"/>
        <v>43405</v>
      </c>
      <c r="AN34" s="254">
        <f t="shared" si="14"/>
        <v>0</v>
      </c>
      <c r="AO34" s="254">
        <f>SWITCH(Reference!$E$9, "combined", W34+(AE34*Reference!$B$18), "cashOnly", W34)</f>
        <v>0</v>
      </c>
      <c r="AP34" s="255">
        <f t="shared" si="15"/>
        <v>0</v>
      </c>
      <c r="AQ34" s="255" t="str">
        <f t="shared" si="16"/>
        <v/>
      </c>
      <c r="AR34" s="254">
        <f>LET(avgoFMV, Reference!$B$18*AE34, vmwBasis, Z34*D34, AP34 - IF(W34&lt;AF34,avgoFmv,vmwBasis))</f>
        <v>0</v>
      </c>
      <c r="AS34" s="365">
        <f t="shared" si="17"/>
        <v>0</v>
      </c>
      <c r="AT34" s="363" t="str">
        <f t="shared" si="18"/>
        <v>n/a</v>
      </c>
      <c r="AU34" s="247">
        <f>iferror((Reference!$B$10-AT34)*(AE34 - AG34), 0)</f>
        <v>0</v>
      </c>
      <c r="AV34" s="247">
        <f>IF(DATEDIF(C34,Reference!$B$29,"Y")&gt;=1,0,AU34)</f>
        <v>0</v>
      </c>
      <c r="AW34" s="250">
        <f>IF(DATEDIF(C34,Reference!$B$29,"Y")&gt;=1,AU34,0)</f>
        <v>0</v>
      </c>
    </row>
    <row r="35">
      <c r="A35" s="351" t="s">
        <v>196</v>
      </c>
      <c r="B35" s="352">
        <v>42342.0</v>
      </c>
      <c r="C35" s="221">
        <v>43435.0</v>
      </c>
      <c r="D35" s="222"/>
      <c r="E35" s="353">
        <v>167.34</v>
      </c>
      <c r="F35" s="354"/>
      <c r="G35" s="225">
        <f t="shared" si="7"/>
        <v>0</v>
      </c>
      <c r="H35" s="236">
        <f t="shared" si="8"/>
        <v>0</v>
      </c>
      <c r="I35" s="355"/>
      <c r="J35" s="259" t="b">
        <v>0</v>
      </c>
      <c r="K35" s="356"/>
      <c r="L35" s="230">
        <v>0.0</v>
      </c>
      <c r="M35" s="230">
        <v>0.0</v>
      </c>
      <c r="N35" s="230">
        <v>0.0</v>
      </c>
      <c r="O35" s="230">
        <v>0.0</v>
      </c>
      <c r="P35" s="230">
        <v>0.0</v>
      </c>
      <c r="Q35" s="232">
        <f t="shared" si="9"/>
        <v>0</v>
      </c>
      <c r="R35" s="232">
        <f>SWITCH(S35,"cash",Reference!E$5,"shares",Reference!$E$6,"balance",Reference!$E$7)</f>
        <v>0</v>
      </c>
      <c r="S35" s="233" t="s">
        <v>178</v>
      </c>
      <c r="T35" s="234">
        <f>LET(ratio,Reference!$B$4, ratio*Reference!$B$3*D35)</f>
        <v>0</v>
      </c>
      <c r="U35" s="234">
        <f>iferror(LET(ratio, Q35,(1-ratio) * Reference!$B$3 * $D35),0)</f>
        <v>0</v>
      </c>
      <c r="V35" s="234">
        <f>iferror(LET(ratio, R35,(1-ratio) * Reference!$B$3 * $D35),0)</f>
        <v>0</v>
      </c>
      <c r="W35" s="234">
        <f>SWITCH(Reference!$E$4,"eTradeTransactionLog", T35, "eTradeHoldingRatio",T35, "eTradeLotQtyRatio",U35,"manualLotRatio",V35)</f>
        <v>0</v>
      </c>
      <c r="X35" s="225">
        <f>IF(C35&lt;Reference!$B$26,Reference!$C$26,0)</f>
        <v>10.18</v>
      </c>
      <c r="Y35" s="225">
        <f>IF(C35&lt;Reference!$B$27,Reference!$C$27,0)</f>
        <v>16.87</v>
      </c>
      <c r="Z35" s="225">
        <f t="shared" si="10"/>
        <v>140.29</v>
      </c>
      <c r="AA35" s="357">
        <f t="shared" si="11"/>
        <v>0</v>
      </c>
      <c r="AB35" s="235">
        <f>$D35*Reference!$B$5*Reference!$B$6</f>
        <v>0</v>
      </c>
      <c r="AC35" s="235">
        <f>$D35*Q35*Reference!$B$6</f>
        <v>0</v>
      </c>
      <c r="AD35" s="235">
        <f>$D35*R35*Reference!$B$6</f>
        <v>0</v>
      </c>
      <c r="AE35" s="235">
        <f>SWITCH(Reference!$E$4, "eTradeTransactionLog", AB35, "eTradeHoldingRatio",AB35, "eTradeLotQtyRatio",AC35,"manualLotRatio",AD35)</f>
        <v>0</v>
      </c>
      <c r="AF35" s="236">
        <f>MAX(W35+(AE35*Reference!$B$18)-AA35,0)</f>
        <v>0</v>
      </c>
      <c r="AG35" s="237">
        <f>IF(J35,Summary!$C$41/ (J$86+ESPP!$N$28), 0)</f>
        <v>0</v>
      </c>
      <c r="AH35" s="358">
        <f>IF(J35,(Reference!$B$23 - AT35) * AG35, 0)</f>
        <v>0</v>
      </c>
      <c r="AI35" s="359">
        <f t="shared" si="12"/>
        <v>0</v>
      </c>
      <c r="AJ35" s="360">
        <f>IF(DATEDIF(C35,Reference!$B$28,"Y")&gt;=1,0,AI35+AH35)</f>
        <v>0</v>
      </c>
      <c r="AK35" s="360">
        <f>IF(DATEDIF(C35,Reference!$B$28,"Y")&gt;=1,AI35+AH35,0)</f>
        <v>0</v>
      </c>
      <c r="AL35" s="364" t="str">
        <f>IF(DATEDIF(C35,Reference!$B$28,"Y")&gt;=1,"Part II Box E","Part I Box B")</f>
        <v>Part II Box E</v>
      </c>
      <c r="AM35" s="253">
        <f t="shared" si="13"/>
        <v>43435</v>
      </c>
      <c r="AN35" s="254">
        <f t="shared" si="14"/>
        <v>0</v>
      </c>
      <c r="AO35" s="254">
        <f>SWITCH(Reference!$E$9, "combined", W35+(AE35*Reference!$B$18), "cashOnly", W35)</f>
        <v>0</v>
      </c>
      <c r="AP35" s="255">
        <f t="shared" si="15"/>
        <v>0</v>
      </c>
      <c r="AQ35" s="255" t="str">
        <f t="shared" si="16"/>
        <v/>
      </c>
      <c r="AR35" s="254">
        <f>LET(avgoFMV, Reference!$B$18*AE35, vmwBasis, Z35*D35, AP35 - IF(W35&lt;AF35,avgoFmv,vmwBasis))</f>
        <v>0</v>
      </c>
      <c r="AS35" s="365">
        <f t="shared" si="17"/>
        <v>0</v>
      </c>
      <c r="AT35" s="363" t="str">
        <f t="shared" si="18"/>
        <v>n/a</v>
      </c>
      <c r="AU35" s="247">
        <f>iferror((Reference!$B$10-AT35)*(AE35 - AG35), 0)</f>
        <v>0</v>
      </c>
      <c r="AV35" s="247">
        <f>IF(DATEDIF(C35,Reference!$B$29,"Y")&gt;=1,0,AU35)</f>
        <v>0</v>
      </c>
      <c r="AW35" s="250">
        <f>IF(DATEDIF(C35,Reference!$B$29,"Y")&gt;=1,AU35,0)</f>
        <v>0</v>
      </c>
    </row>
    <row r="36">
      <c r="A36" s="351" t="s">
        <v>199</v>
      </c>
      <c r="B36" s="352">
        <v>43462.0</v>
      </c>
      <c r="C36" s="221">
        <v>43475.0</v>
      </c>
      <c r="D36" s="222"/>
      <c r="E36" s="353">
        <v>148.88</v>
      </c>
      <c r="F36" s="354"/>
      <c r="G36" s="225">
        <f t="shared" si="7"/>
        <v>0</v>
      </c>
      <c r="H36" s="236">
        <f t="shared" si="8"/>
        <v>0</v>
      </c>
      <c r="I36" s="355"/>
      <c r="J36" s="259" t="b">
        <v>0</v>
      </c>
      <c r="K36" s="356"/>
      <c r="L36" s="230">
        <v>0.0</v>
      </c>
      <c r="M36" s="230">
        <v>0.0</v>
      </c>
      <c r="N36" s="230">
        <v>0.0</v>
      </c>
      <c r="O36" s="230">
        <v>0.0</v>
      </c>
      <c r="P36" s="230">
        <v>0.0</v>
      </c>
      <c r="Q36" s="232">
        <f t="shared" si="9"/>
        <v>0</v>
      </c>
      <c r="R36" s="232">
        <f>SWITCH(S36,"cash",Reference!E$5,"shares",Reference!$E$6,"balance",Reference!$E$7)</f>
        <v>0</v>
      </c>
      <c r="S36" s="233" t="s">
        <v>178</v>
      </c>
      <c r="T36" s="234">
        <f>LET(ratio,Reference!$B$4, ratio*Reference!$B$3*D36)</f>
        <v>0</v>
      </c>
      <c r="U36" s="234">
        <f>iferror(LET(ratio, Q36,(1-ratio) * Reference!$B$3 * $D36),0)</f>
        <v>0</v>
      </c>
      <c r="V36" s="234">
        <f>iferror(LET(ratio, R36,(1-ratio) * Reference!$B$3 * $D36),0)</f>
        <v>0</v>
      </c>
      <c r="W36" s="234">
        <f>SWITCH(Reference!$E$4,"eTradeTransactionLog", T36, "eTradeHoldingRatio",T36, "eTradeLotQtyRatio",U36,"manualLotRatio",V36)</f>
        <v>0</v>
      </c>
      <c r="X36" s="225">
        <f>IF(C36&lt;Reference!$B$26,Reference!$C$26,0)</f>
        <v>0</v>
      </c>
      <c r="Y36" s="225">
        <f>IF(C36&lt;Reference!$B$27,Reference!$C$27,0)</f>
        <v>16.87</v>
      </c>
      <c r="Z36" s="225">
        <f t="shared" si="10"/>
        <v>132.01</v>
      </c>
      <c r="AA36" s="357">
        <f t="shared" si="11"/>
        <v>0</v>
      </c>
      <c r="AB36" s="235">
        <f>$D36*Reference!$B$5*Reference!$B$6</f>
        <v>0</v>
      </c>
      <c r="AC36" s="235">
        <f>$D36*Q36*Reference!$B$6</f>
        <v>0</v>
      </c>
      <c r="AD36" s="235">
        <f>$D36*R36*Reference!$B$6</f>
        <v>0</v>
      </c>
      <c r="AE36" s="235">
        <f>SWITCH(Reference!$E$4, "eTradeTransactionLog", AB36, "eTradeHoldingRatio",AB36, "eTradeLotQtyRatio",AC36,"manualLotRatio",AD36)</f>
        <v>0</v>
      </c>
      <c r="AF36" s="236">
        <f>MAX(W36+(AE36*Reference!$B$18)-AA36,0)</f>
        <v>0</v>
      </c>
      <c r="AG36" s="237">
        <f>IF(J36,Summary!$C$41/ (J$86+ESPP!$N$28), 0)</f>
        <v>0</v>
      </c>
      <c r="AH36" s="358">
        <f>IF(J36,(Reference!$B$23 - AT36) * AG36, 0)</f>
        <v>0</v>
      </c>
      <c r="AI36" s="359">
        <f t="shared" si="12"/>
        <v>0</v>
      </c>
      <c r="AJ36" s="360">
        <f>IF(DATEDIF(C36,Reference!$B$28,"Y")&gt;=1,0,AI36+AH36)</f>
        <v>0</v>
      </c>
      <c r="AK36" s="360">
        <f>IF(DATEDIF(C36,Reference!$B$28,"Y")&gt;=1,AI36+AH36,0)</f>
        <v>0</v>
      </c>
      <c r="AL36" s="364" t="str">
        <f>IF(DATEDIF(C36,Reference!$B$28,"Y")&gt;=1,"Part II Box E","Part I Box B")</f>
        <v>Part II Box E</v>
      </c>
      <c r="AM36" s="253">
        <f t="shared" si="13"/>
        <v>43475</v>
      </c>
      <c r="AN36" s="254">
        <f t="shared" si="14"/>
        <v>0</v>
      </c>
      <c r="AO36" s="254">
        <f>SWITCH(Reference!$E$9, "combined", W36+(AE36*Reference!$B$18), "cashOnly", W36)</f>
        <v>0</v>
      </c>
      <c r="AP36" s="255">
        <f t="shared" si="15"/>
        <v>0</v>
      </c>
      <c r="AQ36" s="255" t="str">
        <f t="shared" si="16"/>
        <v/>
      </c>
      <c r="AR36" s="254">
        <f>LET(avgoFMV, Reference!$B$18*AE36, vmwBasis, Z36*D36, AP36 - IF(W36&lt;AF36,avgoFmv,vmwBasis))</f>
        <v>0</v>
      </c>
      <c r="AS36" s="365">
        <f t="shared" si="17"/>
        <v>0</v>
      </c>
      <c r="AT36" s="363" t="str">
        <f t="shared" si="18"/>
        <v>n/a</v>
      </c>
      <c r="AU36" s="247">
        <f>iferror((Reference!$B$10-AT36)*(AE36 - AG36), 0)</f>
        <v>0</v>
      </c>
      <c r="AV36" s="247">
        <f>IF(DATEDIF(C36,Reference!$B$29,"Y")&gt;=1,0,AU36)</f>
        <v>0</v>
      </c>
      <c r="AW36" s="250">
        <f>IF(DATEDIF(C36,Reference!$B$29,"Y")&gt;=1,AU36,0)</f>
        <v>0</v>
      </c>
    </row>
    <row r="37">
      <c r="A37" s="351" t="s">
        <v>200</v>
      </c>
      <c r="B37" s="352">
        <v>43462.0</v>
      </c>
      <c r="C37" s="221">
        <v>43586.0</v>
      </c>
      <c r="D37" s="222"/>
      <c r="E37" s="353">
        <v>202.46</v>
      </c>
      <c r="F37" s="354"/>
      <c r="G37" s="225">
        <f t="shared" si="7"/>
        <v>0</v>
      </c>
      <c r="H37" s="236">
        <f t="shared" si="8"/>
        <v>0</v>
      </c>
      <c r="I37" s="355"/>
      <c r="J37" s="259" t="b">
        <v>0</v>
      </c>
      <c r="K37" s="356"/>
      <c r="L37" s="230">
        <v>0.0</v>
      </c>
      <c r="M37" s="230">
        <v>0.0</v>
      </c>
      <c r="N37" s="230">
        <v>0.0</v>
      </c>
      <c r="O37" s="230">
        <v>0.0</v>
      </c>
      <c r="P37" s="230">
        <v>0.0</v>
      </c>
      <c r="Q37" s="232">
        <f t="shared" si="9"/>
        <v>0</v>
      </c>
      <c r="R37" s="232">
        <f>SWITCH(S37,"cash",Reference!E$5,"shares",Reference!$E$6,"balance",Reference!$E$7)</f>
        <v>0</v>
      </c>
      <c r="S37" s="233" t="s">
        <v>178</v>
      </c>
      <c r="T37" s="234">
        <f>LET(ratio,Reference!$B$4, ratio*Reference!$B$3*D37)</f>
        <v>0</v>
      </c>
      <c r="U37" s="234">
        <f>iferror(LET(ratio, Q37,(1-ratio) * Reference!$B$3 * $D37),0)</f>
        <v>0</v>
      </c>
      <c r="V37" s="234">
        <f>iferror(LET(ratio, R37,(1-ratio) * Reference!$B$3 * $D37),0)</f>
        <v>0</v>
      </c>
      <c r="W37" s="234">
        <f>SWITCH(Reference!$E$4,"eTradeTransactionLog", T37, "eTradeHoldingRatio",T37, "eTradeLotQtyRatio",U37,"manualLotRatio",V37)</f>
        <v>0</v>
      </c>
      <c r="X37" s="225">
        <f>IF(C37&lt;Reference!$B$26,Reference!$C$26,0)</f>
        <v>0</v>
      </c>
      <c r="Y37" s="225">
        <f>IF(C37&lt;Reference!$B$27,Reference!$C$27,0)</f>
        <v>16.87</v>
      </c>
      <c r="Z37" s="225">
        <f t="shared" si="10"/>
        <v>185.59</v>
      </c>
      <c r="AA37" s="357">
        <f t="shared" si="11"/>
        <v>0</v>
      </c>
      <c r="AB37" s="235">
        <f>$D37*Reference!$B$5*Reference!$B$6</f>
        <v>0</v>
      </c>
      <c r="AC37" s="235">
        <f>$D37*Q37*Reference!$B$6</f>
        <v>0</v>
      </c>
      <c r="AD37" s="235">
        <f>$D37*R37*Reference!$B$6</f>
        <v>0</v>
      </c>
      <c r="AE37" s="235">
        <f>SWITCH(Reference!$E$4, "eTradeTransactionLog", AB37, "eTradeHoldingRatio",AB37, "eTradeLotQtyRatio",AC37,"manualLotRatio",AD37)</f>
        <v>0</v>
      </c>
      <c r="AF37" s="236">
        <f>MAX(W37+(AE37*Reference!$B$18)-AA37,0)</f>
        <v>0</v>
      </c>
      <c r="AG37" s="237">
        <f>IF(J37,Summary!$C$41/ (J$86+ESPP!$N$28), 0)</f>
        <v>0</v>
      </c>
      <c r="AH37" s="358">
        <f>IF(J37,(Reference!$B$23 - AT37) * AG37, 0)</f>
        <v>0</v>
      </c>
      <c r="AI37" s="359">
        <f t="shared" si="12"/>
        <v>0</v>
      </c>
      <c r="AJ37" s="360">
        <f>IF(DATEDIF(C37,Reference!$B$28,"Y")&gt;=1,0,AI37+AH37)</f>
        <v>0</v>
      </c>
      <c r="AK37" s="360">
        <f>IF(DATEDIF(C37,Reference!$B$28,"Y")&gt;=1,AI37+AH37,0)</f>
        <v>0</v>
      </c>
      <c r="AL37" s="364" t="str">
        <f>IF(DATEDIF(C37,Reference!$B$28,"Y")&gt;=1,"Part II Box E","Part I Box B")</f>
        <v>Part II Box E</v>
      </c>
      <c r="AM37" s="253">
        <f t="shared" si="13"/>
        <v>43586</v>
      </c>
      <c r="AN37" s="254">
        <f t="shared" si="14"/>
        <v>0</v>
      </c>
      <c r="AO37" s="254">
        <f>SWITCH(Reference!$E$9, "combined", W37+(AE37*Reference!$B$18), "cashOnly", W37)</f>
        <v>0</v>
      </c>
      <c r="AP37" s="255">
        <f t="shared" si="15"/>
        <v>0</v>
      </c>
      <c r="AQ37" s="255" t="str">
        <f t="shared" si="16"/>
        <v/>
      </c>
      <c r="AR37" s="254">
        <f>LET(avgoFMV, Reference!$B$18*AE37, vmwBasis, Z37*D37, AP37 - IF(W37&lt;AF37,avgoFmv,vmwBasis))</f>
        <v>0</v>
      </c>
      <c r="AS37" s="365">
        <f t="shared" si="17"/>
        <v>0</v>
      </c>
      <c r="AT37" s="363" t="str">
        <f t="shared" si="18"/>
        <v>n/a</v>
      </c>
      <c r="AU37" s="247">
        <f>iferror((Reference!$B$10-AT37)*(AE37 - AG37), 0)</f>
        <v>0</v>
      </c>
      <c r="AV37" s="247">
        <f>IF(DATEDIF(C37,Reference!$B$29,"Y")&gt;=1,0,AU37)</f>
        <v>0</v>
      </c>
      <c r="AW37" s="250">
        <f>IF(DATEDIF(C37,Reference!$B$29,"Y")&gt;=1,AU37,0)</f>
        <v>0</v>
      </c>
    </row>
    <row r="38">
      <c r="A38" s="351" t="s">
        <v>201</v>
      </c>
      <c r="B38" s="352">
        <v>43462.0</v>
      </c>
      <c r="C38" s="221">
        <v>43586.0</v>
      </c>
      <c r="D38" s="222"/>
      <c r="E38" s="353">
        <v>202.46</v>
      </c>
      <c r="F38" s="354"/>
      <c r="G38" s="225">
        <f t="shared" si="7"/>
        <v>0</v>
      </c>
      <c r="H38" s="236">
        <f t="shared" si="8"/>
        <v>0</v>
      </c>
      <c r="I38" s="355"/>
      <c r="J38" s="259" t="b">
        <v>0</v>
      </c>
      <c r="K38" s="356"/>
      <c r="L38" s="230">
        <v>0.0</v>
      </c>
      <c r="M38" s="230">
        <v>0.0</v>
      </c>
      <c r="N38" s="230">
        <v>0.0</v>
      </c>
      <c r="O38" s="230">
        <v>0.0</v>
      </c>
      <c r="P38" s="230">
        <v>0.0</v>
      </c>
      <c r="Q38" s="232">
        <f t="shared" si="9"/>
        <v>0</v>
      </c>
      <c r="R38" s="232">
        <f>SWITCH(S38,"cash",Reference!E$5,"shares",Reference!$E$6,"balance",Reference!$E$7)</f>
        <v>0</v>
      </c>
      <c r="S38" s="233" t="s">
        <v>178</v>
      </c>
      <c r="T38" s="234">
        <f>LET(ratio,Reference!$B$4, ratio*Reference!$B$3*D38)</f>
        <v>0</v>
      </c>
      <c r="U38" s="234">
        <f>iferror(LET(ratio, Q38,(1-ratio) * Reference!$B$3 * $D38),0)</f>
        <v>0</v>
      </c>
      <c r="V38" s="234">
        <f>iferror(LET(ratio, R38,(1-ratio) * Reference!$B$3 * $D38),0)</f>
        <v>0</v>
      </c>
      <c r="W38" s="234">
        <f>SWITCH(Reference!$E$4,"eTradeTransactionLog", T38, "eTradeHoldingRatio",T38, "eTradeLotQtyRatio",U38,"manualLotRatio",V38)</f>
        <v>0</v>
      </c>
      <c r="X38" s="225">
        <f>IF(C38&lt;Reference!$B$26,Reference!$C$26,0)</f>
        <v>0</v>
      </c>
      <c r="Y38" s="225">
        <f>IF(C38&lt;Reference!$B$27,Reference!$C$27,0)</f>
        <v>16.87</v>
      </c>
      <c r="Z38" s="225">
        <f t="shared" si="10"/>
        <v>185.59</v>
      </c>
      <c r="AA38" s="357">
        <f t="shared" si="11"/>
        <v>0</v>
      </c>
      <c r="AB38" s="235">
        <f>$D38*Reference!$B$5*Reference!$B$6</f>
        <v>0</v>
      </c>
      <c r="AC38" s="235">
        <f>$D38*Q38*Reference!$B$6</f>
        <v>0</v>
      </c>
      <c r="AD38" s="235">
        <f>$D38*R38*Reference!$B$6</f>
        <v>0</v>
      </c>
      <c r="AE38" s="235">
        <f>SWITCH(Reference!$E$4, "eTradeTransactionLog", AB38, "eTradeHoldingRatio",AB38, "eTradeLotQtyRatio",AC38,"manualLotRatio",AD38)</f>
        <v>0</v>
      </c>
      <c r="AF38" s="236">
        <f>MAX(W38+(AE38*Reference!$B$18)-AA38,0)</f>
        <v>0</v>
      </c>
      <c r="AG38" s="237">
        <f>IF(J38,Summary!$C$41/ (J$86+ESPP!$N$28), 0)</f>
        <v>0</v>
      </c>
      <c r="AH38" s="358">
        <f>IF(J38,(Reference!$B$23 - AT38) * AG38, 0)</f>
        <v>0</v>
      </c>
      <c r="AI38" s="359">
        <f t="shared" si="12"/>
        <v>0</v>
      </c>
      <c r="AJ38" s="360">
        <f>IF(DATEDIF(C38,Reference!$B$28,"Y")&gt;=1,0,AI38+AH38)</f>
        <v>0</v>
      </c>
      <c r="AK38" s="360">
        <f>IF(DATEDIF(C38,Reference!$B$28,"Y")&gt;=1,AI38+AH38,0)</f>
        <v>0</v>
      </c>
      <c r="AL38" s="364" t="str">
        <f>IF(DATEDIF(C38,Reference!$B$28,"Y")&gt;=1,"Part II Box E","Part I Box B")</f>
        <v>Part II Box E</v>
      </c>
      <c r="AM38" s="253">
        <f t="shared" si="13"/>
        <v>43586</v>
      </c>
      <c r="AN38" s="254">
        <f t="shared" si="14"/>
        <v>0</v>
      </c>
      <c r="AO38" s="254">
        <f>SWITCH(Reference!$E$9, "combined", W38+(AE38*Reference!$B$18), "cashOnly", W38)</f>
        <v>0</v>
      </c>
      <c r="AP38" s="255">
        <f t="shared" si="15"/>
        <v>0</v>
      </c>
      <c r="AQ38" s="255" t="str">
        <f t="shared" si="16"/>
        <v/>
      </c>
      <c r="AR38" s="254">
        <f>LET(avgoFMV, Reference!$B$18*AE38, vmwBasis, Z38*D38, AP38 - IF(W38&lt;AF38,avgoFmv,vmwBasis))</f>
        <v>0</v>
      </c>
      <c r="AS38" s="365">
        <f t="shared" si="17"/>
        <v>0</v>
      </c>
      <c r="AT38" s="363" t="str">
        <f t="shared" si="18"/>
        <v>n/a</v>
      </c>
      <c r="AU38" s="247">
        <f>iferror((Reference!$B$10-AT38)*(AE38 - AG38), 0)</f>
        <v>0</v>
      </c>
      <c r="AV38" s="247">
        <f>IF(DATEDIF(C38,Reference!$B$29,"Y")&gt;=1,0,AU38)</f>
        <v>0</v>
      </c>
      <c r="AW38" s="250">
        <f>IF(DATEDIF(C38,Reference!$B$29,"Y")&gt;=1,AU38,0)</f>
        <v>0</v>
      </c>
    </row>
    <row r="39">
      <c r="A39" s="351" t="s">
        <v>202</v>
      </c>
      <c r="B39" s="352">
        <v>43462.0</v>
      </c>
      <c r="C39" s="221">
        <v>43617.0</v>
      </c>
      <c r="D39" s="222"/>
      <c r="E39" s="353">
        <v>176.98</v>
      </c>
      <c r="F39" s="354"/>
      <c r="G39" s="225">
        <f t="shared" si="7"/>
        <v>0</v>
      </c>
      <c r="H39" s="236">
        <f t="shared" si="8"/>
        <v>0</v>
      </c>
      <c r="I39" s="367"/>
      <c r="J39" s="259" t="b">
        <v>0</v>
      </c>
      <c r="K39" s="356"/>
      <c r="L39" s="230">
        <v>0.0</v>
      </c>
      <c r="M39" s="230">
        <v>0.0</v>
      </c>
      <c r="N39" s="230">
        <v>0.0</v>
      </c>
      <c r="O39" s="230">
        <v>0.0</v>
      </c>
      <c r="P39" s="230">
        <v>0.0</v>
      </c>
      <c r="Q39" s="232">
        <f t="shared" si="9"/>
        <v>0</v>
      </c>
      <c r="R39" s="232">
        <f>SWITCH(S39,"cash",Reference!E$5,"shares",Reference!$E$6,"balance",Reference!$E$7)</f>
        <v>0</v>
      </c>
      <c r="S39" s="233" t="s">
        <v>178</v>
      </c>
      <c r="T39" s="234">
        <f>LET(ratio,Reference!$B$4, ratio*Reference!$B$3*D39)</f>
        <v>0</v>
      </c>
      <c r="U39" s="234">
        <f>iferror(LET(ratio, Q39,(1-ratio) * Reference!$B$3 * $D39),0)</f>
        <v>0</v>
      </c>
      <c r="V39" s="234">
        <f>iferror(LET(ratio, R39,(1-ratio) * Reference!$B$3 * $D39),0)</f>
        <v>0</v>
      </c>
      <c r="W39" s="234">
        <f>SWITCH(Reference!$E$4,"eTradeTransactionLog", T39, "eTradeHoldingRatio",T39, "eTradeLotQtyRatio",U39,"manualLotRatio",V39)</f>
        <v>0</v>
      </c>
      <c r="X39" s="225">
        <f>IF(C39&lt;Reference!$B$26,Reference!$C$26,0)</f>
        <v>0</v>
      </c>
      <c r="Y39" s="225">
        <f>IF(C39&lt;Reference!$B$27,Reference!$C$27,0)</f>
        <v>16.87</v>
      </c>
      <c r="Z39" s="225">
        <f t="shared" si="10"/>
        <v>160.11</v>
      </c>
      <c r="AA39" s="357">
        <f t="shared" si="11"/>
        <v>0</v>
      </c>
      <c r="AB39" s="235">
        <f>$D39*Reference!$B$5*Reference!$B$6</f>
        <v>0</v>
      </c>
      <c r="AC39" s="235">
        <f>$D39*Q39*Reference!$B$6</f>
        <v>0</v>
      </c>
      <c r="AD39" s="235">
        <f>$D39*R39*Reference!$B$6</f>
        <v>0</v>
      </c>
      <c r="AE39" s="235">
        <f>SWITCH(Reference!$E$4, "eTradeTransactionLog", AB39, "eTradeHoldingRatio",AB39, "eTradeLotQtyRatio",AC39,"manualLotRatio",AD39)</f>
        <v>0</v>
      </c>
      <c r="AF39" s="236">
        <f>MAX(W39+(AE39*Reference!$B$18)-AA39,0)</f>
        <v>0</v>
      </c>
      <c r="AG39" s="237">
        <f>IF(J39,Summary!$C$41/ (J$86+ESPP!$N$28), 0)</f>
        <v>0</v>
      </c>
      <c r="AH39" s="358">
        <f>IF(J39,(Reference!$B$23 - AT39) * AG39, 0)</f>
        <v>0</v>
      </c>
      <c r="AI39" s="359">
        <f t="shared" si="12"/>
        <v>0</v>
      </c>
      <c r="AJ39" s="360">
        <f>IF(DATEDIF(C39,Reference!$B$28,"Y")&gt;=1,0,AI39+AH39)</f>
        <v>0</v>
      </c>
      <c r="AK39" s="360">
        <f>IF(DATEDIF(C39,Reference!$B$28,"Y")&gt;=1,AI39+AH39,0)</f>
        <v>0</v>
      </c>
      <c r="AL39" s="364" t="str">
        <f>IF(DATEDIF(C39,Reference!$B$28,"Y")&gt;=1,"Part II Box E","Part I Box B")</f>
        <v>Part II Box E</v>
      </c>
      <c r="AM39" s="253">
        <f t="shared" si="13"/>
        <v>43617</v>
      </c>
      <c r="AN39" s="254">
        <f t="shared" si="14"/>
        <v>0</v>
      </c>
      <c r="AO39" s="254">
        <f>SWITCH(Reference!$E$9, "combined", W39+(AE39*Reference!$B$18), "cashOnly", W39)</f>
        <v>0</v>
      </c>
      <c r="AP39" s="255">
        <f t="shared" si="15"/>
        <v>0</v>
      </c>
      <c r="AQ39" s="255" t="str">
        <f t="shared" si="16"/>
        <v/>
      </c>
      <c r="AR39" s="254">
        <f>LET(avgoFMV, Reference!$B$18*AE39, vmwBasis, Z39*D39, AP39 - IF(W39&lt;AF39,avgoFmv,vmwBasis))</f>
        <v>0</v>
      </c>
      <c r="AS39" s="365">
        <f t="shared" si="17"/>
        <v>0</v>
      </c>
      <c r="AT39" s="363" t="str">
        <f t="shared" si="18"/>
        <v>n/a</v>
      </c>
      <c r="AU39" s="247">
        <f>iferror((Reference!$B$10-AT39)*(AE39 - AG39), 0)</f>
        <v>0</v>
      </c>
      <c r="AV39" s="247">
        <f>IF(DATEDIF(C39,Reference!$B$29,"Y")&gt;=1,0,AU39)</f>
        <v>0</v>
      </c>
      <c r="AW39" s="250">
        <f>IF(DATEDIF(C39,Reference!$B$29,"Y")&gt;=1,AU39,0)</f>
        <v>0</v>
      </c>
    </row>
    <row r="40">
      <c r="A40" s="351" t="s">
        <v>199</v>
      </c>
      <c r="B40" s="352">
        <v>43462.0</v>
      </c>
      <c r="C40" s="221">
        <v>43647.0</v>
      </c>
      <c r="D40" s="222"/>
      <c r="E40" s="353">
        <v>168.77</v>
      </c>
      <c r="F40" s="354"/>
      <c r="G40" s="225">
        <f t="shared" si="7"/>
        <v>0</v>
      </c>
      <c r="H40" s="236">
        <f t="shared" si="8"/>
        <v>0</v>
      </c>
      <c r="I40" s="355"/>
      <c r="J40" s="259" t="b">
        <v>0</v>
      </c>
      <c r="K40" s="356"/>
      <c r="L40" s="230">
        <v>0.0</v>
      </c>
      <c r="M40" s="230">
        <v>0.0</v>
      </c>
      <c r="N40" s="230">
        <v>0.0</v>
      </c>
      <c r="O40" s="230">
        <v>0.0</v>
      </c>
      <c r="P40" s="230">
        <v>0.0</v>
      </c>
      <c r="Q40" s="232">
        <f t="shared" si="9"/>
        <v>0</v>
      </c>
      <c r="R40" s="232">
        <f>SWITCH(S40,"cash",Reference!E$5,"shares",Reference!$E$6,"balance",Reference!$E$7)</f>
        <v>0</v>
      </c>
      <c r="S40" s="233" t="s">
        <v>178</v>
      </c>
      <c r="T40" s="234">
        <f>LET(ratio,Reference!$B$4, ratio*Reference!$B$3*D40)</f>
        <v>0</v>
      </c>
      <c r="U40" s="234">
        <f>iferror(LET(ratio, Q40,(1-ratio) * Reference!$B$3 * $D40),0)</f>
        <v>0</v>
      </c>
      <c r="V40" s="234">
        <f>iferror(LET(ratio, R40,(1-ratio) * Reference!$B$3 * $D40),0)</f>
        <v>0</v>
      </c>
      <c r="W40" s="234">
        <f>SWITCH(Reference!$E$4,"eTradeTransactionLog", T40, "eTradeHoldingRatio",T40, "eTradeLotQtyRatio",U40,"manualLotRatio",V40)</f>
        <v>0</v>
      </c>
      <c r="X40" s="225">
        <f>IF(C40&lt;Reference!$B$26,Reference!$C$26,0)</f>
        <v>0</v>
      </c>
      <c r="Y40" s="225">
        <f>IF(C40&lt;Reference!$B$27,Reference!$C$27,0)</f>
        <v>16.87</v>
      </c>
      <c r="Z40" s="225">
        <f t="shared" si="10"/>
        <v>151.9</v>
      </c>
      <c r="AA40" s="357">
        <f t="shared" si="11"/>
        <v>0</v>
      </c>
      <c r="AB40" s="235">
        <f>$D40*Reference!$B$5*Reference!$B$6</f>
        <v>0</v>
      </c>
      <c r="AC40" s="235">
        <f>$D40*Q40*Reference!$B$6</f>
        <v>0</v>
      </c>
      <c r="AD40" s="235">
        <f>$D40*R40*Reference!$B$6</f>
        <v>0</v>
      </c>
      <c r="AE40" s="235">
        <f>SWITCH(Reference!$E$4, "eTradeTransactionLog", AB40, "eTradeHoldingRatio",AB40, "eTradeLotQtyRatio",AC40,"manualLotRatio",AD40)</f>
        <v>0</v>
      </c>
      <c r="AF40" s="236">
        <f>MAX(W40+(AE40*Reference!$B$18)-AA40,0)</f>
        <v>0</v>
      </c>
      <c r="AG40" s="237">
        <f>IF(J40,Summary!$C$41/ (J$86+ESPP!$N$28), 0)</f>
        <v>0</v>
      </c>
      <c r="AH40" s="358">
        <f>IF(J40,(Reference!$B$23 - AT40) * AG40, 0)</f>
        <v>0</v>
      </c>
      <c r="AI40" s="359">
        <f t="shared" si="12"/>
        <v>0</v>
      </c>
      <c r="AJ40" s="360">
        <f>IF(DATEDIF(C40,Reference!$B$28,"Y")&gt;=1,0,AI40+AH40)</f>
        <v>0</v>
      </c>
      <c r="AK40" s="360">
        <f>IF(DATEDIF(C40,Reference!$B$28,"Y")&gt;=1,AI40+AH40,0)</f>
        <v>0</v>
      </c>
      <c r="AL40" s="364" t="str">
        <f>IF(DATEDIF(C40,Reference!$B$28,"Y")&gt;=1,"Part II Box E","Part I Box B")</f>
        <v>Part II Box E</v>
      </c>
      <c r="AM40" s="253">
        <f t="shared" si="13"/>
        <v>43647</v>
      </c>
      <c r="AN40" s="254">
        <f t="shared" si="14"/>
        <v>0</v>
      </c>
      <c r="AO40" s="254">
        <f>SWITCH(Reference!$E$9, "combined", W40+(AE40*Reference!$B$18), "cashOnly", W40)</f>
        <v>0</v>
      </c>
      <c r="AP40" s="255">
        <f t="shared" si="15"/>
        <v>0</v>
      </c>
      <c r="AQ40" s="255" t="str">
        <f t="shared" si="16"/>
        <v/>
      </c>
      <c r="AR40" s="254">
        <f>LET(avgoFMV, Reference!$B$18*AE40, vmwBasis, Z40*D40, AP40 - IF(W40&lt;AF40,avgoFmv,vmwBasis))</f>
        <v>0</v>
      </c>
      <c r="AS40" s="365">
        <f t="shared" si="17"/>
        <v>0</v>
      </c>
      <c r="AT40" s="363" t="str">
        <f t="shared" si="18"/>
        <v>n/a</v>
      </c>
      <c r="AU40" s="247">
        <f>iferror((Reference!$B$10-AT40)*(AE40 - AG40), 0)</f>
        <v>0</v>
      </c>
      <c r="AV40" s="247">
        <f>IF(DATEDIF(C40,Reference!$B$29,"Y")&gt;=1,0,AU40)</f>
        <v>0</v>
      </c>
      <c r="AW40" s="250">
        <f>IF(DATEDIF(C40,Reference!$B$29,"Y")&gt;=1,AU40,0)</f>
        <v>0</v>
      </c>
    </row>
    <row r="41">
      <c r="A41" s="351" t="s">
        <v>201</v>
      </c>
      <c r="B41" s="352">
        <v>43462.0</v>
      </c>
      <c r="C41" s="221">
        <v>43770.0</v>
      </c>
      <c r="D41" s="222"/>
      <c r="E41" s="353">
        <v>163.06</v>
      </c>
      <c r="F41" s="354"/>
      <c r="G41" s="225">
        <f t="shared" si="7"/>
        <v>0</v>
      </c>
      <c r="H41" s="236">
        <f t="shared" si="8"/>
        <v>0</v>
      </c>
      <c r="I41" s="367"/>
      <c r="J41" s="259" t="b">
        <v>0</v>
      </c>
      <c r="K41" s="356"/>
      <c r="L41" s="230">
        <v>0.0</v>
      </c>
      <c r="M41" s="230">
        <v>0.0</v>
      </c>
      <c r="N41" s="230">
        <v>0.0</v>
      </c>
      <c r="O41" s="230">
        <v>0.0</v>
      </c>
      <c r="P41" s="230">
        <v>0.0</v>
      </c>
      <c r="Q41" s="232">
        <f t="shared" si="9"/>
        <v>0</v>
      </c>
      <c r="R41" s="232">
        <f>SWITCH(S41,"cash",Reference!E$5,"shares",Reference!$E$6,"balance",Reference!$E$7)</f>
        <v>0</v>
      </c>
      <c r="S41" s="233" t="s">
        <v>178</v>
      </c>
      <c r="T41" s="234">
        <f>LET(ratio,Reference!$B$4, ratio*Reference!$B$3*D41)</f>
        <v>0</v>
      </c>
      <c r="U41" s="234">
        <f>iferror(LET(ratio, Q41,(1-ratio) * Reference!$B$3 * $D41),0)</f>
        <v>0</v>
      </c>
      <c r="V41" s="234">
        <f>iferror(LET(ratio, R41,(1-ratio) * Reference!$B$3 * $D41),0)</f>
        <v>0</v>
      </c>
      <c r="W41" s="234">
        <f>SWITCH(Reference!$E$4,"eTradeTransactionLog", T41, "eTradeHoldingRatio",T41, "eTradeLotQtyRatio",U41,"manualLotRatio",V41)</f>
        <v>0</v>
      </c>
      <c r="X41" s="225">
        <f>IF(C41&lt;Reference!$B$26,Reference!$C$26,0)</f>
        <v>0</v>
      </c>
      <c r="Y41" s="225">
        <f>IF(C41&lt;Reference!$B$27,Reference!$C$27,0)</f>
        <v>16.87</v>
      </c>
      <c r="Z41" s="225">
        <f t="shared" si="10"/>
        <v>146.19</v>
      </c>
      <c r="AA41" s="357">
        <f t="shared" si="11"/>
        <v>0</v>
      </c>
      <c r="AB41" s="235">
        <f>$D41*Reference!$B$5*Reference!$B$6</f>
        <v>0</v>
      </c>
      <c r="AC41" s="235">
        <f>$D41*Q41*Reference!$B$6</f>
        <v>0</v>
      </c>
      <c r="AD41" s="235">
        <f>$D41*R41*Reference!$B$6</f>
        <v>0</v>
      </c>
      <c r="AE41" s="235">
        <f>SWITCH(Reference!$E$4, "eTradeTransactionLog", AB41, "eTradeHoldingRatio",AB41, "eTradeLotQtyRatio",AC41,"manualLotRatio",AD41)</f>
        <v>0</v>
      </c>
      <c r="AF41" s="236">
        <f>MAX(W41+(AE41*Reference!$B$18)-AA41,0)</f>
        <v>0</v>
      </c>
      <c r="AG41" s="237">
        <f>IF(J41,Summary!$C$41/ (J$86+ESPP!$N$28), 0)</f>
        <v>0</v>
      </c>
      <c r="AH41" s="358">
        <f>IF(J41,(Reference!$B$23 - AT41) * AG41, 0)</f>
        <v>0</v>
      </c>
      <c r="AI41" s="359">
        <f t="shared" si="12"/>
        <v>0</v>
      </c>
      <c r="AJ41" s="360">
        <f>IF(DATEDIF(C41,Reference!$B$28,"Y")&gt;=1,0,AI41+AH41)</f>
        <v>0</v>
      </c>
      <c r="AK41" s="360">
        <f>IF(DATEDIF(C41,Reference!$B$28,"Y")&gt;=1,AI41+AH41,0)</f>
        <v>0</v>
      </c>
      <c r="AL41" s="364" t="str">
        <f>IF(DATEDIF(C41,Reference!$B$28,"Y")&gt;=1,"Part II Box E","Part I Box B")</f>
        <v>Part II Box E</v>
      </c>
      <c r="AM41" s="253">
        <f t="shared" si="13"/>
        <v>43770</v>
      </c>
      <c r="AN41" s="254">
        <f t="shared" si="14"/>
        <v>0</v>
      </c>
      <c r="AO41" s="254">
        <f>SWITCH(Reference!$E$9, "combined", W41+(AE41*Reference!$B$18), "cashOnly", W41)</f>
        <v>0</v>
      </c>
      <c r="AP41" s="255">
        <f t="shared" si="15"/>
        <v>0</v>
      </c>
      <c r="AQ41" s="255" t="str">
        <f t="shared" si="16"/>
        <v/>
      </c>
      <c r="AR41" s="254">
        <f>LET(avgoFMV, Reference!$B$18*AE41, vmwBasis, Z41*D41, AP41 - IF(W41&lt;AF41,avgoFmv,vmwBasis))</f>
        <v>0</v>
      </c>
      <c r="AS41" s="365">
        <f t="shared" si="17"/>
        <v>0</v>
      </c>
      <c r="AT41" s="363" t="str">
        <f t="shared" si="18"/>
        <v>n/a</v>
      </c>
      <c r="AU41" s="247">
        <f>iferror((Reference!$B$10-AT41)*(AE41 - AG41), 0)</f>
        <v>0</v>
      </c>
      <c r="AV41" s="247">
        <f>IF(DATEDIF(C41,Reference!$B$29,"Y")&gt;=1,0,AU41)</f>
        <v>0</v>
      </c>
      <c r="AW41" s="250">
        <f>IF(DATEDIF(C41,Reference!$B$29,"Y")&gt;=1,AU41,0)</f>
        <v>0</v>
      </c>
    </row>
    <row r="42">
      <c r="A42" s="351" t="s">
        <v>202</v>
      </c>
      <c r="B42" s="352">
        <v>43462.0</v>
      </c>
      <c r="C42" s="221">
        <v>43800.0</v>
      </c>
      <c r="D42" s="222"/>
      <c r="E42" s="353">
        <v>155.62</v>
      </c>
      <c r="F42" s="354"/>
      <c r="G42" s="225">
        <f t="shared" si="7"/>
        <v>0</v>
      </c>
      <c r="H42" s="236">
        <f t="shared" si="8"/>
        <v>0</v>
      </c>
      <c r="I42" s="367"/>
      <c r="J42" s="259" t="b">
        <v>0</v>
      </c>
      <c r="K42" s="356"/>
      <c r="L42" s="230">
        <v>0.0</v>
      </c>
      <c r="M42" s="230">
        <v>0.0</v>
      </c>
      <c r="N42" s="230">
        <v>0.0</v>
      </c>
      <c r="O42" s="230">
        <v>0.0</v>
      </c>
      <c r="P42" s="230">
        <v>0.0</v>
      </c>
      <c r="Q42" s="232">
        <f t="shared" si="9"/>
        <v>0</v>
      </c>
      <c r="R42" s="232">
        <f>SWITCH(S42,"cash",Reference!E$5,"shares",Reference!$E$6,"balance",Reference!$E$7)</f>
        <v>0</v>
      </c>
      <c r="S42" s="233" t="s">
        <v>178</v>
      </c>
      <c r="T42" s="234">
        <f>LET(ratio,Reference!$B$4, ratio*Reference!$B$3*D42)</f>
        <v>0</v>
      </c>
      <c r="U42" s="234">
        <f>iferror(LET(ratio, Q42,(1-ratio) * Reference!$B$3 * $D42),0)</f>
        <v>0</v>
      </c>
      <c r="V42" s="234">
        <f>iferror(LET(ratio, R42,(1-ratio) * Reference!$B$3 * $D42),0)</f>
        <v>0</v>
      </c>
      <c r="W42" s="234">
        <f>SWITCH(Reference!$E$4,"eTradeTransactionLog", T42, "eTradeHoldingRatio",T42, "eTradeLotQtyRatio",U42,"manualLotRatio",V42)</f>
        <v>0</v>
      </c>
      <c r="X42" s="225">
        <f>IF(C42&lt;Reference!$B$26,Reference!$C$26,0)</f>
        <v>0</v>
      </c>
      <c r="Y42" s="225">
        <f>IF(C42&lt;Reference!$B$27,Reference!$C$27,0)</f>
        <v>16.87</v>
      </c>
      <c r="Z42" s="225">
        <f t="shared" si="10"/>
        <v>138.75</v>
      </c>
      <c r="AA42" s="357">
        <f t="shared" si="11"/>
        <v>0</v>
      </c>
      <c r="AB42" s="235">
        <f>$D42*Reference!$B$5*Reference!$B$6</f>
        <v>0</v>
      </c>
      <c r="AC42" s="235">
        <f>$D42*Q42*Reference!$B$6</f>
        <v>0</v>
      </c>
      <c r="AD42" s="235">
        <f>$D42*R42*Reference!$B$6</f>
        <v>0</v>
      </c>
      <c r="AE42" s="235">
        <f>SWITCH(Reference!$E$4, "eTradeTransactionLog", AB42, "eTradeHoldingRatio",AB42, "eTradeLotQtyRatio",AC42,"manualLotRatio",AD42)</f>
        <v>0</v>
      </c>
      <c r="AF42" s="236">
        <f>MAX(W42+(AE42*Reference!$B$18)-AA42,0)</f>
        <v>0</v>
      </c>
      <c r="AG42" s="237">
        <f>IF(J42,Summary!$C$41/ (J$86+ESPP!$N$28), 0)</f>
        <v>0</v>
      </c>
      <c r="AH42" s="358">
        <f>IF(J42,(Reference!$B$23 - AT42) * AG42, 0)</f>
        <v>0</v>
      </c>
      <c r="AI42" s="359">
        <f t="shared" si="12"/>
        <v>0</v>
      </c>
      <c r="AJ42" s="360">
        <f>IF(DATEDIF(C42,Reference!$B$28,"Y")&gt;=1,0,AI42+AH42)</f>
        <v>0</v>
      </c>
      <c r="AK42" s="360">
        <f>IF(DATEDIF(C42,Reference!$B$28,"Y")&gt;=1,AI42+AH42,0)</f>
        <v>0</v>
      </c>
      <c r="AL42" s="364" t="str">
        <f>IF(DATEDIF(C42,Reference!$B$28,"Y")&gt;=1,"Part II Box E","Part I Box B")</f>
        <v>Part II Box E</v>
      </c>
      <c r="AM42" s="253">
        <f t="shared" si="13"/>
        <v>43800</v>
      </c>
      <c r="AN42" s="254">
        <f t="shared" si="14"/>
        <v>0</v>
      </c>
      <c r="AO42" s="254">
        <f>SWITCH(Reference!$E$9, "combined", W42+(AE42*Reference!$B$18), "cashOnly", W42)</f>
        <v>0</v>
      </c>
      <c r="AP42" s="255">
        <f t="shared" si="15"/>
        <v>0</v>
      </c>
      <c r="AQ42" s="255" t="str">
        <f t="shared" si="16"/>
        <v/>
      </c>
      <c r="AR42" s="254">
        <f>LET(avgoFMV, Reference!$B$18*AE42, vmwBasis, Z42*D42, AP42 - IF(W42&lt;AF42,avgoFmv,vmwBasis))</f>
        <v>0</v>
      </c>
      <c r="AS42" s="365">
        <f t="shared" si="17"/>
        <v>0</v>
      </c>
      <c r="AT42" s="363" t="str">
        <f t="shared" si="18"/>
        <v>n/a</v>
      </c>
      <c r="AU42" s="247">
        <f>iferror((Reference!$B$10-AT42)*(AE42 - AG42), 0)</f>
        <v>0</v>
      </c>
      <c r="AV42" s="247">
        <f>IF(DATEDIF(C42,Reference!$B$29,"Y")&gt;=1,0,AU42)</f>
        <v>0</v>
      </c>
      <c r="AW42" s="250">
        <f>IF(DATEDIF(C42,Reference!$B$29,"Y")&gt;=1,AU42,0)</f>
        <v>0</v>
      </c>
    </row>
    <row r="43">
      <c r="A43" s="351" t="s">
        <v>199</v>
      </c>
      <c r="B43" s="352">
        <v>43462.0</v>
      </c>
      <c r="C43" s="221">
        <v>43831.0</v>
      </c>
      <c r="D43" s="222"/>
      <c r="E43" s="353">
        <v>151.79</v>
      </c>
      <c r="F43" s="354"/>
      <c r="G43" s="225">
        <f t="shared" si="7"/>
        <v>0</v>
      </c>
      <c r="H43" s="236">
        <f t="shared" si="8"/>
        <v>0</v>
      </c>
      <c r="I43" s="355"/>
      <c r="J43" s="259" t="b">
        <v>0</v>
      </c>
      <c r="K43" s="356"/>
      <c r="L43" s="230">
        <v>0.0</v>
      </c>
      <c r="M43" s="230">
        <v>0.0</v>
      </c>
      <c r="N43" s="230">
        <v>0.0</v>
      </c>
      <c r="O43" s="230">
        <v>0.0</v>
      </c>
      <c r="P43" s="230">
        <v>0.0</v>
      </c>
      <c r="Q43" s="232">
        <f t="shared" si="9"/>
        <v>0</v>
      </c>
      <c r="R43" s="232">
        <f>SWITCH(S43,"cash",Reference!E$5,"shares",Reference!$E$6,"balance",Reference!$E$7)</f>
        <v>0</v>
      </c>
      <c r="S43" s="233" t="s">
        <v>178</v>
      </c>
      <c r="T43" s="234">
        <f>LET(ratio,Reference!$B$4, ratio*Reference!$B$3*D43)</f>
        <v>0</v>
      </c>
      <c r="U43" s="234">
        <f>iferror(LET(ratio, Q43,(1-ratio) * Reference!$B$3 * $D43),0)</f>
        <v>0</v>
      </c>
      <c r="V43" s="234">
        <f>iferror(LET(ratio, R43,(1-ratio) * Reference!$B$3 * $D43),0)</f>
        <v>0</v>
      </c>
      <c r="W43" s="234">
        <f>SWITCH(Reference!$E$4,"eTradeTransactionLog", T43, "eTradeHoldingRatio",T43, "eTradeLotQtyRatio",U43,"manualLotRatio",V43)</f>
        <v>0</v>
      </c>
      <c r="X43" s="225">
        <f>IF(C43&lt;Reference!$B$26,Reference!$C$26,0)</f>
        <v>0</v>
      </c>
      <c r="Y43" s="225">
        <f>IF(C43&lt;Reference!$B$27,Reference!$C$27,0)</f>
        <v>16.87</v>
      </c>
      <c r="Z43" s="225">
        <f t="shared" si="10"/>
        <v>134.92</v>
      </c>
      <c r="AA43" s="357">
        <f t="shared" si="11"/>
        <v>0</v>
      </c>
      <c r="AB43" s="235">
        <f>$D43*Reference!$B$5*Reference!$B$6</f>
        <v>0</v>
      </c>
      <c r="AC43" s="235">
        <f>$D43*Q43*Reference!$B$6</f>
        <v>0</v>
      </c>
      <c r="AD43" s="235">
        <f>$D43*R43*Reference!$B$6</f>
        <v>0</v>
      </c>
      <c r="AE43" s="235">
        <f>SWITCH(Reference!$E$4, "eTradeTransactionLog", AB43, "eTradeHoldingRatio",AB43, "eTradeLotQtyRatio",AC43,"manualLotRatio",AD43)</f>
        <v>0</v>
      </c>
      <c r="AF43" s="236">
        <f>MAX(W43+(AE43*Reference!$B$18)-AA43,0)</f>
        <v>0</v>
      </c>
      <c r="AG43" s="237">
        <f>IF(J43,Summary!$C$41/ (J$86+ESPP!$N$28), 0)</f>
        <v>0</v>
      </c>
      <c r="AH43" s="358">
        <f>IF(J43,(Reference!$B$23 - AT43) * AG43, 0)</f>
        <v>0</v>
      </c>
      <c r="AI43" s="359">
        <f t="shared" si="12"/>
        <v>0</v>
      </c>
      <c r="AJ43" s="360">
        <f>IF(DATEDIF(C43,Reference!$B$28,"Y")&gt;=1,0,AI43+AH43)</f>
        <v>0</v>
      </c>
      <c r="AK43" s="360">
        <f>IF(DATEDIF(C43,Reference!$B$28,"Y")&gt;=1,AI43+AH43,0)</f>
        <v>0</v>
      </c>
      <c r="AL43" s="364" t="str">
        <f>IF(DATEDIF(C43,Reference!$B$28,"Y")&gt;=1,"Part II Box E","Part I Box B")</f>
        <v>Part II Box E</v>
      </c>
      <c r="AM43" s="253">
        <f t="shared" si="13"/>
        <v>43831</v>
      </c>
      <c r="AN43" s="254">
        <f t="shared" si="14"/>
        <v>0</v>
      </c>
      <c r="AO43" s="254">
        <f>SWITCH(Reference!$E$9, "combined", W43+(AE43*Reference!$B$18), "cashOnly", W43)</f>
        <v>0</v>
      </c>
      <c r="AP43" s="255">
        <f t="shared" si="15"/>
        <v>0</v>
      </c>
      <c r="AQ43" s="255" t="str">
        <f t="shared" si="16"/>
        <v/>
      </c>
      <c r="AR43" s="254">
        <f>LET(avgoFMV, Reference!$B$18*AE43, vmwBasis, Z43*D43, AP43 - IF(W43&lt;AF43,avgoFmv,vmwBasis))</f>
        <v>0</v>
      </c>
      <c r="AS43" s="365">
        <f t="shared" si="17"/>
        <v>0</v>
      </c>
      <c r="AT43" s="363" t="str">
        <f t="shared" si="18"/>
        <v>n/a</v>
      </c>
      <c r="AU43" s="247">
        <f>iferror((Reference!$B$10-AT43)*(AE43 - AG43), 0)</f>
        <v>0</v>
      </c>
      <c r="AV43" s="247">
        <f>IF(DATEDIF(C43,Reference!$B$29,"Y")&gt;=1,0,AU43)</f>
        <v>0</v>
      </c>
      <c r="AW43" s="250">
        <f>IF(DATEDIF(C43,Reference!$B$29,"Y")&gt;=1,AU43,0)</f>
        <v>0</v>
      </c>
    </row>
    <row r="44">
      <c r="A44" s="351"/>
      <c r="B44" s="368"/>
      <c r="C44" s="221">
        <v>43862.0</v>
      </c>
      <c r="D44" s="222"/>
      <c r="E44" s="353">
        <v>148.06</v>
      </c>
      <c r="F44" s="354"/>
      <c r="G44" s="225">
        <f t="shared" si="7"/>
        <v>0</v>
      </c>
      <c r="H44" s="236">
        <f t="shared" si="8"/>
        <v>0</v>
      </c>
      <c r="I44" s="355"/>
      <c r="J44" s="259" t="b">
        <v>0</v>
      </c>
      <c r="K44" s="356"/>
      <c r="L44" s="230">
        <v>0.0</v>
      </c>
      <c r="M44" s="230">
        <v>0.0</v>
      </c>
      <c r="N44" s="230">
        <v>0.0</v>
      </c>
      <c r="O44" s="230">
        <v>0.0</v>
      </c>
      <c r="P44" s="230">
        <v>0.0</v>
      </c>
      <c r="Q44" s="232">
        <f t="shared" si="9"/>
        <v>0</v>
      </c>
      <c r="R44" s="232">
        <f>SWITCH(S44,"cash",Reference!E$5,"shares",Reference!$E$6,"balance",Reference!$E$7)</f>
        <v>0</v>
      </c>
      <c r="S44" s="233" t="s">
        <v>178</v>
      </c>
      <c r="T44" s="234">
        <f>LET(ratio,Reference!$B$4, ratio*Reference!$B$3*D44)</f>
        <v>0</v>
      </c>
      <c r="U44" s="234">
        <f>iferror(LET(ratio, Q44,(1-ratio) * Reference!$B$3 * $D44),0)</f>
        <v>0</v>
      </c>
      <c r="V44" s="234">
        <f>iferror(LET(ratio, R44,(1-ratio) * Reference!$B$3 * $D44),0)</f>
        <v>0</v>
      </c>
      <c r="W44" s="234">
        <f>SWITCH(Reference!$E$4,"eTradeTransactionLog", T44, "eTradeHoldingRatio",T44, "eTradeLotQtyRatio",U44,"manualLotRatio",V44)</f>
        <v>0</v>
      </c>
      <c r="X44" s="225">
        <f>IF(C44&lt;Reference!$B$26,Reference!$C$26,0)</f>
        <v>0</v>
      </c>
      <c r="Y44" s="225">
        <f>IF(C44&lt;Reference!$B$27,Reference!$C$27,0)</f>
        <v>16.87</v>
      </c>
      <c r="Z44" s="225">
        <f t="shared" si="10"/>
        <v>131.19</v>
      </c>
      <c r="AA44" s="225">
        <f t="shared" si="11"/>
        <v>0</v>
      </c>
      <c r="AB44" s="235">
        <f>$D44*Reference!$B$5*Reference!$B$6</f>
        <v>0</v>
      </c>
      <c r="AC44" s="235">
        <f>$D44*Q44*Reference!$B$6</f>
        <v>0</v>
      </c>
      <c r="AD44" s="235">
        <f>$D44*R44*Reference!$B$6</f>
        <v>0</v>
      </c>
      <c r="AE44" s="235">
        <f>SWITCH(Reference!$E$4, "eTradeTransactionLog", AB44, "eTradeHoldingRatio",AB44, "eTradeLotQtyRatio",AC44,"manualLotRatio",AD44)</f>
        <v>0</v>
      </c>
      <c r="AF44" s="236">
        <f>MAX(W44+(AE44*Reference!$B$18)-AA44,0)</f>
        <v>0</v>
      </c>
      <c r="AG44" s="237">
        <f>IF(J44,Summary!$C$41/ (J$86+ESPP!$N$28), 0)</f>
        <v>0</v>
      </c>
      <c r="AH44" s="358">
        <f>IF(J44,(Reference!$B$23 - AT44) * AG44, 0)</f>
        <v>0</v>
      </c>
      <c r="AI44" s="359">
        <f t="shared" si="12"/>
        <v>0</v>
      </c>
      <c r="AJ44" s="360">
        <f>IF(DATEDIF(C44,Reference!$B$28,"Y")&gt;=1,0,AI44+AH44)</f>
        <v>0</v>
      </c>
      <c r="AK44" s="360">
        <f>IF(DATEDIF(C44,Reference!$B$28,"Y")&gt;=1,AI44+AH44,0)</f>
        <v>0</v>
      </c>
      <c r="AL44" s="364" t="str">
        <f>IF(DATEDIF(C44,Reference!$B$28,"Y")&gt;=1,"Part II Box E","Part I Box B")</f>
        <v>Part II Box E</v>
      </c>
      <c r="AM44" s="253">
        <f t="shared" si="13"/>
        <v>43862</v>
      </c>
      <c r="AN44" s="254">
        <f t="shared" si="14"/>
        <v>0</v>
      </c>
      <c r="AO44" s="254">
        <f>SWITCH(Reference!$E$9, "combined", W44+(AE44*Reference!$B$18), "cashOnly", W44)</f>
        <v>0</v>
      </c>
      <c r="AP44" s="255">
        <f t="shared" si="15"/>
        <v>0</v>
      </c>
      <c r="AQ44" s="255" t="str">
        <f t="shared" si="16"/>
        <v/>
      </c>
      <c r="AR44" s="254">
        <f>LET(avgoFMV, Reference!$B$18*AE44, vmwBasis, Z44*D44, AP44 - IF(W44&lt;AF44,avgoFmv,vmwBasis))</f>
        <v>0</v>
      </c>
      <c r="AS44" s="365">
        <f t="shared" si="17"/>
        <v>0</v>
      </c>
      <c r="AT44" s="363" t="str">
        <f t="shared" si="18"/>
        <v>n/a</v>
      </c>
      <c r="AU44" s="247">
        <f>iferror((Reference!$B$10-AT44)*(AE44 - AG44), 0)</f>
        <v>0</v>
      </c>
      <c r="AV44" s="247">
        <f>IF(DATEDIF(C44,Reference!$B$29,"Y")&gt;=1,0,AU44)</f>
        <v>0</v>
      </c>
      <c r="AW44" s="250">
        <f>IF(DATEDIF(C44,Reference!$B$29,"Y")&gt;=1,AU44,0)</f>
        <v>0</v>
      </c>
    </row>
    <row r="45">
      <c r="A45" s="351"/>
      <c r="B45" s="368"/>
      <c r="C45" s="369">
        <v>43891.0</v>
      </c>
      <c r="D45" s="222"/>
      <c r="E45" s="223">
        <v>120.52</v>
      </c>
      <c r="F45" s="354"/>
      <c r="G45" s="225">
        <f t="shared" si="7"/>
        <v>0</v>
      </c>
      <c r="H45" s="236">
        <f t="shared" si="8"/>
        <v>0</v>
      </c>
      <c r="I45" s="355"/>
      <c r="J45" s="259" t="b">
        <v>0</v>
      </c>
      <c r="K45" s="356"/>
      <c r="L45" s="230">
        <v>0.0</v>
      </c>
      <c r="M45" s="230">
        <v>0.0</v>
      </c>
      <c r="N45" s="230">
        <v>0.0</v>
      </c>
      <c r="O45" s="230">
        <v>0.0</v>
      </c>
      <c r="P45" s="230">
        <v>0.0</v>
      </c>
      <c r="Q45" s="232">
        <f t="shared" si="9"/>
        <v>0</v>
      </c>
      <c r="R45" s="232">
        <f>SWITCH(S45,"cash",Reference!E$5,"shares",Reference!$E$6,"balance",Reference!$E$7)</f>
        <v>0</v>
      </c>
      <c r="S45" s="233" t="s">
        <v>178</v>
      </c>
      <c r="T45" s="234">
        <f>LET(ratio,Reference!$B$4, ratio*Reference!$B$3*D45)</f>
        <v>0</v>
      </c>
      <c r="U45" s="234">
        <f>iferror(LET(ratio, Q45,(1-ratio) * Reference!$B$3 * $D45),0)</f>
        <v>0</v>
      </c>
      <c r="V45" s="234">
        <f>iferror(LET(ratio, R45,(1-ratio) * Reference!$B$3 * $D45),0)</f>
        <v>0</v>
      </c>
      <c r="W45" s="234">
        <f>SWITCH(Reference!$E$4,"eTradeTransactionLog", T45, "eTradeHoldingRatio",T45, "eTradeLotQtyRatio",U45,"manualLotRatio",V45)</f>
        <v>0</v>
      </c>
      <c r="X45" s="225">
        <f>IF(C45&lt;Reference!$B$26,Reference!$C$26,0)</f>
        <v>0</v>
      </c>
      <c r="Y45" s="225">
        <f>IF(C45&lt;Reference!$B$27,Reference!$C$27,0)</f>
        <v>16.87</v>
      </c>
      <c r="Z45" s="225">
        <f t="shared" si="10"/>
        <v>103.65</v>
      </c>
      <c r="AA45" s="225">
        <f t="shared" si="11"/>
        <v>0</v>
      </c>
      <c r="AB45" s="235">
        <f>$D45*Reference!$B$5*Reference!$B$6</f>
        <v>0</v>
      </c>
      <c r="AC45" s="235">
        <f>$D45*Q45*Reference!$B$6</f>
        <v>0</v>
      </c>
      <c r="AD45" s="235">
        <f>$D45*R45*Reference!$B$6</f>
        <v>0</v>
      </c>
      <c r="AE45" s="235">
        <f>SWITCH(Reference!$E$4, "eTradeTransactionLog", AB45, "eTradeHoldingRatio",AB45, "eTradeLotQtyRatio",AC45,"manualLotRatio",AD45)</f>
        <v>0</v>
      </c>
      <c r="AF45" s="236">
        <f>MAX(W45+(AE45*Reference!$B$18)-AA45,0)</f>
        <v>0</v>
      </c>
      <c r="AG45" s="237">
        <f>IF(J45,Summary!$C$41/ (J$86+ESPP!$N$28), 0)</f>
        <v>0</v>
      </c>
      <c r="AH45" s="358">
        <f>IF(J45,(Reference!$B$23 - AT45) * AG45, 0)</f>
        <v>0</v>
      </c>
      <c r="AI45" s="359">
        <f t="shared" si="12"/>
        <v>0</v>
      </c>
      <c r="AJ45" s="360">
        <f>IF(DATEDIF(C45,Reference!$B$28,"Y")&gt;=1,0,AI45+AH45)</f>
        <v>0</v>
      </c>
      <c r="AK45" s="360">
        <f>IF(DATEDIF(C45,Reference!$B$28,"Y")&gt;=1,AI45+AH45,0)</f>
        <v>0</v>
      </c>
      <c r="AL45" s="364" t="str">
        <f>IF(DATEDIF(C45,Reference!$B$28,"Y")&gt;=1,"Part II Box E","Part I Box B")</f>
        <v>Part II Box E</v>
      </c>
      <c r="AM45" s="253">
        <f t="shared" si="13"/>
        <v>43891</v>
      </c>
      <c r="AN45" s="254">
        <f t="shared" si="14"/>
        <v>0</v>
      </c>
      <c r="AO45" s="254">
        <f>SWITCH(Reference!$E$9, "combined", W45+(AE45*Reference!$B$18), "cashOnly", W45)</f>
        <v>0</v>
      </c>
      <c r="AP45" s="255">
        <f t="shared" si="15"/>
        <v>0</v>
      </c>
      <c r="AQ45" s="255" t="str">
        <f t="shared" si="16"/>
        <v/>
      </c>
      <c r="AR45" s="254">
        <f>LET(avgoFMV, Reference!$B$18*AE45, vmwBasis, Z45*D45, AP45 - IF(W45&lt;AF45,avgoFmv,vmwBasis))</f>
        <v>0</v>
      </c>
      <c r="AS45" s="365">
        <f t="shared" si="17"/>
        <v>0</v>
      </c>
      <c r="AT45" s="363" t="str">
        <f t="shared" si="18"/>
        <v>n/a</v>
      </c>
      <c r="AU45" s="247">
        <f>iferror((Reference!$B$10-AT45)*(AE45 - AG45), 0)</f>
        <v>0</v>
      </c>
      <c r="AV45" s="247">
        <f>IF(DATEDIF(C45,Reference!$B$29,"Y")&gt;=1,0,AU45)</f>
        <v>0</v>
      </c>
      <c r="AW45" s="250">
        <f>IF(DATEDIF(C45,Reference!$B$29,"Y")&gt;=1,AU45,0)</f>
        <v>0</v>
      </c>
    </row>
    <row r="46">
      <c r="A46" s="351" t="s">
        <v>201</v>
      </c>
      <c r="B46" s="352">
        <v>43462.0</v>
      </c>
      <c r="C46" s="221">
        <v>43952.0</v>
      </c>
      <c r="D46" s="222"/>
      <c r="E46" s="353">
        <v>125.34</v>
      </c>
      <c r="F46" s="354"/>
      <c r="G46" s="225">
        <f t="shared" si="7"/>
        <v>0</v>
      </c>
      <c r="H46" s="236">
        <f t="shared" si="8"/>
        <v>0</v>
      </c>
      <c r="I46" s="355"/>
      <c r="J46" s="259" t="b">
        <v>0</v>
      </c>
      <c r="K46" s="356"/>
      <c r="L46" s="230">
        <v>0.0</v>
      </c>
      <c r="M46" s="230">
        <v>0.0</v>
      </c>
      <c r="N46" s="230">
        <v>0.0</v>
      </c>
      <c r="O46" s="230">
        <v>0.0</v>
      </c>
      <c r="P46" s="230">
        <v>0.0</v>
      </c>
      <c r="Q46" s="232">
        <f t="shared" si="9"/>
        <v>0</v>
      </c>
      <c r="R46" s="232">
        <f>SWITCH(S46,"cash",Reference!E$5,"shares",Reference!$E$6,"balance",Reference!$E$7)</f>
        <v>0</v>
      </c>
      <c r="S46" s="233" t="s">
        <v>178</v>
      </c>
      <c r="T46" s="234">
        <f>LET(ratio,Reference!$B$4, ratio*Reference!$B$3*D46)</f>
        <v>0</v>
      </c>
      <c r="U46" s="234">
        <f>iferror(LET(ratio, Q46,(1-ratio) * Reference!$B$3 * $D46),0)</f>
        <v>0</v>
      </c>
      <c r="V46" s="234">
        <f>iferror(LET(ratio, R46,(1-ratio) * Reference!$B$3 * $D46),0)</f>
        <v>0</v>
      </c>
      <c r="W46" s="234">
        <f>SWITCH(Reference!$E$4,"eTradeTransactionLog", T46, "eTradeHoldingRatio",T46, "eTradeLotQtyRatio",U46,"manualLotRatio",V46)</f>
        <v>0</v>
      </c>
      <c r="X46" s="225">
        <f>IF(C46&lt;Reference!$B$26,Reference!$C$26,0)</f>
        <v>0</v>
      </c>
      <c r="Y46" s="225">
        <f>IF(C46&lt;Reference!$B$27,Reference!$C$27,0)</f>
        <v>16.87</v>
      </c>
      <c r="Z46" s="225">
        <f t="shared" si="10"/>
        <v>108.47</v>
      </c>
      <c r="AA46" s="225">
        <f t="shared" si="11"/>
        <v>0</v>
      </c>
      <c r="AB46" s="235">
        <f>$D46*Reference!$B$5*Reference!$B$6</f>
        <v>0</v>
      </c>
      <c r="AC46" s="235">
        <f>$D46*Q46*Reference!$B$6</f>
        <v>0</v>
      </c>
      <c r="AD46" s="235">
        <f>$D46*R46*Reference!$B$6</f>
        <v>0</v>
      </c>
      <c r="AE46" s="235">
        <f>SWITCH(Reference!$E$4, "eTradeTransactionLog", AB46, "eTradeHoldingRatio",AB46, "eTradeLotQtyRatio",AC46,"manualLotRatio",AD46)</f>
        <v>0</v>
      </c>
      <c r="AF46" s="236">
        <f>MAX(W46+(AE46*Reference!$B$18)-AA46,0)</f>
        <v>0</v>
      </c>
      <c r="AG46" s="237">
        <f>IF(J46,Summary!$C$41/ (J$86+ESPP!$N$28), 0)</f>
        <v>0</v>
      </c>
      <c r="AH46" s="358">
        <f>IF(J46,(Reference!$B$23 - AT46) * AG46, 0)</f>
        <v>0</v>
      </c>
      <c r="AI46" s="359">
        <f t="shared" si="12"/>
        <v>0</v>
      </c>
      <c r="AJ46" s="360">
        <f>IF(DATEDIF(C46,Reference!$B$28,"Y")&gt;=1,0,AI46+AH46)</f>
        <v>0</v>
      </c>
      <c r="AK46" s="360">
        <f>IF(DATEDIF(C46,Reference!$B$28,"Y")&gt;=1,AI46+AH46,0)</f>
        <v>0</v>
      </c>
      <c r="AL46" s="364" t="str">
        <f>IF(DATEDIF(C46,Reference!$B$28,"Y")&gt;=1,"Part II Box E","Part I Box B")</f>
        <v>Part II Box E</v>
      </c>
      <c r="AM46" s="253">
        <f t="shared" si="13"/>
        <v>43952</v>
      </c>
      <c r="AN46" s="254">
        <f t="shared" si="14"/>
        <v>0</v>
      </c>
      <c r="AO46" s="254">
        <f>SWITCH(Reference!$E$9, "combined", W46+(AE46*Reference!$B$18), "cashOnly", W46)</f>
        <v>0</v>
      </c>
      <c r="AP46" s="255">
        <f t="shared" si="15"/>
        <v>0</v>
      </c>
      <c r="AQ46" s="255" t="str">
        <f t="shared" si="16"/>
        <v/>
      </c>
      <c r="AR46" s="254">
        <f>LET(avgoFMV, Reference!$B$18*AE46, vmwBasis, Z46*D46, AP46 - IF(W46&lt;AF46,avgoFmv,vmwBasis))</f>
        <v>0</v>
      </c>
      <c r="AS46" s="365">
        <f t="shared" si="17"/>
        <v>0</v>
      </c>
      <c r="AT46" s="363" t="str">
        <f t="shared" si="18"/>
        <v>n/a</v>
      </c>
      <c r="AU46" s="247">
        <f>iferror((Reference!$B$10-AT46)*(AE46 - AG46), 0)</f>
        <v>0</v>
      </c>
      <c r="AV46" s="247">
        <f>IF(DATEDIF(C46,Reference!$B$29,"Y")&gt;=1,0,AU46)</f>
        <v>0</v>
      </c>
      <c r="AW46" s="250">
        <f>IF(DATEDIF(C46,Reference!$B$29,"Y")&gt;=1,AU46,0)</f>
        <v>0</v>
      </c>
    </row>
    <row r="47">
      <c r="A47" s="351" t="s">
        <v>203</v>
      </c>
      <c r="B47" s="352">
        <v>43630.0</v>
      </c>
      <c r="C47" s="221">
        <v>43983.0</v>
      </c>
      <c r="D47" s="222"/>
      <c r="E47" s="353">
        <v>154.14</v>
      </c>
      <c r="F47" s="354"/>
      <c r="G47" s="225">
        <f t="shared" si="7"/>
        <v>0</v>
      </c>
      <c r="H47" s="236">
        <f t="shared" si="8"/>
        <v>0</v>
      </c>
      <c r="I47" s="367"/>
      <c r="J47" s="259" t="b">
        <v>0</v>
      </c>
      <c r="K47" s="356"/>
      <c r="L47" s="230">
        <v>0.0</v>
      </c>
      <c r="M47" s="230">
        <v>0.0</v>
      </c>
      <c r="N47" s="230">
        <v>0.0</v>
      </c>
      <c r="O47" s="230">
        <v>0.0</v>
      </c>
      <c r="P47" s="230">
        <v>0.0</v>
      </c>
      <c r="Q47" s="232">
        <f t="shared" si="9"/>
        <v>0</v>
      </c>
      <c r="R47" s="232">
        <f>SWITCH(S47,"cash",Reference!E$5,"shares",Reference!$E$6,"balance",Reference!$E$7)</f>
        <v>0</v>
      </c>
      <c r="S47" s="233" t="s">
        <v>178</v>
      </c>
      <c r="T47" s="234">
        <f>LET(ratio,Reference!$B$4, ratio*Reference!$B$3*D47)</f>
        <v>0</v>
      </c>
      <c r="U47" s="234">
        <f>iferror(LET(ratio, Q47,(1-ratio) * Reference!$B$3 * $D47),0)</f>
        <v>0</v>
      </c>
      <c r="V47" s="234">
        <f>iferror(LET(ratio, R47,(1-ratio) * Reference!$B$3 * $D47),0)</f>
        <v>0</v>
      </c>
      <c r="W47" s="234">
        <f>SWITCH(Reference!$E$4,"eTradeTransactionLog", T47, "eTradeHoldingRatio",T47, "eTradeLotQtyRatio",U47,"manualLotRatio",V47)</f>
        <v>0</v>
      </c>
      <c r="X47" s="225">
        <f>IF(C47&lt;Reference!$B$26,Reference!$C$26,0)</f>
        <v>0</v>
      </c>
      <c r="Y47" s="225">
        <f>IF(C47&lt;Reference!$B$27,Reference!$C$27,0)</f>
        <v>16.87</v>
      </c>
      <c r="Z47" s="225">
        <f t="shared" si="10"/>
        <v>137.27</v>
      </c>
      <c r="AA47" s="225">
        <f t="shared" si="11"/>
        <v>0</v>
      </c>
      <c r="AB47" s="235">
        <f>$D47*Reference!$B$5*Reference!$B$6</f>
        <v>0</v>
      </c>
      <c r="AC47" s="235">
        <f>$D47*Q47*Reference!$B$6</f>
        <v>0</v>
      </c>
      <c r="AD47" s="235">
        <f>$D47*R47*Reference!$B$6</f>
        <v>0</v>
      </c>
      <c r="AE47" s="235">
        <f>SWITCH(Reference!$E$4, "eTradeTransactionLog", AB47, "eTradeHoldingRatio",AB47, "eTradeLotQtyRatio",AC47,"manualLotRatio",AD47)</f>
        <v>0</v>
      </c>
      <c r="AF47" s="236">
        <f>MAX(W47+(AE47*Reference!$B$18)-AA47,0)</f>
        <v>0</v>
      </c>
      <c r="AG47" s="237">
        <f>IF(J47,Summary!$C$41/ (J$86+ESPP!$N$28), 0)</f>
        <v>0</v>
      </c>
      <c r="AH47" s="358">
        <f>IF(J47,(Reference!$B$23 - AT47) * AG47, 0)</f>
        <v>0</v>
      </c>
      <c r="AI47" s="359">
        <f t="shared" si="12"/>
        <v>0</v>
      </c>
      <c r="AJ47" s="360">
        <f>IF(DATEDIF(C47,Reference!$B$28,"Y")&gt;=1,0,AI47+AH47)</f>
        <v>0</v>
      </c>
      <c r="AK47" s="360">
        <f>IF(DATEDIF(C47,Reference!$B$28,"Y")&gt;=1,AI47+AH47,0)</f>
        <v>0</v>
      </c>
      <c r="AL47" s="364" t="str">
        <f>IF(DATEDIF(C47,Reference!$B$28,"Y")&gt;=1,"Part II Box E","Part I Box B")</f>
        <v>Part II Box E</v>
      </c>
      <c r="AM47" s="253">
        <f t="shared" si="13"/>
        <v>43983</v>
      </c>
      <c r="AN47" s="254">
        <f t="shared" si="14"/>
        <v>0</v>
      </c>
      <c r="AO47" s="254">
        <f>SWITCH(Reference!$E$9, "combined", W47+(AE47*Reference!$B$18), "cashOnly", W47)</f>
        <v>0</v>
      </c>
      <c r="AP47" s="255">
        <f t="shared" si="15"/>
        <v>0</v>
      </c>
      <c r="AQ47" s="255" t="str">
        <f t="shared" si="16"/>
        <v/>
      </c>
      <c r="AR47" s="254">
        <f>LET(avgoFMV, Reference!$B$18*AE47, vmwBasis, Z47*D47, AP47 - IF(W47&lt;AF47,avgoFmv,vmwBasis))</f>
        <v>0</v>
      </c>
      <c r="AS47" s="365">
        <f t="shared" si="17"/>
        <v>0</v>
      </c>
      <c r="AT47" s="363" t="str">
        <f t="shared" si="18"/>
        <v>n/a</v>
      </c>
      <c r="AU47" s="247">
        <f>iferror((Reference!$B$10-AT47)*(AE47 - AG47), 0)</f>
        <v>0</v>
      </c>
      <c r="AV47" s="247">
        <f>IF(DATEDIF(C47,Reference!$B$29,"Y")&gt;=1,0,AU47)</f>
        <v>0</v>
      </c>
      <c r="AW47" s="250">
        <f>IF(DATEDIF(C47,Reference!$B$29,"Y")&gt;=1,AU47,0)</f>
        <v>0</v>
      </c>
    </row>
    <row r="48">
      <c r="A48" s="351" t="s">
        <v>202</v>
      </c>
      <c r="B48" s="352">
        <v>43462.0</v>
      </c>
      <c r="C48" s="221">
        <v>43983.0</v>
      </c>
      <c r="D48" s="222"/>
      <c r="E48" s="353">
        <v>154.14</v>
      </c>
      <c r="F48" s="354"/>
      <c r="G48" s="225">
        <f t="shared" si="7"/>
        <v>0</v>
      </c>
      <c r="H48" s="236">
        <f t="shared" si="8"/>
        <v>0</v>
      </c>
      <c r="I48" s="355"/>
      <c r="J48" s="259" t="b">
        <v>0</v>
      </c>
      <c r="K48" s="356"/>
      <c r="L48" s="230">
        <v>0.0</v>
      </c>
      <c r="M48" s="230">
        <v>0.0</v>
      </c>
      <c r="N48" s="230">
        <v>0.0</v>
      </c>
      <c r="O48" s="230">
        <v>0.0</v>
      </c>
      <c r="P48" s="230">
        <v>0.0</v>
      </c>
      <c r="Q48" s="232">
        <f t="shared" si="9"/>
        <v>0</v>
      </c>
      <c r="R48" s="232">
        <f>SWITCH(S48,"cash",Reference!E$5,"shares",Reference!$E$6,"balance",Reference!$E$7)</f>
        <v>0</v>
      </c>
      <c r="S48" s="233" t="s">
        <v>178</v>
      </c>
      <c r="T48" s="234">
        <f>LET(ratio,Reference!$B$4, ratio*Reference!$B$3*D48)</f>
        <v>0</v>
      </c>
      <c r="U48" s="234">
        <f>iferror(LET(ratio, Q48,(1-ratio) * Reference!$B$3 * $D48),0)</f>
        <v>0</v>
      </c>
      <c r="V48" s="234">
        <f>iferror(LET(ratio, R48,(1-ratio) * Reference!$B$3 * $D48),0)</f>
        <v>0</v>
      </c>
      <c r="W48" s="234">
        <f>SWITCH(Reference!$E$4,"eTradeTransactionLog", T48, "eTradeHoldingRatio",T48, "eTradeLotQtyRatio",U48,"manualLotRatio",V48)</f>
        <v>0</v>
      </c>
      <c r="X48" s="225">
        <f>IF(C48&lt;Reference!$B$26,Reference!$C$26,0)</f>
        <v>0</v>
      </c>
      <c r="Y48" s="225">
        <f>IF(C48&lt;Reference!$B$27,Reference!$C$27,0)</f>
        <v>16.87</v>
      </c>
      <c r="Z48" s="225">
        <f t="shared" si="10"/>
        <v>137.27</v>
      </c>
      <c r="AA48" s="225">
        <f t="shared" si="11"/>
        <v>0</v>
      </c>
      <c r="AB48" s="235">
        <f>$D48*Reference!$B$5*Reference!$B$6</f>
        <v>0</v>
      </c>
      <c r="AC48" s="235">
        <f>$D48*Q48*Reference!$B$6</f>
        <v>0</v>
      </c>
      <c r="AD48" s="235">
        <f>$D48*R48*Reference!$B$6</f>
        <v>0</v>
      </c>
      <c r="AE48" s="235">
        <f>SWITCH(Reference!$E$4, "eTradeTransactionLog", AB48, "eTradeHoldingRatio",AB48, "eTradeLotQtyRatio",AC48,"manualLotRatio",AD48)</f>
        <v>0</v>
      </c>
      <c r="AF48" s="236">
        <f>MAX(W48+(AE48*Reference!$B$18)-AA48,0)</f>
        <v>0</v>
      </c>
      <c r="AG48" s="237">
        <f>IF(J48,Summary!$C$41/ (J$86+ESPP!$N$28), 0)</f>
        <v>0</v>
      </c>
      <c r="AH48" s="358">
        <f>IF(J48,(Reference!$B$23 - AT48) * AG48, 0)</f>
        <v>0</v>
      </c>
      <c r="AI48" s="359">
        <f t="shared" si="12"/>
        <v>0</v>
      </c>
      <c r="AJ48" s="360">
        <f>IF(DATEDIF(C48,Reference!$B$28,"Y")&gt;=1,0,AI48+AH48)</f>
        <v>0</v>
      </c>
      <c r="AK48" s="360">
        <f>IF(DATEDIF(C48,Reference!$B$28,"Y")&gt;=1,AI48+AH48,0)</f>
        <v>0</v>
      </c>
      <c r="AL48" s="364" t="str">
        <f>IF(DATEDIF(C48,Reference!$B$28,"Y")&gt;=1,"Part II Box E","Part I Box B")</f>
        <v>Part II Box E</v>
      </c>
      <c r="AM48" s="253">
        <f t="shared" si="13"/>
        <v>43983</v>
      </c>
      <c r="AN48" s="254">
        <f t="shared" si="14"/>
        <v>0</v>
      </c>
      <c r="AO48" s="254">
        <f>SWITCH(Reference!$E$9, "combined", W48+(AE48*Reference!$B$18), "cashOnly", W48)</f>
        <v>0</v>
      </c>
      <c r="AP48" s="255">
        <f t="shared" si="15"/>
        <v>0</v>
      </c>
      <c r="AQ48" s="255" t="str">
        <f t="shared" si="16"/>
        <v/>
      </c>
      <c r="AR48" s="254">
        <f>LET(avgoFMV, Reference!$B$18*AE48, vmwBasis, Z48*D48, AP48 - IF(W48&lt;AF48,avgoFmv,vmwBasis))</f>
        <v>0</v>
      </c>
      <c r="AS48" s="365">
        <f t="shared" si="17"/>
        <v>0</v>
      </c>
      <c r="AT48" s="363" t="str">
        <f t="shared" si="18"/>
        <v>n/a</v>
      </c>
      <c r="AU48" s="247">
        <f>iferror((Reference!$B$10-AT48)*(AE48 - AG48), 0)</f>
        <v>0</v>
      </c>
      <c r="AV48" s="247">
        <f>IF(DATEDIF(C48,Reference!$B$29,"Y")&gt;=1,0,AU48)</f>
        <v>0</v>
      </c>
      <c r="AW48" s="250">
        <f>IF(DATEDIF(C48,Reference!$B$29,"Y")&gt;=1,AU48,0)</f>
        <v>0</v>
      </c>
    </row>
    <row r="49">
      <c r="A49" s="351" t="s">
        <v>199</v>
      </c>
      <c r="B49" s="352">
        <v>43462.0</v>
      </c>
      <c r="C49" s="221">
        <v>44013.0</v>
      </c>
      <c r="D49" s="222"/>
      <c r="E49" s="353">
        <v>153.1</v>
      </c>
      <c r="F49" s="354"/>
      <c r="G49" s="225">
        <f t="shared" si="7"/>
        <v>0</v>
      </c>
      <c r="H49" s="236">
        <f t="shared" si="8"/>
        <v>0</v>
      </c>
      <c r="I49" s="355"/>
      <c r="J49" s="259" t="b">
        <v>0</v>
      </c>
      <c r="K49" s="356"/>
      <c r="L49" s="230">
        <v>0.0</v>
      </c>
      <c r="M49" s="230">
        <v>0.0</v>
      </c>
      <c r="N49" s="230">
        <v>0.0</v>
      </c>
      <c r="O49" s="230">
        <v>0.0</v>
      </c>
      <c r="P49" s="230">
        <v>0.0</v>
      </c>
      <c r="Q49" s="232">
        <f t="shared" si="9"/>
        <v>0</v>
      </c>
      <c r="R49" s="232">
        <f>SWITCH(S49,"cash",Reference!E$5,"shares",Reference!$E$6,"balance",Reference!$E$7)</f>
        <v>0</v>
      </c>
      <c r="S49" s="233" t="s">
        <v>178</v>
      </c>
      <c r="T49" s="234">
        <f>LET(ratio,Reference!$B$4, ratio*Reference!$B$3*D49)</f>
        <v>0</v>
      </c>
      <c r="U49" s="234">
        <f>iferror(LET(ratio, Q49,(1-ratio) * Reference!$B$3 * $D49),0)</f>
        <v>0</v>
      </c>
      <c r="V49" s="234">
        <f>iferror(LET(ratio, R49,(1-ratio) * Reference!$B$3 * $D49),0)</f>
        <v>0</v>
      </c>
      <c r="W49" s="234">
        <f>SWITCH(Reference!$E$4,"eTradeTransactionLog", T49, "eTradeHoldingRatio",T49, "eTradeLotQtyRatio",U49,"manualLotRatio",V49)</f>
        <v>0</v>
      </c>
      <c r="X49" s="225">
        <f>IF(C49&lt;Reference!$B$26,Reference!$C$26,0)</f>
        <v>0</v>
      </c>
      <c r="Y49" s="225">
        <f>IF(C49&lt;Reference!$B$27,Reference!$C$27,0)</f>
        <v>16.87</v>
      </c>
      <c r="Z49" s="225">
        <f t="shared" si="10"/>
        <v>136.23</v>
      </c>
      <c r="AA49" s="225">
        <f t="shared" si="11"/>
        <v>0</v>
      </c>
      <c r="AB49" s="235">
        <f>$D49*Reference!$B$5*Reference!$B$6</f>
        <v>0</v>
      </c>
      <c r="AC49" s="235">
        <f>$D49*Q49*Reference!$B$6</f>
        <v>0</v>
      </c>
      <c r="AD49" s="235">
        <f>$D49*R49*Reference!$B$6</f>
        <v>0</v>
      </c>
      <c r="AE49" s="235">
        <f>SWITCH(Reference!$E$4, "eTradeTransactionLog", AB49, "eTradeHoldingRatio",AB49, "eTradeLotQtyRatio",AC49,"manualLotRatio",AD49)</f>
        <v>0</v>
      </c>
      <c r="AF49" s="236">
        <f>MAX(W49+(AE49*Reference!$B$18)-AA49,0)</f>
        <v>0</v>
      </c>
      <c r="AG49" s="237">
        <f>IF(J49,Summary!$C$41/ (J$86+ESPP!$N$28), 0)</f>
        <v>0</v>
      </c>
      <c r="AH49" s="358">
        <f>IF(J49,(Reference!$B$23 - AT49) * AG49, 0)</f>
        <v>0</v>
      </c>
      <c r="AI49" s="359">
        <f t="shared" si="12"/>
        <v>0</v>
      </c>
      <c r="AJ49" s="360">
        <f>IF(DATEDIF(C49,Reference!$B$28,"Y")&gt;=1,0,AI49+AH49)</f>
        <v>0</v>
      </c>
      <c r="AK49" s="360">
        <f>IF(DATEDIF(C49,Reference!$B$28,"Y")&gt;=1,AI49+AH49,0)</f>
        <v>0</v>
      </c>
      <c r="AL49" s="364" t="str">
        <f>IF(DATEDIF(C49,Reference!$B$28,"Y")&gt;=1,"Part II Box E","Part I Box B")</f>
        <v>Part II Box E</v>
      </c>
      <c r="AM49" s="253">
        <f t="shared" si="13"/>
        <v>44013</v>
      </c>
      <c r="AN49" s="254">
        <f t="shared" si="14"/>
        <v>0</v>
      </c>
      <c r="AO49" s="254">
        <f>SWITCH(Reference!$E$9, "combined", W49+(AE49*Reference!$B$18), "cashOnly", W49)</f>
        <v>0</v>
      </c>
      <c r="AP49" s="255">
        <f t="shared" si="15"/>
        <v>0</v>
      </c>
      <c r="AQ49" s="255" t="str">
        <f t="shared" si="16"/>
        <v/>
      </c>
      <c r="AR49" s="254">
        <f>LET(avgoFMV, Reference!$B$18*AE49, vmwBasis, Z49*D49, AP49 - IF(W49&lt;AF49,avgoFmv,vmwBasis))</f>
        <v>0</v>
      </c>
      <c r="AS49" s="365">
        <f t="shared" si="17"/>
        <v>0</v>
      </c>
      <c r="AT49" s="363" t="str">
        <f t="shared" si="18"/>
        <v>n/a</v>
      </c>
      <c r="AU49" s="247">
        <f>iferror((Reference!$B$10-AT49)*(AE49 - AG49), 0)</f>
        <v>0</v>
      </c>
      <c r="AV49" s="247">
        <f>IF(DATEDIF(C49,Reference!$B$29,"Y")&gt;=1,0,AU49)</f>
        <v>0</v>
      </c>
      <c r="AW49" s="250">
        <f>IF(DATEDIF(C49,Reference!$B$29,"Y")&gt;=1,AU49,0)</f>
        <v>0</v>
      </c>
    </row>
    <row r="50">
      <c r="A50" s="351"/>
      <c r="B50" s="368"/>
      <c r="C50" s="369">
        <v>44075.0</v>
      </c>
      <c r="D50" s="222"/>
      <c r="E50" s="353">
        <v>141.28</v>
      </c>
      <c r="F50" s="354"/>
      <c r="G50" s="225">
        <f t="shared" si="7"/>
        <v>0</v>
      </c>
      <c r="H50" s="236">
        <f t="shared" si="8"/>
        <v>0</v>
      </c>
      <c r="I50" s="355"/>
      <c r="J50" s="259" t="b">
        <v>0</v>
      </c>
      <c r="K50" s="356"/>
      <c r="L50" s="230">
        <v>0.0</v>
      </c>
      <c r="M50" s="230">
        <v>0.0</v>
      </c>
      <c r="N50" s="230">
        <v>0.0</v>
      </c>
      <c r="O50" s="230">
        <v>0.0</v>
      </c>
      <c r="P50" s="230">
        <v>0.0</v>
      </c>
      <c r="Q50" s="232">
        <f t="shared" si="9"/>
        <v>0</v>
      </c>
      <c r="R50" s="232">
        <f>SWITCH(S50,"cash",Reference!E$5,"shares",Reference!$E$6,"balance",Reference!$E$7)</f>
        <v>0</v>
      </c>
      <c r="S50" s="233" t="s">
        <v>178</v>
      </c>
      <c r="T50" s="234">
        <f>LET(ratio,Reference!$B$4, ratio*Reference!$B$3*D50)</f>
        <v>0</v>
      </c>
      <c r="U50" s="234">
        <f>iferror(LET(ratio, Q50,(1-ratio) * Reference!$B$3 * $D50),0)</f>
        <v>0</v>
      </c>
      <c r="V50" s="234">
        <f>iferror(LET(ratio, R50,(1-ratio) * Reference!$B$3 * $D50),0)</f>
        <v>0</v>
      </c>
      <c r="W50" s="234">
        <f>SWITCH(Reference!$E$4,"eTradeTransactionLog", T50, "eTradeHoldingRatio",T50, "eTradeLotQtyRatio",U50,"manualLotRatio",V50)</f>
        <v>0</v>
      </c>
      <c r="X50" s="225">
        <f>IF(C50&lt;Reference!$B$26,Reference!$C$26,0)</f>
        <v>0</v>
      </c>
      <c r="Y50" s="225">
        <f>IF(C50&lt;Reference!$B$27,Reference!$C$27,0)</f>
        <v>16.87</v>
      </c>
      <c r="Z50" s="225">
        <f t="shared" si="10"/>
        <v>124.41</v>
      </c>
      <c r="AA50" s="225">
        <f t="shared" si="11"/>
        <v>0</v>
      </c>
      <c r="AB50" s="235">
        <f>$D50*Reference!$B$5*Reference!$B$6</f>
        <v>0</v>
      </c>
      <c r="AC50" s="235">
        <f>$D50*Q50*Reference!$B$6</f>
        <v>0</v>
      </c>
      <c r="AD50" s="235">
        <f>$D50*R50*Reference!$B$6</f>
        <v>0</v>
      </c>
      <c r="AE50" s="235">
        <f>SWITCH(Reference!$E$4, "eTradeTransactionLog", AB50, "eTradeHoldingRatio",AB50, "eTradeLotQtyRatio",AC50,"manualLotRatio",AD50)</f>
        <v>0</v>
      </c>
      <c r="AF50" s="236">
        <f>MAX(W50+(AE50*Reference!$B$18)-AA50,0)</f>
        <v>0</v>
      </c>
      <c r="AG50" s="237">
        <f>IF(J50,Summary!$C$41/ (J$86+ESPP!$N$28), 0)</f>
        <v>0</v>
      </c>
      <c r="AH50" s="358">
        <f>IF(J50,(Reference!$B$23 - AT50) * AG50, 0)</f>
        <v>0</v>
      </c>
      <c r="AI50" s="359">
        <f t="shared" si="12"/>
        <v>0</v>
      </c>
      <c r="AJ50" s="360">
        <f>IF(DATEDIF(C50,Reference!$B$28,"Y")&gt;=1,0,AI50+AH50)</f>
        <v>0</v>
      </c>
      <c r="AK50" s="360">
        <f>IF(DATEDIF(C50,Reference!$B$28,"Y")&gt;=1,AI50+AH50,0)</f>
        <v>0</v>
      </c>
      <c r="AL50" s="364" t="str">
        <f>IF(DATEDIF(C50,Reference!$B$28,"Y")&gt;=1,"Part II Box E","Part I Box B")</f>
        <v>Part II Box E</v>
      </c>
      <c r="AM50" s="253">
        <f t="shared" si="13"/>
        <v>44075</v>
      </c>
      <c r="AN50" s="254">
        <f t="shared" si="14"/>
        <v>0</v>
      </c>
      <c r="AO50" s="254">
        <f>SWITCH(Reference!$E$9, "combined", W50+(AE50*Reference!$B$18), "cashOnly", W50)</f>
        <v>0</v>
      </c>
      <c r="AP50" s="255">
        <f t="shared" si="15"/>
        <v>0</v>
      </c>
      <c r="AQ50" s="255" t="str">
        <f t="shared" si="16"/>
        <v/>
      </c>
      <c r="AR50" s="254">
        <f>LET(avgoFMV, Reference!$B$18*AE50, vmwBasis, Z50*D50, AP50 - IF(W50&lt;AF50,avgoFmv,vmwBasis))</f>
        <v>0</v>
      </c>
      <c r="AS50" s="365">
        <f t="shared" si="17"/>
        <v>0</v>
      </c>
      <c r="AT50" s="363" t="str">
        <f t="shared" si="18"/>
        <v>n/a</v>
      </c>
      <c r="AU50" s="247">
        <f>iferror((Reference!$B$10-AT50)*(AE50 - AG50), 0)</f>
        <v>0</v>
      </c>
      <c r="AV50" s="247">
        <f>IF(DATEDIF(C50,Reference!$B$29,"Y")&gt;=1,0,AU50)</f>
        <v>0</v>
      </c>
      <c r="AW50" s="250">
        <f>IF(DATEDIF(C50,Reference!$B$29,"Y")&gt;=1,AU50,0)</f>
        <v>0</v>
      </c>
    </row>
    <row r="51">
      <c r="A51" s="351" t="s">
        <v>203</v>
      </c>
      <c r="B51" s="352">
        <v>43630.0</v>
      </c>
      <c r="C51" s="221">
        <v>44166.0</v>
      </c>
      <c r="D51" s="222"/>
      <c r="E51" s="353">
        <v>140.75</v>
      </c>
      <c r="F51" s="354"/>
      <c r="G51" s="225">
        <f t="shared" si="7"/>
        <v>0</v>
      </c>
      <c r="H51" s="236">
        <f t="shared" si="8"/>
        <v>0</v>
      </c>
      <c r="I51" s="367"/>
      <c r="J51" s="259" t="b">
        <v>0</v>
      </c>
      <c r="K51" s="356"/>
      <c r="L51" s="230">
        <v>0.0</v>
      </c>
      <c r="M51" s="230">
        <v>0.0</v>
      </c>
      <c r="N51" s="230">
        <v>0.0</v>
      </c>
      <c r="O51" s="230">
        <v>0.0</v>
      </c>
      <c r="P51" s="230">
        <v>0.0</v>
      </c>
      <c r="Q51" s="232">
        <f t="shared" si="9"/>
        <v>0</v>
      </c>
      <c r="R51" s="232">
        <f>SWITCH(S51,"cash",Reference!E$5,"shares",Reference!$E$6,"balance",Reference!$E$7)</f>
        <v>0</v>
      </c>
      <c r="S51" s="233" t="s">
        <v>178</v>
      </c>
      <c r="T51" s="234">
        <f>LET(ratio,Reference!$B$4, ratio*Reference!$B$3*D51)</f>
        <v>0</v>
      </c>
      <c r="U51" s="234">
        <f>iferror(LET(ratio, Q51,(1-ratio) * Reference!$B$3 * $D51),0)</f>
        <v>0</v>
      </c>
      <c r="V51" s="234">
        <f>iferror(LET(ratio, R51,(1-ratio) * Reference!$B$3 * $D51),0)</f>
        <v>0</v>
      </c>
      <c r="W51" s="234">
        <f>SWITCH(Reference!$E$4,"eTradeTransactionLog", T51, "eTradeHoldingRatio",T51, "eTradeLotQtyRatio",U51,"manualLotRatio",V51)</f>
        <v>0</v>
      </c>
      <c r="X51" s="225">
        <f>IF(C51&lt;Reference!$B$26,Reference!$C$26,0)</f>
        <v>0</v>
      </c>
      <c r="Y51" s="225">
        <f>IF(C51&lt;Reference!$B$27,Reference!$C$27,0)</f>
        <v>16.87</v>
      </c>
      <c r="Z51" s="225">
        <f t="shared" si="10"/>
        <v>123.88</v>
      </c>
      <c r="AA51" s="225">
        <f t="shared" si="11"/>
        <v>0</v>
      </c>
      <c r="AB51" s="235">
        <f>$D51*Reference!$B$5*Reference!$B$6</f>
        <v>0</v>
      </c>
      <c r="AC51" s="235">
        <f>$D51*Q51*Reference!$B$6</f>
        <v>0</v>
      </c>
      <c r="AD51" s="235">
        <f>$D51*R51*Reference!$B$6</f>
        <v>0</v>
      </c>
      <c r="AE51" s="235">
        <f>SWITCH(Reference!$E$4, "eTradeTransactionLog", AB51, "eTradeHoldingRatio",AB51, "eTradeLotQtyRatio",AC51,"manualLotRatio",AD51)</f>
        <v>0</v>
      </c>
      <c r="AF51" s="236">
        <f>MAX(W51+(AE51*Reference!$B$18)-AA51,0)</f>
        <v>0</v>
      </c>
      <c r="AG51" s="237">
        <f>IF(J51,Summary!$C$41/ (J$86+ESPP!$N$28), 0)</f>
        <v>0</v>
      </c>
      <c r="AH51" s="358">
        <f>IF(J51,(Reference!$B$23 - AT51) * AG51, 0)</f>
        <v>0</v>
      </c>
      <c r="AI51" s="359">
        <f t="shared" si="12"/>
        <v>0</v>
      </c>
      <c r="AJ51" s="360">
        <f>IF(DATEDIF(C51,Reference!$B$28,"Y")&gt;=1,0,AI51+AH51)</f>
        <v>0</v>
      </c>
      <c r="AK51" s="360">
        <f>IF(DATEDIF(C51,Reference!$B$28,"Y")&gt;=1,AI51+AH51,0)</f>
        <v>0</v>
      </c>
      <c r="AL51" s="364" t="str">
        <f>IF(DATEDIF(C51,Reference!$B$28,"Y")&gt;=1,"Part II Box E","Part I Box B")</f>
        <v>Part II Box E</v>
      </c>
      <c r="AM51" s="253">
        <f t="shared" si="13"/>
        <v>44166</v>
      </c>
      <c r="AN51" s="254">
        <f t="shared" si="14"/>
        <v>0</v>
      </c>
      <c r="AO51" s="254">
        <f>SWITCH(Reference!$E$9, "combined", W51+(AE51*Reference!$B$18), "cashOnly", W51)</f>
        <v>0</v>
      </c>
      <c r="AP51" s="255">
        <f t="shared" si="15"/>
        <v>0</v>
      </c>
      <c r="AQ51" s="255" t="str">
        <f t="shared" si="16"/>
        <v/>
      </c>
      <c r="AR51" s="254">
        <f>LET(avgoFMV, Reference!$B$18*AE51, vmwBasis, Z51*D51, AP51 - IF(W51&lt;AF51,avgoFmv,vmwBasis))</f>
        <v>0</v>
      </c>
      <c r="AS51" s="365">
        <f t="shared" si="17"/>
        <v>0</v>
      </c>
      <c r="AT51" s="363" t="str">
        <f t="shared" si="18"/>
        <v>n/a</v>
      </c>
      <c r="AU51" s="247">
        <f>iferror((Reference!$B$10-AT51)*(AE51 - AG51), 0)</f>
        <v>0</v>
      </c>
      <c r="AV51" s="247">
        <f>IF(DATEDIF(C51,Reference!$B$29,"Y")&gt;=1,0,AU51)</f>
        <v>0</v>
      </c>
      <c r="AW51" s="250">
        <f>IF(DATEDIF(C51,Reference!$B$29,"Y")&gt;=1,AU51,0)</f>
        <v>0</v>
      </c>
    </row>
    <row r="52">
      <c r="A52" s="351" t="s">
        <v>202</v>
      </c>
      <c r="B52" s="352">
        <v>43462.0</v>
      </c>
      <c r="C52" s="221">
        <v>44166.0</v>
      </c>
      <c r="D52" s="222"/>
      <c r="E52" s="353">
        <v>140.75</v>
      </c>
      <c r="F52" s="354"/>
      <c r="G52" s="225">
        <f t="shared" si="7"/>
        <v>0</v>
      </c>
      <c r="H52" s="236">
        <f t="shared" si="8"/>
        <v>0</v>
      </c>
      <c r="I52" s="355"/>
      <c r="J52" s="259" t="b">
        <v>0</v>
      </c>
      <c r="K52" s="356"/>
      <c r="L52" s="230">
        <v>0.0</v>
      </c>
      <c r="M52" s="230">
        <v>0.0</v>
      </c>
      <c r="N52" s="230">
        <v>0.0</v>
      </c>
      <c r="O52" s="230">
        <v>0.0</v>
      </c>
      <c r="P52" s="230">
        <v>0.0</v>
      </c>
      <c r="Q52" s="232">
        <f t="shared" si="9"/>
        <v>0</v>
      </c>
      <c r="R52" s="232">
        <f>SWITCH(S52,"cash",Reference!E$5,"shares",Reference!$E$6,"balance",Reference!$E$7)</f>
        <v>0</v>
      </c>
      <c r="S52" s="233" t="s">
        <v>178</v>
      </c>
      <c r="T52" s="234">
        <f>LET(ratio,Reference!$B$4, ratio*Reference!$B$3*D52)</f>
        <v>0</v>
      </c>
      <c r="U52" s="234">
        <f>iferror(LET(ratio, Q52,(1-ratio) * Reference!$B$3 * $D52),0)</f>
        <v>0</v>
      </c>
      <c r="V52" s="234">
        <f>iferror(LET(ratio, R52,(1-ratio) * Reference!$B$3 * $D52),0)</f>
        <v>0</v>
      </c>
      <c r="W52" s="234">
        <f>SWITCH(Reference!$E$4,"eTradeTransactionLog", T52, "eTradeHoldingRatio",T52, "eTradeLotQtyRatio",U52,"manualLotRatio",V52)</f>
        <v>0</v>
      </c>
      <c r="X52" s="225">
        <f>IF(C52&lt;Reference!$B$26,Reference!$C$26,0)</f>
        <v>0</v>
      </c>
      <c r="Y52" s="225">
        <f>IF(C52&lt;Reference!$B$27,Reference!$C$27,0)</f>
        <v>16.87</v>
      </c>
      <c r="Z52" s="225">
        <f t="shared" si="10"/>
        <v>123.88</v>
      </c>
      <c r="AA52" s="225">
        <f t="shared" si="11"/>
        <v>0</v>
      </c>
      <c r="AB52" s="235">
        <f>$D52*Reference!$B$5*Reference!$B$6</f>
        <v>0</v>
      </c>
      <c r="AC52" s="235">
        <f>$D52*Q52*Reference!$B$6</f>
        <v>0</v>
      </c>
      <c r="AD52" s="235">
        <f>$D52*R52*Reference!$B$6</f>
        <v>0</v>
      </c>
      <c r="AE52" s="235">
        <f>SWITCH(Reference!$E$4, "eTradeTransactionLog", AB52, "eTradeHoldingRatio",AB52, "eTradeLotQtyRatio",AC52,"manualLotRatio",AD52)</f>
        <v>0</v>
      </c>
      <c r="AF52" s="236">
        <f>MAX(W52+(AE52*Reference!$B$18)-AA52,0)</f>
        <v>0</v>
      </c>
      <c r="AG52" s="237">
        <f>IF(J52,Summary!$C$41/ (J$86+ESPP!$N$28), 0)</f>
        <v>0</v>
      </c>
      <c r="AH52" s="358">
        <f>IF(J52,(Reference!$B$23 - AT52) * AG52, 0)</f>
        <v>0</v>
      </c>
      <c r="AI52" s="359">
        <f t="shared" si="12"/>
        <v>0</v>
      </c>
      <c r="AJ52" s="360">
        <f>IF(DATEDIF(C52,Reference!$B$28,"Y")&gt;=1,0,AI52+AH52)</f>
        <v>0</v>
      </c>
      <c r="AK52" s="360">
        <f>IF(DATEDIF(C52,Reference!$B$28,"Y")&gt;=1,AI52+AH52,0)</f>
        <v>0</v>
      </c>
      <c r="AL52" s="364" t="str">
        <f>IF(DATEDIF(C52,Reference!$B$28,"Y")&gt;=1,"Part II Box E","Part I Box B")</f>
        <v>Part II Box E</v>
      </c>
      <c r="AM52" s="253">
        <f t="shared" si="13"/>
        <v>44166</v>
      </c>
      <c r="AN52" s="254">
        <f t="shared" si="14"/>
        <v>0</v>
      </c>
      <c r="AO52" s="254">
        <f>SWITCH(Reference!$E$9, "combined", W52+(AE52*Reference!$B$18), "cashOnly", W52)</f>
        <v>0</v>
      </c>
      <c r="AP52" s="255">
        <f t="shared" si="15"/>
        <v>0</v>
      </c>
      <c r="AQ52" s="255" t="str">
        <f t="shared" si="16"/>
        <v/>
      </c>
      <c r="AR52" s="254">
        <f>LET(avgoFMV, Reference!$B$18*AE52, vmwBasis, Z52*D52, AP52 - IF(W52&lt;AF52,avgoFmv,vmwBasis))</f>
        <v>0</v>
      </c>
      <c r="AS52" s="365">
        <f t="shared" si="17"/>
        <v>0</v>
      </c>
      <c r="AT52" s="363" t="str">
        <f t="shared" si="18"/>
        <v>n/a</v>
      </c>
      <c r="AU52" s="247">
        <f>iferror((Reference!$B$10-AT52)*(AE52 - AG52), 0)</f>
        <v>0</v>
      </c>
      <c r="AV52" s="247">
        <f>IF(DATEDIF(C52,Reference!$B$29,"Y")&gt;=1,0,AU52)</f>
        <v>0</v>
      </c>
      <c r="AW52" s="250">
        <f>IF(DATEDIF(C52,Reference!$B$29,"Y")&gt;=1,AU52,0)</f>
        <v>0</v>
      </c>
    </row>
    <row r="53">
      <c r="A53" s="351" t="s">
        <v>199</v>
      </c>
      <c r="B53" s="352">
        <v>43462.0</v>
      </c>
      <c r="C53" s="221">
        <v>44197.0</v>
      </c>
      <c r="D53" s="222"/>
      <c r="E53" s="353">
        <v>140.26</v>
      </c>
      <c r="F53" s="354"/>
      <c r="G53" s="225">
        <f t="shared" si="7"/>
        <v>0</v>
      </c>
      <c r="H53" s="236">
        <f t="shared" si="8"/>
        <v>0</v>
      </c>
      <c r="I53" s="367"/>
      <c r="J53" s="259" t="b">
        <v>0</v>
      </c>
      <c r="K53" s="356"/>
      <c r="L53" s="230">
        <v>0.0</v>
      </c>
      <c r="M53" s="230">
        <v>0.0</v>
      </c>
      <c r="N53" s="230">
        <v>0.0</v>
      </c>
      <c r="O53" s="230">
        <v>0.0</v>
      </c>
      <c r="P53" s="230">
        <v>0.0</v>
      </c>
      <c r="Q53" s="232">
        <f t="shared" si="9"/>
        <v>0</v>
      </c>
      <c r="R53" s="232">
        <f>SWITCH(S53,"cash",Reference!E$5,"shares",Reference!$E$6,"balance",Reference!$E$7)</f>
        <v>0</v>
      </c>
      <c r="S53" s="233" t="s">
        <v>178</v>
      </c>
      <c r="T53" s="234">
        <f>LET(ratio,Reference!$B$4, ratio*Reference!$B$3*D53)</f>
        <v>0</v>
      </c>
      <c r="U53" s="234">
        <f>iferror(LET(ratio, Q53,(1-ratio) * Reference!$B$3 * $D53),0)</f>
        <v>0</v>
      </c>
      <c r="V53" s="234">
        <f>iferror(LET(ratio, R53,(1-ratio) * Reference!$B$3 * $D53),0)</f>
        <v>0</v>
      </c>
      <c r="W53" s="234">
        <f>SWITCH(Reference!$E$4,"eTradeTransactionLog", T53, "eTradeHoldingRatio",T53, "eTradeLotQtyRatio",U53,"manualLotRatio",V53)</f>
        <v>0</v>
      </c>
      <c r="X53" s="225">
        <f>IF(C53&lt;Reference!$B$26,Reference!$C$26,0)</f>
        <v>0</v>
      </c>
      <c r="Y53" s="225">
        <f>IF(C53&lt;Reference!$B$27,Reference!$C$27,0)</f>
        <v>16.87</v>
      </c>
      <c r="Z53" s="225">
        <f t="shared" si="10"/>
        <v>123.39</v>
      </c>
      <c r="AA53" s="225">
        <f t="shared" si="11"/>
        <v>0</v>
      </c>
      <c r="AB53" s="235">
        <f>$D53*Reference!$B$5*Reference!$B$6</f>
        <v>0</v>
      </c>
      <c r="AC53" s="235">
        <f>$D53*Q53*Reference!$B$6</f>
        <v>0</v>
      </c>
      <c r="AD53" s="235">
        <f>$D53*R53*Reference!$B$6</f>
        <v>0</v>
      </c>
      <c r="AE53" s="235">
        <f>SWITCH(Reference!$E$4, "eTradeTransactionLog", AB53, "eTradeHoldingRatio",AB53, "eTradeLotQtyRatio",AC53,"manualLotRatio",AD53)</f>
        <v>0</v>
      </c>
      <c r="AF53" s="236">
        <f>MAX(W53+(AE53*Reference!$B$18)-AA53,0)</f>
        <v>0</v>
      </c>
      <c r="AG53" s="237">
        <f>IF(J53,Summary!$C$41/ (J$86+ESPP!$N$28), 0)</f>
        <v>0</v>
      </c>
      <c r="AH53" s="358">
        <f>IF(J53,(Reference!$B$23 - AT53) * AG53, 0)</f>
        <v>0</v>
      </c>
      <c r="AI53" s="359">
        <f t="shared" si="12"/>
        <v>0</v>
      </c>
      <c r="AJ53" s="360">
        <f>IF(DATEDIF(C53,Reference!$B$28,"Y")&gt;=1,0,AI53+AH53)</f>
        <v>0</v>
      </c>
      <c r="AK53" s="360">
        <f>IF(DATEDIF(C53,Reference!$B$28,"Y")&gt;=1,AI53+AH53,0)</f>
        <v>0</v>
      </c>
      <c r="AL53" s="364" t="str">
        <f>IF(DATEDIF(C53,Reference!$B$28,"Y")&gt;=1,"Part II Box E","Part I Box B")</f>
        <v>Part II Box E</v>
      </c>
      <c r="AM53" s="253">
        <f t="shared" si="13"/>
        <v>44197</v>
      </c>
      <c r="AN53" s="254">
        <f t="shared" si="14"/>
        <v>0</v>
      </c>
      <c r="AO53" s="254">
        <f>SWITCH(Reference!$E$9, "combined", W53+(AE53*Reference!$B$18), "cashOnly", W53)</f>
        <v>0</v>
      </c>
      <c r="AP53" s="255">
        <f t="shared" si="15"/>
        <v>0</v>
      </c>
      <c r="AQ53" s="255" t="str">
        <f t="shared" si="16"/>
        <v/>
      </c>
      <c r="AR53" s="254">
        <f>LET(avgoFMV, Reference!$B$18*AE53, vmwBasis, Z53*D53, AP53 - IF(W53&lt;AF53,avgoFmv,vmwBasis))</f>
        <v>0</v>
      </c>
      <c r="AS53" s="365">
        <f t="shared" si="17"/>
        <v>0</v>
      </c>
      <c r="AT53" s="363" t="str">
        <f t="shared" si="18"/>
        <v>n/a</v>
      </c>
      <c r="AU53" s="247">
        <f>iferror((Reference!$B$10-AT53)*(AE53 - AG53), 0)</f>
        <v>0</v>
      </c>
      <c r="AV53" s="247">
        <f>IF(DATEDIF(C53,Reference!$B$29,"Y")&gt;=1,0,AU53)</f>
        <v>0</v>
      </c>
      <c r="AW53" s="250">
        <f>IF(DATEDIF(C53,Reference!$B$29,"Y")&gt;=1,AU53,0)</f>
        <v>0</v>
      </c>
    </row>
    <row r="54">
      <c r="A54" s="351"/>
      <c r="B54" s="368"/>
      <c r="C54" s="369">
        <v>44256.0</v>
      </c>
      <c r="D54" s="222"/>
      <c r="E54" s="353">
        <v>140.41</v>
      </c>
      <c r="F54" s="354"/>
      <c r="G54" s="225">
        <f t="shared" si="7"/>
        <v>0</v>
      </c>
      <c r="H54" s="236">
        <f t="shared" si="8"/>
        <v>0</v>
      </c>
      <c r="I54" s="355"/>
      <c r="J54" s="259" t="b">
        <v>0</v>
      </c>
      <c r="K54" s="356"/>
      <c r="L54" s="230">
        <v>0.0</v>
      </c>
      <c r="M54" s="230">
        <v>0.0</v>
      </c>
      <c r="N54" s="230">
        <v>0.0</v>
      </c>
      <c r="O54" s="230">
        <v>0.0</v>
      </c>
      <c r="P54" s="230">
        <v>0.0</v>
      </c>
      <c r="Q54" s="232">
        <f t="shared" si="9"/>
        <v>0</v>
      </c>
      <c r="R54" s="232">
        <f>SWITCH(S54,"cash",Reference!E$5,"shares",Reference!$E$6,"balance",Reference!$E$7)</f>
        <v>0</v>
      </c>
      <c r="S54" s="233" t="s">
        <v>178</v>
      </c>
      <c r="T54" s="234">
        <f>LET(ratio,Reference!$B$4, ratio*Reference!$B$3*D54)</f>
        <v>0</v>
      </c>
      <c r="U54" s="234">
        <f>iferror(LET(ratio, Q54,(1-ratio) * Reference!$B$3 * $D54),0)</f>
        <v>0</v>
      </c>
      <c r="V54" s="234">
        <f>iferror(LET(ratio, R54,(1-ratio) * Reference!$B$3 * $D54),0)</f>
        <v>0</v>
      </c>
      <c r="W54" s="234">
        <f>SWITCH(Reference!$E$4,"eTradeTransactionLog", T54, "eTradeHoldingRatio",T54, "eTradeLotQtyRatio",U54,"manualLotRatio",V54)</f>
        <v>0</v>
      </c>
      <c r="X54" s="225">
        <f>IF(C54&lt;Reference!$B$26,Reference!$C$26,0)</f>
        <v>0</v>
      </c>
      <c r="Y54" s="225">
        <f>IF(C54&lt;Reference!$B$27,Reference!$C$27,0)</f>
        <v>16.87</v>
      </c>
      <c r="Z54" s="225">
        <f t="shared" si="10"/>
        <v>123.54</v>
      </c>
      <c r="AA54" s="225">
        <f t="shared" si="11"/>
        <v>0</v>
      </c>
      <c r="AB54" s="235">
        <f>$D54*Reference!$B$5*Reference!$B$6</f>
        <v>0</v>
      </c>
      <c r="AC54" s="235">
        <f>$D54*Q54*Reference!$B$6</f>
        <v>0</v>
      </c>
      <c r="AD54" s="235">
        <f>$D54*R54*Reference!$B$6</f>
        <v>0</v>
      </c>
      <c r="AE54" s="235">
        <f>SWITCH(Reference!$E$4, "eTradeTransactionLog", AB54, "eTradeHoldingRatio",AB54, "eTradeLotQtyRatio",AC54,"manualLotRatio",AD54)</f>
        <v>0</v>
      </c>
      <c r="AF54" s="236">
        <f>MAX(W54+(AE54*Reference!$B$18)-AA54,0)</f>
        <v>0</v>
      </c>
      <c r="AG54" s="237">
        <f>IF(J54,Summary!$C$41/ (J$86+ESPP!$N$28), 0)</f>
        <v>0</v>
      </c>
      <c r="AH54" s="358">
        <f>IF(J54,(Reference!$B$23 - AT54) * AG54, 0)</f>
        <v>0</v>
      </c>
      <c r="AI54" s="359">
        <f t="shared" si="12"/>
        <v>0</v>
      </c>
      <c r="AJ54" s="360">
        <f>IF(DATEDIF(C54,Reference!$B$28,"Y")&gt;=1,0,AI54+AH54)</f>
        <v>0</v>
      </c>
      <c r="AK54" s="360">
        <f>IF(DATEDIF(C54,Reference!$B$28,"Y")&gt;=1,AI54+AH54,0)</f>
        <v>0</v>
      </c>
      <c r="AL54" s="364" t="str">
        <f>IF(DATEDIF(C54,Reference!$B$28,"Y")&gt;=1,"Part II Box E","Part I Box B")</f>
        <v>Part II Box E</v>
      </c>
      <c r="AM54" s="253">
        <f t="shared" si="13"/>
        <v>44256</v>
      </c>
      <c r="AN54" s="254">
        <f t="shared" si="14"/>
        <v>0</v>
      </c>
      <c r="AO54" s="254">
        <f>SWITCH(Reference!$E$9, "combined", W54+(AE54*Reference!$B$18), "cashOnly", W54)</f>
        <v>0</v>
      </c>
      <c r="AP54" s="255">
        <f t="shared" si="15"/>
        <v>0</v>
      </c>
      <c r="AQ54" s="255" t="str">
        <f t="shared" si="16"/>
        <v/>
      </c>
      <c r="AR54" s="254">
        <f>LET(avgoFMV, Reference!$B$18*AE54, vmwBasis, Z54*D54, AP54 - IF(W54&lt;AF54,avgoFmv,vmwBasis))</f>
        <v>0</v>
      </c>
      <c r="AS54" s="365">
        <f t="shared" si="17"/>
        <v>0</v>
      </c>
      <c r="AT54" s="363" t="str">
        <f t="shared" si="18"/>
        <v>n/a</v>
      </c>
      <c r="AU54" s="247">
        <f>iferror((Reference!$B$10-AT54)*(AE54 - AG54), 0)</f>
        <v>0</v>
      </c>
      <c r="AV54" s="247">
        <f>IF(DATEDIF(C54,Reference!$B$29,"Y")&gt;=1,0,AU54)</f>
        <v>0</v>
      </c>
      <c r="AW54" s="250">
        <f>IF(DATEDIF(C54,Reference!$B$29,"Y")&gt;=1,AU54,0)</f>
        <v>0</v>
      </c>
    </row>
    <row r="55">
      <c r="A55" s="351" t="s">
        <v>204</v>
      </c>
      <c r="B55" s="352">
        <v>43980.0</v>
      </c>
      <c r="C55" s="221">
        <v>44317.0</v>
      </c>
      <c r="D55" s="222"/>
      <c r="E55" s="353">
        <v>160.83</v>
      </c>
      <c r="F55" s="354"/>
      <c r="G55" s="225">
        <f t="shared" si="7"/>
        <v>0</v>
      </c>
      <c r="H55" s="236">
        <f t="shared" si="8"/>
        <v>0</v>
      </c>
      <c r="I55" s="355"/>
      <c r="J55" s="259" t="b">
        <v>0</v>
      </c>
      <c r="K55" s="356"/>
      <c r="L55" s="230">
        <v>0.0</v>
      </c>
      <c r="M55" s="230">
        <v>0.0</v>
      </c>
      <c r="N55" s="230">
        <v>0.0</v>
      </c>
      <c r="O55" s="230">
        <v>0.0</v>
      </c>
      <c r="P55" s="230">
        <v>0.0</v>
      </c>
      <c r="Q55" s="232">
        <f t="shared" si="9"/>
        <v>0</v>
      </c>
      <c r="R55" s="232">
        <f>SWITCH(S55,"cash",Reference!E$5,"shares",Reference!$E$6,"balance",Reference!$E$7)</f>
        <v>0</v>
      </c>
      <c r="S55" s="233" t="s">
        <v>178</v>
      </c>
      <c r="T55" s="234">
        <f>LET(ratio,Reference!$B$4, ratio*Reference!$B$3*D55)</f>
        <v>0</v>
      </c>
      <c r="U55" s="234">
        <f>iferror(LET(ratio, Q55,(1-ratio) * Reference!$B$3 * $D55),0)</f>
        <v>0</v>
      </c>
      <c r="V55" s="234">
        <f>iferror(LET(ratio, R55,(1-ratio) * Reference!$B$3 * $D55),0)</f>
        <v>0</v>
      </c>
      <c r="W55" s="234">
        <f>SWITCH(Reference!$E$4,"eTradeTransactionLog", T55, "eTradeHoldingRatio",T55, "eTradeLotQtyRatio",U55,"manualLotRatio",V55)</f>
        <v>0</v>
      </c>
      <c r="X55" s="225">
        <f>IF(C55&lt;Reference!$B$26,Reference!$C$26,0)</f>
        <v>0</v>
      </c>
      <c r="Y55" s="225">
        <f>IF(C55&lt;Reference!$B$27,Reference!$C$27,0)</f>
        <v>16.87</v>
      </c>
      <c r="Z55" s="225">
        <f t="shared" si="10"/>
        <v>143.96</v>
      </c>
      <c r="AA55" s="225">
        <f t="shared" si="11"/>
        <v>0</v>
      </c>
      <c r="AB55" s="235">
        <f>$D55*Reference!$B$5*Reference!$B$6</f>
        <v>0</v>
      </c>
      <c r="AC55" s="235">
        <f>$D55*Q55*Reference!$B$6</f>
        <v>0</v>
      </c>
      <c r="AD55" s="235">
        <f>$D55*R55*Reference!$B$6</f>
        <v>0</v>
      </c>
      <c r="AE55" s="235">
        <f>SWITCH(Reference!$E$4, "eTradeTransactionLog", AB55, "eTradeHoldingRatio",AB55, "eTradeLotQtyRatio",AC55,"manualLotRatio",AD55)</f>
        <v>0</v>
      </c>
      <c r="AF55" s="236">
        <f>MAX(W55+(AE55*Reference!$B$18)-AA55,0)</f>
        <v>0</v>
      </c>
      <c r="AG55" s="237">
        <f>IF(J55,Summary!$C$41/ (J$86+ESPP!$N$28), 0)</f>
        <v>0</v>
      </c>
      <c r="AH55" s="358">
        <f>IF(J55,(Reference!$B$23 - AT55) * AG55, 0)</f>
        <v>0</v>
      </c>
      <c r="AI55" s="359">
        <f t="shared" si="12"/>
        <v>0</v>
      </c>
      <c r="AJ55" s="360">
        <f>IF(DATEDIF(C55,Reference!$B$28,"Y")&gt;=1,0,AI55+AH55)</f>
        <v>0</v>
      </c>
      <c r="AK55" s="360">
        <f>IF(DATEDIF(C55,Reference!$B$28,"Y")&gt;=1,AI55+AH55,0)</f>
        <v>0</v>
      </c>
      <c r="AL55" s="364" t="str">
        <f>IF(DATEDIF(C55,Reference!$B$28,"Y")&gt;=1,"Part II Box E","Part I Box B")</f>
        <v>Part II Box E</v>
      </c>
      <c r="AM55" s="253">
        <f t="shared" si="13"/>
        <v>44317</v>
      </c>
      <c r="AN55" s="254">
        <f t="shared" si="14"/>
        <v>0</v>
      </c>
      <c r="AO55" s="254">
        <f>SWITCH(Reference!$E$9, "combined", W55+(AE55*Reference!$B$18), "cashOnly", W55)</f>
        <v>0</v>
      </c>
      <c r="AP55" s="255">
        <f t="shared" si="15"/>
        <v>0</v>
      </c>
      <c r="AQ55" s="255" t="str">
        <f t="shared" si="16"/>
        <v/>
      </c>
      <c r="AR55" s="254">
        <f>LET(avgoFMV, Reference!$B$18*AE55, vmwBasis, Z55*D55, AP55 - IF(W55&lt;AF55,avgoFmv,vmwBasis))</f>
        <v>0</v>
      </c>
      <c r="AS55" s="365">
        <f t="shared" si="17"/>
        <v>0</v>
      </c>
      <c r="AT55" s="363" t="str">
        <f t="shared" si="18"/>
        <v>n/a</v>
      </c>
      <c r="AU55" s="247">
        <f>iferror((Reference!$B$10-AT55)*(AE55 - AG55), 0)</f>
        <v>0</v>
      </c>
      <c r="AV55" s="247">
        <f>IF(DATEDIF(C55,Reference!$B$29,"Y")&gt;=1,0,AU55)</f>
        <v>0</v>
      </c>
      <c r="AW55" s="250">
        <f>IF(DATEDIF(C55,Reference!$B$29,"Y")&gt;=1,AU55,0)</f>
        <v>0</v>
      </c>
    </row>
    <row r="56">
      <c r="A56" s="351" t="s">
        <v>203</v>
      </c>
      <c r="B56" s="352">
        <v>43630.0</v>
      </c>
      <c r="C56" s="221">
        <v>44348.0</v>
      </c>
      <c r="D56" s="222"/>
      <c r="E56" s="353">
        <v>161.26</v>
      </c>
      <c r="F56" s="354"/>
      <c r="G56" s="225">
        <f t="shared" si="7"/>
        <v>0</v>
      </c>
      <c r="H56" s="236">
        <f t="shared" si="8"/>
        <v>0</v>
      </c>
      <c r="I56" s="355"/>
      <c r="J56" s="259" t="b">
        <v>0</v>
      </c>
      <c r="K56" s="356"/>
      <c r="L56" s="230">
        <v>0.0</v>
      </c>
      <c r="M56" s="230">
        <v>0.0</v>
      </c>
      <c r="N56" s="230">
        <v>0.0</v>
      </c>
      <c r="O56" s="230">
        <v>0.0</v>
      </c>
      <c r="P56" s="230">
        <v>0.0</v>
      </c>
      <c r="Q56" s="232">
        <f t="shared" si="9"/>
        <v>0</v>
      </c>
      <c r="R56" s="232">
        <f>SWITCH(S56,"cash",Reference!E$5,"shares",Reference!$E$6,"balance",Reference!$E$7)</f>
        <v>0</v>
      </c>
      <c r="S56" s="233" t="s">
        <v>178</v>
      </c>
      <c r="T56" s="234">
        <f>LET(ratio,Reference!$B$4, ratio*Reference!$B$3*D56)</f>
        <v>0</v>
      </c>
      <c r="U56" s="234">
        <f>iferror(LET(ratio, Q56,(1-ratio) * Reference!$B$3 * $D56),0)</f>
        <v>0</v>
      </c>
      <c r="V56" s="234">
        <f>iferror(LET(ratio, R56,(1-ratio) * Reference!$B$3 * $D56),0)</f>
        <v>0</v>
      </c>
      <c r="W56" s="234">
        <f>SWITCH(Reference!$E$4,"eTradeTransactionLog", T56, "eTradeHoldingRatio",T56, "eTradeLotQtyRatio",U56,"manualLotRatio",V56)</f>
        <v>0</v>
      </c>
      <c r="X56" s="225">
        <f>IF(C56&lt;Reference!$B$26,Reference!$C$26,0)</f>
        <v>0</v>
      </c>
      <c r="Y56" s="225">
        <f>IF(C56&lt;Reference!$B$27,Reference!$C$27,0)</f>
        <v>16.87</v>
      </c>
      <c r="Z56" s="225">
        <f t="shared" si="10"/>
        <v>144.39</v>
      </c>
      <c r="AA56" s="225">
        <f t="shared" si="11"/>
        <v>0</v>
      </c>
      <c r="AB56" s="235">
        <f>$D56*Reference!$B$5*Reference!$B$6</f>
        <v>0</v>
      </c>
      <c r="AC56" s="235">
        <f>$D56*Q56*Reference!$B$6</f>
        <v>0</v>
      </c>
      <c r="AD56" s="235">
        <f>$D56*R56*Reference!$B$6</f>
        <v>0</v>
      </c>
      <c r="AE56" s="235">
        <f>SWITCH(Reference!$E$4, "eTradeTransactionLog", AB56, "eTradeHoldingRatio",AB56, "eTradeLotQtyRatio",AC56,"manualLotRatio",AD56)</f>
        <v>0</v>
      </c>
      <c r="AF56" s="236">
        <f>MAX(W56+(AE56*Reference!$B$18)-AA56,0)</f>
        <v>0</v>
      </c>
      <c r="AG56" s="237">
        <f>IF(J56,Summary!$C$41/ (J$86+ESPP!$N$28), 0)</f>
        <v>0</v>
      </c>
      <c r="AH56" s="358">
        <f>IF(J56,(Reference!$B$23 - AT56) * AG56, 0)</f>
        <v>0</v>
      </c>
      <c r="AI56" s="359">
        <f t="shared" si="12"/>
        <v>0</v>
      </c>
      <c r="AJ56" s="360">
        <f>IF(DATEDIF(C56,Reference!$B$28,"Y")&gt;=1,0,AI56+AH56)</f>
        <v>0</v>
      </c>
      <c r="AK56" s="360">
        <f>IF(DATEDIF(C56,Reference!$B$28,"Y")&gt;=1,AI56+AH56,0)</f>
        <v>0</v>
      </c>
      <c r="AL56" s="364" t="str">
        <f>IF(DATEDIF(C56,Reference!$B$28,"Y")&gt;=1,"Part II Box E","Part I Box B")</f>
        <v>Part II Box E</v>
      </c>
      <c r="AM56" s="253">
        <f t="shared" si="13"/>
        <v>44348</v>
      </c>
      <c r="AN56" s="254">
        <f t="shared" si="14"/>
        <v>0</v>
      </c>
      <c r="AO56" s="254">
        <f>SWITCH(Reference!$E$9, "combined", W56+(AE56*Reference!$B$18), "cashOnly", W56)</f>
        <v>0</v>
      </c>
      <c r="AP56" s="255">
        <f t="shared" si="15"/>
        <v>0</v>
      </c>
      <c r="AQ56" s="255" t="str">
        <f t="shared" si="16"/>
        <v/>
      </c>
      <c r="AR56" s="254">
        <f>LET(avgoFMV, Reference!$B$18*AE56, vmwBasis, Z56*D56, AP56 - IF(W56&lt;AF56,avgoFmv,vmwBasis))</f>
        <v>0</v>
      </c>
      <c r="AS56" s="365">
        <f t="shared" si="17"/>
        <v>0</v>
      </c>
      <c r="AT56" s="363" t="str">
        <f t="shared" si="18"/>
        <v>n/a</v>
      </c>
      <c r="AU56" s="247">
        <f>iferror((Reference!$B$10-AT56)*(AE56 - AG56), 0)</f>
        <v>0</v>
      </c>
      <c r="AV56" s="247">
        <f>IF(DATEDIF(C56,Reference!$B$29,"Y")&gt;=1,0,AU56)</f>
        <v>0</v>
      </c>
      <c r="AW56" s="250">
        <f>IF(DATEDIF(C56,Reference!$B$29,"Y")&gt;=1,AU56,0)</f>
        <v>0</v>
      </c>
    </row>
    <row r="57">
      <c r="A57" s="351" t="s">
        <v>202</v>
      </c>
      <c r="B57" s="352">
        <v>43462.0</v>
      </c>
      <c r="C57" s="221">
        <v>44348.0</v>
      </c>
      <c r="D57" s="222"/>
      <c r="E57" s="353">
        <v>161.26</v>
      </c>
      <c r="F57" s="354"/>
      <c r="G57" s="225">
        <f t="shared" si="7"/>
        <v>0</v>
      </c>
      <c r="H57" s="236">
        <f t="shared" si="8"/>
        <v>0</v>
      </c>
      <c r="I57" s="355"/>
      <c r="J57" s="259" t="b">
        <v>0</v>
      </c>
      <c r="K57" s="356"/>
      <c r="L57" s="230">
        <v>0.0</v>
      </c>
      <c r="M57" s="230">
        <v>0.0</v>
      </c>
      <c r="N57" s="230">
        <v>0.0</v>
      </c>
      <c r="O57" s="230">
        <v>0.0</v>
      </c>
      <c r="P57" s="230">
        <v>0.0</v>
      </c>
      <c r="Q57" s="232">
        <f t="shared" si="9"/>
        <v>0</v>
      </c>
      <c r="R57" s="232">
        <f>SWITCH(S57,"cash",Reference!E$5,"shares",Reference!$E$6,"balance",Reference!$E$7)</f>
        <v>0</v>
      </c>
      <c r="S57" s="233" t="s">
        <v>178</v>
      </c>
      <c r="T57" s="234">
        <f>LET(ratio,Reference!$B$4, ratio*Reference!$B$3*D57)</f>
        <v>0</v>
      </c>
      <c r="U57" s="234">
        <f>iferror(LET(ratio, Q57,(1-ratio) * Reference!$B$3 * $D57),0)</f>
        <v>0</v>
      </c>
      <c r="V57" s="234">
        <f>iferror(LET(ratio, R57,(1-ratio) * Reference!$B$3 * $D57),0)</f>
        <v>0</v>
      </c>
      <c r="W57" s="234">
        <f>SWITCH(Reference!$E$4,"eTradeTransactionLog", T57, "eTradeHoldingRatio",T57, "eTradeLotQtyRatio",U57,"manualLotRatio",V57)</f>
        <v>0</v>
      </c>
      <c r="X57" s="225">
        <f>IF(C57&lt;Reference!$B$26,Reference!$C$26,0)</f>
        <v>0</v>
      </c>
      <c r="Y57" s="225">
        <f>IF(C57&lt;Reference!$B$27,Reference!$C$27,0)</f>
        <v>16.87</v>
      </c>
      <c r="Z57" s="225">
        <f t="shared" si="10"/>
        <v>144.39</v>
      </c>
      <c r="AA57" s="225">
        <f t="shared" si="11"/>
        <v>0</v>
      </c>
      <c r="AB57" s="235">
        <f>$D57*Reference!$B$5*Reference!$B$6</f>
        <v>0</v>
      </c>
      <c r="AC57" s="235">
        <f>$D57*Q57*Reference!$B$6</f>
        <v>0</v>
      </c>
      <c r="AD57" s="235">
        <f>$D57*R57*Reference!$B$6</f>
        <v>0</v>
      </c>
      <c r="AE57" s="235">
        <f>SWITCH(Reference!$E$4, "eTradeTransactionLog", AB57, "eTradeHoldingRatio",AB57, "eTradeLotQtyRatio",AC57,"manualLotRatio",AD57)</f>
        <v>0</v>
      </c>
      <c r="AF57" s="236">
        <f>MAX(W57+(AE57*Reference!$B$18)-AA57,0)</f>
        <v>0</v>
      </c>
      <c r="AG57" s="237">
        <f>IF(J57,Summary!$C$41/ (J$86+ESPP!$N$28), 0)</f>
        <v>0</v>
      </c>
      <c r="AH57" s="358">
        <f>IF(J57,(Reference!$B$23 - AT57) * AG57, 0)</f>
        <v>0</v>
      </c>
      <c r="AI57" s="359">
        <f t="shared" si="12"/>
        <v>0</v>
      </c>
      <c r="AJ57" s="360">
        <f>IF(DATEDIF(C57,Reference!$B$28,"Y")&gt;=1,0,AI57+AH57)</f>
        <v>0</v>
      </c>
      <c r="AK57" s="360">
        <f>IF(DATEDIF(C57,Reference!$B$28,"Y")&gt;=1,AI57+AH57,0)</f>
        <v>0</v>
      </c>
      <c r="AL57" s="364" t="str">
        <f>IF(DATEDIF(C57,Reference!$B$28,"Y")&gt;=1,"Part II Box E","Part I Box B")</f>
        <v>Part II Box E</v>
      </c>
      <c r="AM57" s="253">
        <f t="shared" si="13"/>
        <v>44348</v>
      </c>
      <c r="AN57" s="254">
        <f t="shared" si="14"/>
        <v>0</v>
      </c>
      <c r="AO57" s="254">
        <f>SWITCH(Reference!$E$9, "combined", W57+(AE57*Reference!$B$18), "cashOnly", W57)</f>
        <v>0</v>
      </c>
      <c r="AP57" s="255">
        <f t="shared" si="15"/>
        <v>0</v>
      </c>
      <c r="AQ57" s="255" t="str">
        <f t="shared" si="16"/>
        <v/>
      </c>
      <c r="AR57" s="254">
        <f>LET(avgoFMV, Reference!$B$18*AE57, vmwBasis, Z57*D57, AP57 - IF(W57&lt;AF57,avgoFmv,vmwBasis))</f>
        <v>0</v>
      </c>
      <c r="AS57" s="365">
        <f t="shared" si="17"/>
        <v>0</v>
      </c>
      <c r="AT57" s="363" t="str">
        <f t="shared" si="18"/>
        <v>n/a</v>
      </c>
      <c r="AU57" s="247">
        <f>iferror((Reference!$B$10-AT57)*(AE57 - AG57), 0)</f>
        <v>0</v>
      </c>
      <c r="AV57" s="247">
        <f>IF(DATEDIF(C57,Reference!$B$29,"Y")&gt;=1,0,AU57)</f>
        <v>0</v>
      </c>
      <c r="AW57" s="250">
        <f>IF(DATEDIF(C57,Reference!$B$29,"Y")&gt;=1,AU57,0)</f>
        <v>0</v>
      </c>
    </row>
    <row r="58">
      <c r="A58" s="351" t="s">
        <v>199</v>
      </c>
      <c r="B58" s="352">
        <v>43462.0</v>
      </c>
      <c r="C58" s="221">
        <v>44378.0</v>
      </c>
      <c r="D58" s="222"/>
      <c r="E58" s="353">
        <v>156.13</v>
      </c>
      <c r="F58" s="354"/>
      <c r="G58" s="225">
        <f t="shared" si="7"/>
        <v>0</v>
      </c>
      <c r="H58" s="236">
        <f t="shared" si="8"/>
        <v>0</v>
      </c>
      <c r="I58" s="355"/>
      <c r="J58" s="259" t="b">
        <v>0</v>
      </c>
      <c r="K58" s="356"/>
      <c r="L58" s="230">
        <v>0.0</v>
      </c>
      <c r="M58" s="230">
        <v>0.0</v>
      </c>
      <c r="N58" s="230">
        <v>0.0</v>
      </c>
      <c r="O58" s="230">
        <v>0.0</v>
      </c>
      <c r="P58" s="230">
        <v>0.0</v>
      </c>
      <c r="Q58" s="232">
        <f t="shared" si="9"/>
        <v>0</v>
      </c>
      <c r="R58" s="232">
        <f>SWITCH(S58,"cash",Reference!E$5,"shares",Reference!$E$6,"balance",Reference!$E$7)</f>
        <v>0</v>
      </c>
      <c r="S58" s="233" t="s">
        <v>178</v>
      </c>
      <c r="T58" s="234">
        <f>LET(ratio,Reference!$B$4, ratio*Reference!$B$3*D58)</f>
        <v>0</v>
      </c>
      <c r="U58" s="234">
        <f>iferror(LET(ratio, Q58,(1-ratio) * Reference!$B$3 * $D58),0)</f>
        <v>0</v>
      </c>
      <c r="V58" s="234">
        <f>iferror(LET(ratio, R58,(1-ratio) * Reference!$B$3 * $D58),0)</f>
        <v>0</v>
      </c>
      <c r="W58" s="234">
        <f>SWITCH(Reference!$E$4,"eTradeTransactionLog", T58, "eTradeHoldingRatio",T58, "eTradeLotQtyRatio",U58,"manualLotRatio",V58)</f>
        <v>0</v>
      </c>
      <c r="X58" s="225">
        <f>IF(C58&lt;Reference!$B$26,Reference!$C$26,0)</f>
        <v>0</v>
      </c>
      <c r="Y58" s="225">
        <f>IF(C58&lt;Reference!$B$27,Reference!$C$27,0)</f>
        <v>16.87</v>
      </c>
      <c r="Z58" s="225">
        <f t="shared" si="10"/>
        <v>139.26</v>
      </c>
      <c r="AA58" s="225">
        <f t="shared" si="11"/>
        <v>0</v>
      </c>
      <c r="AB58" s="235">
        <f>$D58*Reference!$B$5*Reference!$B$6</f>
        <v>0</v>
      </c>
      <c r="AC58" s="235">
        <f>$D58*Q58*Reference!$B$6</f>
        <v>0</v>
      </c>
      <c r="AD58" s="235">
        <f>$D58*R58*Reference!$B$6</f>
        <v>0</v>
      </c>
      <c r="AE58" s="235">
        <f>SWITCH(Reference!$E$4, "eTradeTransactionLog", AB58, "eTradeHoldingRatio",AB58, "eTradeLotQtyRatio",AC58,"manualLotRatio",AD58)</f>
        <v>0</v>
      </c>
      <c r="AF58" s="236">
        <f>MAX(W58+(AE58*Reference!$B$18)-AA58,0)</f>
        <v>0</v>
      </c>
      <c r="AG58" s="237">
        <f>IF(J58,Summary!$C$41/ (J$86+ESPP!$N$28), 0)</f>
        <v>0</v>
      </c>
      <c r="AH58" s="358">
        <f>IF(J58,(Reference!$B$23 - AT58) * AG58, 0)</f>
        <v>0</v>
      </c>
      <c r="AI58" s="359">
        <f t="shared" si="12"/>
        <v>0</v>
      </c>
      <c r="AJ58" s="360">
        <f>IF(DATEDIF(C58,Reference!$B$28,"Y")&gt;=1,0,AI58+AH58)</f>
        <v>0</v>
      </c>
      <c r="AK58" s="360">
        <f>IF(DATEDIF(C58,Reference!$B$28,"Y")&gt;=1,AI58+AH58,0)</f>
        <v>0</v>
      </c>
      <c r="AL58" s="364" t="str">
        <f>IF(DATEDIF(C58,Reference!$B$28,"Y")&gt;=1,"Part II Box E","Part I Box B")</f>
        <v>Part II Box E</v>
      </c>
      <c r="AM58" s="253">
        <f t="shared" si="13"/>
        <v>44378</v>
      </c>
      <c r="AN58" s="254">
        <f t="shared" si="14"/>
        <v>0</v>
      </c>
      <c r="AO58" s="254">
        <f>SWITCH(Reference!$E$9, "combined", W58+(AE58*Reference!$B$18), "cashOnly", W58)</f>
        <v>0</v>
      </c>
      <c r="AP58" s="255">
        <f t="shared" si="15"/>
        <v>0</v>
      </c>
      <c r="AQ58" s="255" t="str">
        <f t="shared" si="16"/>
        <v/>
      </c>
      <c r="AR58" s="254">
        <f>LET(avgoFMV, Reference!$B$18*AE58, vmwBasis, Z58*D58, AP58 - IF(W58&lt;AF58,avgoFmv,vmwBasis))</f>
        <v>0</v>
      </c>
      <c r="AS58" s="365">
        <f t="shared" si="17"/>
        <v>0</v>
      </c>
      <c r="AT58" s="363" t="str">
        <f t="shared" si="18"/>
        <v>n/a</v>
      </c>
      <c r="AU58" s="247">
        <f>iferror((Reference!$B$10-AT58)*(AE58 - AG58), 0)</f>
        <v>0</v>
      </c>
      <c r="AV58" s="247">
        <f>IF(DATEDIF(C58,Reference!$B$29,"Y")&gt;=1,0,AU58)</f>
        <v>0</v>
      </c>
      <c r="AW58" s="250">
        <f>IF(DATEDIF(C58,Reference!$B$29,"Y")&gt;=1,AU58,0)</f>
        <v>0</v>
      </c>
    </row>
    <row r="59">
      <c r="A59" s="351"/>
      <c r="B59" s="368"/>
      <c r="C59" s="369">
        <v>44440.0</v>
      </c>
      <c r="D59" s="222"/>
      <c r="E59" s="353">
        <v>146.86</v>
      </c>
      <c r="F59" s="354"/>
      <c r="G59" s="225">
        <f t="shared" si="7"/>
        <v>0</v>
      </c>
      <c r="H59" s="236">
        <f t="shared" si="8"/>
        <v>0</v>
      </c>
      <c r="I59" s="355"/>
      <c r="J59" s="259" t="b">
        <v>0</v>
      </c>
      <c r="K59" s="356"/>
      <c r="L59" s="230">
        <v>0.0</v>
      </c>
      <c r="M59" s="230">
        <v>0.0</v>
      </c>
      <c r="N59" s="230">
        <v>0.0</v>
      </c>
      <c r="O59" s="230">
        <v>0.0</v>
      </c>
      <c r="P59" s="230">
        <v>0.0</v>
      </c>
      <c r="Q59" s="232">
        <f t="shared" si="9"/>
        <v>0</v>
      </c>
      <c r="R59" s="232">
        <f>SWITCH(S59,"cash",Reference!E$5,"shares",Reference!$E$6,"balance",Reference!$E$7)</f>
        <v>0</v>
      </c>
      <c r="S59" s="233" t="s">
        <v>178</v>
      </c>
      <c r="T59" s="234">
        <f>LET(ratio,Reference!$B$4, ratio*Reference!$B$3*D59)</f>
        <v>0</v>
      </c>
      <c r="U59" s="234">
        <f>iferror(LET(ratio, Q59,(1-ratio) * Reference!$B$3 * $D59),0)</f>
        <v>0</v>
      </c>
      <c r="V59" s="234">
        <f>iferror(LET(ratio, R59,(1-ratio) * Reference!$B$3 * $D59),0)</f>
        <v>0</v>
      </c>
      <c r="W59" s="234">
        <f>SWITCH(Reference!$E$4,"eTradeTransactionLog", T59, "eTradeHoldingRatio",T59, "eTradeLotQtyRatio",U59,"manualLotRatio",V59)</f>
        <v>0</v>
      </c>
      <c r="X59" s="225">
        <f>IF(C59&lt;Reference!$B$26,Reference!$C$26,0)</f>
        <v>0</v>
      </c>
      <c r="Y59" s="225">
        <f>IF(C59&lt;Reference!$B$27,Reference!$C$27,0)</f>
        <v>16.87</v>
      </c>
      <c r="Z59" s="225">
        <f t="shared" si="10"/>
        <v>129.99</v>
      </c>
      <c r="AA59" s="225">
        <f t="shared" si="11"/>
        <v>0</v>
      </c>
      <c r="AB59" s="235">
        <f>$D59*Reference!$B$5*Reference!$B$6</f>
        <v>0</v>
      </c>
      <c r="AC59" s="235">
        <f>$D59*Q59*Reference!$B$6</f>
        <v>0</v>
      </c>
      <c r="AD59" s="235">
        <f>$D59*R59*Reference!$B$6</f>
        <v>0</v>
      </c>
      <c r="AE59" s="235">
        <f>SWITCH(Reference!$E$4, "eTradeTransactionLog", AB59, "eTradeHoldingRatio",AB59, "eTradeLotQtyRatio",AC59,"manualLotRatio",AD59)</f>
        <v>0</v>
      </c>
      <c r="AF59" s="236">
        <f>MAX(W59+(AE59*Reference!$B$18)-AA59,0)</f>
        <v>0</v>
      </c>
      <c r="AG59" s="237">
        <f>IF(J59,Summary!$C$41/ (J$86+ESPP!$N$28), 0)</f>
        <v>0</v>
      </c>
      <c r="AH59" s="358">
        <f>IF(J59,(Reference!$B$23 - AT59) * AG59, 0)</f>
        <v>0</v>
      </c>
      <c r="AI59" s="359">
        <f t="shared" si="12"/>
        <v>0</v>
      </c>
      <c r="AJ59" s="360">
        <f>IF(DATEDIF(C59,Reference!$B$28,"Y")&gt;=1,0,AI59+AH59)</f>
        <v>0</v>
      </c>
      <c r="AK59" s="360">
        <f>IF(DATEDIF(C59,Reference!$B$28,"Y")&gt;=1,AI59+AH59,0)</f>
        <v>0</v>
      </c>
      <c r="AL59" s="364" t="str">
        <f>IF(DATEDIF(C59,Reference!$B$28,"Y")&gt;=1,"Part II Box E","Part I Box B")</f>
        <v>Part II Box E</v>
      </c>
      <c r="AM59" s="253">
        <f t="shared" si="13"/>
        <v>44440</v>
      </c>
      <c r="AN59" s="254">
        <f t="shared" si="14"/>
        <v>0</v>
      </c>
      <c r="AO59" s="254">
        <f>SWITCH(Reference!$E$9, "combined", W59+(AE59*Reference!$B$18), "cashOnly", W59)</f>
        <v>0</v>
      </c>
      <c r="AP59" s="255">
        <f t="shared" si="15"/>
        <v>0</v>
      </c>
      <c r="AQ59" s="255" t="str">
        <f t="shared" si="16"/>
        <v/>
      </c>
      <c r="AR59" s="254">
        <f>LET(avgoFMV, Reference!$B$18*AE59, vmwBasis, Z59*D59, AP59 - IF(W59&lt;AF59,avgoFmv,vmwBasis))</f>
        <v>0</v>
      </c>
      <c r="AS59" s="365">
        <f t="shared" si="17"/>
        <v>0</v>
      </c>
      <c r="AT59" s="363" t="str">
        <f t="shared" si="18"/>
        <v>n/a</v>
      </c>
      <c r="AU59" s="247">
        <f>iferror((Reference!$B$10-AT59)*(AE59 - AG59), 0)</f>
        <v>0</v>
      </c>
      <c r="AV59" s="247">
        <f>IF(DATEDIF(C59,Reference!$B$29,"Y")&gt;=1,0,AU59)</f>
        <v>0</v>
      </c>
      <c r="AW59" s="250">
        <f>IF(DATEDIF(C59,Reference!$B$29,"Y")&gt;=1,AU59,0)</f>
        <v>0</v>
      </c>
    </row>
    <row r="60">
      <c r="A60" s="351" t="s">
        <v>205</v>
      </c>
      <c r="B60" s="352">
        <v>44501.0</v>
      </c>
      <c r="C60" s="221">
        <v>44511.0</v>
      </c>
      <c r="D60" s="222"/>
      <c r="E60" s="353">
        <v>124.18</v>
      </c>
      <c r="F60" s="354"/>
      <c r="G60" s="225">
        <f t="shared" si="7"/>
        <v>0</v>
      </c>
      <c r="H60" s="236">
        <f t="shared" si="8"/>
        <v>0</v>
      </c>
      <c r="I60" s="355"/>
      <c r="J60" s="259" t="b">
        <v>0</v>
      </c>
      <c r="K60" s="356"/>
      <c r="L60" s="230">
        <v>0.0</v>
      </c>
      <c r="M60" s="230">
        <v>0.0</v>
      </c>
      <c r="N60" s="230">
        <v>0.0</v>
      </c>
      <c r="O60" s="230">
        <v>0.0</v>
      </c>
      <c r="P60" s="230">
        <v>0.0</v>
      </c>
      <c r="Q60" s="232">
        <f t="shared" si="9"/>
        <v>0</v>
      </c>
      <c r="R60" s="232">
        <f>SWITCH(S60,"cash",Reference!E$5,"shares",Reference!$E$6,"balance",Reference!$E$7)</f>
        <v>0</v>
      </c>
      <c r="S60" s="233" t="s">
        <v>178</v>
      </c>
      <c r="T60" s="234">
        <f>LET(ratio,Reference!$B$4, ratio*Reference!$B$3*D60)</f>
        <v>0</v>
      </c>
      <c r="U60" s="234">
        <f>iferror(LET(ratio, Q60,(1-ratio) * Reference!$B$3 * $D60),0)</f>
        <v>0</v>
      </c>
      <c r="V60" s="234">
        <f>iferror(LET(ratio, R60,(1-ratio) * Reference!$B$3 * $D60),0)</f>
        <v>0</v>
      </c>
      <c r="W60" s="234">
        <f>SWITCH(Reference!$E$4,"eTradeTransactionLog", T60, "eTradeHoldingRatio",T60, "eTradeLotQtyRatio",U60,"manualLotRatio",V60)</f>
        <v>0</v>
      </c>
      <c r="X60" s="225">
        <f>IF(C60&lt;Reference!$B$26,Reference!$C$26,0)</f>
        <v>0</v>
      </c>
      <c r="Y60" s="225">
        <f>IF(C60&lt;Reference!$B$27,Reference!$C$27,0)</f>
        <v>0</v>
      </c>
      <c r="Z60" s="225">
        <f t="shared" si="10"/>
        <v>124.18</v>
      </c>
      <c r="AA60" s="225">
        <f t="shared" si="11"/>
        <v>0</v>
      </c>
      <c r="AB60" s="235">
        <f>$D60*Reference!$B$5*Reference!$B$6</f>
        <v>0</v>
      </c>
      <c r="AC60" s="235">
        <f>$D60*Q60*Reference!$B$6</f>
        <v>0</v>
      </c>
      <c r="AD60" s="235">
        <f>$D60*R60*Reference!$B$6</f>
        <v>0</v>
      </c>
      <c r="AE60" s="235">
        <f>SWITCH(Reference!$E$4, "eTradeTransactionLog", AB60, "eTradeHoldingRatio",AB60, "eTradeLotQtyRatio",AC60,"manualLotRatio",AD60)</f>
        <v>0</v>
      </c>
      <c r="AF60" s="236">
        <f>MAX(W60+(AE60*Reference!$B$18)-AA60,0)</f>
        <v>0</v>
      </c>
      <c r="AG60" s="237">
        <f>IF(J60,Summary!$C$41/ (J$86+ESPP!$N$28), 0)</f>
        <v>0</v>
      </c>
      <c r="AH60" s="358">
        <f>IF(J60,(Reference!$B$23 - AT60) * AG60, 0)</f>
        <v>0</v>
      </c>
      <c r="AI60" s="359">
        <f t="shared" si="12"/>
        <v>0</v>
      </c>
      <c r="AJ60" s="360">
        <f>IF(DATEDIF(C60,Reference!$B$28,"Y")&gt;=1,0,AI60+AH60)</f>
        <v>0</v>
      </c>
      <c r="AK60" s="360">
        <f>IF(DATEDIF(C60,Reference!$B$28,"Y")&gt;=1,AI60+AH60,0)</f>
        <v>0</v>
      </c>
      <c r="AL60" s="364" t="str">
        <f>IF(DATEDIF(C60,Reference!$B$28,"Y")&gt;=1,"Part II Box E","Part I Box B")</f>
        <v>Part II Box E</v>
      </c>
      <c r="AM60" s="253">
        <f t="shared" si="13"/>
        <v>44511</v>
      </c>
      <c r="AN60" s="254">
        <f t="shared" si="14"/>
        <v>0</v>
      </c>
      <c r="AO60" s="254">
        <f>SWITCH(Reference!$E$9, "combined", W60+(AE60*Reference!$B$18), "cashOnly", W60)</f>
        <v>0</v>
      </c>
      <c r="AP60" s="255">
        <f t="shared" si="15"/>
        <v>0</v>
      </c>
      <c r="AQ60" s="255" t="str">
        <f t="shared" si="16"/>
        <v/>
      </c>
      <c r="AR60" s="254">
        <f>LET(avgoFMV, Reference!$B$18*AE60, vmwBasis, Z60*D60, AP60 - IF(W60&lt;AF60,avgoFmv,vmwBasis))</f>
        <v>0</v>
      </c>
      <c r="AS60" s="365">
        <f t="shared" si="17"/>
        <v>0</v>
      </c>
      <c r="AT60" s="363" t="str">
        <f t="shared" si="18"/>
        <v>n/a</v>
      </c>
      <c r="AU60" s="247">
        <f>iferror((Reference!$B$10-AT60)*(AE60 - AG60), 0)</f>
        <v>0</v>
      </c>
      <c r="AV60" s="247">
        <f>IF(DATEDIF(C60,Reference!$B$29,"Y")&gt;=1,0,AU60)</f>
        <v>0</v>
      </c>
      <c r="AW60" s="250">
        <f>IF(DATEDIF(C60,Reference!$B$29,"Y")&gt;=1,AU60,0)</f>
        <v>0</v>
      </c>
    </row>
    <row r="61">
      <c r="A61" s="351" t="s">
        <v>206</v>
      </c>
      <c r="B61" s="352">
        <v>44501.0</v>
      </c>
      <c r="C61" s="221">
        <v>44531.0</v>
      </c>
      <c r="D61" s="222"/>
      <c r="E61" s="353">
        <v>114.0</v>
      </c>
      <c r="F61" s="354"/>
      <c r="G61" s="225">
        <f t="shared" si="7"/>
        <v>0</v>
      </c>
      <c r="H61" s="236">
        <f t="shared" si="8"/>
        <v>0</v>
      </c>
      <c r="I61" s="355"/>
      <c r="J61" s="259" t="b">
        <v>0</v>
      </c>
      <c r="K61" s="356"/>
      <c r="L61" s="230">
        <v>0.0</v>
      </c>
      <c r="M61" s="230">
        <v>0.0</v>
      </c>
      <c r="N61" s="230">
        <v>0.0</v>
      </c>
      <c r="O61" s="230">
        <v>0.0</v>
      </c>
      <c r="P61" s="230">
        <v>0.0</v>
      </c>
      <c r="Q61" s="232">
        <f t="shared" si="9"/>
        <v>0</v>
      </c>
      <c r="R61" s="232">
        <f>SWITCH(S61,"cash",Reference!E$5,"shares",Reference!$E$6,"balance",Reference!$E$7)</f>
        <v>0</v>
      </c>
      <c r="S61" s="233" t="s">
        <v>178</v>
      </c>
      <c r="T61" s="234">
        <f>LET(ratio,Reference!$B$4, ratio*Reference!$B$3*D61)</f>
        <v>0</v>
      </c>
      <c r="U61" s="234">
        <f>iferror(LET(ratio, Q61,(1-ratio) * Reference!$B$3 * $D61),0)</f>
        <v>0</v>
      </c>
      <c r="V61" s="234">
        <f>iferror(LET(ratio, R61,(1-ratio) * Reference!$B$3 * $D61),0)</f>
        <v>0</v>
      </c>
      <c r="W61" s="234">
        <f>SWITCH(Reference!$E$4,"eTradeTransactionLog", T61, "eTradeHoldingRatio",T61, "eTradeLotQtyRatio",U61,"manualLotRatio",V61)</f>
        <v>0</v>
      </c>
      <c r="X61" s="225">
        <f>IF(C61&lt;Reference!$B$26,Reference!$C$26,0)</f>
        <v>0</v>
      </c>
      <c r="Y61" s="225">
        <f>IF(C61&lt;Reference!$B$27,Reference!$C$27,0)</f>
        <v>0</v>
      </c>
      <c r="Z61" s="225">
        <f t="shared" si="10"/>
        <v>114</v>
      </c>
      <c r="AA61" s="225">
        <f t="shared" si="11"/>
        <v>0</v>
      </c>
      <c r="AB61" s="235">
        <f>$D61*Reference!$B$5*Reference!$B$6</f>
        <v>0</v>
      </c>
      <c r="AC61" s="235">
        <f>$D61*Q61*Reference!$B$6</f>
        <v>0</v>
      </c>
      <c r="AD61" s="235">
        <f>$D61*R61*Reference!$B$6</f>
        <v>0</v>
      </c>
      <c r="AE61" s="235">
        <f>SWITCH(Reference!$E$4, "eTradeTransactionLog", AB61, "eTradeHoldingRatio",AB61, "eTradeLotQtyRatio",AC61,"manualLotRatio",AD61)</f>
        <v>0</v>
      </c>
      <c r="AF61" s="236">
        <f>MAX(W61+(AE61*Reference!$B$18)-AA61,0)</f>
        <v>0</v>
      </c>
      <c r="AG61" s="237">
        <f>IF(J61,Summary!$C$41/ (J$86+ESPP!$N$28), 0)</f>
        <v>0</v>
      </c>
      <c r="AH61" s="358">
        <f>IF(J61,(Reference!$B$23 - AT61) * AG61, 0)</f>
        <v>0</v>
      </c>
      <c r="AI61" s="359">
        <f t="shared" si="12"/>
        <v>0</v>
      </c>
      <c r="AJ61" s="360">
        <f>IF(DATEDIF(C61,Reference!$B$28,"Y")&gt;=1,0,AI61+AH61)</f>
        <v>0</v>
      </c>
      <c r="AK61" s="360">
        <f>IF(DATEDIF(C61,Reference!$B$28,"Y")&gt;=1,AI61+AH61,0)</f>
        <v>0</v>
      </c>
      <c r="AL61" s="364" t="str">
        <f>IF(DATEDIF(C61,Reference!$B$28,"Y")&gt;=1,"Part II Box E","Part I Box B")</f>
        <v>Part II Box E</v>
      </c>
      <c r="AM61" s="253">
        <f t="shared" si="13"/>
        <v>44531</v>
      </c>
      <c r="AN61" s="254">
        <f t="shared" si="14"/>
        <v>0</v>
      </c>
      <c r="AO61" s="254">
        <f>SWITCH(Reference!$E$9, "combined", W61+(AE61*Reference!$B$18), "cashOnly", W61)</f>
        <v>0</v>
      </c>
      <c r="AP61" s="255">
        <f t="shared" si="15"/>
        <v>0</v>
      </c>
      <c r="AQ61" s="255" t="str">
        <f t="shared" si="16"/>
        <v/>
      </c>
      <c r="AR61" s="254">
        <f>LET(avgoFMV, Reference!$B$18*AE61, vmwBasis, Z61*D61, AP61 - IF(W61&lt;AF61,avgoFmv,vmwBasis))</f>
        <v>0</v>
      </c>
      <c r="AS61" s="365">
        <f t="shared" si="17"/>
        <v>0</v>
      </c>
      <c r="AT61" s="363" t="str">
        <f t="shared" si="18"/>
        <v>n/a</v>
      </c>
      <c r="AU61" s="247">
        <f>iferror((Reference!$B$10-AT61)*(AE61 - AG61), 0)</f>
        <v>0</v>
      </c>
      <c r="AV61" s="247">
        <f>IF(DATEDIF(C61,Reference!$B$29,"Y")&gt;=1,0,AU61)</f>
        <v>0</v>
      </c>
      <c r="AW61" s="250">
        <f>IF(DATEDIF(C61,Reference!$B$29,"Y")&gt;=1,AU61,0)</f>
        <v>0</v>
      </c>
    </row>
    <row r="62">
      <c r="A62" s="351" t="s">
        <v>207</v>
      </c>
      <c r="B62" s="352">
        <v>44501.0</v>
      </c>
      <c r="C62" s="221">
        <v>44531.0</v>
      </c>
      <c r="D62" s="222"/>
      <c r="E62" s="353">
        <v>114.0</v>
      </c>
      <c r="F62" s="354"/>
      <c r="G62" s="225">
        <f t="shared" si="7"/>
        <v>0</v>
      </c>
      <c r="H62" s="236">
        <f t="shared" si="8"/>
        <v>0</v>
      </c>
      <c r="I62" s="355"/>
      <c r="J62" s="259" t="b">
        <v>0</v>
      </c>
      <c r="K62" s="356"/>
      <c r="L62" s="230">
        <v>0.0</v>
      </c>
      <c r="M62" s="230">
        <v>0.0</v>
      </c>
      <c r="N62" s="230">
        <v>0.0</v>
      </c>
      <c r="O62" s="230">
        <v>0.0</v>
      </c>
      <c r="P62" s="230">
        <v>0.0</v>
      </c>
      <c r="Q62" s="232">
        <f t="shared" si="9"/>
        <v>0</v>
      </c>
      <c r="R62" s="232">
        <f>SWITCH(S62,"cash",Reference!E$5,"shares",Reference!$E$6,"balance",Reference!$E$7)</f>
        <v>0</v>
      </c>
      <c r="S62" s="233" t="s">
        <v>178</v>
      </c>
      <c r="T62" s="234">
        <f>LET(ratio,Reference!$B$4, ratio*Reference!$B$3*D62)</f>
        <v>0</v>
      </c>
      <c r="U62" s="234">
        <f>iferror(LET(ratio, Q62,(1-ratio) * Reference!$B$3 * $D62),0)</f>
        <v>0</v>
      </c>
      <c r="V62" s="234">
        <f>iferror(LET(ratio, R62,(1-ratio) * Reference!$B$3 * $D62),0)</f>
        <v>0</v>
      </c>
      <c r="W62" s="234">
        <f>SWITCH(Reference!$E$4,"eTradeTransactionLog", T62, "eTradeHoldingRatio",T62, "eTradeLotQtyRatio",U62,"manualLotRatio",V62)</f>
        <v>0</v>
      </c>
      <c r="X62" s="225">
        <f>IF(C62&lt;Reference!$B$26,Reference!$C$26,0)</f>
        <v>0</v>
      </c>
      <c r="Y62" s="225">
        <f>IF(C62&lt;Reference!$B$27,Reference!$C$27,0)</f>
        <v>0</v>
      </c>
      <c r="Z62" s="225">
        <f t="shared" si="10"/>
        <v>114</v>
      </c>
      <c r="AA62" s="225">
        <f t="shared" si="11"/>
        <v>0</v>
      </c>
      <c r="AB62" s="235">
        <f>$D62*Reference!$B$5*Reference!$B$6</f>
        <v>0</v>
      </c>
      <c r="AC62" s="235">
        <f>$D62*Q62*Reference!$B$6</f>
        <v>0</v>
      </c>
      <c r="AD62" s="235">
        <f>$D62*R62*Reference!$B$6</f>
        <v>0</v>
      </c>
      <c r="AE62" s="235">
        <f>SWITCH(Reference!$E$4, "eTradeTransactionLog", AB62, "eTradeHoldingRatio",AB62, "eTradeLotQtyRatio",AC62,"manualLotRatio",AD62)</f>
        <v>0</v>
      </c>
      <c r="AF62" s="236">
        <f>MAX(W62+(AE62*Reference!$B$18)-AA62,0)</f>
        <v>0</v>
      </c>
      <c r="AG62" s="237">
        <f>IF(J62,Summary!$C$41/ (J$86+ESPP!$N$28), 0)</f>
        <v>0</v>
      </c>
      <c r="AH62" s="358">
        <f>IF(J62,(Reference!$B$23 - AT62) * AG62, 0)</f>
        <v>0</v>
      </c>
      <c r="AI62" s="359">
        <f t="shared" si="12"/>
        <v>0</v>
      </c>
      <c r="AJ62" s="360">
        <f>IF(DATEDIF(C62,Reference!$B$28,"Y")&gt;=1,0,AI62+AH62)</f>
        <v>0</v>
      </c>
      <c r="AK62" s="360">
        <f>IF(DATEDIF(C62,Reference!$B$28,"Y")&gt;=1,AI62+AH62,0)</f>
        <v>0</v>
      </c>
      <c r="AL62" s="364" t="str">
        <f>IF(DATEDIF(C62,Reference!$B$28,"Y")&gt;=1,"Part II Box E","Part I Box B")</f>
        <v>Part II Box E</v>
      </c>
      <c r="AM62" s="253">
        <f t="shared" si="13"/>
        <v>44531</v>
      </c>
      <c r="AN62" s="254">
        <f t="shared" si="14"/>
        <v>0</v>
      </c>
      <c r="AO62" s="254">
        <f>SWITCH(Reference!$E$9, "combined", W62+(AE62*Reference!$B$18), "cashOnly", W62)</f>
        <v>0</v>
      </c>
      <c r="AP62" s="255">
        <f t="shared" si="15"/>
        <v>0</v>
      </c>
      <c r="AQ62" s="255" t="str">
        <f t="shared" si="16"/>
        <v/>
      </c>
      <c r="AR62" s="254">
        <f>LET(avgoFMV, Reference!$B$18*AE62, vmwBasis, Z62*D62, AP62 - IF(W62&lt;AF62,avgoFmv,vmwBasis))</f>
        <v>0</v>
      </c>
      <c r="AS62" s="365">
        <f t="shared" si="17"/>
        <v>0</v>
      </c>
      <c r="AT62" s="363" t="str">
        <f t="shared" si="18"/>
        <v>n/a</v>
      </c>
      <c r="AU62" s="247">
        <f>iferror((Reference!$B$10-AT62)*(AE62 - AG62), 0)</f>
        <v>0</v>
      </c>
      <c r="AV62" s="247">
        <f>IF(DATEDIF(C62,Reference!$B$29,"Y")&gt;=1,0,AU62)</f>
        <v>0</v>
      </c>
      <c r="AW62" s="250">
        <f>IF(DATEDIF(C62,Reference!$B$29,"Y")&gt;=1,AU62,0)</f>
        <v>0</v>
      </c>
    </row>
    <row r="63">
      <c r="A63" s="351"/>
      <c r="B63" s="368"/>
      <c r="C63" s="369">
        <v>44562.0</v>
      </c>
      <c r="D63" s="222"/>
      <c r="E63" s="353">
        <v>115.88</v>
      </c>
      <c r="F63" s="354"/>
      <c r="G63" s="225">
        <f t="shared" si="7"/>
        <v>0</v>
      </c>
      <c r="H63" s="236">
        <f t="shared" si="8"/>
        <v>0</v>
      </c>
      <c r="I63" s="355"/>
      <c r="J63" s="259" t="b">
        <v>0</v>
      </c>
      <c r="K63" s="356"/>
      <c r="L63" s="230">
        <v>0.0</v>
      </c>
      <c r="M63" s="230">
        <v>0.0</v>
      </c>
      <c r="N63" s="230">
        <v>0.0</v>
      </c>
      <c r="O63" s="230">
        <v>0.0</v>
      </c>
      <c r="P63" s="230">
        <v>0.0</v>
      </c>
      <c r="Q63" s="232">
        <f t="shared" si="9"/>
        <v>0</v>
      </c>
      <c r="R63" s="232">
        <f>SWITCH(S63,"cash",Reference!E$5,"shares",Reference!$E$6,"balance",Reference!$E$7)</f>
        <v>0</v>
      </c>
      <c r="S63" s="233" t="s">
        <v>178</v>
      </c>
      <c r="T63" s="234">
        <f>LET(ratio,Reference!$B$4, ratio*Reference!$B$3*D63)</f>
        <v>0</v>
      </c>
      <c r="U63" s="234">
        <f>iferror(LET(ratio, Q63,(1-ratio) * Reference!$B$3 * $D63),0)</f>
        <v>0</v>
      </c>
      <c r="V63" s="234">
        <f>iferror(LET(ratio, R63,(1-ratio) * Reference!$B$3 * $D63),0)</f>
        <v>0</v>
      </c>
      <c r="W63" s="234">
        <f>SWITCH(Reference!$E$4,"eTradeTransactionLog", T63, "eTradeHoldingRatio",T63, "eTradeLotQtyRatio",U63,"manualLotRatio",V63)</f>
        <v>0</v>
      </c>
      <c r="X63" s="225">
        <f>IF(C63&lt;Reference!$B$26,Reference!$C$26,0)</f>
        <v>0</v>
      </c>
      <c r="Y63" s="225">
        <f>IF(C63&lt;Reference!$B$27,Reference!$C$27,0)</f>
        <v>0</v>
      </c>
      <c r="Z63" s="225">
        <f t="shared" si="10"/>
        <v>115.88</v>
      </c>
      <c r="AA63" s="225">
        <f t="shared" si="11"/>
        <v>0</v>
      </c>
      <c r="AB63" s="235">
        <f>$D63*Reference!$B$5*Reference!$B$6</f>
        <v>0</v>
      </c>
      <c r="AC63" s="235">
        <f>$D63*Q63*Reference!$B$6</f>
        <v>0</v>
      </c>
      <c r="AD63" s="235">
        <f>$D63*R63*Reference!$B$6</f>
        <v>0</v>
      </c>
      <c r="AE63" s="235">
        <f>SWITCH(Reference!$E$4, "eTradeTransactionLog", AB63, "eTradeHoldingRatio",AB63, "eTradeLotQtyRatio",AC63,"manualLotRatio",AD63)</f>
        <v>0</v>
      </c>
      <c r="AF63" s="236">
        <f>MAX(W63+(AE63*Reference!$B$18)-AA63,0)</f>
        <v>0</v>
      </c>
      <c r="AG63" s="237">
        <f>IF(J63,Summary!$C$41/ (J$86+ESPP!$N$28), 0)</f>
        <v>0</v>
      </c>
      <c r="AH63" s="358">
        <f>IF(J63,(Reference!$B$23 - AT63) * AG63, 0)</f>
        <v>0</v>
      </c>
      <c r="AI63" s="359">
        <f t="shared" si="12"/>
        <v>0</v>
      </c>
      <c r="AJ63" s="360">
        <f>IF(DATEDIF(C63,Reference!$B$28,"Y")&gt;=1,0,AI63+AH63)</f>
        <v>0</v>
      </c>
      <c r="AK63" s="360">
        <f>IF(DATEDIF(C63,Reference!$B$28,"Y")&gt;=1,AI63+AH63,0)</f>
        <v>0</v>
      </c>
      <c r="AL63" s="364" t="str">
        <f>IF(DATEDIF(C63,Reference!$B$28,"Y")&gt;=1,"Part II Box E","Part I Box B")</f>
        <v>Part II Box E</v>
      </c>
      <c r="AM63" s="253">
        <f t="shared" si="13"/>
        <v>44562</v>
      </c>
      <c r="AN63" s="254">
        <f t="shared" si="14"/>
        <v>0</v>
      </c>
      <c r="AO63" s="254">
        <f>SWITCH(Reference!$E$9, "combined", W63+(AE63*Reference!$B$18), "cashOnly", W63)</f>
        <v>0</v>
      </c>
      <c r="AP63" s="255">
        <f t="shared" si="15"/>
        <v>0</v>
      </c>
      <c r="AQ63" s="255" t="str">
        <f t="shared" si="16"/>
        <v/>
      </c>
      <c r="AR63" s="254">
        <f>LET(avgoFMV, Reference!$B$18*AE63, vmwBasis, Z63*D63, AP63 - IF(W63&lt;AF63,avgoFmv,vmwBasis))</f>
        <v>0</v>
      </c>
      <c r="AS63" s="365">
        <f t="shared" si="17"/>
        <v>0</v>
      </c>
      <c r="AT63" s="363" t="str">
        <f t="shared" si="18"/>
        <v>n/a</v>
      </c>
      <c r="AU63" s="247">
        <f>iferror((Reference!$B$10-AT63)*(AE63 - AG63), 0)</f>
        <v>0</v>
      </c>
      <c r="AV63" s="247">
        <f>IF(DATEDIF(C63,Reference!$B$29,"Y")&gt;=1,0,AU63)</f>
        <v>0</v>
      </c>
      <c r="AW63" s="250">
        <f>IF(DATEDIF(C63,Reference!$B$29,"Y")&gt;=1,AU63,0)</f>
        <v>0</v>
      </c>
    </row>
    <row r="64">
      <c r="A64" s="351" t="s">
        <v>208</v>
      </c>
      <c r="B64" s="352">
        <v>44501.0</v>
      </c>
      <c r="C64" s="221">
        <v>44593.0</v>
      </c>
      <c r="D64" s="222"/>
      <c r="E64" s="353">
        <v>128.47</v>
      </c>
      <c r="F64" s="354"/>
      <c r="G64" s="225">
        <f t="shared" si="7"/>
        <v>0</v>
      </c>
      <c r="H64" s="236">
        <f t="shared" si="8"/>
        <v>0</v>
      </c>
      <c r="I64" s="355"/>
      <c r="J64" s="259" t="b">
        <v>0</v>
      </c>
      <c r="K64" s="356"/>
      <c r="L64" s="230">
        <v>0.0</v>
      </c>
      <c r="M64" s="230">
        <v>0.0</v>
      </c>
      <c r="N64" s="230">
        <v>0.0</v>
      </c>
      <c r="O64" s="230">
        <v>0.0</v>
      </c>
      <c r="P64" s="230">
        <v>0.0</v>
      </c>
      <c r="Q64" s="232">
        <f t="shared" si="9"/>
        <v>0</v>
      </c>
      <c r="R64" s="232">
        <f>SWITCH(S64,"cash",Reference!E$5,"shares",Reference!$E$6,"balance",Reference!$E$7)</f>
        <v>0</v>
      </c>
      <c r="S64" s="233" t="s">
        <v>178</v>
      </c>
      <c r="T64" s="234">
        <f>LET(ratio,Reference!$B$4, ratio*Reference!$B$3*D64)</f>
        <v>0</v>
      </c>
      <c r="U64" s="234">
        <f>iferror(LET(ratio, Q64,(1-ratio) * Reference!$B$3 * $D64),0)</f>
        <v>0</v>
      </c>
      <c r="V64" s="234">
        <f>iferror(LET(ratio, R64,(1-ratio) * Reference!$B$3 * $D64),0)</f>
        <v>0</v>
      </c>
      <c r="W64" s="234">
        <f>SWITCH(Reference!$E$4,"eTradeTransactionLog", T64, "eTradeHoldingRatio",T64, "eTradeLotQtyRatio",U64,"manualLotRatio",V64)</f>
        <v>0</v>
      </c>
      <c r="X64" s="225">
        <f>IF(C64&lt;Reference!$B$26,Reference!$C$26,0)</f>
        <v>0</v>
      </c>
      <c r="Y64" s="225">
        <f>IF(C64&lt;Reference!$B$27,Reference!$C$27,0)</f>
        <v>0</v>
      </c>
      <c r="Z64" s="225">
        <f t="shared" si="10"/>
        <v>128.47</v>
      </c>
      <c r="AA64" s="225">
        <f t="shared" si="11"/>
        <v>0</v>
      </c>
      <c r="AB64" s="235">
        <f>$D64*Reference!$B$5*Reference!$B$6</f>
        <v>0</v>
      </c>
      <c r="AC64" s="235">
        <f>$D64*Q64*Reference!$B$6</f>
        <v>0</v>
      </c>
      <c r="AD64" s="235">
        <f>$D64*R64*Reference!$B$6</f>
        <v>0</v>
      </c>
      <c r="AE64" s="235">
        <f>SWITCH(Reference!$E$4, "eTradeTransactionLog", AB64, "eTradeHoldingRatio",AB64, "eTradeLotQtyRatio",AC64,"manualLotRatio",AD64)</f>
        <v>0</v>
      </c>
      <c r="AF64" s="236">
        <f>MAX(W64+(AE64*Reference!$B$18)-AA64,0)</f>
        <v>0</v>
      </c>
      <c r="AG64" s="237">
        <f>IF(J64,Summary!$C$41/ (J$86+ESPP!$N$28), 0)</f>
        <v>0</v>
      </c>
      <c r="AH64" s="358">
        <f>IF(J64,(Reference!$B$23 - AT64) * AG64, 0)</f>
        <v>0</v>
      </c>
      <c r="AI64" s="359">
        <f t="shared" si="12"/>
        <v>0</v>
      </c>
      <c r="AJ64" s="360">
        <f>IF(DATEDIF(C64,Reference!$B$28,"Y")&gt;=1,0,AI64+AH64)</f>
        <v>0</v>
      </c>
      <c r="AK64" s="360">
        <f>IF(DATEDIF(C64,Reference!$B$28,"Y")&gt;=1,AI64+AH64,0)</f>
        <v>0</v>
      </c>
      <c r="AL64" s="364" t="str">
        <f>IF(DATEDIF(C64,Reference!$B$28,"Y")&gt;=1,"Part II Box E","Part I Box B")</f>
        <v>Part II Box E</v>
      </c>
      <c r="AM64" s="253">
        <f t="shared" si="13"/>
        <v>44593</v>
      </c>
      <c r="AN64" s="254">
        <f t="shared" si="14"/>
        <v>0</v>
      </c>
      <c r="AO64" s="254">
        <f>SWITCH(Reference!$E$9, "combined", W64+(AE64*Reference!$B$18), "cashOnly", W64)</f>
        <v>0</v>
      </c>
      <c r="AP64" s="255">
        <f t="shared" si="15"/>
        <v>0</v>
      </c>
      <c r="AQ64" s="255" t="str">
        <f t="shared" si="16"/>
        <v/>
      </c>
      <c r="AR64" s="254">
        <f>LET(avgoFMV, Reference!$B$18*AE64, vmwBasis, Z64*D64, AP64 - IF(W64&lt;AF64,avgoFmv,vmwBasis))</f>
        <v>0</v>
      </c>
      <c r="AS64" s="365">
        <f t="shared" si="17"/>
        <v>0</v>
      </c>
      <c r="AT64" s="363" t="str">
        <f t="shared" si="18"/>
        <v>n/a</v>
      </c>
      <c r="AU64" s="247">
        <f>iferror((Reference!$B$10-AT64)*(AE64 - AG64), 0)</f>
        <v>0</v>
      </c>
      <c r="AV64" s="247">
        <f>IF(DATEDIF(C64,Reference!$B$29,"Y")&gt;=1,0,AU64)</f>
        <v>0</v>
      </c>
      <c r="AW64" s="250">
        <f>IF(DATEDIF(C64,Reference!$B$29,"Y")&gt;=1,AU64,0)</f>
        <v>0</v>
      </c>
    </row>
    <row r="65">
      <c r="A65" s="351"/>
      <c r="B65" s="368"/>
      <c r="C65" s="369">
        <v>44621.0</v>
      </c>
      <c r="D65" s="222"/>
      <c r="E65" s="353">
        <v>115.91</v>
      </c>
      <c r="F65" s="354"/>
      <c r="G65" s="225">
        <f t="shared" si="7"/>
        <v>0</v>
      </c>
      <c r="H65" s="236">
        <f t="shared" si="8"/>
        <v>0</v>
      </c>
      <c r="I65" s="355"/>
      <c r="J65" s="259" t="b">
        <v>0</v>
      </c>
      <c r="K65" s="356"/>
      <c r="L65" s="230">
        <v>0.0</v>
      </c>
      <c r="M65" s="230">
        <v>0.0</v>
      </c>
      <c r="N65" s="230">
        <v>0.0</v>
      </c>
      <c r="O65" s="230">
        <v>0.0</v>
      </c>
      <c r="P65" s="230">
        <v>0.0</v>
      </c>
      <c r="Q65" s="232">
        <f t="shared" si="9"/>
        <v>0</v>
      </c>
      <c r="R65" s="232">
        <f>SWITCH(S65,"cash",Reference!E$5,"shares",Reference!$E$6,"balance",Reference!$E$7)</f>
        <v>0</v>
      </c>
      <c r="S65" s="233" t="s">
        <v>178</v>
      </c>
      <c r="T65" s="234">
        <f>LET(ratio,Reference!$B$4, ratio*Reference!$B$3*D65)</f>
        <v>0</v>
      </c>
      <c r="U65" s="234">
        <f>iferror(LET(ratio, Q65,(1-ratio) * Reference!$B$3 * $D65),0)</f>
        <v>0</v>
      </c>
      <c r="V65" s="234">
        <f>iferror(LET(ratio, R65,(1-ratio) * Reference!$B$3 * $D65),0)</f>
        <v>0</v>
      </c>
      <c r="W65" s="234">
        <f>SWITCH(Reference!$E$4,"eTradeTransactionLog", T65, "eTradeHoldingRatio",T65, "eTradeLotQtyRatio",U65,"manualLotRatio",V65)</f>
        <v>0</v>
      </c>
      <c r="X65" s="225">
        <f>IF(C65&lt;Reference!$B$26,Reference!$C$26,0)</f>
        <v>0</v>
      </c>
      <c r="Y65" s="225">
        <f>IF(C65&lt;Reference!$B$27,Reference!$C$27,0)</f>
        <v>0</v>
      </c>
      <c r="Z65" s="225">
        <f t="shared" si="10"/>
        <v>115.91</v>
      </c>
      <c r="AA65" s="225">
        <f t="shared" si="11"/>
        <v>0</v>
      </c>
      <c r="AB65" s="235">
        <f>$D65*Reference!$B$5*Reference!$B$6</f>
        <v>0</v>
      </c>
      <c r="AC65" s="235">
        <f>$D65*Q65*Reference!$B$6</f>
        <v>0</v>
      </c>
      <c r="AD65" s="235">
        <f>$D65*R65*Reference!$B$6</f>
        <v>0</v>
      </c>
      <c r="AE65" s="235">
        <f>SWITCH(Reference!$E$4, "eTradeTransactionLog", AB65, "eTradeHoldingRatio",AB65, "eTradeLotQtyRatio",AC65,"manualLotRatio",AD65)</f>
        <v>0</v>
      </c>
      <c r="AF65" s="236">
        <f>MAX(W65+(AE65*Reference!$B$18)-AA65,0)</f>
        <v>0</v>
      </c>
      <c r="AG65" s="237">
        <f>IF(J65,Summary!$C$41/ (J$86+ESPP!$N$28), 0)</f>
        <v>0</v>
      </c>
      <c r="AH65" s="358">
        <f>IF(J65,(Reference!$B$23 - AT65) * AG65, 0)</f>
        <v>0</v>
      </c>
      <c r="AI65" s="359">
        <f t="shared" si="12"/>
        <v>0</v>
      </c>
      <c r="AJ65" s="360">
        <f>IF(DATEDIF(C65,Reference!$B$28,"Y")&gt;=1,0,AI65+AH65)</f>
        <v>0</v>
      </c>
      <c r="AK65" s="360">
        <f>IF(DATEDIF(C65,Reference!$B$28,"Y")&gt;=1,AI65+AH65,0)</f>
        <v>0</v>
      </c>
      <c r="AL65" s="364" t="str">
        <f>IF(DATEDIF(C65,Reference!$B$28,"Y")&gt;=1,"Part II Box E","Part I Box B")</f>
        <v>Part II Box E</v>
      </c>
      <c r="AM65" s="253">
        <f t="shared" si="13"/>
        <v>44621</v>
      </c>
      <c r="AN65" s="254">
        <f t="shared" si="14"/>
        <v>0</v>
      </c>
      <c r="AO65" s="254">
        <f>SWITCH(Reference!$E$9, "combined", W65+(AE65*Reference!$B$18), "cashOnly", W65)</f>
        <v>0</v>
      </c>
      <c r="AP65" s="255">
        <f t="shared" si="15"/>
        <v>0</v>
      </c>
      <c r="AQ65" s="255" t="str">
        <f t="shared" si="16"/>
        <v/>
      </c>
      <c r="AR65" s="254">
        <f>LET(avgoFMV, Reference!$B$18*AE65, vmwBasis, Z65*D65, AP65 - IF(W65&lt;AF65,avgoFmv,vmwBasis))</f>
        <v>0</v>
      </c>
      <c r="AS65" s="365">
        <f t="shared" si="17"/>
        <v>0</v>
      </c>
      <c r="AT65" s="363" t="str">
        <f t="shared" si="18"/>
        <v>n/a</v>
      </c>
      <c r="AU65" s="247">
        <f>iferror((Reference!$B$10-AT65)*(AE65 - AG65), 0)</f>
        <v>0</v>
      </c>
      <c r="AV65" s="247">
        <f>IF(DATEDIF(C65,Reference!$B$29,"Y")&gt;=1,0,AU65)</f>
        <v>0</v>
      </c>
      <c r="AW65" s="250">
        <f>IF(DATEDIF(C65,Reference!$B$29,"Y")&gt;=1,AU65,0)</f>
        <v>0</v>
      </c>
    </row>
    <row r="66">
      <c r="A66" s="351" t="s">
        <v>205</v>
      </c>
      <c r="B66" s="352">
        <v>44501.0</v>
      </c>
      <c r="C66" s="221">
        <v>44682.0</v>
      </c>
      <c r="D66" s="222"/>
      <c r="E66" s="353">
        <v>108.04</v>
      </c>
      <c r="F66" s="354"/>
      <c r="G66" s="225">
        <f t="shared" si="7"/>
        <v>0</v>
      </c>
      <c r="H66" s="236">
        <f t="shared" si="8"/>
        <v>0</v>
      </c>
      <c r="I66" s="355"/>
      <c r="J66" s="259" t="b">
        <v>0</v>
      </c>
      <c r="K66" s="356"/>
      <c r="L66" s="230">
        <v>0.0</v>
      </c>
      <c r="M66" s="230">
        <v>0.0</v>
      </c>
      <c r="N66" s="230">
        <v>0.0</v>
      </c>
      <c r="O66" s="230">
        <v>0.0</v>
      </c>
      <c r="P66" s="230">
        <v>0.0</v>
      </c>
      <c r="Q66" s="232">
        <f t="shared" si="9"/>
        <v>0</v>
      </c>
      <c r="R66" s="232">
        <f>SWITCH(S66,"cash",Reference!E$5,"shares",Reference!$E$6,"balance",Reference!$E$7)</f>
        <v>0</v>
      </c>
      <c r="S66" s="233" t="s">
        <v>178</v>
      </c>
      <c r="T66" s="234">
        <f>LET(ratio,Reference!$B$4, ratio*Reference!$B$3*D66)</f>
        <v>0</v>
      </c>
      <c r="U66" s="234">
        <f>iferror(LET(ratio, Q66,(1-ratio) * Reference!$B$3 * $D66),0)</f>
        <v>0</v>
      </c>
      <c r="V66" s="234">
        <f>iferror(LET(ratio, R66,(1-ratio) * Reference!$B$3 * $D66),0)</f>
        <v>0</v>
      </c>
      <c r="W66" s="234">
        <f>SWITCH(Reference!$E$4,"eTradeTransactionLog", T66, "eTradeHoldingRatio",T66, "eTradeLotQtyRatio",U66,"manualLotRatio",V66)</f>
        <v>0</v>
      </c>
      <c r="X66" s="225">
        <f>IF(C66&lt;Reference!$B$26,Reference!$C$26,0)</f>
        <v>0</v>
      </c>
      <c r="Y66" s="225">
        <f>IF(C66&lt;Reference!$B$27,Reference!$C$27,0)</f>
        <v>0</v>
      </c>
      <c r="Z66" s="225">
        <f t="shared" si="10"/>
        <v>108.04</v>
      </c>
      <c r="AA66" s="225">
        <f t="shared" si="11"/>
        <v>0</v>
      </c>
      <c r="AB66" s="235">
        <f>$D66*Reference!$B$5*Reference!$B$6</f>
        <v>0</v>
      </c>
      <c r="AC66" s="235">
        <f>$D66*Q66*Reference!$B$6</f>
        <v>0</v>
      </c>
      <c r="AD66" s="235">
        <f>$D66*R66*Reference!$B$6</f>
        <v>0</v>
      </c>
      <c r="AE66" s="235">
        <f>SWITCH(Reference!$E$4, "eTradeTransactionLog", AB66, "eTradeHoldingRatio",AB66, "eTradeLotQtyRatio",AC66,"manualLotRatio",AD66)</f>
        <v>0</v>
      </c>
      <c r="AF66" s="236">
        <f>MAX(W66+(AE66*Reference!$B$18)-AA66,0)</f>
        <v>0</v>
      </c>
      <c r="AG66" s="237">
        <f>IF(J66,Summary!$C$41/ (J$86+ESPP!$N$28), 0)</f>
        <v>0</v>
      </c>
      <c r="AH66" s="358">
        <f>IF(J66,(Reference!$B$23 - AT66) * AG66, 0)</f>
        <v>0</v>
      </c>
      <c r="AI66" s="359">
        <f t="shared" si="12"/>
        <v>0</v>
      </c>
      <c r="AJ66" s="360">
        <f>IF(DATEDIF(C66,Reference!$B$28,"Y")&gt;=1,0,AI66+AH66)</f>
        <v>0</v>
      </c>
      <c r="AK66" s="360">
        <f>IF(DATEDIF(C66,Reference!$B$28,"Y")&gt;=1,AI66+AH66,0)</f>
        <v>0</v>
      </c>
      <c r="AL66" s="364" t="str">
        <f>IF(DATEDIF(C66,Reference!$B$28,"Y")&gt;=1,"Part II Box E","Part I Box B")</f>
        <v>Part II Box E</v>
      </c>
      <c r="AM66" s="253">
        <f t="shared" si="13"/>
        <v>44682</v>
      </c>
      <c r="AN66" s="254">
        <f t="shared" si="14"/>
        <v>0</v>
      </c>
      <c r="AO66" s="254">
        <f>SWITCH(Reference!$E$9, "combined", W66+(AE66*Reference!$B$18), "cashOnly", W66)</f>
        <v>0</v>
      </c>
      <c r="AP66" s="255">
        <f t="shared" si="15"/>
        <v>0</v>
      </c>
      <c r="AQ66" s="255" t="str">
        <f t="shared" si="16"/>
        <v/>
      </c>
      <c r="AR66" s="254">
        <f>LET(avgoFMV, Reference!$B$18*AE66, vmwBasis, Z66*D66, AP66 - IF(W66&lt;AF66,avgoFmv,vmwBasis))</f>
        <v>0</v>
      </c>
      <c r="AS66" s="365">
        <f t="shared" si="17"/>
        <v>0</v>
      </c>
      <c r="AT66" s="363" t="str">
        <f t="shared" si="18"/>
        <v>n/a</v>
      </c>
      <c r="AU66" s="247">
        <f>iferror((Reference!$B$10-AT66)*(AE66 - AG66), 0)</f>
        <v>0</v>
      </c>
      <c r="AV66" s="247">
        <f>IF(DATEDIF(C66,Reference!$B$29,"Y")&gt;=1,0,AU66)</f>
        <v>0</v>
      </c>
      <c r="AW66" s="250">
        <f>IF(DATEDIF(C66,Reference!$B$29,"Y")&gt;=1,AU66,0)</f>
        <v>0</v>
      </c>
    </row>
    <row r="67">
      <c r="A67" s="351" t="s">
        <v>208</v>
      </c>
      <c r="B67" s="352">
        <v>44501.0</v>
      </c>
      <c r="C67" s="221">
        <v>44682.0</v>
      </c>
      <c r="D67" s="222"/>
      <c r="E67" s="353">
        <v>108.04</v>
      </c>
      <c r="F67" s="354"/>
      <c r="G67" s="225">
        <f t="shared" si="7"/>
        <v>0</v>
      </c>
      <c r="H67" s="236">
        <f t="shared" si="8"/>
        <v>0</v>
      </c>
      <c r="I67" s="355"/>
      <c r="J67" s="259" t="b">
        <v>0</v>
      </c>
      <c r="K67" s="356"/>
      <c r="L67" s="230">
        <v>0.0</v>
      </c>
      <c r="M67" s="230">
        <v>0.0</v>
      </c>
      <c r="N67" s="230">
        <v>0.0</v>
      </c>
      <c r="O67" s="230">
        <v>0.0</v>
      </c>
      <c r="P67" s="230">
        <v>0.0</v>
      </c>
      <c r="Q67" s="232">
        <f t="shared" si="9"/>
        <v>0</v>
      </c>
      <c r="R67" s="232">
        <f>SWITCH(S67,"cash",Reference!E$5,"shares",Reference!$E$6,"balance",Reference!$E$7)</f>
        <v>0</v>
      </c>
      <c r="S67" s="233" t="s">
        <v>178</v>
      </c>
      <c r="T67" s="234">
        <f>LET(ratio,Reference!$B$4, ratio*Reference!$B$3*D67)</f>
        <v>0</v>
      </c>
      <c r="U67" s="234">
        <f>iferror(LET(ratio, Q67,(1-ratio) * Reference!$B$3 * $D67),0)</f>
        <v>0</v>
      </c>
      <c r="V67" s="234">
        <f>iferror(LET(ratio, R67,(1-ratio) * Reference!$B$3 * $D67),0)</f>
        <v>0</v>
      </c>
      <c r="W67" s="234">
        <f>SWITCH(Reference!$E$4,"eTradeTransactionLog", T67, "eTradeHoldingRatio",T67, "eTradeLotQtyRatio",U67,"manualLotRatio",V67)</f>
        <v>0</v>
      </c>
      <c r="X67" s="225">
        <f>IF(C67&lt;Reference!$B$26,Reference!$C$26,0)</f>
        <v>0</v>
      </c>
      <c r="Y67" s="225">
        <f>IF(C67&lt;Reference!$B$27,Reference!$C$27,0)</f>
        <v>0</v>
      </c>
      <c r="Z67" s="225">
        <f t="shared" si="10"/>
        <v>108.04</v>
      </c>
      <c r="AA67" s="225">
        <f t="shared" si="11"/>
        <v>0</v>
      </c>
      <c r="AB67" s="235">
        <f>$D67*Reference!$B$5*Reference!$B$6</f>
        <v>0</v>
      </c>
      <c r="AC67" s="235">
        <f>$D67*Q67*Reference!$B$6</f>
        <v>0</v>
      </c>
      <c r="AD67" s="235">
        <f>$D67*R67*Reference!$B$6</f>
        <v>0</v>
      </c>
      <c r="AE67" s="235">
        <f>SWITCH(Reference!$E$4, "eTradeTransactionLog", AB67, "eTradeHoldingRatio",AB67, "eTradeLotQtyRatio",AC67,"manualLotRatio",AD67)</f>
        <v>0</v>
      </c>
      <c r="AF67" s="236">
        <f>MAX(W67+(AE67*Reference!$B$18)-AA67,0)</f>
        <v>0</v>
      </c>
      <c r="AG67" s="237">
        <f>IF(J67,Summary!$C$41/ (J$86+ESPP!$N$28), 0)</f>
        <v>0</v>
      </c>
      <c r="AH67" s="358">
        <f>IF(J67,(Reference!$B$23 - AT67) * AG67, 0)</f>
        <v>0</v>
      </c>
      <c r="AI67" s="359">
        <f t="shared" si="12"/>
        <v>0</v>
      </c>
      <c r="AJ67" s="360">
        <f>IF(DATEDIF(C67,Reference!$B$28,"Y")&gt;=1,0,AI67+AH67)</f>
        <v>0</v>
      </c>
      <c r="AK67" s="360">
        <f>IF(DATEDIF(C67,Reference!$B$28,"Y")&gt;=1,AI67+AH67,0)</f>
        <v>0</v>
      </c>
      <c r="AL67" s="364" t="str">
        <f>IF(DATEDIF(C67,Reference!$B$28,"Y")&gt;=1,"Part II Box E","Part I Box B")</f>
        <v>Part II Box E</v>
      </c>
      <c r="AM67" s="253">
        <f t="shared" si="13"/>
        <v>44682</v>
      </c>
      <c r="AN67" s="254">
        <f t="shared" si="14"/>
        <v>0</v>
      </c>
      <c r="AO67" s="254">
        <f>SWITCH(Reference!$E$9, "combined", W67+(AE67*Reference!$B$18), "cashOnly", W67)</f>
        <v>0</v>
      </c>
      <c r="AP67" s="255">
        <f t="shared" si="15"/>
        <v>0</v>
      </c>
      <c r="AQ67" s="255" t="str">
        <f t="shared" si="16"/>
        <v/>
      </c>
      <c r="AR67" s="254">
        <f>LET(avgoFMV, Reference!$B$18*AE67, vmwBasis, Z67*D67, AP67 - IF(W67&lt;AF67,avgoFmv,vmwBasis))</f>
        <v>0</v>
      </c>
      <c r="AS67" s="365">
        <f t="shared" si="17"/>
        <v>0</v>
      </c>
      <c r="AT67" s="363" t="str">
        <f t="shared" si="18"/>
        <v>n/a</v>
      </c>
      <c r="AU67" s="247">
        <f>iferror((Reference!$B$10-AT67)*(AE67 - AG67), 0)</f>
        <v>0</v>
      </c>
      <c r="AV67" s="247">
        <f>IF(DATEDIF(C67,Reference!$B$29,"Y")&gt;=1,0,AU67)</f>
        <v>0</v>
      </c>
      <c r="AW67" s="250">
        <f>IF(DATEDIF(C67,Reference!$B$29,"Y")&gt;=1,AU67,0)</f>
        <v>0</v>
      </c>
    </row>
    <row r="68">
      <c r="A68" s="351" t="s">
        <v>206</v>
      </c>
      <c r="B68" s="352">
        <v>44501.0</v>
      </c>
      <c r="C68" s="221">
        <v>44713.0</v>
      </c>
      <c r="D68" s="222"/>
      <c r="E68" s="353">
        <v>129.41</v>
      </c>
      <c r="F68" s="354"/>
      <c r="G68" s="225">
        <f t="shared" si="7"/>
        <v>0</v>
      </c>
      <c r="H68" s="236">
        <f t="shared" si="8"/>
        <v>0</v>
      </c>
      <c r="I68" s="355"/>
      <c r="J68" s="259" t="b">
        <v>0</v>
      </c>
      <c r="K68" s="356"/>
      <c r="L68" s="230">
        <v>0.0</v>
      </c>
      <c r="M68" s="230">
        <v>0.0</v>
      </c>
      <c r="N68" s="230">
        <v>0.0</v>
      </c>
      <c r="O68" s="230">
        <v>0.0</v>
      </c>
      <c r="P68" s="230">
        <v>0.0</v>
      </c>
      <c r="Q68" s="232">
        <f t="shared" si="9"/>
        <v>0</v>
      </c>
      <c r="R68" s="232">
        <f>SWITCH(S68,"cash",Reference!E$5,"shares",Reference!$E$6,"balance",Reference!$E$7)</f>
        <v>0</v>
      </c>
      <c r="S68" s="233" t="s">
        <v>178</v>
      </c>
      <c r="T68" s="234">
        <f>LET(ratio,Reference!$B$4, ratio*Reference!$B$3*D68)</f>
        <v>0</v>
      </c>
      <c r="U68" s="234">
        <f>iferror(LET(ratio, Q68,(1-ratio) * Reference!$B$3 * $D68),0)</f>
        <v>0</v>
      </c>
      <c r="V68" s="234">
        <f>iferror(LET(ratio, R68,(1-ratio) * Reference!$B$3 * $D68),0)</f>
        <v>0</v>
      </c>
      <c r="W68" s="234">
        <f>SWITCH(Reference!$E$4,"eTradeTransactionLog", T68, "eTradeHoldingRatio",T68, "eTradeLotQtyRatio",U68,"manualLotRatio",V68)</f>
        <v>0</v>
      </c>
      <c r="X68" s="225">
        <f>IF(C68&lt;Reference!$B$26,Reference!$C$26,0)</f>
        <v>0</v>
      </c>
      <c r="Y68" s="225">
        <f>IF(C68&lt;Reference!$B$27,Reference!$C$27,0)</f>
        <v>0</v>
      </c>
      <c r="Z68" s="225">
        <f t="shared" si="10"/>
        <v>129.41</v>
      </c>
      <c r="AA68" s="225">
        <f t="shared" si="11"/>
        <v>0</v>
      </c>
      <c r="AB68" s="235">
        <f>$D68*Reference!$B$5*Reference!$B$6</f>
        <v>0</v>
      </c>
      <c r="AC68" s="235">
        <f>$D68*Q68*Reference!$B$6</f>
        <v>0</v>
      </c>
      <c r="AD68" s="235">
        <f>$D68*R68*Reference!$B$6</f>
        <v>0</v>
      </c>
      <c r="AE68" s="235">
        <f>SWITCH(Reference!$E$4, "eTradeTransactionLog", AB68, "eTradeHoldingRatio",AB68, "eTradeLotQtyRatio",AC68,"manualLotRatio",AD68)</f>
        <v>0</v>
      </c>
      <c r="AF68" s="236">
        <f>MAX(W68+(AE68*Reference!$B$18)-AA68,0)</f>
        <v>0</v>
      </c>
      <c r="AG68" s="237">
        <f>IF(J68,Summary!$C$41/ (J$86+ESPP!$N$28), 0)</f>
        <v>0</v>
      </c>
      <c r="AH68" s="358">
        <f>IF(J68,(Reference!$B$23 - AT68) * AG68, 0)</f>
        <v>0</v>
      </c>
      <c r="AI68" s="359">
        <f t="shared" si="12"/>
        <v>0</v>
      </c>
      <c r="AJ68" s="360">
        <f>IF(DATEDIF(C68,Reference!$B$28,"Y")&gt;=1,0,AI68+AH68)</f>
        <v>0</v>
      </c>
      <c r="AK68" s="360">
        <f>IF(DATEDIF(C68,Reference!$B$28,"Y")&gt;=1,AI68+AH68,0)</f>
        <v>0</v>
      </c>
      <c r="AL68" s="364" t="str">
        <f>IF(DATEDIF(C68,Reference!$B$28,"Y")&gt;=1,"Part II Box E","Part I Box B")</f>
        <v>Part II Box E</v>
      </c>
      <c r="AM68" s="253">
        <f t="shared" si="13"/>
        <v>44713</v>
      </c>
      <c r="AN68" s="254">
        <f t="shared" si="14"/>
        <v>0</v>
      </c>
      <c r="AO68" s="254">
        <f>SWITCH(Reference!$E$9, "combined", W68+(AE68*Reference!$B$18), "cashOnly", W68)</f>
        <v>0</v>
      </c>
      <c r="AP68" s="255">
        <f t="shared" si="15"/>
        <v>0</v>
      </c>
      <c r="AQ68" s="255" t="str">
        <f t="shared" si="16"/>
        <v/>
      </c>
      <c r="AR68" s="254">
        <f>LET(avgoFMV, Reference!$B$18*AE68, vmwBasis, Z68*D68, AP68 - IF(W68&lt;AF68,avgoFmv,vmwBasis))</f>
        <v>0</v>
      </c>
      <c r="AS68" s="365">
        <f t="shared" si="17"/>
        <v>0</v>
      </c>
      <c r="AT68" s="363" t="str">
        <f t="shared" si="18"/>
        <v>n/a</v>
      </c>
      <c r="AU68" s="247">
        <f>iferror((Reference!$B$10-AT68)*(AE68 - AG68), 0)</f>
        <v>0</v>
      </c>
      <c r="AV68" s="247">
        <f>IF(DATEDIF(C68,Reference!$B$29,"Y")&gt;=1,0,AU68)</f>
        <v>0</v>
      </c>
      <c r="AW68" s="250">
        <f>IF(DATEDIF(C68,Reference!$B$29,"Y")&gt;=1,AU68,0)</f>
        <v>0</v>
      </c>
    </row>
    <row r="69">
      <c r="A69" s="351" t="s">
        <v>207</v>
      </c>
      <c r="B69" s="352">
        <v>44501.0</v>
      </c>
      <c r="C69" s="221">
        <v>44713.0</v>
      </c>
      <c r="D69" s="222"/>
      <c r="E69" s="353">
        <v>129.41</v>
      </c>
      <c r="F69" s="354"/>
      <c r="G69" s="225">
        <f t="shared" si="7"/>
        <v>0</v>
      </c>
      <c r="H69" s="236">
        <f t="shared" si="8"/>
        <v>0</v>
      </c>
      <c r="I69" s="367"/>
      <c r="J69" s="259" t="b">
        <v>0</v>
      </c>
      <c r="K69" s="356"/>
      <c r="L69" s="230">
        <v>0.0</v>
      </c>
      <c r="M69" s="230">
        <v>0.0</v>
      </c>
      <c r="N69" s="230">
        <v>0.0</v>
      </c>
      <c r="O69" s="230">
        <v>0.0</v>
      </c>
      <c r="P69" s="230">
        <v>0.0</v>
      </c>
      <c r="Q69" s="232">
        <f t="shared" si="9"/>
        <v>0</v>
      </c>
      <c r="R69" s="232">
        <f>SWITCH(S69,"cash",Reference!E$5,"shares",Reference!$E$6,"balance",Reference!$E$7)</f>
        <v>0</v>
      </c>
      <c r="S69" s="233" t="s">
        <v>178</v>
      </c>
      <c r="T69" s="234">
        <f>LET(ratio,Reference!$B$4, ratio*Reference!$B$3*D69)</f>
        <v>0</v>
      </c>
      <c r="U69" s="234">
        <f>iferror(LET(ratio, Q69,(1-ratio) * Reference!$B$3 * $D69),0)</f>
        <v>0</v>
      </c>
      <c r="V69" s="234">
        <f>iferror(LET(ratio, R69,(1-ratio) * Reference!$B$3 * $D69),0)</f>
        <v>0</v>
      </c>
      <c r="W69" s="234">
        <f>SWITCH(Reference!$E$4,"eTradeTransactionLog", T69, "eTradeHoldingRatio",T69, "eTradeLotQtyRatio",U69,"manualLotRatio",V69)</f>
        <v>0</v>
      </c>
      <c r="X69" s="225">
        <f>IF(C69&lt;Reference!$B$26,Reference!$C$26,0)</f>
        <v>0</v>
      </c>
      <c r="Y69" s="225">
        <f>IF(C69&lt;Reference!$B$27,Reference!$C$27,0)</f>
        <v>0</v>
      </c>
      <c r="Z69" s="225">
        <f t="shared" si="10"/>
        <v>129.41</v>
      </c>
      <c r="AA69" s="225">
        <f t="shared" si="11"/>
        <v>0</v>
      </c>
      <c r="AB69" s="235">
        <f>$D69*Reference!$B$5*Reference!$B$6</f>
        <v>0</v>
      </c>
      <c r="AC69" s="235">
        <f>$D69*Q69*Reference!$B$6</f>
        <v>0</v>
      </c>
      <c r="AD69" s="235">
        <f>$D69*R69*Reference!$B$6</f>
        <v>0</v>
      </c>
      <c r="AE69" s="235">
        <f>SWITCH(Reference!$E$4, "eTradeTransactionLog", AB69, "eTradeHoldingRatio",AB69, "eTradeLotQtyRatio",AC69,"manualLotRatio",AD69)</f>
        <v>0</v>
      </c>
      <c r="AF69" s="236">
        <f>MAX(W69+(AE69*Reference!$B$18)-AA69,0)</f>
        <v>0</v>
      </c>
      <c r="AG69" s="237">
        <f>IF(J69,Summary!$C$41/ (J$86+ESPP!$N$28), 0)</f>
        <v>0</v>
      </c>
      <c r="AH69" s="358">
        <f>IF(J69,(Reference!$B$23 - AT69) * AG69, 0)</f>
        <v>0</v>
      </c>
      <c r="AI69" s="359">
        <f t="shared" si="12"/>
        <v>0</v>
      </c>
      <c r="AJ69" s="360">
        <f>IF(DATEDIF(C69,Reference!$B$28,"Y")&gt;=1,0,AI69+AH69)</f>
        <v>0</v>
      </c>
      <c r="AK69" s="360">
        <f>IF(DATEDIF(C69,Reference!$B$28,"Y")&gt;=1,AI69+AH69,0)</f>
        <v>0</v>
      </c>
      <c r="AL69" s="364" t="str">
        <f>IF(DATEDIF(C69,Reference!$B$28,"Y")&gt;=1,"Part II Box E","Part I Box B")</f>
        <v>Part II Box E</v>
      </c>
      <c r="AM69" s="253">
        <f t="shared" si="13"/>
        <v>44713</v>
      </c>
      <c r="AN69" s="254">
        <f t="shared" si="14"/>
        <v>0</v>
      </c>
      <c r="AO69" s="254">
        <f>SWITCH(Reference!$E$9, "combined", W69+(AE69*Reference!$B$18), "cashOnly", W69)</f>
        <v>0</v>
      </c>
      <c r="AP69" s="255">
        <f t="shared" si="15"/>
        <v>0</v>
      </c>
      <c r="AQ69" s="255" t="str">
        <f t="shared" si="16"/>
        <v/>
      </c>
      <c r="AR69" s="254">
        <f>LET(avgoFMV, Reference!$B$18*AE69, vmwBasis, Z69*D69, AP69 - IF(W69&lt;AF69,avgoFmv,vmwBasis))</f>
        <v>0</v>
      </c>
      <c r="AS69" s="365">
        <f t="shared" si="17"/>
        <v>0</v>
      </c>
      <c r="AT69" s="363" t="str">
        <f t="shared" si="18"/>
        <v>n/a</v>
      </c>
      <c r="AU69" s="247">
        <f>iferror((Reference!$B$10-AT69)*(AE69 - AG69), 0)</f>
        <v>0</v>
      </c>
      <c r="AV69" s="247">
        <f>IF(DATEDIF(C69,Reference!$B$29,"Y")&gt;=1,0,AU69)</f>
        <v>0</v>
      </c>
      <c r="AW69" s="250">
        <f>IF(DATEDIF(C69,Reference!$B$29,"Y")&gt;=1,AU69,0)</f>
        <v>0</v>
      </c>
    </row>
    <row r="70">
      <c r="A70" s="351"/>
      <c r="B70" s="368"/>
      <c r="C70" s="369">
        <v>44743.0</v>
      </c>
      <c r="D70" s="222"/>
      <c r="E70" s="353">
        <v>114.06</v>
      </c>
      <c r="F70" s="354"/>
      <c r="G70" s="225">
        <f t="shared" si="7"/>
        <v>0</v>
      </c>
      <c r="H70" s="236">
        <f t="shared" si="8"/>
        <v>0</v>
      </c>
      <c r="I70" s="355"/>
      <c r="J70" s="259" t="b">
        <v>0</v>
      </c>
      <c r="K70" s="356"/>
      <c r="L70" s="230">
        <v>0.0</v>
      </c>
      <c r="M70" s="230">
        <v>0.0</v>
      </c>
      <c r="N70" s="230">
        <v>0.0</v>
      </c>
      <c r="O70" s="230">
        <v>0.0</v>
      </c>
      <c r="P70" s="230">
        <v>0.0</v>
      </c>
      <c r="Q70" s="232">
        <f t="shared" si="9"/>
        <v>0</v>
      </c>
      <c r="R70" s="232">
        <f>SWITCH(S70,"cash",Reference!E$5,"shares",Reference!$E$6,"balance",Reference!$E$7)</f>
        <v>0</v>
      </c>
      <c r="S70" s="233" t="s">
        <v>178</v>
      </c>
      <c r="T70" s="234">
        <f>LET(ratio,Reference!$B$4, ratio*Reference!$B$3*D70)</f>
        <v>0</v>
      </c>
      <c r="U70" s="234">
        <f>iferror(LET(ratio, Q70,(1-ratio) * Reference!$B$3 * $D70),0)</f>
        <v>0</v>
      </c>
      <c r="V70" s="234">
        <f>iferror(LET(ratio, R70,(1-ratio) * Reference!$B$3 * $D70),0)</f>
        <v>0</v>
      </c>
      <c r="W70" s="234">
        <f>SWITCH(Reference!$E$4,"eTradeTransactionLog", T70, "eTradeHoldingRatio",T70, "eTradeLotQtyRatio",U70,"manualLotRatio",V70)</f>
        <v>0</v>
      </c>
      <c r="X70" s="225">
        <f>IF(C70&lt;Reference!$B$26,Reference!$C$26,0)</f>
        <v>0</v>
      </c>
      <c r="Y70" s="225">
        <f>IF(C70&lt;Reference!$B$27,Reference!$C$27,0)</f>
        <v>0</v>
      </c>
      <c r="Z70" s="225">
        <f t="shared" si="10"/>
        <v>114.06</v>
      </c>
      <c r="AA70" s="225">
        <f t="shared" si="11"/>
        <v>0</v>
      </c>
      <c r="AB70" s="235">
        <f>$D70*Reference!$B$5*Reference!$B$6</f>
        <v>0</v>
      </c>
      <c r="AC70" s="235">
        <f>$D70*Q70*Reference!$B$6</f>
        <v>0</v>
      </c>
      <c r="AD70" s="235">
        <f>$D70*R70*Reference!$B$6</f>
        <v>0</v>
      </c>
      <c r="AE70" s="235">
        <f>SWITCH(Reference!$E$4, "eTradeTransactionLog", AB70, "eTradeHoldingRatio",AB70, "eTradeLotQtyRatio",AC70,"manualLotRatio",AD70)</f>
        <v>0</v>
      </c>
      <c r="AF70" s="236">
        <f>MAX(W70+(AE70*Reference!$B$18)-AA70,0)</f>
        <v>0</v>
      </c>
      <c r="AG70" s="237">
        <f>IF(J70,Summary!$C$41/ (J$86+ESPP!$N$28), 0)</f>
        <v>0</v>
      </c>
      <c r="AH70" s="358">
        <f>IF(J70,(Reference!$B$23 - AT70) * AG70, 0)</f>
        <v>0</v>
      </c>
      <c r="AI70" s="359">
        <f t="shared" si="12"/>
        <v>0</v>
      </c>
      <c r="AJ70" s="360">
        <f>IF(DATEDIF(C70,Reference!$B$28,"Y")&gt;=1,0,AI70+AH70)</f>
        <v>0</v>
      </c>
      <c r="AK70" s="360">
        <f>IF(DATEDIF(C70,Reference!$B$28,"Y")&gt;=1,AI70+AH70,0)</f>
        <v>0</v>
      </c>
      <c r="AL70" s="364" t="str">
        <f>IF(DATEDIF(C70,Reference!$B$28,"Y")&gt;=1,"Part II Box E","Part I Box B")</f>
        <v>Part II Box E</v>
      </c>
      <c r="AM70" s="253">
        <f t="shared" si="13"/>
        <v>44743</v>
      </c>
      <c r="AN70" s="254">
        <f t="shared" si="14"/>
        <v>0</v>
      </c>
      <c r="AO70" s="254">
        <f>SWITCH(Reference!$E$9, "combined", W70+(AE70*Reference!$B$18), "cashOnly", W70)</f>
        <v>0</v>
      </c>
      <c r="AP70" s="255">
        <f t="shared" si="15"/>
        <v>0</v>
      </c>
      <c r="AQ70" s="255" t="str">
        <f t="shared" si="16"/>
        <v/>
      </c>
      <c r="AR70" s="254">
        <f>LET(avgoFMV, Reference!$B$18*AE70, vmwBasis, Z70*D70, AP70 - IF(W70&lt;AF70,avgoFmv,vmwBasis))</f>
        <v>0</v>
      </c>
      <c r="AS70" s="365">
        <f t="shared" si="17"/>
        <v>0</v>
      </c>
      <c r="AT70" s="363" t="str">
        <f t="shared" si="18"/>
        <v>n/a</v>
      </c>
      <c r="AU70" s="247">
        <f>iferror((Reference!$B$10-AT70)*(AE70 - AG70), 0)</f>
        <v>0</v>
      </c>
      <c r="AV70" s="247">
        <f>IF(DATEDIF(C70,Reference!$B$29,"Y")&gt;=1,0,AU70)</f>
        <v>0</v>
      </c>
      <c r="AW70" s="250">
        <f>IF(DATEDIF(C70,Reference!$B$29,"Y")&gt;=1,AU70,0)</f>
        <v>0</v>
      </c>
    </row>
    <row r="71">
      <c r="A71" s="351" t="s">
        <v>208</v>
      </c>
      <c r="B71" s="352">
        <v>44501.0</v>
      </c>
      <c r="C71" s="221">
        <v>44774.0</v>
      </c>
      <c r="D71" s="222"/>
      <c r="E71" s="353">
        <v>116.17</v>
      </c>
      <c r="F71" s="354"/>
      <c r="G71" s="225">
        <f t="shared" si="7"/>
        <v>0</v>
      </c>
      <c r="H71" s="236">
        <f t="shared" si="8"/>
        <v>0</v>
      </c>
      <c r="I71" s="355"/>
      <c r="J71" s="259" t="b">
        <v>0</v>
      </c>
      <c r="K71" s="356"/>
      <c r="L71" s="230">
        <v>0.0</v>
      </c>
      <c r="M71" s="230">
        <v>0.0</v>
      </c>
      <c r="N71" s="230">
        <v>0.0</v>
      </c>
      <c r="O71" s="230">
        <v>0.0</v>
      </c>
      <c r="P71" s="230">
        <v>0.0</v>
      </c>
      <c r="Q71" s="232">
        <f t="shared" si="9"/>
        <v>0</v>
      </c>
      <c r="R71" s="232">
        <f>SWITCH(S71,"cash",Reference!E$5,"shares",Reference!$E$6,"balance",Reference!$E$7)</f>
        <v>0</v>
      </c>
      <c r="S71" s="233" t="s">
        <v>178</v>
      </c>
      <c r="T71" s="234">
        <f>LET(ratio,Reference!$B$4, ratio*Reference!$B$3*D71)</f>
        <v>0</v>
      </c>
      <c r="U71" s="234">
        <f>iferror(LET(ratio, Q71,(1-ratio) * Reference!$B$3 * $D71),0)</f>
        <v>0</v>
      </c>
      <c r="V71" s="234">
        <f>iferror(LET(ratio, R71,(1-ratio) * Reference!$B$3 * $D71),0)</f>
        <v>0</v>
      </c>
      <c r="W71" s="234">
        <f>SWITCH(Reference!$E$4,"eTradeTransactionLog", T71, "eTradeHoldingRatio",T71, "eTradeLotQtyRatio",U71,"manualLotRatio",V71)</f>
        <v>0</v>
      </c>
      <c r="X71" s="225">
        <f>IF(C71&lt;Reference!$B$26,Reference!$C$26,0)</f>
        <v>0</v>
      </c>
      <c r="Y71" s="225">
        <f>IF(C71&lt;Reference!$B$27,Reference!$C$27,0)</f>
        <v>0</v>
      </c>
      <c r="Z71" s="225">
        <f t="shared" si="10"/>
        <v>116.17</v>
      </c>
      <c r="AA71" s="225">
        <f t="shared" si="11"/>
        <v>0</v>
      </c>
      <c r="AB71" s="235">
        <f>$D71*Reference!$B$5*Reference!$B$6</f>
        <v>0</v>
      </c>
      <c r="AC71" s="235">
        <f>$D71*Q71*Reference!$B$6</f>
        <v>0</v>
      </c>
      <c r="AD71" s="235">
        <f>$D71*R71*Reference!$B$6</f>
        <v>0</v>
      </c>
      <c r="AE71" s="235">
        <f>SWITCH(Reference!$E$4, "eTradeTransactionLog", AB71, "eTradeHoldingRatio",AB71, "eTradeLotQtyRatio",AC71,"manualLotRatio",AD71)</f>
        <v>0</v>
      </c>
      <c r="AF71" s="236">
        <f>MAX(W71+(AE71*Reference!$B$18)-AA71,0)</f>
        <v>0</v>
      </c>
      <c r="AG71" s="237">
        <f>IF(J71,Summary!$C$41/ (J$86+ESPP!$N$28), 0)</f>
        <v>0</v>
      </c>
      <c r="AH71" s="358">
        <f>IF(J71,(Reference!$B$23 - AT71) * AG71, 0)</f>
        <v>0</v>
      </c>
      <c r="AI71" s="359">
        <f t="shared" si="12"/>
        <v>0</v>
      </c>
      <c r="AJ71" s="360">
        <f>IF(DATEDIF(C71,Reference!$B$28,"Y")&gt;=1,0,AI71+AH71)</f>
        <v>0</v>
      </c>
      <c r="AK71" s="360">
        <f>IF(DATEDIF(C71,Reference!$B$28,"Y")&gt;=1,AI71+AH71,0)</f>
        <v>0</v>
      </c>
      <c r="AL71" s="364" t="str">
        <f>IF(DATEDIF(C71,Reference!$B$28,"Y")&gt;=1,"Part II Box E","Part I Box B")</f>
        <v>Part II Box E</v>
      </c>
      <c r="AM71" s="253">
        <f t="shared" si="13"/>
        <v>44774</v>
      </c>
      <c r="AN71" s="254">
        <f t="shared" si="14"/>
        <v>0</v>
      </c>
      <c r="AO71" s="254">
        <f>SWITCH(Reference!$E$9, "combined", W71+(AE71*Reference!$B$18), "cashOnly", W71)</f>
        <v>0</v>
      </c>
      <c r="AP71" s="255">
        <f t="shared" si="15"/>
        <v>0</v>
      </c>
      <c r="AQ71" s="255" t="str">
        <f t="shared" si="16"/>
        <v/>
      </c>
      <c r="AR71" s="254">
        <f>LET(avgoFMV, Reference!$B$18*AE71, vmwBasis, Z71*D71, AP71 - IF(W71&lt;AF71,avgoFmv,vmwBasis))</f>
        <v>0</v>
      </c>
      <c r="AS71" s="365">
        <f t="shared" si="17"/>
        <v>0</v>
      </c>
      <c r="AT71" s="363" t="str">
        <f t="shared" si="18"/>
        <v>n/a</v>
      </c>
      <c r="AU71" s="247">
        <f>iferror((Reference!$B$10-AT71)*(AE71 - AG71), 0)</f>
        <v>0</v>
      </c>
      <c r="AV71" s="247">
        <f>IF(DATEDIF(C71,Reference!$B$29,"Y")&gt;=1,0,AU71)</f>
        <v>0</v>
      </c>
      <c r="AW71" s="250">
        <f>IF(DATEDIF(C71,Reference!$B$29,"Y")&gt;=1,AU71,0)</f>
        <v>0</v>
      </c>
    </row>
    <row r="72">
      <c r="A72" s="351"/>
      <c r="B72" s="368"/>
      <c r="C72" s="369">
        <v>44805.0</v>
      </c>
      <c r="D72" s="222"/>
      <c r="E72" s="353">
        <v>114.82</v>
      </c>
      <c r="F72" s="354"/>
      <c r="G72" s="225">
        <f t="shared" si="7"/>
        <v>0</v>
      </c>
      <c r="H72" s="236">
        <f t="shared" si="8"/>
        <v>0</v>
      </c>
      <c r="I72" s="355"/>
      <c r="J72" s="259" t="b">
        <v>0</v>
      </c>
      <c r="K72" s="356"/>
      <c r="L72" s="230">
        <v>0.0</v>
      </c>
      <c r="M72" s="230">
        <v>0.0</v>
      </c>
      <c r="N72" s="230">
        <v>0.0</v>
      </c>
      <c r="O72" s="230">
        <v>0.0</v>
      </c>
      <c r="P72" s="230">
        <v>0.0</v>
      </c>
      <c r="Q72" s="232">
        <f t="shared" si="9"/>
        <v>0</v>
      </c>
      <c r="R72" s="232">
        <f>SWITCH(S72,"cash",Reference!E$5,"shares",Reference!$E$6,"balance",Reference!$E$7)</f>
        <v>0</v>
      </c>
      <c r="S72" s="233" t="s">
        <v>178</v>
      </c>
      <c r="T72" s="234">
        <f>LET(ratio,Reference!$B$4, ratio*Reference!$B$3*D72)</f>
        <v>0</v>
      </c>
      <c r="U72" s="234">
        <f>iferror(LET(ratio, Q72,(1-ratio) * Reference!$B$3 * $D72),0)</f>
        <v>0</v>
      </c>
      <c r="V72" s="234">
        <f>iferror(LET(ratio, R72,(1-ratio) * Reference!$B$3 * $D72),0)</f>
        <v>0</v>
      </c>
      <c r="W72" s="234">
        <f>SWITCH(Reference!$E$4,"eTradeTransactionLog", T72, "eTradeHoldingRatio",T72, "eTradeLotQtyRatio",U72,"manualLotRatio",V72)</f>
        <v>0</v>
      </c>
      <c r="X72" s="225">
        <f>IF(C72&lt;Reference!$B$26,Reference!$C$26,0)</f>
        <v>0</v>
      </c>
      <c r="Y72" s="225">
        <f>IF(C72&lt;Reference!$B$27,Reference!$C$27,0)</f>
        <v>0</v>
      </c>
      <c r="Z72" s="225">
        <f t="shared" si="10"/>
        <v>114.82</v>
      </c>
      <c r="AA72" s="225">
        <f t="shared" si="11"/>
        <v>0</v>
      </c>
      <c r="AB72" s="235">
        <f>$D72*Reference!$B$5*Reference!$B$6</f>
        <v>0</v>
      </c>
      <c r="AC72" s="235">
        <f>$D72*Q72*Reference!$B$6</f>
        <v>0</v>
      </c>
      <c r="AD72" s="235">
        <f>$D72*R72*Reference!$B$6</f>
        <v>0</v>
      </c>
      <c r="AE72" s="235">
        <f>SWITCH(Reference!$E$4, "eTradeTransactionLog", AB72, "eTradeHoldingRatio",AB72, "eTradeLotQtyRatio",AC72,"manualLotRatio",AD72)</f>
        <v>0</v>
      </c>
      <c r="AF72" s="236">
        <f>MAX(W72+(AE72*Reference!$B$18)-AA72,0)</f>
        <v>0</v>
      </c>
      <c r="AG72" s="237">
        <f>IF(J72,Summary!$C$41/ (J$86+ESPP!$N$28), 0)</f>
        <v>0</v>
      </c>
      <c r="AH72" s="358">
        <f>IF(J72,(Reference!$B$23 - AT72) * AG72, 0)</f>
        <v>0</v>
      </c>
      <c r="AI72" s="359">
        <f t="shared" si="12"/>
        <v>0</v>
      </c>
      <c r="AJ72" s="360">
        <f>IF(DATEDIF(C72,Reference!$B$28,"Y")&gt;=1,0,AI72+AH72)</f>
        <v>0</v>
      </c>
      <c r="AK72" s="360">
        <f>IF(DATEDIF(C72,Reference!$B$28,"Y")&gt;=1,AI72+AH72,0)</f>
        <v>0</v>
      </c>
      <c r="AL72" s="364" t="str">
        <f>IF(DATEDIF(C72,Reference!$B$28,"Y")&gt;=1,"Part II Box E","Part I Box B")</f>
        <v>Part II Box E</v>
      </c>
      <c r="AM72" s="253">
        <f t="shared" si="13"/>
        <v>44805</v>
      </c>
      <c r="AN72" s="254">
        <f t="shared" si="14"/>
        <v>0</v>
      </c>
      <c r="AO72" s="254">
        <f>SWITCH(Reference!$E$9, "combined", W72+(AE72*Reference!$B$18), "cashOnly", W72)</f>
        <v>0</v>
      </c>
      <c r="AP72" s="255">
        <f t="shared" si="15"/>
        <v>0</v>
      </c>
      <c r="AQ72" s="255" t="str">
        <f t="shared" si="16"/>
        <v/>
      </c>
      <c r="AR72" s="254">
        <f>LET(avgoFMV, Reference!$B$18*AE72, vmwBasis, Z72*D72, AP72 - IF(W72&lt;AF72,avgoFmv,vmwBasis))</f>
        <v>0</v>
      </c>
      <c r="AS72" s="365">
        <f t="shared" si="17"/>
        <v>0</v>
      </c>
      <c r="AT72" s="363" t="str">
        <f t="shared" si="18"/>
        <v>n/a</v>
      </c>
      <c r="AU72" s="247">
        <f>iferror((Reference!$B$10-AT72)*(AE72 - AG72), 0)</f>
        <v>0</v>
      </c>
      <c r="AV72" s="247">
        <f>IF(DATEDIF(C72,Reference!$B$29,"Y")&gt;=1,0,AU72)</f>
        <v>0</v>
      </c>
      <c r="AW72" s="250">
        <f>IF(DATEDIF(C72,Reference!$B$29,"Y")&gt;=1,AU72,0)</f>
        <v>0</v>
      </c>
    </row>
    <row r="73">
      <c r="A73" s="351" t="s">
        <v>205</v>
      </c>
      <c r="B73" s="352">
        <v>44501.0</v>
      </c>
      <c r="C73" s="221">
        <v>44866.0</v>
      </c>
      <c r="D73" s="222"/>
      <c r="E73" s="353">
        <v>112.62</v>
      </c>
      <c r="F73" s="354"/>
      <c r="G73" s="225">
        <f t="shared" si="7"/>
        <v>0</v>
      </c>
      <c r="H73" s="236">
        <f t="shared" si="8"/>
        <v>0</v>
      </c>
      <c r="I73" s="355"/>
      <c r="J73" s="259" t="b">
        <v>0</v>
      </c>
      <c r="K73" s="356"/>
      <c r="L73" s="230">
        <v>0.0</v>
      </c>
      <c r="M73" s="230">
        <v>0.0</v>
      </c>
      <c r="N73" s="230">
        <v>0.0</v>
      </c>
      <c r="O73" s="230">
        <v>0.0</v>
      </c>
      <c r="P73" s="230">
        <v>0.0</v>
      </c>
      <c r="Q73" s="232">
        <f t="shared" si="9"/>
        <v>0</v>
      </c>
      <c r="R73" s="232">
        <f>SWITCH(S73,"cash",Reference!E$5,"shares",Reference!$E$6,"balance",Reference!$E$7)</f>
        <v>0</v>
      </c>
      <c r="S73" s="233" t="s">
        <v>178</v>
      </c>
      <c r="T73" s="234">
        <f>LET(ratio,Reference!$B$4, ratio*Reference!$B$3*D73)</f>
        <v>0</v>
      </c>
      <c r="U73" s="234">
        <f>iferror(LET(ratio, Q73,(1-ratio) * Reference!$B$3 * $D73),0)</f>
        <v>0</v>
      </c>
      <c r="V73" s="234">
        <f>iferror(LET(ratio, R73,(1-ratio) * Reference!$B$3 * $D73),0)</f>
        <v>0</v>
      </c>
      <c r="W73" s="234">
        <f>SWITCH(Reference!$E$4,"eTradeTransactionLog", T73, "eTradeHoldingRatio",T73, "eTradeLotQtyRatio",U73,"manualLotRatio",V73)</f>
        <v>0</v>
      </c>
      <c r="X73" s="225">
        <f>IF(C73&lt;Reference!$B$26,Reference!$C$26,0)</f>
        <v>0</v>
      </c>
      <c r="Y73" s="225">
        <f>IF(C73&lt;Reference!$B$27,Reference!$C$27,0)</f>
        <v>0</v>
      </c>
      <c r="Z73" s="225">
        <f t="shared" si="10"/>
        <v>112.62</v>
      </c>
      <c r="AA73" s="225">
        <f t="shared" si="11"/>
        <v>0</v>
      </c>
      <c r="AB73" s="235">
        <f>$D73*Reference!$B$5*Reference!$B$6</f>
        <v>0</v>
      </c>
      <c r="AC73" s="235">
        <f>$D73*Q73*Reference!$B$6</f>
        <v>0</v>
      </c>
      <c r="AD73" s="235">
        <f>$D73*R73*Reference!$B$6</f>
        <v>0</v>
      </c>
      <c r="AE73" s="235">
        <f>SWITCH(Reference!$E$4, "eTradeTransactionLog", AB73, "eTradeHoldingRatio",AB73, "eTradeLotQtyRatio",AC73,"manualLotRatio",AD73)</f>
        <v>0</v>
      </c>
      <c r="AF73" s="236">
        <f>MAX(W73+(AE73*Reference!$B$18)-AA73,0)</f>
        <v>0</v>
      </c>
      <c r="AG73" s="237">
        <f>IF(J73,Summary!$C$41/ (J$86+ESPP!$N$28), 0)</f>
        <v>0</v>
      </c>
      <c r="AH73" s="358">
        <f>IF(J73,(Reference!$B$23 - AT73) * AG73, 0)</f>
        <v>0</v>
      </c>
      <c r="AI73" s="359">
        <f t="shared" si="12"/>
        <v>0</v>
      </c>
      <c r="AJ73" s="360">
        <f>IF(DATEDIF(C73,Reference!$B$28,"Y")&gt;=1,0,AI73+AH73)</f>
        <v>0</v>
      </c>
      <c r="AK73" s="360">
        <f>IF(DATEDIF(C73,Reference!$B$28,"Y")&gt;=1,AI73+AH73,0)</f>
        <v>0</v>
      </c>
      <c r="AL73" s="364" t="str">
        <f>IF(DATEDIF(C73,Reference!$B$28,"Y")&gt;=1,"Part II Box E","Part I Box B")</f>
        <v>Part II Box E</v>
      </c>
      <c r="AM73" s="253">
        <f t="shared" si="13"/>
        <v>44866</v>
      </c>
      <c r="AN73" s="254">
        <f t="shared" si="14"/>
        <v>0</v>
      </c>
      <c r="AO73" s="254">
        <f>SWITCH(Reference!$E$9, "combined", W73+(AE73*Reference!$B$18), "cashOnly", W73)</f>
        <v>0</v>
      </c>
      <c r="AP73" s="255">
        <f t="shared" si="15"/>
        <v>0</v>
      </c>
      <c r="AQ73" s="255" t="str">
        <f t="shared" si="16"/>
        <v/>
      </c>
      <c r="AR73" s="254">
        <f>LET(avgoFMV, Reference!$B$18*AE73, vmwBasis, Z73*D73, AP73 - IF(W73&lt;AF73,avgoFmv,vmwBasis))</f>
        <v>0</v>
      </c>
      <c r="AS73" s="365">
        <f t="shared" si="17"/>
        <v>0</v>
      </c>
      <c r="AT73" s="363" t="str">
        <f t="shared" si="18"/>
        <v>n/a</v>
      </c>
      <c r="AU73" s="247">
        <f>iferror((Reference!$B$10-AT73)*(AE73 - AG73), 0)</f>
        <v>0</v>
      </c>
      <c r="AV73" s="247">
        <f>IF(DATEDIF(C73,Reference!$B$29,"Y")&gt;=1,0,AU73)</f>
        <v>0</v>
      </c>
      <c r="AW73" s="250">
        <f>IF(DATEDIF(C73,Reference!$B$29,"Y")&gt;=1,AU73,0)</f>
        <v>0</v>
      </c>
    </row>
    <row r="74">
      <c r="A74" s="351" t="s">
        <v>208</v>
      </c>
      <c r="B74" s="352">
        <v>44501.0</v>
      </c>
      <c r="C74" s="221">
        <v>44866.0</v>
      </c>
      <c r="D74" s="222"/>
      <c r="E74" s="353">
        <v>112.62</v>
      </c>
      <c r="F74" s="354"/>
      <c r="G74" s="225">
        <f t="shared" si="7"/>
        <v>0</v>
      </c>
      <c r="H74" s="236">
        <f t="shared" si="8"/>
        <v>0</v>
      </c>
      <c r="I74" s="355"/>
      <c r="J74" s="259" t="b">
        <v>0</v>
      </c>
      <c r="K74" s="356"/>
      <c r="L74" s="230">
        <v>0.0</v>
      </c>
      <c r="M74" s="230">
        <v>0.0</v>
      </c>
      <c r="N74" s="230">
        <v>0.0</v>
      </c>
      <c r="O74" s="230">
        <v>0.0</v>
      </c>
      <c r="P74" s="230">
        <v>0.0</v>
      </c>
      <c r="Q74" s="232">
        <f t="shared" si="9"/>
        <v>0</v>
      </c>
      <c r="R74" s="232">
        <f>SWITCH(S74,"cash",Reference!E$5,"shares",Reference!$E$6,"balance",Reference!$E$7)</f>
        <v>0</v>
      </c>
      <c r="S74" s="233" t="s">
        <v>178</v>
      </c>
      <c r="T74" s="234">
        <f>LET(ratio,Reference!$B$4, ratio*Reference!$B$3*D74)</f>
        <v>0</v>
      </c>
      <c r="U74" s="234">
        <f>iferror(LET(ratio, Q74,(1-ratio) * Reference!$B$3 * $D74),0)</f>
        <v>0</v>
      </c>
      <c r="V74" s="234">
        <f>iferror(LET(ratio, R74,(1-ratio) * Reference!$B$3 * $D74),0)</f>
        <v>0</v>
      </c>
      <c r="W74" s="234">
        <f>SWITCH(Reference!$E$4,"eTradeTransactionLog", T74, "eTradeHoldingRatio",T74, "eTradeLotQtyRatio",U74,"manualLotRatio",V74)</f>
        <v>0</v>
      </c>
      <c r="X74" s="225">
        <f>IF(C74&lt;Reference!$B$26,Reference!$C$26,0)</f>
        <v>0</v>
      </c>
      <c r="Y74" s="225">
        <f>IF(C74&lt;Reference!$B$27,Reference!$C$27,0)</f>
        <v>0</v>
      </c>
      <c r="Z74" s="225">
        <f t="shared" si="10"/>
        <v>112.62</v>
      </c>
      <c r="AA74" s="225">
        <f t="shared" si="11"/>
        <v>0</v>
      </c>
      <c r="AB74" s="235">
        <f>$D74*Reference!$B$5*Reference!$B$6</f>
        <v>0</v>
      </c>
      <c r="AC74" s="235">
        <f>$D74*Q74*Reference!$B$6</f>
        <v>0</v>
      </c>
      <c r="AD74" s="235">
        <f>$D74*R74*Reference!$B$6</f>
        <v>0</v>
      </c>
      <c r="AE74" s="235">
        <f>SWITCH(Reference!$E$4, "eTradeTransactionLog", AB74, "eTradeHoldingRatio",AB74, "eTradeLotQtyRatio",AC74,"manualLotRatio",AD74)</f>
        <v>0</v>
      </c>
      <c r="AF74" s="236">
        <f>MAX(W74+(AE74*Reference!$B$18)-AA74,0)</f>
        <v>0</v>
      </c>
      <c r="AG74" s="237">
        <f>IF(J74,Summary!$C$41/ (J$86+ESPP!$N$28), 0)</f>
        <v>0</v>
      </c>
      <c r="AH74" s="358">
        <f>IF(J74,(Reference!$B$23 - AT74) * AG74, 0)</f>
        <v>0</v>
      </c>
      <c r="AI74" s="359">
        <f t="shared" si="12"/>
        <v>0</v>
      </c>
      <c r="AJ74" s="360">
        <f>IF(DATEDIF(C74,Reference!$B$28,"Y")&gt;=1,0,AI74+AH74)</f>
        <v>0</v>
      </c>
      <c r="AK74" s="360">
        <f>IF(DATEDIF(C74,Reference!$B$28,"Y")&gt;=1,AI74+AH74,0)</f>
        <v>0</v>
      </c>
      <c r="AL74" s="364" t="str">
        <f>IF(DATEDIF(C74,Reference!$B$28,"Y")&gt;=1,"Part II Box E","Part I Box B")</f>
        <v>Part II Box E</v>
      </c>
      <c r="AM74" s="253">
        <f t="shared" si="13"/>
        <v>44866</v>
      </c>
      <c r="AN74" s="254">
        <f t="shared" si="14"/>
        <v>0</v>
      </c>
      <c r="AO74" s="254">
        <f>SWITCH(Reference!$E$9, "combined", W74+(AE74*Reference!$B$18), "cashOnly", W74)</f>
        <v>0</v>
      </c>
      <c r="AP74" s="255">
        <f t="shared" si="15"/>
        <v>0</v>
      </c>
      <c r="AQ74" s="255" t="str">
        <f t="shared" si="16"/>
        <v/>
      </c>
      <c r="AR74" s="254">
        <f>LET(avgoFMV, Reference!$B$18*AE74, vmwBasis, Z74*D74, AP74 - IF(W74&lt;AF74,avgoFmv,vmwBasis))</f>
        <v>0</v>
      </c>
      <c r="AS74" s="365">
        <f t="shared" si="17"/>
        <v>0</v>
      </c>
      <c r="AT74" s="363" t="str">
        <f t="shared" si="18"/>
        <v>n/a</v>
      </c>
      <c r="AU74" s="247">
        <f>iferror((Reference!$B$10-AT74)*(AE74 - AG74), 0)</f>
        <v>0</v>
      </c>
      <c r="AV74" s="247">
        <f>IF(DATEDIF(C74,Reference!$B$29,"Y")&gt;=1,0,AU74)</f>
        <v>0</v>
      </c>
      <c r="AW74" s="250">
        <f>IF(DATEDIF(C74,Reference!$B$29,"Y")&gt;=1,AU74,0)</f>
        <v>0</v>
      </c>
    </row>
    <row r="75">
      <c r="A75" s="351" t="s">
        <v>207</v>
      </c>
      <c r="B75" s="352">
        <v>44501.0</v>
      </c>
      <c r="C75" s="221">
        <v>44896.0</v>
      </c>
      <c r="D75" s="222"/>
      <c r="E75" s="353">
        <v>121.68</v>
      </c>
      <c r="F75" s="354"/>
      <c r="G75" s="225">
        <f t="shared" si="7"/>
        <v>0</v>
      </c>
      <c r="H75" s="236">
        <f t="shared" si="8"/>
        <v>0</v>
      </c>
      <c r="I75" s="355"/>
      <c r="J75" s="259" t="b">
        <v>0</v>
      </c>
      <c r="K75" s="356"/>
      <c r="L75" s="230">
        <v>0.0</v>
      </c>
      <c r="M75" s="230">
        <v>0.0</v>
      </c>
      <c r="N75" s="230">
        <v>0.0</v>
      </c>
      <c r="O75" s="230">
        <v>0.0</v>
      </c>
      <c r="P75" s="230">
        <v>0.0</v>
      </c>
      <c r="Q75" s="232">
        <f t="shared" si="9"/>
        <v>0</v>
      </c>
      <c r="R75" s="232">
        <f>SWITCH(S75,"cash",Reference!E$5,"shares",Reference!$E$6,"balance",Reference!$E$7)</f>
        <v>0</v>
      </c>
      <c r="S75" s="233" t="s">
        <v>178</v>
      </c>
      <c r="T75" s="234">
        <f>LET(ratio,Reference!$B$4, ratio*Reference!$B$3*D75)</f>
        <v>0</v>
      </c>
      <c r="U75" s="234">
        <f>iferror(LET(ratio, Q75,(1-ratio) * Reference!$B$3 * $D75),0)</f>
        <v>0</v>
      </c>
      <c r="V75" s="234">
        <f>iferror(LET(ratio, R75,(1-ratio) * Reference!$B$3 * $D75),0)</f>
        <v>0</v>
      </c>
      <c r="W75" s="234">
        <f>SWITCH(Reference!$E$4,"eTradeTransactionLog", T75, "eTradeHoldingRatio",T75, "eTradeLotQtyRatio",U75,"manualLotRatio",V75)</f>
        <v>0</v>
      </c>
      <c r="X75" s="225">
        <f>IF(C75&lt;Reference!$B$26,Reference!$C$26,0)</f>
        <v>0</v>
      </c>
      <c r="Y75" s="225">
        <f>IF(C75&lt;Reference!$B$27,Reference!$C$27,0)</f>
        <v>0</v>
      </c>
      <c r="Z75" s="225">
        <f t="shared" si="10"/>
        <v>121.68</v>
      </c>
      <c r="AA75" s="225">
        <f t="shared" si="11"/>
        <v>0</v>
      </c>
      <c r="AB75" s="235">
        <f>$D75*Reference!$B$5*Reference!$B$6</f>
        <v>0</v>
      </c>
      <c r="AC75" s="235">
        <f>$D75*Q75*Reference!$B$6</f>
        <v>0</v>
      </c>
      <c r="AD75" s="235">
        <f>$D75*R75*Reference!$B$6</f>
        <v>0</v>
      </c>
      <c r="AE75" s="235">
        <f>SWITCH(Reference!$E$4, "eTradeTransactionLog", AB75, "eTradeHoldingRatio",AB75, "eTradeLotQtyRatio",AC75,"manualLotRatio",AD75)</f>
        <v>0</v>
      </c>
      <c r="AF75" s="236">
        <f>MAX(W75+(AE75*Reference!$B$18)-AA75,0)</f>
        <v>0</v>
      </c>
      <c r="AG75" s="237">
        <f>IF(J75,Summary!$C$41/ (J$86+ESPP!$N$28), 0)</f>
        <v>0</v>
      </c>
      <c r="AH75" s="358">
        <f>IF(J75,(Reference!$B$23 - AT75) * AG75, 0)</f>
        <v>0</v>
      </c>
      <c r="AI75" s="359">
        <f t="shared" si="12"/>
        <v>0</v>
      </c>
      <c r="AJ75" s="360">
        <f>IF(DATEDIF(C75,Reference!$B$28,"Y")&gt;=1,0,AI75+AH75)</f>
        <v>0</v>
      </c>
      <c r="AK75" s="360">
        <f>IF(DATEDIF(C75,Reference!$B$28,"Y")&gt;=1,AI75+AH75,0)</f>
        <v>0</v>
      </c>
      <c r="AL75" s="364" t="str">
        <f>IF(DATEDIF(C75,Reference!$B$28,"Y")&gt;=1,"Part II Box E","Part I Box B")</f>
        <v>Part I Box B</v>
      </c>
      <c r="AM75" s="253">
        <f t="shared" si="13"/>
        <v>44896</v>
      </c>
      <c r="AN75" s="254">
        <f t="shared" si="14"/>
        <v>0</v>
      </c>
      <c r="AO75" s="254">
        <f>SWITCH(Reference!$E$9, "combined", W75+(AE75*Reference!$B$18), "cashOnly", W75)</f>
        <v>0</v>
      </c>
      <c r="AP75" s="255">
        <f t="shared" si="15"/>
        <v>0</v>
      </c>
      <c r="AQ75" s="255" t="str">
        <f t="shared" si="16"/>
        <v/>
      </c>
      <c r="AR75" s="254">
        <f>LET(avgoFMV, Reference!$B$18*AE75, vmwBasis, Z75*D75, AP75 - IF(W75&lt;AF75,avgoFmv,vmwBasis))</f>
        <v>0</v>
      </c>
      <c r="AS75" s="365">
        <f t="shared" si="17"/>
        <v>0</v>
      </c>
      <c r="AT75" s="363" t="str">
        <f t="shared" si="18"/>
        <v>n/a</v>
      </c>
      <c r="AU75" s="247">
        <f>iferror((Reference!$B$10-AT75)*(AE75 - AG75), 0)</f>
        <v>0</v>
      </c>
      <c r="AV75" s="247">
        <f>IF(DATEDIF(C75,Reference!$B$29,"Y")&gt;=1,0,AU75)</f>
        <v>0</v>
      </c>
      <c r="AW75" s="250">
        <f>IF(DATEDIF(C75,Reference!$B$29,"Y")&gt;=1,AU75,0)</f>
        <v>0</v>
      </c>
    </row>
    <row r="76">
      <c r="A76" s="351"/>
      <c r="B76" s="368"/>
      <c r="C76" s="369">
        <v>44927.0</v>
      </c>
      <c r="D76" s="222"/>
      <c r="E76" s="353">
        <v>122.76</v>
      </c>
      <c r="F76" s="354"/>
      <c r="G76" s="225">
        <f t="shared" si="7"/>
        <v>0</v>
      </c>
      <c r="H76" s="236">
        <f t="shared" si="8"/>
        <v>0</v>
      </c>
      <c r="I76" s="355"/>
      <c r="J76" s="259" t="b">
        <v>0</v>
      </c>
      <c r="K76" s="356"/>
      <c r="L76" s="230">
        <v>0.0</v>
      </c>
      <c r="M76" s="230">
        <v>0.0</v>
      </c>
      <c r="N76" s="230">
        <v>0.0</v>
      </c>
      <c r="O76" s="230">
        <v>0.0</v>
      </c>
      <c r="P76" s="230">
        <v>0.0</v>
      </c>
      <c r="Q76" s="232">
        <f t="shared" si="9"/>
        <v>0</v>
      </c>
      <c r="R76" s="232">
        <f>SWITCH(S76,"cash",Reference!E$5,"shares",Reference!$E$6,"balance",Reference!$E$7)</f>
        <v>0</v>
      </c>
      <c r="S76" s="233" t="s">
        <v>178</v>
      </c>
      <c r="T76" s="234">
        <f>LET(ratio,Reference!$B$4, ratio*Reference!$B$3*D76)</f>
        <v>0</v>
      </c>
      <c r="U76" s="234">
        <f>iferror(LET(ratio, Q76,(1-ratio) * Reference!$B$3 * $D76),0)</f>
        <v>0</v>
      </c>
      <c r="V76" s="234">
        <f>iferror(LET(ratio, R76,(1-ratio) * Reference!$B$3 * $D76),0)</f>
        <v>0</v>
      </c>
      <c r="W76" s="234">
        <f>SWITCH(Reference!$E$4,"eTradeTransactionLog", T76, "eTradeHoldingRatio",T76, "eTradeLotQtyRatio",U76,"manualLotRatio",V76)</f>
        <v>0</v>
      </c>
      <c r="X76" s="225">
        <f>IF(C76&lt;Reference!$B$26,Reference!$C$26,0)</f>
        <v>0</v>
      </c>
      <c r="Y76" s="225">
        <f>IF(C76&lt;Reference!$B$27,Reference!$C$27,0)</f>
        <v>0</v>
      </c>
      <c r="Z76" s="225">
        <f t="shared" si="10"/>
        <v>122.76</v>
      </c>
      <c r="AA76" s="225">
        <f t="shared" si="11"/>
        <v>0</v>
      </c>
      <c r="AB76" s="235">
        <f>$D76*Reference!$B$5*Reference!$B$6</f>
        <v>0</v>
      </c>
      <c r="AC76" s="235">
        <f>$D76*Q76*Reference!$B$6</f>
        <v>0</v>
      </c>
      <c r="AD76" s="235">
        <f>$D76*R76*Reference!$B$6</f>
        <v>0</v>
      </c>
      <c r="AE76" s="235">
        <f>SWITCH(Reference!$E$4, "eTradeTransactionLog", AB76, "eTradeHoldingRatio",AB76, "eTradeLotQtyRatio",AC76,"manualLotRatio",AD76)</f>
        <v>0</v>
      </c>
      <c r="AF76" s="236">
        <f>MAX(W76+(AE76*Reference!$B$18)-AA76,0)</f>
        <v>0</v>
      </c>
      <c r="AG76" s="237">
        <f>IF(J76,Summary!$C$41/ (J$86+ESPP!$N$28), 0)</f>
        <v>0</v>
      </c>
      <c r="AH76" s="358">
        <f>IF(J76,(Reference!$B$23 - AT76) * AG76, 0)</f>
        <v>0</v>
      </c>
      <c r="AI76" s="359">
        <f t="shared" si="12"/>
        <v>0</v>
      </c>
      <c r="AJ76" s="360">
        <f>IF(DATEDIF(C76,Reference!$B$28,"Y")&gt;=1,0,AI76+AH76)</f>
        <v>0</v>
      </c>
      <c r="AK76" s="360">
        <f>IF(DATEDIF(C76,Reference!$B$28,"Y")&gt;=1,AI76+AH76,0)</f>
        <v>0</v>
      </c>
      <c r="AL76" s="364" t="str">
        <f>IF(DATEDIF(C76,Reference!$B$28,"Y")&gt;=1,"Part II Box E","Part I Box B")</f>
        <v>Part I Box B</v>
      </c>
      <c r="AM76" s="253">
        <f t="shared" si="13"/>
        <v>44927</v>
      </c>
      <c r="AN76" s="254">
        <f t="shared" si="14"/>
        <v>0</v>
      </c>
      <c r="AO76" s="254">
        <f>SWITCH(Reference!$E$9, "combined", W76+(AE76*Reference!$B$18), "cashOnly", W76)</f>
        <v>0</v>
      </c>
      <c r="AP76" s="255">
        <f t="shared" si="15"/>
        <v>0</v>
      </c>
      <c r="AQ76" s="255" t="str">
        <f t="shared" si="16"/>
        <v/>
      </c>
      <c r="AR76" s="254">
        <f>LET(avgoFMV, Reference!$B$18*AE76, vmwBasis, Z76*D76, AP76 - IF(W76&lt;AF76,avgoFmv,vmwBasis))</f>
        <v>0</v>
      </c>
      <c r="AS76" s="365">
        <f t="shared" si="17"/>
        <v>0</v>
      </c>
      <c r="AT76" s="363" t="str">
        <f t="shared" si="18"/>
        <v>n/a</v>
      </c>
      <c r="AU76" s="247">
        <f>iferror((Reference!$B$10-AT76)*(AE76 - AG76), 0)</f>
        <v>0</v>
      </c>
      <c r="AV76" s="247">
        <f>IF(DATEDIF(C76,Reference!$B$29,"Y")&gt;=1,0,AU76)</f>
        <v>0</v>
      </c>
      <c r="AW76" s="250">
        <f>IF(DATEDIF(C76,Reference!$B$29,"Y")&gt;=1,AU76,0)</f>
        <v>0</v>
      </c>
    </row>
    <row r="77">
      <c r="A77" s="351" t="s">
        <v>208</v>
      </c>
      <c r="B77" s="352">
        <v>44501.0</v>
      </c>
      <c r="C77" s="221">
        <v>44958.0</v>
      </c>
      <c r="D77" s="222"/>
      <c r="E77" s="353">
        <v>123.34</v>
      </c>
      <c r="F77" s="354"/>
      <c r="G77" s="225">
        <f t="shared" si="7"/>
        <v>0</v>
      </c>
      <c r="H77" s="236">
        <f t="shared" si="8"/>
        <v>0</v>
      </c>
      <c r="I77" s="367"/>
      <c r="J77" s="259" t="b">
        <v>0</v>
      </c>
      <c r="K77" s="356"/>
      <c r="L77" s="230">
        <v>0.0</v>
      </c>
      <c r="M77" s="230">
        <v>0.0</v>
      </c>
      <c r="N77" s="230">
        <v>0.0</v>
      </c>
      <c r="O77" s="230">
        <v>0.0</v>
      </c>
      <c r="P77" s="230">
        <v>0.0</v>
      </c>
      <c r="Q77" s="232">
        <f t="shared" si="9"/>
        <v>0</v>
      </c>
      <c r="R77" s="232">
        <f>SWITCH(S77,"cash",Reference!E$5,"shares",Reference!$E$6,"balance",Reference!$E$7)</f>
        <v>0</v>
      </c>
      <c r="S77" s="233" t="s">
        <v>178</v>
      </c>
      <c r="T77" s="234">
        <f>LET(ratio,Reference!$B$4, ratio*Reference!$B$3*D77)</f>
        <v>0</v>
      </c>
      <c r="U77" s="234">
        <f>iferror(LET(ratio, Q77,(1-ratio) * Reference!$B$3 * $D77),0)</f>
        <v>0</v>
      </c>
      <c r="V77" s="234">
        <f>iferror(LET(ratio, R77,(1-ratio) * Reference!$B$3 * $D77),0)</f>
        <v>0</v>
      </c>
      <c r="W77" s="234">
        <f>SWITCH(Reference!$E$4,"eTradeTransactionLog", T77, "eTradeHoldingRatio",T77, "eTradeLotQtyRatio",U77,"manualLotRatio",V77)</f>
        <v>0</v>
      </c>
      <c r="X77" s="225">
        <f>IF(C77&lt;Reference!$B$26,Reference!$C$26,0)</f>
        <v>0</v>
      </c>
      <c r="Y77" s="225">
        <f>IF(C77&lt;Reference!$B$27,Reference!$C$27,0)</f>
        <v>0</v>
      </c>
      <c r="Z77" s="225">
        <f t="shared" si="10"/>
        <v>123.34</v>
      </c>
      <c r="AA77" s="225">
        <f t="shared" si="11"/>
        <v>0</v>
      </c>
      <c r="AB77" s="235">
        <f>$D77*Reference!$B$5*Reference!$B$6</f>
        <v>0</v>
      </c>
      <c r="AC77" s="235">
        <f>$D77*Q77*Reference!$B$6</f>
        <v>0</v>
      </c>
      <c r="AD77" s="235">
        <f>$D77*R77*Reference!$B$6</f>
        <v>0</v>
      </c>
      <c r="AE77" s="235">
        <f>SWITCH(Reference!$E$4, "eTradeTransactionLog", AB77, "eTradeHoldingRatio",AB77, "eTradeLotQtyRatio",AC77,"manualLotRatio",AD77)</f>
        <v>0</v>
      </c>
      <c r="AF77" s="236">
        <f>MAX(W77+(AE77*Reference!$B$18)-AA77,0)</f>
        <v>0</v>
      </c>
      <c r="AG77" s="237">
        <f>IF(J77,Summary!$C$41/ (J$86+ESPP!$N$28), 0)</f>
        <v>0</v>
      </c>
      <c r="AH77" s="358">
        <f>IF(J77,(Reference!$B$23 - AT77) * AG77, 0)</f>
        <v>0</v>
      </c>
      <c r="AI77" s="359">
        <f t="shared" si="12"/>
        <v>0</v>
      </c>
      <c r="AJ77" s="360">
        <f>IF(DATEDIF(C77,Reference!$B$28,"Y")&gt;=1,0,AI77+AH77)</f>
        <v>0</v>
      </c>
      <c r="AK77" s="360">
        <f>IF(DATEDIF(C77,Reference!$B$28,"Y")&gt;=1,AI77+AH77,0)</f>
        <v>0</v>
      </c>
      <c r="AL77" s="364" t="str">
        <f>IF(DATEDIF(C77,Reference!$B$28,"Y")&gt;=1,"Part II Box E","Part I Box B")</f>
        <v>Part I Box B</v>
      </c>
      <c r="AM77" s="253">
        <f t="shared" si="13"/>
        <v>44958</v>
      </c>
      <c r="AN77" s="254">
        <f t="shared" si="14"/>
        <v>0</v>
      </c>
      <c r="AO77" s="254">
        <f>SWITCH(Reference!$E$9, "combined", W77+(AE77*Reference!$B$18), "cashOnly", W77)</f>
        <v>0</v>
      </c>
      <c r="AP77" s="255">
        <f t="shared" si="15"/>
        <v>0</v>
      </c>
      <c r="AQ77" s="255" t="str">
        <f t="shared" si="16"/>
        <v/>
      </c>
      <c r="AR77" s="254">
        <f>LET(avgoFMV, Reference!$B$18*AE77, vmwBasis, Z77*D77, AP77 - IF(W77&lt;AF77,avgoFmv,vmwBasis))</f>
        <v>0</v>
      </c>
      <c r="AS77" s="365">
        <f t="shared" si="17"/>
        <v>0</v>
      </c>
      <c r="AT77" s="363" t="str">
        <f t="shared" si="18"/>
        <v>n/a</v>
      </c>
      <c r="AU77" s="247">
        <f>iferror((Reference!$B$10-AT77)*(AE77 - AG77), 0)</f>
        <v>0</v>
      </c>
      <c r="AV77" s="247">
        <f>IF(DATEDIF(C77,Reference!$B$29,"Y")&gt;=1,0,AU77)</f>
        <v>0</v>
      </c>
      <c r="AW77" s="250">
        <f>IF(DATEDIF(C77,Reference!$B$29,"Y")&gt;=1,AU77,0)</f>
        <v>0</v>
      </c>
    </row>
    <row r="78">
      <c r="A78" s="351" t="s">
        <v>209</v>
      </c>
      <c r="B78" s="352">
        <v>44741.0</v>
      </c>
      <c r="C78" s="221">
        <v>44986.0</v>
      </c>
      <c r="D78" s="222"/>
      <c r="E78" s="353">
        <v>110.09</v>
      </c>
      <c r="F78" s="354"/>
      <c r="G78" s="225">
        <f t="shared" si="7"/>
        <v>0</v>
      </c>
      <c r="H78" s="236">
        <f t="shared" si="8"/>
        <v>0</v>
      </c>
      <c r="I78" s="355"/>
      <c r="J78" s="259" t="b">
        <v>0</v>
      </c>
      <c r="K78" s="356"/>
      <c r="L78" s="230">
        <v>0.0</v>
      </c>
      <c r="M78" s="230">
        <v>0.0</v>
      </c>
      <c r="N78" s="230">
        <v>0.0</v>
      </c>
      <c r="O78" s="230">
        <v>0.0</v>
      </c>
      <c r="P78" s="230">
        <v>0.0</v>
      </c>
      <c r="Q78" s="232">
        <f t="shared" si="9"/>
        <v>0</v>
      </c>
      <c r="R78" s="232">
        <f>SWITCH(S78,"cash",Reference!E$5,"shares",Reference!$E$6,"balance",Reference!$E$7)</f>
        <v>0</v>
      </c>
      <c r="S78" s="233" t="s">
        <v>178</v>
      </c>
      <c r="T78" s="234">
        <f>LET(ratio,Reference!$B$4, ratio*Reference!$B$3*D78)</f>
        <v>0</v>
      </c>
      <c r="U78" s="234">
        <f>iferror(LET(ratio, Q78,(1-ratio) * Reference!$B$3 * $D78),0)</f>
        <v>0</v>
      </c>
      <c r="V78" s="234">
        <f>iferror(LET(ratio, R78,(1-ratio) * Reference!$B$3 * $D78),0)</f>
        <v>0</v>
      </c>
      <c r="W78" s="234">
        <f>SWITCH(Reference!$E$4,"eTradeTransactionLog", T78, "eTradeHoldingRatio",T78, "eTradeLotQtyRatio",U78,"manualLotRatio",V78)</f>
        <v>0</v>
      </c>
      <c r="X78" s="225">
        <f>IF(C78&lt;Reference!$B$26,Reference!$C$26,0)</f>
        <v>0</v>
      </c>
      <c r="Y78" s="225">
        <f>IF(C78&lt;Reference!$B$27,Reference!$C$27,0)</f>
        <v>0</v>
      </c>
      <c r="Z78" s="225">
        <f t="shared" si="10"/>
        <v>110.09</v>
      </c>
      <c r="AA78" s="225">
        <f t="shared" si="11"/>
        <v>0</v>
      </c>
      <c r="AB78" s="235">
        <f>$D78*Reference!$B$5*Reference!$B$6</f>
        <v>0</v>
      </c>
      <c r="AC78" s="235">
        <f>$D78*Q78*Reference!$B$6</f>
        <v>0</v>
      </c>
      <c r="AD78" s="235">
        <f>$D78*R78*Reference!$B$6</f>
        <v>0</v>
      </c>
      <c r="AE78" s="235">
        <f>SWITCH(Reference!$E$4, "eTradeTransactionLog", AB78, "eTradeHoldingRatio",AB78, "eTradeLotQtyRatio",AC78,"manualLotRatio",AD78)</f>
        <v>0</v>
      </c>
      <c r="AF78" s="236">
        <f>MAX(W78+(AE78*Reference!$B$18)-AA78,0)</f>
        <v>0</v>
      </c>
      <c r="AG78" s="237">
        <f>IF(J78,Summary!$C$41/ (J$86+ESPP!$N$28), 0)</f>
        <v>0</v>
      </c>
      <c r="AH78" s="358">
        <f>IF(J78,(Reference!$B$23 - AT78) * AG78, 0)</f>
        <v>0</v>
      </c>
      <c r="AI78" s="359">
        <f t="shared" si="12"/>
        <v>0</v>
      </c>
      <c r="AJ78" s="360">
        <f>IF(DATEDIF(C78,Reference!$B$28,"Y")&gt;=1,0,AI78+AH78)</f>
        <v>0</v>
      </c>
      <c r="AK78" s="360">
        <f>IF(DATEDIF(C78,Reference!$B$28,"Y")&gt;=1,AI78+AH78,0)</f>
        <v>0</v>
      </c>
      <c r="AL78" s="364" t="str">
        <f>IF(DATEDIF(C78,Reference!$B$28,"Y")&gt;=1,"Part II Box E","Part I Box B")</f>
        <v>Part I Box B</v>
      </c>
      <c r="AM78" s="253">
        <f t="shared" si="13"/>
        <v>44986</v>
      </c>
      <c r="AN78" s="254">
        <f t="shared" si="14"/>
        <v>0</v>
      </c>
      <c r="AO78" s="254">
        <f>SWITCH(Reference!$E$9, "combined", W78+(AE78*Reference!$B$18), "cashOnly", W78)</f>
        <v>0</v>
      </c>
      <c r="AP78" s="255">
        <f t="shared" si="15"/>
        <v>0</v>
      </c>
      <c r="AQ78" s="255" t="str">
        <f t="shared" si="16"/>
        <v/>
      </c>
      <c r="AR78" s="254">
        <f>LET(avgoFMV, Reference!$B$18*AE78, vmwBasis, Z78*D78, AP78 - IF(W78&lt;AF78,avgoFmv,vmwBasis))</f>
        <v>0</v>
      </c>
      <c r="AS78" s="365">
        <f t="shared" si="17"/>
        <v>0</v>
      </c>
      <c r="AT78" s="363" t="str">
        <f t="shared" si="18"/>
        <v>n/a</v>
      </c>
      <c r="AU78" s="247">
        <f>iferror((Reference!$B$10-AT78)*(AE78 - AG78), 0)</f>
        <v>0</v>
      </c>
      <c r="AV78" s="247">
        <f>IF(DATEDIF(C78,Reference!$B$29,"Y")&gt;=1,0,AU78)</f>
        <v>0</v>
      </c>
      <c r="AW78" s="250">
        <f>IF(DATEDIF(C78,Reference!$B$29,"Y")&gt;=1,AU78,0)</f>
        <v>0</v>
      </c>
    </row>
    <row r="79">
      <c r="A79" s="351" t="s">
        <v>205</v>
      </c>
      <c r="B79" s="352">
        <v>44501.0</v>
      </c>
      <c r="C79" s="221">
        <v>45047.0</v>
      </c>
      <c r="D79" s="222"/>
      <c r="E79" s="353">
        <v>126.98</v>
      </c>
      <c r="F79" s="354"/>
      <c r="G79" s="225">
        <f t="shared" si="7"/>
        <v>0</v>
      </c>
      <c r="H79" s="236">
        <f t="shared" si="8"/>
        <v>0</v>
      </c>
      <c r="I79" s="355"/>
      <c r="J79" s="259" t="b">
        <v>0</v>
      </c>
      <c r="K79" s="356"/>
      <c r="L79" s="230">
        <v>0.0</v>
      </c>
      <c r="M79" s="230">
        <v>0.0</v>
      </c>
      <c r="N79" s="230">
        <v>0.0</v>
      </c>
      <c r="O79" s="230">
        <v>0.0</v>
      </c>
      <c r="P79" s="230">
        <v>0.0</v>
      </c>
      <c r="Q79" s="232">
        <f t="shared" si="9"/>
        <v>0</v>
      </c>
      <c r="R79" s="232">
        <f>SWITCH(S79,"cash",Reference!E$5,"shares",Reference!$E$6,"balance",Reference!$E$7)</f>
        <v>0</v>
      </c>
      <c r="S79" s="233" t="s">
        <v>178</v>
      </c>
      <c r="T79" s="234">
        <f>LET(ratio,Reference!$B$4, ratio*Reference!$B$3*D79)</f>
        <v>0</v>
      </c>
      <c r="U79" s="234">
        <f>iferror(LET(ratio, Q79,(1-ratio) * Reference!$B$3 * $D79),0)</f>
        <v>0</v>
      </c>
      <c r="V79" s="234">
        <f>iferror(LET(ratio, R79,(1-ratio) * Reference!$B$3 * $D79),0)</f>
        <v>0</v>
      </c>
      <c r="W79" s="234">
        <f>SWITCH(Reference!$E$4,"eTradeTransactionLog", T79, "eTradeHoldingRatio",T79, "eTradeLotQtyRatio",U79,"manualLotRatio",V79)</f>
        <v>0</v>
      </c>
      <c r="X79" s="225">
        <f>IF(C79&lt;Reference!$B$26,Reference!$C$26,0)</f>
        <v>0</v>
      </c>
      <c r="Y79" s="225">
        <f>IF(C79&lt;Reference!$B$27,Reference!$C$27,0)</f>
        <v>0</v>
      </c>
      <c r="Z79" s="225">
        <f t="shared" si="10"/>
        <v>126.98</v>
      </c>
      <c r="AA79" s="225">
        <f t="shared" si="11"/>
        <v>0</v>
      </c>
      <c r="AB79" s="235">
        <f>$D79*Reference!$B$5*Reference!$B$6</f>
        <v>0</v>
      </c>
      <c r="AC79" s="235">
        <f>$D79*Q79*Reference!$B$6</f>
        <v>0</v>
      </c>
      <c r="AD79" s="235">
        <f>$D79*R79*Reference!$B$6</f>
        <v>0</v>
      </c>
      <c r="AE79" s="235">
        <f>SWITCH(Reference!$E$4, "eTradeTransactionLog", AB79, "eTradeHoldingRatio",AB79, "eTradeLotQtyRatio",AC79,"manualLotRatio",AD79)</f>
        <v>0</v>
      </c>
      <c r="AF79" s="236">
        <f>MAX(W79+(AE79*Reference!$B$18)-AA79,0)</f>
        <v>0</v>
      </c>
      <c r="AG79" s="237">
        <f>IF(J79,Summary!$C$41/ (J$86+ESPP!$N$28), 0)</f>
        <v>0</v>
      </c>
      <c r="AH79" s="358">
        <f>IF(J79,(Reference!$B$23 - AT79) * AG79, 0)</f>
        <v>0</v>
      </c>
      <c r="AI79" s="359">
        <f t="shared" si="12"/>
        <v>0</v>
      </c>
      <c r="AJ79" s="360">
        <f>IF(DATEDIF(C79,Reference!$B$28,"Y")&gt;=1,0,AI79+AH79)</f>
        <v>0</v>
      </c>
      <c r="AK79" s="360">
        <f>IF(DATEDIF(C79,Reference!$B$28,"Y")&gt;=1,AI79+AH79,0)</f>
        <v>0</v>
      </c>
      <c r="AL79" s="364" t="str">
        <f>IF(DATEDIF(C79,Reference!$B$28,"Y")&gt;=1,"Part II Box E","Part I Box B")</f>
        <v>Part I Box B</v>
      </c>
      <c r="AM79" s="253">
        <f t="shared" si="13"/>
        <v>45047</v>
      </c>
      <c r="AN79" s="254">
        <f t="shared" si="14"/>
        <v>0</v>
      </c>
      <c r="AO79" s="254">
        <f>SWITCH(Reference!$E$9, "combined", W79+(AE79*Reference!$B$18), "cashOnly", W79)</f>
        <v>0</v>
      </c>
      <c r="AP79" s="255">
        <f t="shared" si="15"/>
        <v>0</v>
      </c>
      <c r="AQ79" s="255" t="str">
        <f t="shared" si="16"/>
        <v/>
      </c>
      <c r="AR79" s="254">
        <f>LET(avgoFMV, Reference!$B$18*AE79, vmwBasis, Z79*D79, AP79 - IF(W79&lt;AF79,avgoFmv,vmwBasis))</f>
        <v>0</v>
      </c>
      <c r="AS79" s="365">
        <f t="shared" si="17"/>
        <v>0</v>
      </c>
      <c r="AT79" s="363" t="str">
        <f t="shared" si="18"/>
        <v>n/a</v>
      </c>
      <c r="AU79" s="247">
        <f>iferror((Reference!$B$10-AT79)*(AE79 - AG79), 0)</f>
        <v>0</v>
      </c>
      <c r="AV79" s="247">
        <f>IF(DATEDIF(C79,Reference!$B$29,"Y")&gt;=1,0,AU79)</f>
        <v>0</v>
      </c>
      <c r="AW79" s="250">
        <f>IF(DATEDIF(C79,Reference!$B$29,"Y")&gt;=1,AU79,0)</f>
        <v>0</v>
      </c>
    </row>
    <row r="80">
      <c r="A80" s="351" t="s">
        <v>208</v>
      </c>
      <c r="B80" s="352">
        <v>44501.0</v>
      </c>
      <c r="C80" s="221">
        <v>45047.0</v>
      </c>
      <c r="D80" s="222"/>
      <c r="E80" s="353">
        <v>126.98</v>
      </c>
      <c r="F80" s="354"/>
      <c r="G80" s="225">
        <f t="shared" si="7"/>
        <v>0</v>
      </c>
      <c r="H80" s="236">
        <f t="shared" si="8"/>
        <v>0</v>
      </c>
      <c r="I80" s="355"/>
      <c r="J80" s="259" t="b">
        <v>0</v>
      </c>
      <c r="K80" s="356"/>
      <c r="L80" s="230">
        <v>0.0</v>
      </c>
      <c r="M80" s="230">
        <v>0.0</v>
      </c>
      <c r="N80" s="230">
        <v>0.0</v>
      </c>
      <c r="O80" s="230">
        <v>0.0</v>
      </c>
      <c r="P80" s="230">
        <v>0.0</v>
      </c>
      <c r="Q80" s="232">
        <f t="shared" si="9"/>
        <v>0</v>
      </c>
      <c r="R80" s="232">
        <f>SWITCH(S80,"cash",Reference!E$5,"shares",Reference!$E$6,"balance",Reference!$E$7)</f>
        <v>0</v>
      </c>
      <c r="S80" s="233" t="s">
        <v>178</v>
      </c>
      <c r="T80" s="234">
        <f>LET(ratio,Reference!$B$4, ratio*Reference!$B$3*D80)</f>
        <v>0</v>
      </c>
      <c r="U80" s="234">
        <f>iferror(LET(ratio, Q80,(1-ratio) * Reference!$B$3 * $D80),0)</f>
        <v>0</v>
      </c>
      <c r="V80" s="234">
        <f>iferror(LET(ratio, R80,(1-ratio) * Reference!$B$3 * $D80),0)</f>
        <v>0</v>
      </c>
      <c r="W80" s="234">
        <f>SWITCH(Reference!$E$4,"eTradeTransactionLog", T80, "eTradeHoldingRatio",T80, "eTradeLotQtyRatio",U80,"manualLotRatio",V80)</f>
        <v>0</v>
      </c>
      <c r="X80" s="225">
        <f>IF(C80&lt;Reference!$B$26,Reference!$C$26,0)</f>
        <v>0</v>
      </c>
      <c r="Y80" s="225">
        <f>IF(C80&lt;Reference!$B$27,Reference!$C$27,0)</f>
        <v>0</v>
      </c>
      <c r="Z80" s="225">
        <f t="shared" si="10"/>
        <v>126.98</v>
      </c>
      <c r="AA80" s="225">
        <f t="shared" si="11"/>
        <v>0</v>
      </c>
      <c r="AB80" s="235">
        <f>$D80*Reference!$B$5*Reference!$B$6</f>
        <v>0</v>
      </c>
      <c r="AC80" s="235">
        <f>$D80*Q80*Reference!$B$6</f>
        <v>0</v>
      </c>
      <c r="AD80" s="235">
        <f>$D80*R80*Reference!$B$6</f>
        <v>0</v>
      </c>
      <c r="AE80" s="235">
        <f>SWITCH(Reference!$E$4, "eTradeTransactionLog", AB80, "eTradeHoldingRatio",AB80, "eTradeLotQtyRatio",AC80,"manualLotRatio",AD80)</f>
        <v>0</v>
      </c>
      <c r="AF80" s="236">
        <f>MAX(W80+(AE80*Reference!$B$18)-AA80,0)</f>
        <v>0</v>
      </c>
      <c r="AG80" s="237">
        <f>IF(J80,Summary!$C$41/ (J$86+ESPP!$N$28), 0)</f>
        <v>0</v>
      </c>
      <c r="AH80" s="358">
        <f>IF(J80,(Reference!$B$23 - AT80) * AG80, 0)</f>
        <v>0</v>
      </c>
      <c r="AI80" s="359">
        <f t="shared" si="12"/>
        <v>0</v>
      </c>
      <c r="AJ80" s="360">
        <f>IF(DATEDIF(C80,Reference!$B$28,"Y")&gt;=1,0,AI80+AH80)</f>
        <v>0</v>
      </c>
      <c r="AK80" s="360">
        <f>IF(DATEDIF(C80,Reference!$B$28,"Y")&gt;=1,AI80+AH80,0)</f>
        <v>0</v>
      </c>
      <c r="AL80" s="364" t="str">
        <f>IF(DATEDIF(C80,Reference!$B$28,"Y")&gt;=1,"Part II Box E","Part I Box B")</f>
        <v>Part I Box B</v>
      </c>
      <c r="AM80" s="253">
        <f t="shared" si="13"/>
        <v>45047</v>
      </c>
      <c r="AN80" s="254">
        <f t="shared" si="14"/>
        <v>0</v>
      </c>
      <c r="AO80" s="254">
        <f>SWITCH(Reference!$E$9, "combined", W80+(AE80*Reference!$B$18), "cashOnly", W80)</f>
        <v>0</v>
      </c>
      <c r="AP80" s="255">
        <f t="shared" si="15"/>
        <v>0</v>
      </c>
      <c r="AQ80" s="255" t="str">
        <f t="shared" si="16"/>
        <v/>
      </c>
      <c r="AR80" s="254">
        <f>LET(avgoFMV, Reference!$B$18*AE80, vmwBasis, Z80*D80, AP80 - IF(W80&lt;AF80,avgoFmv,vmwBasis))</f>
        <v>0</v>
      </c>
      <c r="AS80" s="365">
        <f t="shared" si="17"/>
        <v>0</v>
      </c>
      <c r="AT80" s="363" t="str">
        <f t="shared" si="18"/>
        <v>n/a</v>
      </c>
      <c r="AU80" s="247">
        <f>iferror((Reference!$B$10-AT80)*(AE80 - AG80), 0)</f>
        <v>0</v>
      </c>
      <c r="AV80" s="247">
        <f>IF(DATEDIF(C80,Reference!$B$29,"Y")&gt;=1,0,AU80)</f>
        <v>0</v>
      </c>
      <c r="AW80" s="250">
        <f>IF(DATEDIF(C80,Reference!$B$29,"Y")&gt;=1,AU80,0)</f>
        <v>0</v>
      </c>
    </row>
    <row r="81">
      <c r="A81" s="351" t="s">
        <v>209</v>
      </c>
      <c r="B81" s="352">
        <v>44741.0</v>
      </c>
      <c r="C81" s="221">
        <v>45078.0</v>
      </c>
      <c r="D81" s="222"/>
      <c r="E81" s="353">
        <v>133.94</v>
      </c>
      <c r="F81" s="354"/>
      <c r="G81" s="225">
        <f t="shared" si="7"/>
        <v>0</v>
      </c>
      <c r="H81" s="236">
        <f t="shared" si="8"/>
        <v>0</v>
      </c>
      <c r="I81" s="355"/>
      <c r="J81" s="259" t="b">
        <v>0</v>
      </c>
      <c r="K81" s="356"/>
      <c r="L81" s="230">
        <v>0.0</v>
      </c>
      <c r="M81" s="230">
        <v>0.0</v>
      </c>
      <c r="N81" s="230">
        <v>0.0</v>
      </c>
      <c r="O81" s="230">
        <v>0.0</v>
      </c>
      <c r="P81" s="230">
        <v>0.0</v>
      </c>
      <c r="Q81" s="232">
        <f t="shared" si="9"/>
        <v>0</v>
      </c>
      <c r="R81" s="232">
        <f>SWITCH(S81,"cash",Reference!E$5,"shares",Reference!$E$6,"balance",Reference!$E$7)</f>
        <v>0</v>
      </c>
      <c r="S81" s="233" t="s">
        <v>178</v>
      </c>
      <c r="T81" s="234">
        <f>LET(ratio,Reference!$B$4, ratio*Reference!$B$3*D81)</f>
        <v>0</v>
      </c>
      <c r="U81" s="234">
        <f>iferror(LET(ratio, Q81,(1-ratio) * Reference!$B$3 * $D81),0)</f>
        <v>0</v>
      </c>
      <c r="V81" s="234">
        <f>iferror(LET(ratio, R81,(1-ratio) * Reference!$B$3 * $D81),0)</f>
        <v>0</v>
      </c>
      <c r="W81" s="234">
        <f>SWITCH(Reference!$E$4,"eTradeTransactionLog", T81, "eTradeHoldingRatio",T81, "eTradeLotQtyRatio",U81,"manualLotRatio",V81)</f>
        <v>0</v>
      </c>
      <c r="X81" s="225">
        <f>IF(C81&lt;Reference!$B$26,Reference!$C$26,0)</f>
        <v>0</v>
      </c>
      <c r="Y81" s="225">
        <f>IF(C81&lt;Reference!$B$27,Reference!$C$27,0)</f>
        <v>0</v>
      </c>
      <c r="Z81" s="225">
        <f t="shared" si="10"/>
        <v>133.94</v>
      </c>
      <c r="AA81" s="225">
        <f t="shared" si="11"/>
        <v>0</v>
      </c>
      <c r="AB81" s="235">
        <f>$D81*Reference!$B$5*Reference!$B$6</f>
        <v>0</v>
      </c>
      <c r="AC81" s="235">
        <f>$D81*Q81*Reference!$B$6</f>
        <v>0</v>
      </c>
      <c r="AD81" s="235">
        <f>$D81*R81*Reference!$B$6</f>
        <v>0</v>
      </c>
      <c r="AE81" s="235">
        <f>SWITCH(Reference!$E$4, "eTradeTransactionLog", AB81, "eTradeHoldingRatio",AB81, "eTradeLotQtyRatio",AC81,"manualLotRatio",AD81)</f>
        <v>0</v>
      </c>
      <c r="AF81" s="236">
        <f>MAX(W81+(AE81*Reference!$B$18)-AA81,0)</f>
        <v>0</v>
      </c>
      <c r="AG81" s="237">
        <f>IF(J81,Summary!$C$41/ (J$86+ESPP!$N$28), 0)</f>
        <v>0</v>
      </c>
      <c r="AH81" s="358">
        <f>IF(J81,(Reference!$B$23 - AT81) * AG81, 0)</f>
        <v>0</v>
      </c>
      <c r="AI81" s="359">
        <f t="shared" si="12"/>
        <v>0</v>
      </c>
      <c r="AJ81" s="360">
        <f>IF(DATEDIF(C81,Reference!$B$28,"Y")&gt;=1,0,AI81+AH81)</f>
        <v>0</v>
      </c>
      <c r="AK81" s="360">
        <f>IF(DATEDIF(C81,Reference!$B$28,"Y")&gt;=1,AI81+AH81,0)</f>
        <v>0</v>
      </c>
      <c r="AL81" s="364" t="str">
        <f>IF(DATEDIF(C81,Reference!$B$28,"Y")&gt;=1,"Part II Box E","Part I Box B")</f>
        <v>Part I Box B</v>
      </c>
      <c r="AM81" s="253">
        <f t="shared" si="13"/>
        <v>45078</v>
      </c>
      <c r="AN81" s="254">
        <f t="shared" si="14"/>
        <v>0</v>
      </c>
      <c r="AO81" s="254">
        <f>SWITCH(Reference!$E$9, "combined", W81+(AE81*Reference!$B$18), "cashOnly", W81)</f>
        <v>0</v>
      </c>
      <c r="AP81" s="255">
        <f t="shared" si="15"/>
        <v>0</v>
      </c>
      <c r="AQ81" s="255" t="str">
        <f t="shared" si="16"/>
        <v/>
      </c>
      <c r="AR81" s="254">
        <f>LET(avgoFMV, Reference!$B$18*AE81, vmwBasis, Z81*D81, AP81 - IF(W81&lt;AF81,avgoFmv,vmwBasis))</f>
        <v>0</v>
      </c>
      <c r="AS81" s="365">
        <f t="shared" si="17"/>
        <v>0</v>
      </c>
      <c r="AT81" s="363" t="str">
        <f t="shared" si="18"/>
        <v>n/a</v>
      </c>
      <c r="AU81" s="247">
        <f>iferror((Reference!$B$10-AT81)*(AE81 - AG81), 0)</f>
        <v>0</v>
      </c>
      <c r="AV81" s="247">
        <f>IF(DATEDIF(C81,Reference!$B$29,"Y")&gt;=1,0,AU81)</f>
        <v>0</v>
      </c>
      <c r="AW81" s="250">
        <f>IF(DATEDIF(C81,Reference!$B$29,"Y")&gt;=1,AU81,0)</f>
        <v>0</v>
      </c>
    </row>
    <row r="82">
      <c r="A82" s="351" t="s">
        <v>207</v>
      </c>
      <c r="B82" s="352">
        <v>44501.0</v>
      </c>
      <c r="C82" s="221">
        <v>45078.0</v>
      </c>
      <c r="D82" s="222"/>
      <c r="E82" s="353">
        <v>133.94</v>
      </c>
      <c r="F82" s="354"/>
      <c r="G82" s="225">
        <f t="shared" si="7"/>
        <v>0</v>
      </c>
      <c r="H82" s="236">
        <f t="shared" si="8"/>
        <v>0</v>
      </c>
      <c r="I82" s="367"/>
      <c r="J82" s="259" t="b">
        <v>0</v>
      </c>
      <c r="K82" s="356"/>
      <c r="L82" s="230">
        <v>0.0</v>
      </c>
      <c r="M82" s="230">
        <v>0.0</v>
      </c>
      <c r="N82" s="230">
        <v>0.0</v>
      </c>
      <c r="O82" s="230">
        <v>0.0</v>
      </c>
      <c r="P82" s="230">
        <v>0.0</v>
      </c>
      <c r="Q82" s="232">
        <f t="shared" si="9"/>
        <v>0</v>
      </c>
      <c r="R82" s="232">
        <f>SWITCH(S82,"cash",Reference!E$5,"shares",Reference!$E$6,"balance",Reference!$E$7)</f>
        <v>0</v>
      </c>
      <c r="S82" s="233" t="s">
        <v>178</v>
      </c>
      <c r="T82" s="234">
        <f>LET(ratio,Reference!$B$4, ratio*Reference!$B$3*D82)</f>
        <v>0</v>
      </c>
      <c r="U82" s="234">
        <f>iferror(LET(ratio, Q82,(1-ratio) * Reference!$B$3 * $D82),0)</f>
        <v>0</v>
      </c>
      <c r="V82" s="234">
        <f>iferror(LET(ratio, R82,(1-ratio) * Reference!$B$3 * $D82),0)</f>
        <v>0</v>
      </c>
      <c r="W82" s="234">
        <f>SWITCH(Reference!$E$4,"eTradeTransactionLog", T82, "eTradeHoldingRatio",T82, "eTradeLotQtyRatio",U82,"manualLotRatio",V82)</f>
        <v>0</v>
      </c>
      <c r="X82" s="225">
        <f>IF(C82&lt;Reference!$B$26,Reference!$C$26,0)</f>
        <v>0</v>
      </c>
      <c r="Y82" s="225">
        <f>IF(C82&lt;Reference!$B$27,Reference!$C$27,0)</f>
        <v>0</v>
      </c>
      <c r="Z82" s="225">
        <f t="shared" si="10"/>
        <v>133.94</v>
      </c>
      <c r="AA82" s="225">
        <f t="shared" si="11"/>
        <v>0</v>
      </c>
      <c r="AB82" s="235">
        <f>$D82*Reference!$B$5*Reference!$B$6</f>
        <v>0</v>
      </c>
      <c r="AC82" s="235">
        <f>$D82*Q82*Reference!$B$6</f>
        <v>0</v>
      </c>
      <c r="AD82" s="235">
        <f>$D82*R82*Reference!$B$6</f>
        <v>0</v>
      </c>
      <c r="AE82" s="235">
        <f>SWITCH(Reference!$E$4, "eTradeTransactionLog", AB82, "eTradeHoldingRatio",AB82, "eTradeLotQtyRatio",AC82,"manualLotRatio",AD82)</f>
        <v>0</v>
      </c>
      <c r="AF82" s="236">
        <f>MAX(W82+(AE82*Reference!$B$18)-AA82,0)</f>
        <v>0</v>
      </c>
      <c r="AG82" s="237">
        <f>IF(J82,Summary!$C$41/ (J$86+ESPP!$N$28), 0)</f>
        <v>0</v>
      </c>
      <c r="AH82" s="358">
        <f>IF(J82,(Reference!$B$23 - AT82) * AG82, 0)</f>
        <v>0</v>
      </c>
      <c r="AI82" s="359">
        <f t="shared" si="12"/>
        <v>0</v>
      </c>
      <c r="AJ82" s="360">
        <f>IF(DATEDIF(C82,Reference!$B$28,"Y")&gt;=1,0,AI82+AH82)</f>
        <v>0</v>
      </c>
      <c r="AK82" s="360">
        <f>IF(DATEDIF(C82,Reference!$B$28,"Y")&gt;=1,AI82+AH82,0)</f>
        <v>0</v>
      </c>
      <c r="AL82" s="364" t="str">
        <f>IF(DATEDIF(C82,Reference!$B$28,"Y")&gt;=1,"Part II Box E","Part I Box B")</f>
        <v>Part I Box B</v>
      </c>
      <c r="AM82" s="253">
        <f t="shared" si="13"/>
        <v>45078</v>
      </c>
      <c r="AN82" s="254">
        <f t="shared" si="14"/>
        <v>0</v>
      </c>
      <c r="AO82" s="254">
        <f>SWITCH(Reference!$E$9, "combined", W82+(AE82*Reference!$B$18), "cashOnly", W82)</f>
        <v>0</v>
      </c>
      <c r="AP82" s="255">
        <f t="shared" si="15"/>
        <v>0</v>
      </c>
      <c r="AQ82" s="255" t="str">
        <f t="shared" si="16"/>
        <v/>
      </c>
      <c r="AR82" s="254">
        <f>LET(avgoFMV, Reference!$B$18*AE82, vmwBasis, Z82*D82, AP82 - IF(W82&lt;AF82,avgoFmv,vmwBasis))</f>
        <v>0</v>
      </c>
      <c r="AS82" s="365">
        <f t="shared" si="17"/>
        <v>0</v>
      </c>
      <c r="AT82" s="363" t="str">
        <f t="shared" si="18"/>
        <v>n/a</v>
      </c>
      <c r="AU82" s="247">
        <f>iferror((Reference!$B$10-AT82)*(AE82 - AG82), 0)</f>
        <v>0</v>
      </c>
      <c r="AV82" s="247">
        <f>IF(DATEDIF(C82,Reference!$B$29,"Y")&gt;=1,0,AU82)</f>
        <v>0</v>
      </c>
      <c r="AW82" s="250">
        <f>IF(DATEDIF(C82,Reference!$B$29,"Y")&gt;=1,AU82,0)</f>
        <v>0</v>
      </c>
    </row>
    <row r="83">
      <c r="A83" s="351" t="s">
        <v>208</v>
      </c>
      <c r="B83" s="352">
        <v>44501.0</v>
      </c>
      <c r="C83" s="221">
        <v>45139.0</v>
      </c>
      <c r="D83" s="222"/>
      <c r="E83" s="353">
        <v>158.96</v>
      </c>
      <c r="F83" s="354"/>
      <c r="G83" s="225">
        <f t="shared" si="7"/>
        <v>0</v>
      </c>
      <c r="H83" s="236">
        <f t="shared" si="8"/>
        <v>0</v>
      </c>
      <c r="I83" s="355"/>
      <c r="J83" s="259" t="b">
        <v>0</v>
      </c>
      <c r="K83" s="356"/>
      <c r="L83" s="230">
        <v>0.0</v>
      </c>
      <c r="M83" s="230">
        <v>0.0</v>
      </c>
      <c r="N83" s="230">
        <v>0.0</v>
      </c>
      <c r="O83" s="230">
        <v>0.0</v>
      </c>
      <c r="P83" s="230">
        <v>0.0</v>
      </c>
      <c r="Q83" s="232">
        <f t="shared" si="9"/>
        <v>0</v>
      </c>
      <c r="R83" s="232">
        <f>SWITCH(S83,"cash",Reference!E$5,"shares",Reference!$E$6,"balance",Reference!$E$7)</f>
        <v>0</v>
      </c>
      <c r="S83" s="233" t="s">
        <v>178</v>
      </c>
      <c r="T83" s="234">
        <f>LET(ratio,Reference!$B$4, ratio*Reference!$B$3*D83)</f>
        <v>0</v>
      </c>
      <c r="U83" s="234">
        <f>iferror(LET(ratio, Q83,(1-ratio) * Reference!$B$3 * $D83),0)</f>
        <v>0</v>
      </c>
      <c r="V83" s="234">
        <f>iferror(LET(ratio, R83,(1-ratio) * Reference!$B$3 * $D83),0)</f>
        <v>0</v>
      </c>
      <c r="W83" s="234">
        <f>SWITCH(Reference!$E$4,"eTradeTransactionLog", T83, "eTradeHoldingRatio",T83, "eTradeLotQtyRatio",U83,"manualLotRatio",V83)</f>
        <v>0</v>
      </c>
      <c r="X83" s="225">
        <f>IF(C83&lt;Reference!$B$26,Reference!$C$26,0)</f>
        <v>0</v>
      </c>
      <c r="Y83" s="225">
        <f>IF(C83&lt;Reference!$B$27,Reference!$C$27,0)</f>
        <v>0</v>
      </c>
      <c r="Z83" s="225">
        <f t="shared" si="10"/>
        <v>158.96</v>
      </c>
      <c r="AA83" s="225">
        <f t="shared" si="11"/>
        <v>0</v>
      </c>
      <c r="AB83" s="235">
        <f>$D83*Reference!$B$5*Reference!$B$6</f>
        <v>0</v>
      </c>
      <c r="AC83" s="235">
        <f>$D83*Q83*Reference!$B$6</f>
        <v>0</v>
      </c>
      <c r="AD83" s="235">
        <f>$D83*R83*Reference!$B$6</f>
        <v>0</v>
      </c>
      <c r="AE83" s="235">
        <f>SWITCH(Reference!$E$4, "eTradeTransactionLog", AB83, "eTradeHoldingRatio",AB83, "eTradeLotQtyRatio",AC83,"manualLotRatio",AD83)</f>
        <v>0</v>
      </c>
      <c r="AF83" s="236">
        <f>MAX(W83+(AE83*Reference!$B$18)-AA83,0)</f>
        <v>0</v>
      </c>
      <c r="AG83" s="237">
        <f>IF(J83,Summary!$C$41/ (J$86+ESPP!$N$28), 0)</f>
        <v>0</v>
      </c>
      <c r="AH83" s="358">
        <f>IF(J83,(Reference!$B$23 - AT83) * AG83, 0)</f>
        <v>0</v>
      </c>
      <c r="AI83" s="359">
        <f t="shared" si="12"/>
        <v>0</v>
      </c>
      <c r="AJ83" s="360">
        <f>IF(DATEDIF(C83,Reference!$B$28,"Y")&gt;=1,0,AI83+AH83)</f>
        <v>0</v>
      </c>
      <c r="AK83" s="360">
        <f>IF(DATEDIF(C83,Reference!$B$28,"Y")&gt;=1,AI83+AH83,0)</f>
        <v>0</v>
      </c>
      <c r="AL83" s="364" t="str">
        <f>IF(DATEDIF(C83,Reference!$B$28,"Y")&gt;=1,"Part II Box E","Part I Box B")</f>
        <v>Part I Box B</v>
      </c>
      <c r="AM83" s="253">
        <f t="shared" si="13"/>
        <v>45139</v>
      </c>
      <c r="AN83" s="254">
        <f t="shared" si="14"/>
        <v>0</v>
      </c>
      <c r="AO83" s="254">
        <f>SWITCH(Reference!$E$9, "combined", W83+(AE83*Reference!$B$18), "cashOnly", W83)</f>
        <v>0</v>
      </c>
      <c r="AP83" s="255">
        <f t="shared" si="15"/>
        <v>0</v>
      </c>
      <c r="AQ83" s="255" t="str">
        <f t="shared" si="16"/>
        <v/>
      </c>
      <c r="AR83" s="254">
        <f>LET(avgoFMV, Reference!$B$18*AE83, vmwBasis, Z83*D83, AP83 - IF(W83&lt;AF83,avgoFmv,vmwBasis))</f>
        <v>0</v>
      </c>
      <c r="AS83" s="365">
        <f t="shared" si="17"/>
        <v>0</v>
      </c>
      <c r="AT83" s="363" t="str">
        <f t="shared" si="18"/>
        <v>n/a</v>
      </c>
      <c r="AU83" s="247">
        <f>iferror((Reference!$B$10-AT83)*(AE83 - AG83), 0)</f>
        <v>0</v>
      </c>
      <c r="AV83" s="247">
        <f>IF(DATEDIF(C83,Reference!$B$29,"Y")&gt;=1,0,AU83)</f>
        <v>0</v>
      </c>
      <c r="AW83" s="250">
        <f>IF(DATEDIF(C83,Reference!$B$29,"Y")&gt;=1,AU83,0)</f>
        <v>0</v>
      </c>
    </row>
    <row r="84">
      <c r="A84" s="370" t="s">
        <v>209</v>
      </c>
      <c r="B84" s="371">
        <v>44741.0</v>
      </c>
      <c r="C84" s="264">
        <v>45170.0</v>
      </c>
      <c r="D84" s="265"/>
      <c r="E84" s="372">
        <v>164.1</v>
      </c>
      <c r="F84" s="373"/>
      <c r="G84" s="268">
        <f t="shared" si="7"/>
        <v>0</v>
      </c>
      <c r="H84" s="279">
        <f t="shared" si="8"/>
        <v>0</v>
      </c>
      <c r="I84" s="374"/>
      <c r="J84" s="271" t="b">
        <v>0</v>
      </c>
      <c r="K84" s="375"/>
      <c r="L84" s="230">
        <v>0.0</v>
      </c>
      <c r="M84" s="230">
        <v>0.0</v>
      </c>
      <c r="N84" s="230">
        <v>0.0</v>
      </c>
      <c r="O84" s="230">
        <v>0.0</v>
      </c>
      <c r="P84" s="230">
        <v>0.0</v>
      </c>
      <c r="Q84" s="275">
        <f t="shared" si="9"/>
        <v>0</v>
      </c>
      <c r="R84" s="275">
        <f>SWITCH(S84,"cash",Reference!E$5,"shares",Reference!$E$6,"balance",Reference!$E$7)</f>
        <v>0</v>
      </c>
      <c r="S84" s="276" t="s">
        <v>178</v>
      </c>
      <c r="T84" s="277">
        <f>LET(ratio,Reference!$B$4, ratio*Reference!$B$3*D84)</f>
        <v>0</v>
      </c>
      <c r="U84" s="277">
        <f>iferror(LET(ratio, Q84,(1-ratio) * Reference!$B$3 * $D84),0)</f>
        <v>0</v>
      </c>
      <c r="V84" s="277">
        <f>iferror(LET(ratio, R84,(1-ratio) * Reference!$B$3 * $D84),0)</f>
        <v>0</v>
      </c>
      <c r="W84" s="234">
        <f>SWITCH(Reference!$E$4,"eTradeTransactionLog", T84, "eTradeHoldingRatio",T84, "eTradeLotQtyRatio",U84,"manualLotRatio",V84)</f>
        <v>0</v>
      </c>
      <c r="X84" s="268">
        <f>IF(C84&lt;Reference!$B$26,Reference!$C$26,0)</f>
        <v>0</v>
      </c>
      <c r="Y84" s="268">
        <f>IF(C84&lt;Reference!$B$27,Reference!$C$27,0)</f>
        <v>0</v>
      </c>
      <c r="Z84" s="268">
        <f t="shared" si="10"/>
        <v>164.1</v>
      </c>
      <c r="AA84" s="268">
        <f t="shared" si="11"/>
        <v>0</v>
      </c>
      <c r="AB84" s="278">
        <f>$D84*Reference!$B$5*Reference!$B$6</f>
        <v>0</v>
      </c>
      <c r="AC84" s="278">
        <f>$D84*Q84*Reference!$B$6</f>
        <v>0</v>
      </c>
      <c r="AD84" s="278">
        <f>$D84*R84*Reference!$B$6</f>
        <v>0</v>
      </c>
      <c r="AE84" s="278">
        <f>SWITCH(Reference!$E$4, "eTradeTransactionLog", AB84, "eTradeHoldingRatio",AB84, "eTradeLotQtyRatio",AC84,"manualLotRatio",AD84)</f>
        <v>0</v>
      </c>
      <c r="AF84" s="279">
        <f>MAX(W84+(AE84*Reference!$B$18)-AA84,0)</f>
        <v>0</v>
      </c>
      <c r="AG84" s="280">
        <f>IF(J84,Summary!$C$41/ (J$86+ESPP!$N$28), 0)</f>
        <v>0</v>
      </c>
      <c r="AH84" s="376">
        <f>IF(J84,(Reference!$B$23 - AT84) * AG84, 0)</f>
        <v>0</v>
      </c>
      <c r="AI84" s="377">
        <f t="shared" si="12"/>
        <v>0</v>
      </c>
      <c r="AJ84" s="378">
        <f>IF(DATEDIF(C84,Reference!$B$28,"Y")&gt;=1,0,AI84+AH84)</f>
        <v>0</v>
      </c>
      <c r="AK84" s="378">
        <f>IF(DATEDIF(C84,Reference!$B$28,"Y")&gt;=1,AI84+AH84,0)</f>
        <v>0</v>
      </c>
      <c r="AL84" s="379" t="str">
        <f>IF(DATEDIF(C84,Reference!$B$28,"Y")&gt;=1,"Part II Box E","Part I Box B")</f>
        <v>Part I Box B</v>
      </c>
      <c r="AM84" s="380">
        <f t="shared" si="13"/>
        <v>45170</v>
      </c>
      <c r="AN84" s="381">
        <f t="shared" si="14"/>
        <v>0</v>
      </c>
      <c r="AO84" s="381">
        <f>SWITCH(Reference!$E$9, "combined", W84+(AE84*Reference!$B$18), "cashOnly", W84)</f>
        <v>0</v>
      </c>
      <c r="AP84" s="382">
        <f t="shared" si="15"/>
        <v>0</v>
      </c>
      <c r="AQ84" s="382" t="str">
        <f t="shared" si="16"/>
        <v/>
      </c>
      <c r="AR84" s="381">
        <f>LET(avgoFMV, Reference!$B$18*AE84, vmwBasis, Z84*D84, AP84 - IF(W84&lt;AF84,avgoFmv,vmwBasis))</f>
        <v>0</v>
      </c>
      <c r="AS84" s="383">
        <f t="shared" si="17"/>
        <v>0</v>
      </c>
      <c r="AT84" s="384" t="str">
        <f t="shared" si="18"/>
        <v>n/a</v>
      </c>
      <c r="AU84" s="290">
        <f>iferror((Reference!$B$10-AT84)*(AE84 - AG84), 0)</f>
        <v>0</v>
      </c>
      <c r="AV84" s="290">
        <f>IF(DATEDIF(C84,Reference!$B$29,"Y")&gt;=1,0,AU84)</f>
        <v>0</v>
      </c>
      <c r="AW84" s="293">
        <f>IF(DATEDIF(C84,Reference!$B$29,"Y")&gt;=1,AU84,0)</f>
        <v>0</v>
      </c>
    </row>
    <row r="85">
      <c r="G85" s="103"/>
      <c r="I85" s="78"/>
      <c r="T85" s="78"/>
      <c r="AG85" s="78"/>
      <c r="AJ85" s="78"/>
      <c r="AT85" s="78"/>
    </row>
    <row r="86">
      <c r="A86" s="296"/>
      <c r="B86" s="103"/>
      <c r="C86" s="103"/>
      <c r="D86" s="297">
        <f>SUM(D7:D84)</f>
        <v>0</v>
      </c>
      <c r="E86" s="103"/>
      <c r="F86" s="103"/>
      <c r="G86" s="385">
        <f t="shared" ref="G86:I86" si="19">SUM(G7:G84)</f>
        <v>0</v>
      </c>
      <c r="H86" s="299">
        <f t="shared" si="19"/>
        <v>0</v>
      </c>
      <c r="I86" s="340">
        <f t="shared" si="19"/>
        <v>0</v>
      </c>
      <c r="J86" s="103">
        <f>COUNTIF(J7:J84, TRUE)</f>
        <v>0</v>
      </c>
      <c r="K86" s="103"/>
      <c r="L86" s="103"/>
      <c r="M86" s="103"/>
      <c r="N86" s="103"/>
      <c r="O86" s="103"/>
      <c r="P86" s="103"/>
      <c r="Q86" s="103"/>
      <c r="R86" s="103"/>
      <c r="S86" s="301"/>
      <c r="T86" s="341">
        <f t="shared" ref="T86:W86" si="20">SUM(T7:T84)</f>
        <v>0</v>
      </c>
      <c r="U86" s="386">
        <f t="shared" si="20"/>
        <v>0</v>
      </c>
      <c r="V86" s="386">
        <f t="shared" si="20"/>
        <v>0</v>
      </c>
      <c r="W86" s="386">
        <f t="shared" si="20"/>
        <v>0</v>
      </c>
      <c r="X86" s="103"/>
      <c r="Y86" s="103"/>
      <c r="Z86" s="103"/>
      <c r="AA86" s="299">
        <f t="shared" ref="AA86:AK86" si="21">SUM(AA7:AA84)</f>
        <v>0</v>
      </c>
      <c r="AB86" s="302">
        <f t="shared" si="21"/>
        <v>0</v>
      </c>
      <c r="AC86" s="302">
        <f t="shared" si="21"/>
        <v>0</v>
      </c>
      <c r="AD86" s="302">
        <f t="shared" si="21"/>
        <v>0</v>
      </c>
      <c r="AE86" s="302">
        <f t="shared" si="21"/>
        <v>0</v>
      </c>
      <c r="AF86" s="299">
        <f t="shared" si="21"/>
        <v>0</v>
      </c>
      <c r="AG86" s="304">
        <f t="shared" si="21"/>
        <v>0</v>
      </c>
      <c r="AH86" s="202">
        <f t="shared" si="21"/>
        <v>0</v>
      </c>
      <c r="AI86" s="299">
        <f t="shared" si="21"/>
        <v>0</v>
      </c>
      <c r="AJ86" s="305">
        <f t="shared" si="21"/>
        <v>0</v>
      </c>
      <c r="AK86" s="202">
        <f t="shared" si="21"/>
        <v>0</v>
      </c>
      <c r="AL86" s="201"/>
      <c r="AM86" s="202"/>
      <c r="AN86" s="202"/>
      <c r="AO86" s="202">
        <f t="shared" ref="AO86:AP86" si="22">AO5</f>
        <v>0</v>
      </c>
      <c r="AP86" s="299">
        <f t="shared" si="22"/>
        <v>0</v>
      </c>
      <c r="AQ86" s="201"/>
      <c r="AR86" s="202">
        <f t="shared" ref="AR86:AS86" si="23">AR5</f>
        <v>0</v>
      </c>
      <c r="AS86" s="202">
        <f t="shared" si="23"/>
        <v>0</v>
      </c>
      <c r="AT86" s="296"/>
      <c r="AU86" s="102">
        <f t="shared" ref="AU86:AW86" si="24">SUM(AU7:AU84)</f>
        <v>0</v>
      </c>
      <c r="AV86" s="102">
        <f t="shared" si="24"/>
        <v>0</v>
      </c>
      <c r="AW86" s="104">
        <f t="shared" si="24"/>
        <v>0</v>
      </c>
    </row>
    <row r="87">
      <c r="AM87" s="308"/>
      <c r="AN87" s="308"/>
      <c r="AO87" s="309" t="s">
        <v>210</v>
      </c>
    </row>
  </sheetData>
  <mergeCells count="20">
    <mergeCell ref="A1:S1"/>
    <mergeCell ref="T1:AW1"/>
    <mergeCell ref="I2:P2"/>
    <mergeCell ref="Q2:S2"/>
    <mergeCell ref="T2:AF2"/>
    <mergeCell ref="AH2:AS2"/>
    <mergeCell ref="AT2:AW2"/>
    <mergeCell ref="Z3:AA3"/>
    <mergeCell ref="AB3:AE3"/>
    <mergeCell ref="AH3:AI3"/>
    <mergeCell ref="AJ3:AK3"/>
    <mergeCell ref="AL3:AS3"/>
    <mergeCell ref="AT3:AW3"/>
    <mergeCell ref="A2:H2"/>
    <mergeCell ref="B3:E3"/>
    <mergeCell ref="G3:H3"/>
    <mergeCell ref="K3:P3"/>
    <mergeCell ref="Q3:S3"/>
    <mergeCell ref="T3:W3"/>
    <mergeCell ref="X3:Y3"/>
  </mergeCells>
  <conditionalFormatting sqref="I7:I84">
    <cfRule type="cellIs" dxfId="5" priority="1" operator="notEqual">
      <formula>ROUND(AB7,3)</formula>
    </cfRule>
  </conditionalFormatting>
  <conditionalFormatting sqref="AI7:AI84">
    <cfRule type="cellIs" dxfId="7" priority="2" operator="notEqual">
      <formula>W7</formula>
    </cfRule>
  </conditionalFormatting>
  <conditionalFormatting sqref="AH7:AH84">
    <cfRule type="cellIs" dxfId="8" priority="3" operator="equal">
      <formula>0</formula>
    </cfRule>
  </conditionalFormatting>
  <conditionalFormatting sqref="K7:K84">
    <cfRule type="cellIs" dxfId="5" priority="4" operator="notEqual">
      <formula>AA7</formula>
    </cfRule>
  </conditionalFormatting>
  <dataValidations>
    <dataValidation type="decimal" operator="greaterThanOrEqual" allowBlank="1" showDropDown="1" showErrorMessage="1" sqref="D7:D84 I7:I84">
      <formula1>0.0</formula1>
    </dataValidation>
    <dataValidation type="list" allowBlank="1" showErrorMessage="1" sqref="S7:S84">
      <formula1>"balance,cash,shares"</formula1>
    </dataValidation>
  </dataValidations>
  <hyperlinks>
    <hyperlink r:id="rId2" location=":~:text=Attach%20a%20statement%20to%20your%20return%20explaining%20the%20adjustment%20that%20you%20made%20to%20the%20sales%20proceeds%20reported%20for%20that%20transaction." ref="AO87"/>
  </hyperlinks>
  <drawing r:id="rId3"/>
  <legacyDrawing r:id="rId4"/>
  <tableParts count="1">
    <tablePart r:id="rId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3" max="3" width="23.38"/>
    <col customWidth="1" min="4" max="4" width="16.38"/>
    <col customWidth="1" min="5" max="5" width="19.0"/>
  </cols>
  <sheetData>
    <row r="1">
      <c r="A1" s="53" t="s">
        <v>211</v>
      </c>
      <c r="B1" s="53"/>
      <c r="C1" s="2"/>
      <c r="D1" s="2"/>
      <c r="E1" s="2"/>
      <c r="F1" s="2"/>
      <c r="G1" s="2"/>
      <c r="H1" s="2"/>
      <c r="I1" s="2"/>
      <c r="J1" s="2"/>
      <c r="K1" s="2"/>
    </row>
    <row r="2">
      <c r="A2" s="53"/>
      <c r="B2" s="53"/>
      <c r="C2" s="2"/>
      <c r="D2" s="2"/>
      <c r="E2" s="2"/>
      <c r="F2" s="2"/>
      <c r="G2" s="2"/>
      <c r="H2" s="2"/>
      <c r="I2" s="2"/>
      <c r="J2" s="2"/>
      <c r="K2" s="2"/>
    </row>
    <row r="3">
      <c r="A3" s="53" t="s">
        <v>212</v>
      </c>
      <c r="B3" s="387">
        <v>142.5</v>
      </c>
      <c r="C3" s="2"/>
      <c r="D3" s="53" t="s">
        <v>213</v>
      </c>
      <c r="E3" s="388">
        <f>B3*B4 + B18*B5*B6</f>
        <v>142.5</v>
      </c>
      <c r="F3" s="2"/>
      <c r="G3" s="2"/>
      <c r="H3" s="2"/>
      <c r="I3" s="2"/>
      <c r="J3" s="2"/>
      <c r="K3" s="2"/>
    </row>
    <row r="4">
      <c r="A4" s="53" t="s">
        <v>214</v>
      </c>
      <c r="B4" s="389">
        <f>1-B5</f>
        <v>1</v>
      </c>
      <c r="C4" s="66"/>
      <c r="D4" s="49" t="s">
        <v>215</v>
      </c>
      <c r="E4" s="390" t="str">
        <f>SWITCH(Summary!K26,"Per eTrade transaction log", "eTradeTransactionLog", "Calculated from Necessary Inputs", "eTradeHoldingRatio","Calculated from manual share qty","eTradeLotQtyRatio", "Manual per-lot ratio", "manualLotRatio")</f>
        <v>eTradeHoldingRatio</v>
      </c>
      <c r="F4" s="36"/>
      <c r="G4" s="36"/>
      <c r="H4" s="36"/>
      <c r="I4" s="2"/>
      <c r="J4" s="2"/>
      <c r="K4" s="2"/>
    </row>
    <row r="5">
      <c r="A5" s="53" t="s">
        <v>216</v>
      </c>
      <c r="B5" s="389">
        <f>IF(EQ($E$4, "eTradeTransactionLog"), $B$7,iferror(Summary!B26/(Summary!B26+Summary!B25),0))</f>
        <v>0</v>
      </c>
      <c r="C5" s="53"/>
      <c r="D5" s="53" t="s">
        <v>217</v>
      </c>
      <c r="E5" s="391">
        <v>0.0</v>
      </c>
      <c r="F5" s="53"/>
      <c r="G5" s="53"/>
      <c r="H5" s="53"/>
      <c r="I5" s="2"/>
      <c r="J5" s="2"/>
      <c r="K5" s="2"/>
    </row>
    <row r="6">
      <c r="A6" s="53" t="s">
        <v>218</v>
      </c>
      <c r="B6" s="392">
        <v>0.252</v>
      </c>
      <c r="C6" s="53"/>
      <c r="D6" s="53" t="s">
        <v>219</v>
      </c>
      <c r="E6" s="393">
        <v>1.0</v>
      </c>
      <c r="F6" s="53"/>
      <c r="G6" s="53"/>
      <c r="H6" s="53"/>
      <c r="I6" s="2"/>
      <c r="J6" s="2"/>
      <c r="K6" s="2"/>
    </row>
    <row r="7">
      <c r="A7" s="53" t="s">
        <v>220</v>
      </c>
      <c r="B7" s="394" t="s">
        <v>221</v>
      </c>
      <c r="C7" s="53"/>
      <c r="D7" s="53" t="s">
        <v>222</v>
      </c>
      <c r="E7" s="395">
        <f>B5</f>
        <v>0</v>
      </c>
      <c r="F7" s="53"/>
      <c r="G7" s="53"/>
      <c r="H7" s="53"/>
      <c r="I7" s="2"/>
      <c r="J7" s="2"/>
      <c r="K7" s="2"/>
    </row>
    <row r="8">
      <c r="A8" s="53"/>
      <c r="B8" s="79"/>
      <c r="C8" s="53"/>
      <c r="D8" s="53"/>
      <c r="E8" s="53"/>
      <c r="F8" s="53"/>
      <c r="G8" s="53"/>
      <c r="H8" s="53"/>
      <c r="I8" s="2"/>
      <c r="J8" s="2"/>
      <c r="K8" s="2"/>
    </row>
    <row r="9">
      <c r="A9" s="2"/>
      <c r="B9" s="2"/>
      <c r="C9" s="2"/>
      <c r="D9" s="53" t="s">
        <v>223</v>
      </c>
      <c r="E9" s="396" t="str">
        <f>iferror(SWITCH(#REF!, "Cash Only", "cashOnly", "Cash &amp; AVGO FMV", "combined"),"combined")</f>
        <v>combined</v>
      </c>
      <c r="F9" s="2"/>
      <c r="G9" s="2"/>
      <c r="H9" s="2"/>
      <c r="I9" s="2"/>
      <c r="J9" s="2"/>
      <c r="K9" s="2"/>
    </row>
    <row r="10">
      <c r="A10" s="3" t="s">
        <v>224</v>
      </c>
      <c r="B10" s="397">
        <f>Summary!M28</f>
        <v>1357.29</v>
      </c>
      <c r="C10" s="2"/>
      <c r="D10" s="2"/>
      <c r="E10" s="2"/>
      <c r="F10" s="2"/>
      <c r="G10" s="2"/>
      <c r="H10" s="2"/>
      <c r="I10" s="2"/>
      <c r="J10" s="2"/>
      <c r="K10" s="2"/>
    </row>
    <row r="11">
      <c r="A11" s="2"/>
      <c r="B11" s="2"/>
      <c r="C11" s="2"/>
      <c r="D11" s="2"/>
      <c r="E11" s="2"/>
      <c r="F11" s="2"/>
      <c r="G11" s="2"/>
      <c r="H11" s="2"/>
      <c r="I11" s="2"/>
      <c r="J11" s="2"/>
      <c r="K11" s="2"/>
    </row>
    <row r="12">
      <c r="A12" s="398" t="s">
        <v>225</v>
      </c>
      <c r="B12" s="2"/>
      <c r="C12" s="2"/>
      <c r="D12" s="2"/>
      <c r="E12" s="2"/>
      <c r="F12" s="2"/>
      <c r="G12" s="2"/>
      <c r="H12" s="2"/>
      <c r="I12" s="2"/>
      <c r="J12" s="2"/>
      <c r="K12" s="2"/>
    </row>
    <row r="13">
      <c r="A13" s="398" t="s">
        <v>226</v>
      </c>
      <c r="B13" s="387">
        <v>983.69</v>
      </c>
      <c r="C13" s="2"/>
      <c r="D13" s="2"/>
      <c r="E13" s="2"/>
      <c r="F13" s="2"/>
      <c r="G13" s="2"/>
      <c r="H13" s="2"/>
      <c r="I13" s="2"/>
      <c r="J13" s="2"/>
      <c r="K13" s="2"/>
    </row>
    <row r="14">
      <c r="A14" s="398" t="s">
        <v>227</v>
      </c>
      <c r="B14" s="387">
        <v>972.0</v>
      </c>
      <c r="C14" s="2"/>
      <c r="D14" s="2"/>
      <c r="E14" s="2"/>
      <c r="F14" s="2"/>
      <c r="G14" s="2"/>
      <c r="H14" s="2"/>
      <c r="I14" s="2"/>
      <c r="J14" s="2"/>
      <c r="K14" s="2"/>
    </row>
    <row r="15">
      <c r="A15" s="398" t="s">
        <v>45</v>
      </c>
      <c r="B15" s="387">
        <v>979.5</v>
      </c>
      <c r="C15" s="2"/>
      <c r="D15" s="2"/>
      <c r="E15" s="2"/>
      <c r="F15" s="2"/>
      <c r="G15" s="2"/>
      <c r="H15" s="2"/>
      <c r="I15" s="2"/>
      <c r="J15" s="2"/>
      <c r="K15" s="2"/>
    </row>
    <row r="16">
      <c r="A16" s="398" t="s">
        <v>228</v>
      </c>
      <c r="B16" s="387">
        <v>987.99</v>
      </c>
      <c r="C16" s="2"/>
      <c r="D16" s="2"/>
      <c r="E16" s="2"/>
      <c r="F16" s="2"/>
      <c r="G16" s="2"/>
      <c r="H16" s="2"/>
      <c r="I16" s="2"/>
      <c r="J16" s="2"/>
      <c r="K16" s="2"/>
    </row>
    <row r="17">
      <c r="A17" s="398" t="s">
        <v>229</v>
      </c>
      <c r="B17" s="387">
        <v>971.0</v>
      </c>
      <c r="C17" s="2"/>
      <c r="D17" s="2"/>
      <c r="E17" s="2"/>
      <c r="F17" s="2"/>
      <c r="G17" s="2"/>
      <c r="H17" s="2"/>
      <c r="I17" s="2"/>
      <c r="J17" s="2"/>
      <c r="K17" s="2"/>
    </row>
    <row r="18">
      <c r="A18" s="399" t="s">
        <v>38</v>
      </c>
      <c r="B18" s="400">
        <f>SWITCH(Summary!K25,"Close",B14,"Mean",B15,"High",B16, "Low",B17, "Custom",Summary!M25)</f>
        <v>979.5</v>
      </c>
      <c r="C18" s="2"/>
      <c r="D18" s="2"/>
      <c r="E18" s="2"/>
      <c r="F18" s="2"/>
      <c r="G18" s="2"/>
      <c r="H18" s="2"/>
      <c r="I18" s="2"/>
      <c r="J18" s="2"/>
      <c r="K18" s="2"/>
    </row>
    <row r="19">
      <c r="A19" s="53"/>
      <c r="B19" s="2"/>
      <c r="C19" s="2"/>
      <c r="D19" s="2"/>
      <c r="E19" s="2"/>
      <c r="F19" s="2"/>
      <c r="G19" s="2"/>
      <c r="H19" s="2"/>
      <c r="I19" s="2"/>
      <c r="J19" s="2"/>
      <c r="K19" s="2"/>
    </row>
    <row r="20">
      <c r="A20" s="3" t="s">
        <v>230</v>
      </c>
      <c r="B20" s="53"/>
      <c r="C20" s="2"/>
      <c r="D20" s="2"/>
      <c r="E20" s="2"/>
      <c r="F20" s="2"/>
      <c r="G20" s="2"/>
      <c r="H20" s="2"/>
      <c r="I20" s="2"/>
      <c r="J20" s="2"/>
      <c r="K20" s="2"/>
    </row>
    <row r="21">
      <c r="A21" s="3" t="s">
        <v>54</v>
      </c>
      <c r="B21" s="401">
        <v>904.79</v>
      </c>
      <c r="C21" s="2"/>
      <c r="D21" s="2"/>
      <c r="E21" s="2"/>
      <c r="F21" s="2"/>
      <c r="G21" s="2"/>
      <c r="H21" s="2"/>
      <c r="I21" s="2"/>
      <c r="J21" s="2"/>
      <c r="K21" s="2"/>
    </row>
    <row r="22">
      <c r="A22" s="3" t="s">
        <v>231</v>
      </c>
      <c r="B22" s="387">
        <v>981.2</v>
      </c>
      <c r="C22" s="2"/>
      <c r="D22" s="2"/>
      <c r="E22" s="2"/>
      <c r="F22" s="2"/>
      <c r="G22" s="2"/>
      <c r="H22" s="2"/>
      <c r="I22" s="2"/>
      <c r="J22" s="2"/>
      <c r="K22" s="2"/>
    </row>
    <row r="23">
      <c r="A23" s="399" t="s">
        <v>38</v>
      </c>
      <c r="B23" s="402">
        <f>SWITCH(Summary!K27,"eTrade",B21,"Form 8937",B22,"Custom",Summary!M27)</f>
        <v>904.79</v>
      </c>
      <c r="C23" s="2"/>
      <c r="D23" s="2"/>
      <c r="E23" s="2"/>
      <c r="F23" s="2"/>
      <c r="G23" s="2"/>
      <c r="H23" s="2"/>
      <c r="I23" s="2"/>
      <c r="J23" s="2"/>
      <c r="K23" s="2"/>
    </row>
    <row r="24">
      <c r="A24" s="2"/>
      <c r="B24" s="2"/>
      <c r="C24" s="53"/>
      <c r="D24" s="2"/>
      <c r="E24" s="2"/>
      <c r="F24" s="2"/>
      <c r="G24" s="2"/>
      <c r="H24" s="2"/>
      <c r="I24" s="2"/>
      <c r="J24" s="2"/>
      <c r="K24" s="2"/>
    </row>
    <row r="25">
      <c r="A25" s="3" t="s">
        <v>232</v>
      </c>
      <c r="B25" s="403"/>
      <c r="C25" s="3" t="s">
        <v>233</v>
      </c>
      <c r="D25" s="2"/>
      <c r="E25" s="2"/>
      <c r="F25" s="2"/>
      <c r="G25" s="2"/>
      <c r="H25" s="2"/>
      <c r="I25" s="2"/>
      <c r="J25" s="2"/>
      <c r="K25" s="2"/>
    </row>
    <row r="26">
      <c r="A26" s="53" t="s">
        <v>234</v>
      </c>
      <c r="B26" s="404">
        <v>43461.0</v>
      </c>
      <c r="C26" s="387">
        <v>10.18</v>
      </c>
      <c r="D26" s="2"/>
      <c r="E26" s="2"/>
      <c r="F26" s="2"/>
      <c r="G26" s="2"/>
      <c r="H26" s="2"/>
      <c r="I26" s="2"/>
      <c r="J26" s="2"/>
      <c r="K26" s="2"/>
    </row>
    <row r="27">
      <c r="A27" s="53" t="s">
        <v>234</v>
      </c>
      <c r="B27" s="404">
        <v>44498.0</v>
      </c>
      <c r="C27" s="387">
        <v>16.87</v>
      </c>
      <c r="D27" s="2"/>
      <c r="E27" s="53"/>
      <c r="F27" s="53"/>
      <c r="G27" s="53"/>
      <c r="H27" s="2"/>
      <c r="I27" s="2"/>
      <c r="J27" s="2"/>
      <c r="K27" s="2"/>
    </row>
    <row r="28">
      <c r="A28" s="53" t="s">
        <v>235</v>
      </c>
      <c r="B28" s="404">
        <v>45252.0</v>
      </c>
      <c r="C28" s="2"/>
      <c r="D28" s="2"/>
      <c r="E28" s="2"/>
      <c r="F28" s="2"/>
      <c r="G28" s="2"/>
      <c r="H28" s="2"/>
      <c r="I28" s="2"/>
      <c r="J28" s="2"/>
      <c r="K28" s="2"/>
    </row>
    <row r="29">
      <c r="A29" s="53" t="s">
        <v>236</v>
      </c>
      <c r="B29" s="405" t="str">
        <f>SWITCH(Summary!$K$28,"today",TODAY(),"last year","2023-12-31",Summary!$K$28)</f>
        <v>2023-12-31</v>
      </c>
      <c r="C29" s="3"/>
      <c r="D29" s="3"/>
      <c r="E29" s="3"/>
      <c r="F29" s="3"/>
      <c r="G29" s="3"/>
      <c r="H29" s="2"/>
      <c r="I29" s="2"/>
      <c r="J29" s="2"/>
      <c r="K29" s="2"/>
    </row>
    <row r="30">
      <c r="A30" s="3"/>
      <c r="B30" s="406"/>
      <c r="D30" s="2"/>
      <c r="E30" s="2"/>
      <c r="F30" s="53"/>
      <c r="G30" s="53"/>
      <c r="H30" s="2"/>
      <c r="I30" s="2"/>
      <c r="J30" s="2"/>
      <c r="K30" s="2"/>
    </row>
    <row r="31">
      <c r="A31" s="3" t="s">
        <v>77</v>
      </c>
      <c r="B31" s="407">
        <f>ESPP!AA5+RSU!W5</f>
        <v>0</v>
      </c>
      <c r="C31" s="408" t="s">
        <v>237</v>
      </c>
      <c r="D31" s="167"/>
      <c r="E31" s="53"/>
      <c r="F31" s="53"/>
      <c r="G31" s="53"/>
      <c r="H31" s="2"/>
      <c r="I31" s="2"/>
      <c r="J31" s="2"/>
      <c r="K31" s="2"/>
    </row>
    <row r="32">
      <c r="A32" s="3" t="s">
        <v>238</v>
      </c>
      <c r="B32" s="409">
        <f>Summary!K32+Summary!K30+Summary!G26+ESPP!AM5+RSU!AJ5+C32</f>
        <v>0</v>
      </c>
      <c r="C32" s="410">
        <f>IF(LT(YEAR($B$29),2024),Summary!D44+Summary!G44,0)</f>
        <v>0</v>
      </c>
      <c r="D32" s="167"/>
      <c r="E32" s="53"/>
      <c r="F32" s="53"/>
      <c r="G32" s="53"/>
      <c r="H32" s="2"/>
      <c r="I32" s="2"/>
      <c r="J32" s="2"/>
      <c r="K32" s="2"/>
    </row>
    <row r="33">
      <c r="A33" s="3" t="s">
        <v>239</v>
      </c>
      <c r="B33" s="409">
        <f>Summary!K31+ESPP!AN5+RSU!AK5+C33</f>
        <v>0</v>
      </c>
      <c r="C33" s="411">
        <f>IF(LT(YEAR($B$29),2024),Summary!$E$44,0)</f>
        <v>0</v>
      </c>
      <c r="D33" s="167"/>
      <c r="E33" s="53"/>
      <c r="F33" s="53"/>
      <c r="G33" s="53"/>
      <c r="H33" s="2"/>
      <c r="I33" s="2"/>
      <c r="J33" s="2"/>
      <c r="K33" s="2"/>
    </row>
    <row r="34">
      <c r="A34" s="53"/>
      <c r="B34" s="412"/>
      <c r="C34" s="167"/>
      <c r="D34" s="167"/>
      <c r="E34" s="53"/>
      <c r="F34" s="53"/>
      <c r="G34" s="53"/>
      <c r="H34" s="2"/>
      <c r="I34" s="2"/>
      <c r="J34" s="2"/>
      <c r="K34" s="2"/>
    </row>
    <row r="35">
      <c r="A35" s="53"/>
      <c r="B35" s="413" t="s">
        <v>68</v>
      </c>
      <c r="C35" s="74" t="s">
        <v>240</v>
      </c>
      <c r="D35" s="74" t="s">
        <v>241</v>
      </c>
      <c r="E35" s="53"/>
      <c r="F35" s="53"/>
      <c r="G35" s="53"/>
      <c r="H35" s="2"/>
      <c r="I35" s="2"/>
      <c r="J35" s="2"/>
      <c r="K35" s="2"/>
    </row>
    <row r="36">
      <c r="A36" s="3" t="s">
        <v>242</v>
      </c>
      <c r="B36" s="414">
        <v>13850.0</v>
      </c>
      <c r="C36" s="414">
        <v>27700.0</v>
      </c>
      <c r="D36" s="414">
        <v>20800.0</v>
      </c>
      <c r="E36" s="53"/>
      <c r="F36" s="53"/>
      <c r="G36" s="53"/>
      <c r="H36" s="2"/>
      <c r="I36" s="2"/>
      <c r="J36" s="2"/>
      <c r="K36" s="2"/>
    </row>
    <row r="37">
      <c r="A37" s="2"/>
      <c r="B37" s="2"/>
      <c r="C37" s="2"/>
      <c r="D37" s="2"/>
      <c r="E37" s="2"/>
      <c r="F37" s="2"/>
      <c r="G37" s="2"/>
      <c r="H37" s="2"/>
      <c r="I37" s="2"/>
      <c r="J37" s="2"/>
      <c r="K37" s="2"/>
    </row>
    <row r="38">
      <c r="A38" s="3" t="s">
        <v>243</v>
      </c>
      <c r="B38" s="415">
        <v>0.0</v>
      </c>
      <c r="C38" s="415">
        <v>0.15</v>
      </c>
      <c r="D38" s="415">
        <v>0.2</v>
      </c>
      <c r="E38" s="2"/>
      <c r="F38" s="2"/>
      <c r="G38" s="2"/>
      <c r="H38" s="2"/>
      <c r="I38" s="2"/>
      <c r="J38" s="2"/>
      <c r="K38" s="2"/>
    </row>
    <row r="39">
      <c r="A39" s="3" t="s">
        <v>68</v>
      </c>
      <c r="B39" s="397">
        <v>0.0</v>
      </c>
      <c r="C39" s="397">
        <v>44625.0</v>
      </c>
      <c r="D39" s="397">
        <v>492300.0</v>
      </c>
      <c r="E39" s="2"/>
      <c r="F39" s="2"/>
      <c r="G39" s="2"/>
      <c r="H39" s="2"/>
      <c r="I39" s="2"/>
      <c r="J39" s="2"/>
      <c r="K39" s="2"/>
    </row>
    <row r="40">
      <c r="A40" s="3" t="s">
        <v>240</v>
      </c>
      <c r="B40" s="397">
        <v>0.0</v>
      </c>
      <c r="C40" s="397">
        <v>89250.0</v>
      </c>
      <c r="D40" s="397">
        <v>553850.0</v>
      </c>
      <c r="E40" s="2"/>
      <c r="F40" s="2"/>
      <c r="G40" s="2"/>
      <c r="H40" s="2"/>
      <c r="I40" s="2"/>
      <c r="J40" s="2"/>
      <c r="K40" s="2"/>
    </row>
    <row r="41">
      <c r="A41" s="3" t="s">
        <v>241</v>
      </c>
      <c r="B41" s="397">
        <v>0.0</v>
      </c>
      <c r="C41" s="397">
        <v>59750.0</v>
      </c>
      <c r="D41" s="397">
        <v>523050.0</v>
      </c>
      <c r="E41" s="2"/>
      <c r="F41" s="2"/>
      <c r="G41" s="2"/>
      <c r="H41" s="2"/>
      <c r="I41" s="2"/>
      <c r="J41" s="2"/>
      <c r="K41" s="2"/>
    </row>
    <row r="42">
      <c r="A42" s="53" t="s">
        <v>38</v>
      </c>
      <c r="B42" s="416">
        <f>SWITCH(Summary!$K$33,"Single",B39,"Joint",B40,"Head of household",B41)</f>
        <v>0</v>
      </c>
      <c r="C42" s="416">
        <f>SWITCH(Summary!$K$33,"Single",C39,"Joint",C40,"Head of household",C41)</f>
        <v>44625</v>
      </c>
      <c r="D42" s="416">
        <f>SWITCH(Summary!$K$33,"Single",D39,"Joint",D40,"Head of household",D41)</f>
        <v>492300</v>
      </c>
      <c r="E42" s="2"/>
      <c r="F42" s="2"/>
      <c r="G42" s="2"/>
      <c r="H42" s="2"/>
      <c r="I42" s="2"/>
      <c r="J42" s="2"/>
      <c r="K42" s="2"/>
    </row>
    <row r="43">
      <c r="A43" s="2"/>
      <c r="B43" s="2"/>
      <c r="C43" s="2"/>
      <c r="D43" s="2"/>
      <c r="E43" s="2"/>
      <c r="F43" s="2"/>
      <c r="G43" s="2"/>
      <c r="H43" s="2"/>
      <c r="I43" s="2"/>
      <c r="J43" s="2"/>
      <c r="K43" s="2"/>
    </row>
    <row r="44">
      <c r="A44" s="3" t="s">
        <v>244</v>
      </c>
      <c r="B44" s="417">
        <f>LET(agi,B32+B33,if(agi&lt;C42,0%,if(agi&lt;D42,15%,20%)))</f>
        <v>0</v>
      </c>
      <c r="C44" s="2"/>
      <c r="D44" s="2"/>
      <c r="E44" s="2"/>
      <c r="F44" s="2"/>
      <c r="G44" s="2"/>
      <c r="H44" s="2"/>
      <c r="I44" s="2"/>
      <c r="J44" s="2"/>
      <c r="K44" s="2"/>
    </row>
    <row r="45">
      <c r="A45" s="2"/>
      <c r="B45" s="2"/>
      <c r="C45" s="2"/>
      <c r="D45" s="2"/>
      <c r="E45" s="2"/>
      <c r="F45" s="2"/>
      <c r="G45" s="2"/>
      <c r="H45" s="2"/>
      <c r="I45" s="2"/>
      <c r="J45" s="2"/>
      <c r="K45" s="2"/>
    </row>
    <row r="46">
      <c r="A46" s="3" t="s">
        <v>245</v>
      </c>
      <c r="B46" s="415">
        <v>0.1</v>
      </c>
      <c r="C46" s="415">
        <v>0.12</v>
      </c>
      <c r="D46" s="415">
        <v>0.22</v>
      </c>
      <c r="E46" s="415">
        <v>0.24</v>
      </c>
      <c r="F46" s="415">
        <v>0.32</v>
      </c>
      <c r="G46" s="415">
        <v>0.35</v>
      </c>
      <c r="H46" s="415">
        <v>0.37</v>
      </c>
      <c r="I46" s="2"/>
      <c r="J46" s="2"/>
      <c r="K46" s="2"/>
    </row>
    <row r="47">
      <c r="A47" s="3" t="s">
        <v>68</v>
      </c>
      <c r="B47" s="397">
        <v>0.0</v>
      </c>
      <c r="C47" s="397">
        <v>11000.0</v>
      </c>
      <c r="D47" s="397">
        <v>44725.0</v>
      </c>
      <c r="E47" s="397">
        <v>95375.0</v>
      </c>
      <c r="F47" s="397">
        <v>182100.0</v>
      </c>
      <c r="G47" s="397">
        <v>231250.0</v>
      </c>
      <c r="H47" s="397">
        <v>578125.0</v>
      </c>
      <c r="I47" s="2"/>
      <c r="J47" s="2"/>
      <c r="K47" s="2"/>
    </row>
    <row r="48">
      <c r="A48" s="3" t="s">
        <v>240</v>
      </c>
      <c r="B48" s="397">
        <v>0.0</v>
      </c>
      <c r="C48" s="397">
        <v>22000.0</v>
      </c>
      <c r="D48" s="397">
        <v>89450.0</v>
      </c>
      <c r="E48" s="397">
        <v>190750.0</v>
      </c>
      <c r="F48" s="397">
        <v>364200.0</v>
      </c>
      <c r="G48" s="397">
        <v>462500.0</v>
      </c>
      <c r="H48" s="397">
        <v>693750.0</v>
      </c>
      <c r="I48" s="2"/>
      <c r="J48" s="2"/>
      <c r="K48" s="2"/>
    </row>
    <row r="49">
      <c r="A49" s="53" t="s">
        <v>38</v>
      </c>
      <c r="B49" s="418">
        <f>SWITCH(Summary!$K$33,"Single",B47,"Head of household",B47,"Joint",B48)</f>
        <v>0</v>
      </c>
      <c r="C49" s="418">
        <f>SWITCH(Summary!$K$33,"Single",C47,"Head of household",C47,"Joint",C48)</f>
        <v>11000</v>
      </c>
      <c r="D49" s="418">
        <f>SWITCH(Summary!$K$33,"Single",D47,"Head of household",D47,"Joint",D48)</f>
        <v>44725</v>
      </c>
      <c r="E49" s="418">
        <f>SWITCH(Summary!$K$33,"Single",E47,"Head of household",E47,"Joint",E48)</f>
        <v>95375</v>
      </c>
      <c r="F49" s="418">
        <f>SWITCH(Summary!$K$33,"Single",F47,"Head of household",F47,"Joint",F48)</f>
        <v>182100</v>
      </c>
      <c r="G49" s="418">
        <f>SWITCH(Summary!$K$33,"Single",G47,"Head of household",G47,"Joint",G48)</f>
        <v>231250</v>
      </c>
      <c r="H49" s="418">
        <f>SWITCH(Summary!$K$33,"Single",H47,"Head of household",H47,"Joint",H48)</f>
        <v>578125</v>
      </c>
      <c r="I49" s="2"/>
      <c r="J49" s="2"/>
      <c r="K49" s="2"/>
    </row>
    <row r="50">
      <c r="A50" s="3"/>
      <c r="B50" s="36"/>
      <c r="C50" s="3"/>
      <c r="D50" s="3"/>
      <c r="E50" s="3"/>
      <c r="F50" s="53"/>
      <c r="G50" s="2"/>
      <c r="H50" s="2"/>
      <c r="I50" s="2"/>
      <c r="J50" s="2"/>
      <c r="K50" s="2"/>
    </row>
    <row r="51">
      <c r="A51" s="3" t="s">
        <v>246</v>
      </c>
      <c r="B51" s="419">
        <v>0.01</v>
      </c>
      <c r="C51" s="415">
        <v>0.02</v>
      </c>
      <c r="D51" s="415">
        <v>0.04</v>
      </c>
      <c r="E51" s="415">
        <v>0.06</v>
      </c>
      <c r="F51" s="420">
        <v>0.08</v>
      </c>
      <c r="G51" s="415">
        <v>0.093</v>
      </c>
      <c r="H51" s="415">
        <v>0.103</v>
      </c>
      <c r="I51" s="415">
        <v>0.113</v>
      </c>
      <c r="J51" s="415">
        <v>0.123</v>
      </c>
      <c r="K51" s="415">
        <v>0.133</v>
      </c>
    </row>
    <row r="52">
      <c r="A52" s="3" t="s">
        <v>68</v>
      </c>
      <c r="B52" s="418">
        <v>0.0</v>
      </c>
      <c r="C52" s="397">
        <v>10412.0</v>
      </c>
      <c r="D52" s="397">
        <v>24684.0</v>
      </c>
      <c r="E52" s="397">
        <v>38959.0</v>
      </c>
      <c r="F52" s="397">
        <v>54081.0</v>
      </c>
      <c r="G52" s="421">
        <v>68350.0</v>
      </c>
      <c r="H52" s="397">
        <v>349137.0</v>
      </c>
      <c r="I52" s="397">
        <v>418961.0</v>
      </c>
      <c r="J52" s="397">
        <v>698271.0</v>
      </c>
      <c r="K52" s="397">
        <v>1000000.0</v>
      </c>
    </row>
    <row r="53">
      <c r="A53" s="3" t="s">
        <v>240</v>
      </c>
      <c r="B53" s="418">
        <v>0.0</v>
      </c>
      <c r="C53" s="397">
        <v>20824.0</v>
      </c>
      <c r="D53" s="397">
        <v>49368.0</v>
      </c>
      <c r="E53" s="397">
        <v>77918.0</v>
      </c>
      <c r="F53" s="421">
        <v>108162.0</v>
      </c>
      <c r="G53" s="397">
        <v>136700.0</v>
      </c>
      <c r="H53" s="397">
        <v>698274.0</v>
      </c>
      <c r="I53" s="397">
        <v>837922.0</v>
      </c>
      <c r="J53" s="397">
        <v>1396542.0</v>
      </c>
      <c r="K53" s="397">
        <v>2000000.0</v>
      </c>
    </row>
    <row r="54">
      <c r="A54" s="3" t="s">
        <v>241</v>
      </c>
      <c r="B54" s="418">
        <v>0.0</v>
      </c>
      <c r="C54" s="397">
        <v>20839.0</v>
      </c>
      <c r="D54" s="397">
        <v>49371.0</v>
      </c>
      <c r="E54" s="397">
        <v>63644.0</v>
      </c>
      <c r="F54" s="421">
        <v>78765.0</v>
      </c>
      <c r="G54" s="397">
        <v>93037.0</v>
      </c>
      <c r="H54" s="397">
        <v>474824.0</v>
      </c>
      <c r="I54" s="397">
        <v>569790.0</v>
      </c>
      <c r="J54" s="397">
        <v>949649.0</v>
      </c>
      <c r="K54" s="397">
        <v>1000000.0</v>
      </c>
    </row>
    <row r="55">
      <c r="A55" s="53" t="s">
        <v>38</v>
      </c>
      <c r="B55" s="418">
        <f>SWITCH(Summary!$K$33,"Single",B52,"Head of household",B54,"Joint",B53)</f>
        <v>0</v>
      </c>
      <c r="C55" s="418">
        <f>SWITCH(Summary!$K$33,"Single",C52,"Head of household",C54,"Joint",C53)</f>
        <v>10412</v>
      </c>
      <c r="D55" s="418">
        <f>SWITCH(Summary!$K$33,"Single",D52,"Head of household",D54,"Joint",D53)</f>
        <v>24684</v>
      </c>
      <c r="E55" s="418">
        <f>SWITCH(Summary!$K$33,"Single",E52,"Head of household",E54,"Joint",E53)</f>
        <v>38959</v>
      </c>
      <c r="F55" s="418">
        <f>SWITCH(Summary!$K$33,"Single",F52,"Head of household",F54,"Joint",F53)</f>
        <v>54081</v>
      </c>
      <c r="G55" s="418">
        <f>SWITCH(Summary!$K$33,"Single",G52,"Head of household",G54,"Joint",G53)</f>
        <v>68350</v>
      </c>
      <c r="H55" s="418">
        <f>SWITCH(Summary!$K$33,"Single",H52,"Head of household",H54,"Joint",H53)</f>
        <v>349137</v>
      </c>
      <c r="I55" s="418">
        <f>SWITCH(Summary!$K$33,"Single",I52,"Head of household",I54,"Joint",I53)</f>
        <v>418961</v>
      </c>
      <c r="J55" s="418">
        <f>SWITCH(Summary!$K$33,"Single",J52,"Head of household",J54,"Joint",J53)</f>
        <v>698271</v>
      </c>
      <c r="K55" s="418">
        <f>SWITCH(Summary!$K$33,"Single",K52,"Head of household",K54,"Joint",K53)</f>
        <v>1000000</v>
      </c>
    </row>
    <row r="56">
      <c r="A56" s="3"/>
      <c r="B56" s="66"/>
      <c r="C56" s="53"/>
      <c r="D56" s="2"/>
      <c r="E56" s="53"/>
      <c r="F56" s="422"/>
      <c r="G56" s="2"/>
      <c r="H56" s="2"/>
      <c r="I56" s="2"/>
      <c r="J56" s="2"/>
      <c r="K56" s="2"/>
    </row>
    <row r="57">
      <c r="A57" s="3" t="s">
        <v>247</v>
      </c>
      <c r="B57" s="409">
        <f>LET(income, B32 - Summary!L34, 
(0.1*(MIN(MAX(income-B49,0), C49-B49))) +
(0.12*(MIN(MAX(income-C49,0),D49-C49))) +
(0.22*(MIN(MAX(income-D49,0),E49-D49))) +
(0.24*(MIN(MAX(income-E49,0),F49-E49))) +
(0.32*(MIN(MAX(income-F49,0),G49-F49))) +
(0.35*(MIN(MAX(income-G49,0),H49-G49))) +
(0.37*MAX(income-H49,0)))</f>
        <v>0</v>
      </c>
      <c r="C57" s="53"/>
      <c r="D57" s="2"/>
      <c r="E57" s="53"/>
      <c r="F57" s="422"/>
      <c r="G57" s="2"/>
      <c r="H57" s="2"/>
      <c r="I57" s="2"/>
      <c r="J57" s="2"/>
      <c r="K57" s="2"/>
    </row>
    <row r="58">
      <c r="A58" s="3" t="s">
        <v>248</v>
      </c>
      <c r="B58" s="125">
        <f>B33*B44</f>
        <v>0</v>
      </c>
      <c r="C58" s="53"/>
      <c r="D58" s="2"/>
      <c r="E58" s="2"/>
      <c r="F58" s="422"/>
      <c r="G58" s="2"/>
      <c r="H58" s="2"/>
      <c r="I58" s="2"/>
      <c r="J58" s="2"/>
      <c r="K58" s="2"/>
    </row>
    <row r="59">
      <c r="A59" s="3" t="s">
        <v>249</v>
      </c>
      <c r="B59" s="125">
        <f>LET(income,B32+B33,
(0.01*(MIN(MAX(income,B55),C55-B55)))+
(0.02*(MIN(MAX(income-C55,0),D55-C55)))+
(0.04*(MIN(MAX(income-D55,0),E55-D55)))+
(0.06*(MIN(MAX(income-E55,0),F55-E55)))+
(0.08*(MIN(MAX(income-F55,0),G55-F55)))+
(0.093*(MIN(MAX(income-G55,0),H55-G55)))+
(0.103*(MIN(MAX(income-H55,0),I55-H55)))+
(0.113*(MIN(MAX(income-I55,0),J55-I55)))+
(0.123*(MIN(MAX(income-J55,0),K55-J55)))+
(0.133*MAX(income-K55,0)))</f>
        <v>0</v>
      </c>
      <c r="C59" s="53"/>
      <c r="D59" s="2"/>
      <c r="E59" s="2"/>
      <c r="F59" s="422"/>
      <c r="G59" s="2"/>
      <c r="H59" s="2"/>
      <c r="I59" s="2"/>
      <c r="J59" s="2"/>
      <c r="K59" s="2"/>
    </row>
  </sheetData>
  <drawing r:id="rId2"/>
  <legacyDrawing r:id="rId3"/>
</worksheet>
</file>