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ESPP" sheetId="2" r:id="rId5"/>
    <sheet state="visible" name="RSU" sheetId="3" r:id="rId6"/>
    <sheet state="visible" name="Reference" sheetId="4" r:id="rId7"/>
    <sheet state="visible" name="PriceReference" sheetId="5" r:id="rId8"/>
  </sheets>
  <definedNames>
    <definedName name="avgoFMV">Summary!$K$25</definedName>
    <definedName hidden="1" localSheetId="4" name="_xlnm._FilterDatabase">PriceReference!$A$1:$B$4099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F3">
      <text>
        <t xml:space="preserve">Use by individuals for tax purposes is explicitly noted in the README as acceptable non-commercial use, including providing the sheet to a CPA for application to their personal tax situation for past and present VMware and Broadcom employees.
The non-commercial limitation is present because I see a difference between helping colleagues with an unexpectedly complex tax event and helping someone who's literal job is to know this stuff already.</t>
      </text>
    </comment>
    <comment authorId="0" ref="J3">
      <text>
        <t xml:space="preserve">Check off the inputs here as you gather them.
Details on how to get each input are in the usage doc linked from the steps</t>
      </text>
    </comment>
    <comment authorId="0" ref="L3">
      <text>
        <t xml:space="preserve">Actions to complete in the sheet
Details on how to get each input are in the usage doc linked from the steps</t>
      </text>
    </comment>
    <comment authorId="0" ref="A4">
      <text>
        <t xml:space="preserve">Missing necessary info is likely to occur when you have an ESPP from prior to 2012 or an RSU vest date that I did not.
In those cases you should be able to extra this info from the confirmation docs.</t>
      </text>
    </comment>
    <comment authorId="0" ref="A10">
      <text>
        <t xml:space="preserve">Sample note to illustrate the visual indication (black triangle in top right corner) of a cell note.
</t>
      </text>
    </comment>
    <comment authorId="0" ref="C11">
      <text>
        <t xml:space="preserve">Mostly complete for gathering necessary information and input into the Summary page.
Entry into RSU and ESPP sheets, along with, more advanced tweaks and how to interpret Output are pending</t>
      </text>
    </comment>
    <comment authorId="0" ref="C12">
      <text>
        <t xml:space="preserve">Experimental - I've never used this feature before so there'll likely be teething pains
</t>
      </text>
    </comment>
    <comment authorId="0" ref="C16">
      <text>
        <t xml:space="preserve">Hopefully this is obvious that the responsibility for using the numbers this sheet produces is on you. Assume there are errors.
I plan to refine this sheet until I can use it for my personal filing, but there's a reason I'm trying to find CPAs to validate.</t>
      </text>
    </comment>
    <comment authorId="0" ref="M24">
      <text>
        <t xml:space="preserve">Present if you want to experiment with different values for these inputs.</t>
      </text>
    </comment>
    <comment authorId="0" ref="A25">
      <text>
        <t xml:space="preserve">This comes from the eTrade transaction log</t>
      </text>
    </comment>
    <comment authorId="0" ref="K25">
      <text>
        <t xml:space="preserve">Mean is noted in Form 8937.
Close is noted on costbasistools.com as "Use of 11/22/2023 closing price of $972.00 is also an acceptable IRS method"</t>
      </text>
    </comment>
    <comment authorId="0" ref="A26">
      <text>
        <t xml:space="preserve">This comes from the eTrade transaction log
</t>
      </text>
    </comment>
    <comment authorId="0" ref="J26">
      <text>
        <t xml:space="preserve">Pro-rata - from Necessary Inputs
- uses the qty of shares from eTrade transaction log entered into Necessary Inputs to derive a pro-rata ratio
Per-lot - from strategy or manual selection
- uses a manual slection per-lot for cash/shares preference/ratio. The effective total ratio must still match exactly the overall transaction ratio.
- This is mostly so I can assess whether it's even worth asking a CPA to look into it.
- See https://github.com/hickeng/financial/issues/10
Pro-rata - from eTrade share qty
- uses the "AVGO qty from eTrade" from OSPS holdings to calculate the effective ratio used per lot
- from a technical perspective, eTrade seem to have used proration and rounding to find a number of vmw shares for cash vs stock, then a per-lot approach to distribute that across the lots through per-lot ratios. This is inferred from numbers.
Pro-rata - from eTrade transaction log
- uses the "pure" value from the eTrade transaction log. The numbers resulting from this do not match any of the concrete numbers we're pinned by, such as cash deposited into accounts.</t>
      </text>
    </comment>
    <comment authorId="0" ref="J28">
      <text>
        <t xml:space="preserve">Lets you look at the LTG/STG shift based on potential sale dates of the converted AVGO.
If you set this to last year, then the numbers will be rolled into the tax estimation, so that if you sold in 2023 but post merge this setting is for you.
This is unlikely to have any effect if using optimized manual lots as the newer lots will all have been assigned to cash.</t>
      </text>
    </comment>
    <comment authorId="0" ref="A29">
      <text>
        <t xml:space="preserve">VMW quantities for cash vs conversion should sum to the total holding.
This can also be checked against the sum of column D in the ESPP &amp; RSU sheets</t>
      </text>
    </comment>
    <comment authorId="0" ref="A30">
      <text>
        <t xml:space="preserve">cash for fraction should match the calculated value derived from the individual lot entries.
This can only be automatically validated when the value used for fractional share sale in Tweaks is the eTrade value.</t>
      </text>
    </comment>
    <comment authorId="0" ref="A31">
      <text>
        <t xml:space="preserve">should match the calculated value of cash portion calculated from individual lot values</t>
      </text>
    </comment>
    <comment authorId="0" ref="A32">
      <text>
        <t xml:space="preserve">Should match the Shares total in the Outputs-&gt;Merger section</t>
      </text>
    </comment>
    <comment authorId="0" ref="J36">
      <text>
        <t xml:space="preserve">https://github.com/hickeng/financial/blob/main/usage.md#form-8949
There are two ways noted on costbasis.com for reporting Proceeds/Basis/Gain during cash-to-boot mergers:
1. use the cash as the proceeds, calculate the gain per f8937, construct a basis that makes that gain make sense
2. use the combined cash+stock as proceeds, use the basis appropriate for the gain calc, derive the gain.
This lets you toggle that behaviour</t>
      </text>
    </comment>
    <comment authorId="0" ref="B42">
      <text>
        <t xml:space="preserve">This is what would have been deposited in your individual brokerage account or similar.
The Gains and the Fractional sale are the amounts you need to pay tax on.</t>
      </text>
    </comment>
    <comment authorId="0" ref="C42">
      <text>
        <t xml:space="preserve">This is the cash value received for the fractional share. The Gain associated with that sale in rolled into the appropriate Long or Short term gain bucket.</t>
      </text>
    </comment>
    <comment authorId="0" ref="N43">
      <text>
        <t xml:space="preserve">Using calc from https://www.irs.gov/instructions/i8949#en_US_2022_publink1000114401
It's negative because the Form instructions require gain to be:
d - e + g
It's reversed in this cell to derive a composite basis from the lots chosen for fraction.</t>
      </text>
    </comment>
    <comment authorId="0" ref="E44">
      <text>
        <t xml:space="preserve">This estimate may drop if it turns out the symmetric treatment suggested in https://github.com/hickeng/financial/issues/15#issuecomment-1948444299 is the correct approach for calculating gain on sale of qualified ESPPs
</t>
      </text>
    </comment>
    <comment authorId="0" ref="G44">
      <text>
        <t xml:space="preserve">This is the pending tax on ESPP discount. It will reach minimum after 2024-03-01 when the final ESPP lot qualifies.</t>
      </text>
    </comment>
    <comment authorId="0" ref="B46">
      <text>
        <t xml:space="preserve">This is "tax" basis not cost basis and is the sum of:
1. the money deducted from your paycheck for ESPP purchases (approximately)
2. the "tax" already paid on vesting RSUs, some of which would be through shares that were sold-to-cover, some from additional W2 withholding and makeup tax payments.
Remember that RSUs are considered income when they vest so you pay tax at the point they're released to you.</t>
      </text>
    </comment>
    <comment authorId="0" ref="D53">
      <text>
        <t xml:space="preserve">Worst case safe harbor for federal is 110% of previous years assessed taxes per filed 1040.
TODO: add calc to References for the 90% and 100% scenarios
</t>
      </text>
    </comment>
    <comment authorId="0" ref="C54">
      <text>
        <t xml:space="preserve">This is calculated progressively using the 2023 thresholds, and factoring in the 2023 W2 and other income/deductions from the inputs.</t>
      </text>
    </comment>
    <comment authorId="0" ref="C55">
      <text>
        <t xml:space="preserve">This is calculated using an estimated AGI for 2023 from the values in inputs and the income/stg element to decide the ltg rate that applies.
I do want to confirm that LTG isn't fully progressive. The threshold mechanism would leave patches where you'd net less for earning more as you just cleared thresholds.
Tracked in https://github.com/hickeng/financial/issues/3</t>
      </text>
    </comment>
    <comment authorId="0" ref="B56">
      <text>
        <t xml:space="preserve">Does NOT currently factor deductions as they're different values from federal.</t>
      </text>
    </comment>
  </commentList>
</comments>
</file>

<file path=xl/comments2.xml><?xml version="1.0" encoding="utf-8"?>
<comments xmlns:r="http://schemas.openxmlformats.org/officeDocument/2006/relationships" xmlns="http://schemas.openxmlformats.org/spreadsheetml/2006/main">
  <authors>
    <author/>
  </authors>
  <commentList>
    <comment authorId="0" ref="P4">
      <text>
        <t xml:space="preserve">Pre-filled with 0.00 because that's what eTrade has reported for everyone.</t>
      </text>
    </comment>
    <comment authorId="0" ref="U4">
      <text>
        <t xml:space="preserve">This value is calculated from the VMW -&gt; AVGO ratio for the lot
</t>
      </text>
    </comment>
    <comment authorId="0" ref="V4">
      <text>
        <t xml:space="preserve">Manual user entry per lot if using a per-lot election instead of pro-rata
</t>
      </text>
    </comment>
    <comment authorId="0" ref="AD4">
      <text>
        <t xml:space="preserve">The cost basis is the actual price paid per share times the number of shares, plus the ordinary income on sale.
Working on the assumption that the merger does not count as a sale for non-cash lots, the basis shouldn't be adjusted here. HOWEVER.... we do want to consider the basis adjustment from the perspective of lot selection.</t>
      </text>
    </comment>
    <comment authorId="0" ref="AG4">
      <text>
        <t xml:space="preserve">This should exactly equal the value in the "AVGO qty from eTrade" column as it's literally inverted the calc.
This column is here purely for consistency so we can see all three stock columns together
</t>
      </text>
    </comment>
    <comment authorId="0" ref="AN4">
      <text>
        <t xml:space="preserve">This pulls in the ordinary income portion for the fractional share if associated with the lot.
If there are no AVGO shares received for the lot, then the ordinary income cannot be deferred to future sale and must be counted.</t>
      </text>
    </comment>
    <comment authorId="0" ref="AR4">
      <text>
        <t xml:space="preserve">This is the pro-rata cash portion that eTrade have used per lot and reported on the 1099-B.
This is useful to disambiguate which lot is which when there are multiple on a single date.
</t>
      </text>
    </comment>
    <comment authorId="0" ref="AS4">
      <text>
        <t xml:space="preserve">From https://www.irs.gov/instructions/i8949
for Column (d)—Proceeds (Sales Price)
"If the proceeds you received were more than shown on Form 1099-B or 1099-S (or substitute statement), enter the correct proceeds in column (d). This might happen if, for example, box 4 on Form 1099-S is checked."
</t>
      </text>
    </comment>
    <comment authorId="0" ref="AV4">
      <text>
        <t xml:space="preserve">Using calc from https://www.irs.gov/instructions/i8949#en_US_2022_publink1000114401
It's negative because the Form instructions require gain to be:
d - e + g</t>
      </text>
    </comment>
    <comment authorId="0" ref="AW4">
      <text>
        <t xml:space="preserve">Not allowed to recognize a loss. I'm assuming that applies at a share level rather than the aggregate holding absent explicit indication otherwise.</t>
      </text>
    </comment>
    <comment authorId="0" ref="AX4">
      <text>
        <t xml:space="preserve">This is the pure adjusted basis without Ordinary Income factored in.
The only time I can think of that you'd need this is if you need to give it to a broker to update basis in their systems.
On sale, you should be using the basis with Ordinary Income added in.</t>
      </text>
    </comment>
    <comment authorId="0" ref="AY4">
      <text>
        <t xml:space="preserve">When selling ESPP shares, the tax basis includes the reported ordinary income.
See https://github.com/hickeng/financial/issues/15#issuecomment-1947700730</t>
      </text>
    </comment>
    <comment authorId="0" ref="B7">
      <text>
        <t xml:space="preserve">Enter the grant date for the ESPP lots in this column.
This will be used to retrieve the market value for that date.
See https://github.com/hickeng/financial/blob/main/usage.md#espp for details</t>
      </text>
    </comment>
    <comment authorId="0" ref="C7">
      <text>
        <t xml:space="preserve">Enter the Purchase Date for the ESPP lots in this column.
This will be used to retrieve the market value for that date.
See https://github.com/hickeng/financial/blob/main/usage.md#espp for details</t>
      </text>
    </comment>
    <comment authorId="0" ref="D7">
      <text>
        <t xml:space="preserve">Enter the number of shares from this ESPP lot that you held over the date of the merger.
This is the value from "Shares Purchased" and NOT from "Total shares Purchased for Offering". If you've sold any since release, adjust the number to reflect that.
See https://github.com/hickeng/financial/blob/main/usage.md#espp</t>
      </text>
    </comment>
    <comment authorId="0" ref="G7">
      <text>
        <t xml:space="preserve">This is an optional field to let you capture the per-offering period contribution you made.
This feeds into a set of informational calculations regarding precise dollars invested but is NOT used in the merger calc and can be safely omitted.</t>
      </text>
    </comment>
    <comment authorId="0" ref="I7">
      <text>
        <t xml:space="preserve">This is an optional field to let you capture the per-offering period contribution you made.
Put the Previous Carry Forward from your earliest ESPP confirmation for shares you still own into this cell and it'll propagate down.
This calc is only useful if you've kept whole lots without gaps. If not, just enter the value from the Purchase Confirmation, or omit completely - this column does NOT feed into the merger calculation.</t>
      </text>
    </comment>
    <comment authorId="0" ref="M7">
      <text>
        <t xml:space="preserve">This is an optional input.
You can use it to:
a. track the qty that etrade assocaited with the lot
b. use a derived per-lot ratio for cash/stack from etrade's number by setting the "Cash/stock ratio" tweak on the Summary page to "Pro-rata - from eTrade share qty"
This is the quantities of converted shares from eTrade lots as reported by eTrade. The colour of the cell will alter slightly if the value here does not equal the value calculated via AVGO ratio.
You can toggle whether to use this manual value or the calculated value in the Tweaks on the first Sheet.
If this is the lot from which a fraction was taken by etrade then you should add then fractional AVGO quantity back into this value and check the Fraction box. See the note on the fraction column.</t>
      </text>
    </comment>
    <comment authorId="0" ref="N7">
      <text>
        <t xml:space="preserve">Almost everyone will have a fractional AVGO share after conversion. For many people this is take from their oldest or newest lot. 
Check the box for the lot the fraction was taken from and add the fractional amount back into to "AVGO qty from eTrade" column.
See the usage docs for details on how to determine the appropriate lot
https://github.com/hickeng/financial/blob/main/usage.md#factional-share
Notes:
If the fractional share should come out of a specific lot, or set of lots, check those lots here. If multiple are selected the sheet will spread the fraction equally over those lots, accounting for differences in cost-basis.
If it came out of an ESPP lot, that's a sale and will incur the ordinary income portion of tax shown in column "Income &amp; short term gain".
The fractional quantity should be added back into "AVGO qty from eTrade" column for the lot that eTrade took it from.
This is done because we need the cost-basis of the lot calculated _before_ that fraction is removed as it's a serial conversion - convert entire lot, THEN sell factional part. It also avoids substantial complexity in formulae.
</t>
      </text>
    </comment>
    <comment authorId="0" ref="W7">
      <text>
        <t xml:space="preserve">This is an optional field.
The value selected here will only reflect in the wider sheet if the "Per-lot - from strategy or manual selection" has been selected for the ratio source in the Tweaks on the Summary sheet.</t>
      </text>
    </comment>
  </commentList>
</comments>
</file>

<file path=xl/comments3.xml><?xml version="1.0" encoding="utf-8"?>
<comments xmlns:r="http://schemas.openxmlformats.org/officeDocument/2006/relationships" xmlns="http://schemas.openxmlformats.org/spreadsheetml/2006/main">
  <authors>
    <author/>
  </authors>
  <commentList>
    <comment authorId="0" ref="AL3">
      <text>
        <t xml:space="preserve">https://costbasis.com/calculators/cashtobootmerger.html
Notes two ways to approach Form 8949:
1. report just the cash portion as proceeds and adjust cost basis down so delta is the appropriate gain
2. report the true compensation (cash+fmv shares) and provide the appropriate basis.
I'm going with the latter because:
1. it more accurately captures the reality of the merger
2. it's the basis that I can conceptually reconcile with the f8937 mandated future basis.</t>
      </text>
    </comment>
    <comment authorId="0" ref="L4">
      <text>
        <t xml:space="preserve">Pre-filled with 0.00 because that's what eTrade has reported for everyone.</t>
      </text>
    </comment>
    <comment authorId="0" ref="Q4">
      <text>
        <t xml:space="preserve">This value is calculated from the VMW -&gt; AVGO ratio for the lot using the "AVGO qty from eTrade" for the AVGO quantity
</t>
      </text>
    </comment>
    <comment authorId="0" ref="R4">
      <text>
        <t xml:space="preserve">Manual user entry per lot if using a per-lot election instead of pro-rata
</t>
      </text>
    </comment>
    <comment authorId="0" ref="AC4">
      <text>
        <t xml:space="preserve">This should exactly equal the value in the "AVGO qty from eTrade" column as it's literally inverted the calc.
This column is here purely for consistency so we can see all three stock columns together
</t>
      </text>
    </comment>
    <comment authorId="0" ref="AG4">
      <text>
        <t xml:space="preserve">Fraction attributed to the lot</t>
      </text>
    </comment>
    <comment authorId="0" ref="AN4">
      <text>
        <t xml:space="preserve">This is the pro-rata cash portion that eTrade have used per lot and reported on the 1099-B.
This is useful to disambiguate which lot is which when there are multiple on a single date.
</t>
      </text>
    </comment>
    <comment authorId="0" ref="AO4">
      <text>
        <t xml:space="preserve">From https://www.irs.gov/instructions/i8949
for Column (d)—Proceeds (Sales Price)
"If the proceeds you received were more than shown on Form 1099-B or 1099-S (or substitute statement), enter the correct proceeds in column (d). This might happen if, for example, box 4 on Form 1099-S is checked."
</t>
      </text>
    </comment>
    <comment authorId="0" ref="AR4">
      <text>
        <t xml:space="preserve">Using calc from https://www.irs.gov/instructions/i8949#en_US_2022_publink1000114401
It's negative because the Form instructions require gain to be:
d - e + g</t>
      </text>
    </comment>
    <comment authorId="0" ref="AS4">
      <text>
        <t xml:space="preserve">Not allowed to recognize a loss. I'm assuming that applies at a share level rather than the aggregate holding absent explicit indication otherwise.</t>
      </text>
    </comment>
    <comment authorId="0" ref="C7">
      <text>
        <t xml:space="preserve">Enter the Release Date for the RSU lots in this column.
This will be used to retrieve the market value for that date.
See https://github.com/hickeng/financial/blob/main/usage.md#rsu for details
</t>
      </text>
    </comment>
    <comment authorId="0" ref="D7">
      <text>
        <t xml:space="preserve">Enter the number of shares from this ESPP lot that you held over the date of the merger.
This is the value from "Shares Issued" and NOT from "Award Shares". 
If you were Awarded 73 shares:
* Shares Traded: ~26 would have been withheld to cover tax and can be entered into column F for reference
* Shares Issued: ~47 would have been assigned to you and would go in this column
If you've sold any since release, adjust the number to reflect that.
See https://github.com/hickeng/financial/blob/main/usage.md#espp</t>
      </text>
    </comment>
    <comment authorId="0" ref="F7">
      <text>
        <t xml:space="preserve">This is an optional field to let you capture the per-vest shares that were withheld for taxes.
These withheld shares would have shown up as taxes paid on your W2 for the year. It's here only to allow a single location with all related info. This column does NOT impact the merger calculations and can be safely omitted.
</t>
      </text>
    </comment>
    <comment authorId="0" ref="I7">
      <text>
        <t xml:space="preserve">This is an optional input.
You can use it to:
a. track the qty that etrade assocaited with the lot
b. use a derived per-lot ratio for cash/stack from etrade's number by setting the "Cash/stock ratio" tweak on the Summary page to "Pro-rata - from eTrade share qty"
This is the quantities of converted shares from eTrade lots as reported by eTrade. The colour of the cell will alter slightly if the value here does not equal the value calculated via AVGO ratio.
You can toggle whether to use this manual value or the calculated value in the Tweaks on the first Sheet.
If this is the lot from which a fraction was taken by etrade then you should add then fractional AVGO quantity back into this value and check the Fraction box. See the note on the fraction column.</t>
      </text>
    </comment>
    <comment authorId="0" ref="J7">
      <text>
        <t xml:space="preserve">Almost everyone will have a fractional AVGO share after conversion. For many people this is take from their oldest or newest lot. 
Check the box for the lot the fraction was taken from and add the fractional amount back into to "AVGO qty from eTrade" column.
See the usage docs for details on how to determine the appropriate lot
https://github.com/hickeng/financial/blob/main/usage.md#factional-share
Notes:
If the fractional share should come out of a specific lot, or set of lots, check those lots here. If multiple are selected the sheet will spread the fraction equally over those lots, accounting for differences in cost-basis.
If it came out of an ESPP lot, that's a sale and will incur the ordinary income portion of tax shown in column "Income &amp; short term gain".
The fractional quantity should be added back into "AVGO qty from eTrade" column for the lot that eTrade took it from.
This is done because we need the cost-basis of the lot calculated _before_ that fraction is removed as it's a serial conversion - convert entire lot, THEN sell factional part. It also avoids substantial complexity in formulae.
</t>
      </text>
    </comment>
    <comment authorId="0" ref="S7">
      <text>
        <t xml:space="preserve">This is an optional field.
The value selected here will only reflect in the wider sheet if the "Per-lot - from strategy or manual selection" has been selected for the ratio source in the Tweaks on the Summary sheet.</t>
      </text>
    </comment>
  </commentList>
</comments>
</file>

<file path=xl/comments4.xml><?xml version="1.0" encoding="utf-8"?>
<comments xmlns:r="http://schemas.openxmlformats.org/officeDocument/2006/relationships" xmlns="http://schemas.openxmlformats.org/spreadsheetml/2006/main">
  <authors>
    <author/>
  </authors>
  <commentList>
    <comment authorId="0" ref="E3">
      <text>
        <t xml:space="preserve">"Fair market value generally is the price at which property would change hands between a willing buyer and a willing seller, neither being under any compulsion to buy or sell and both having reasonable knowledge of the facts."
Immediately prior to acquisition, the elections of existing holders were known, the VMW price consideration was fixed in the MA, and Broadcom FMV was known.</t>
      </text>
    </comment>
    <comment authorId="0" ref="B4">
      <text>
        <t xml:space="preserve">Use 100% cash calc for ratio while there's an error calculating it.
This is just to avoid cascade DIV0 errors.</t>
      </text>
    </comment>
    <comment authorId="0" ref="E7">
      <text>
        <t xml:space="preserve">This is calculated to balance the ratio to meet the obligation of correct number of total shares across lots.
</t>
      </text>
    </comment>
    <comment authorId="0" ref="C27">
      <text>
        <t xml:space="preserve">This is NOT the value from the Form 8937 on broadcom's investor site.
Going back to the 2021 1099-DIV it's apparent that eTrade used the estimated number (16.58) instead of the final number.
Form 8937 with the estimate has been added into the repo documents.
Check https://github.com/hickeng/financial/issues/83 for status of the question regarding the specific "correct" way to address this.</t>
      </text>
    </comment>
  </commentList>
</comments>
</file>

<file path=xl/comments5.xml><?xml version="1.0" encoding="utf-8"?>
<comments xmlns:r="http://schemas.openxmlformats.org/officeDocument/2006/relationships" xmlns="http://schemas.openxmlformats.org/spreadsheetml/2006/main">
  <authors>
    <author/>
  </authors>
  <commentList>
    <comment authorId="0" ref="B85">
      <text>
        <t xml:space="preserve">from https://github.com/hickeng/financial/issues/32#issue-2140774568
</t>
      </text>
    </comment>
  </commentList>
</comments>
</file>

<file path=xl/sharedStrings.xml><?xml version="1.0" encoding="utf-8"?>
<sst xmlns="http://schemas.openxmlformats.org/spreadsheetml/2006/main" count="545" uniqueCount="264">
  <si>
    <t>Instructions</t>
  </si>
  <si>
    <t>Checklist</t>
  </si>
  <si>
    <t>Input</t>
  </si>
  <si>
    <t>Input - optional</t>
  </si>
  <si>
    <r>
      <rPr/>
      <t xml:space="preserve">Github Release: </t>
    </r>
    <r>
      <rPr>
        <color rgb="FF1155CC"/>
        <u/>
      </rPr>
      <t>v0.1.7</t>
    </r>
  </si>
  <si>
    <r>
      <rPr/>
      <t xml:space="preserve">Donate via </t>
    </r>
    <r>
      <rPr>
        <color rgb="FF1155CC"/>
        <u/>
      </rPr>
      <t>github sponsors</t>
    </r>
    <r>
      <rPr/>
      <t xml:space="preserve"> or </t>
    </r>
    <r>
      <rPr>
        <color rgb="FF1155CC"/>
        <u/>
      </rPr>
      <t>ko-fi</t>
    </r>
  </si>
  <si>
    <r>
      <rPr/>
      <t xml:space="preserve">License: </t>
    </r>
    <r>
      <rPr>
        <color rgb="FF1155CC"/>
        <u/>
      </rPr>
      <t>Creative Commons Non-Commercial 4.0</t>
    </r>
  </si>
  <si>
    <t>Gather Input data</t>
  </si>
  <si>
    <t>Populate sheet</t>
  </si>
  <si>
    <t>Filing</t>
  </si>
  <si>
    <t>Input - necessary but prepopulated where available</t>
  </si>
  <si>
    <t>Input - reference only, not used for calc</t>
  </si>
  <si>
    <t>This sheet is read only. Use File-&gt;Make a Copy to get a copy for your personal use.</t>
  </si>
  <si>
    <t>eTrade Stock Plan confirmations</t>
  </si>
  <si>
    <t>Enter Necessary inputs from eTrade transaction log (Summary!B24)</t>
  </si>
  <si>
    <t>Enter Form 8949 corrections for eTrade 1099</t>
  </si>
  <si>
    <t>Output - relevent immediately</t>
  </si>
  <si>
    <t>There are in-sheet notes for many things - look for the little black triangles in the top right of cells and hover over the cell to view</t>
  </si>
  <si>
    <t>ESPP purchase confirmations</t>
  </si>
  <si>
    <t>Enter details of owned ESPP shares</t>
  </si>
  <si>
    <t>Fraction - Cells from Summary sheet in section K42</t>
  </si>
  <si>
    <t>Output - relevent on future sale</t>
  </si>
  <si>
    <t>Look for horizontal paired arrows on column labels in RSU &amp; ESPP sheets. These expand hidden columns for intermediate detail.</t>
  </si>
  <si>
    <t>RSU release confirmations</t>
  </si>
  <si>
    <t>Enter details of owned RSUs shares</t>
  </si>
  <si>
    <t>ESPP - Cells from ESPP sheet in section AO3</t>
  </si>
  <si>
    <t>Use the checklist to the right to track completion</t>
  </si>
  <si>
    <t>Determine lot for fractional share</t>
  </si>
  <si>
    <t>RSU - Cells from RSU sheet in section AL3</t>
  </si>
  <si>
    <t>Labels</t>
  </si>
  <si>
    <t>Detail instructions and a discussion forum are in the github repository</t>
  </si>
  <si>
    <t>eTrade total VMW share ownership over merger</t>
  </si>
  <si>
    <t>Checked fractional lot checkbox in ESSP or RSU datasheet</t>
  </si>
  <si>
    <t>Example cell with additional note</t>
  </si>
  <si>
    <t>Getting Started overview</t>
  </si>
  <si>
    <t>eTrade transaction log</t>
  </si>
  <si>
    <t>If selling ESPP</t>
  </si>
  <si>
    <t>Detailed step-by-step with screenshots</t>
  </si>
  <si>
    <t>eTrade BenefitHistory spreadsheet</t>
  </si>
  <si>
    <t>Check if ESPP imputed income is reported via W2</t>
  </si>
  <si>
    <t>Forum</t>
  </si>
  <si>
    <t>eTrade 1099-B</t>
  </si>
  <si>
    <t>Optional</t>
  </si>
  <si>
    <t>Report imputed income directly if needed</t>
  </si>
  <si>
    <t>eTrade Supplement</t>
  </si>
  <si>
    <t>Improve estimate with other inome section (Summary!K30)</t>
  </si>
  <si>
    <t>Enter validation inputs (Summary!B28)</t>
  </si>
  <si>
    <t>Enter W2 &amp; 2022 tax info (Summary!D22)</t>
  </si>
  <si>
    <r>
      <rPr>
        <rFont val="Arial"/>
        <color theme="1"/>
        <sz val="8.0"/>
      </rPr>
      <t xml:space="preserve">Disclaimer: I'm not a CPA. At the start of December I knew effectively nothing about taxes, particularly in relation to stocks and mergers.This sheet is my best effort to get my taxes correct for 2023, but I can make no guarantees as I probably now know just enough to get into trouble. I </t>
    </r>
    <r>
      <rPr>
        <rFont val="Arial"/>
        <i/>
        <color theme="1"/>
        <sz val="8.0"/>
      </rPr>
      <t>have</t>
    </r>
    <r>
      <rPr>
        <rFont val="Arial"/>
        <color theme="1"/>
        <sz val="8.0"/>
      </rPr>
      <t xml:space="preserve"> tried to capture research, reasoning, relevant tax code fragments, etc, in the repo. Please do your own diligence, consult a CPA, etc.</t>
    </r>
  </si>
  <si>
    <t>eTrade per-lot AVGO quantities</t>
  </si>
  <si>
    <t>Enter details of AVGO shares from eTrade in RSU and ESSP sheets</t>
  </si>
  <si>
    <t>Added fraction back into AVGO qty from eTrade</t>
  </si>
  <si>
    <t>Inputs (eTrade transaction log)</t>
  </si>
  <si>
    <t>Inputs (W2 &amp; 1040)</t>
  </si>
  <si>
    <t>Inputs (Tweaks)</t>
  </si>
  <si>
    <t>Necessary</t>
  </si>
  <si>
    <t>Form</t>
  </si>
  <si>
    <t>Year</t>
  </si>
  <si>
    <t>Box</t>
  </si>
  <si>
    <t>Value</t>
  </si>
  <si>
    <t>Comment</t>
  </si>
  <si>
    <t>Active</t>
  </si>
  <si>
    <t>Custom</t>
  </si>
  <si>
    <t>Shares liquidated for cash (vmw)</t>
  </si>
  <si>
    <t>1040 (tax return)</t>
  </si>
  <si>
    <t>2022</t>
  </si>
  <si>
    <t>Federal tax (prior year)</t>
  </si>
  <si>
    <t>AVGO FMV</t>
  </si>
  <si>
    <t>Mean</t>
  </si>
  <si>
    <t>Shares for conversion (vmw)</t>
  </si>
  <si>
    <t>W2</t>
  </si>
  <si>
    <t>2023</t>
  </si>
  <si>
    <t>Federal income</t>
  </si>
  <si>
    <t>Cash/stock ratio</t>
  </si>
  <si>
    <t>Pro-rata - from Necessary Inputs</t>
  </si>
  <si>
    <t>Federal tax paid</t>
  </si>
  <si>
    <t>Factional share value</t>
  </si>
  <si>
    <t>eTrade</t>
  </si>
  <si>
    <t>Validations</t>
  </si>
  <si>
    <t>State income</t>
  </si>
  <si>
    <t>Post merger sale of AVGO</t>
  </si>
  <si>
    <t>today</t>
  </si>
  <si>
    <t xml:space="preserve">  @ </t>
  </si>
  <si>
    <t>VMW held at close</t>
  </si>
  <si>
    <t>State tax paid</t>
  </si>
  <si>
    <t>Cash for fraction</t>
  </si>
  <si>
    <t>Other Captial Gain (Short)</t>
  </si>
  <si>
    <t>Cash portion without fraction</t>
  </si>
  <si>
    <t>Other Captial Gain (Long)</t>
  </si>
  <si>
    <t>AVGO shares received</t>
  </si>
  <si>
    <t>Other income</t>
  </si>
  <si>
    <t>Status</t>
  </si>
  <si>
    <t>Single</t>
  </si>
  <si>
    <t>Deduction</t>
  </si>
  <si>
    <t>By status</t>
  </si>
  <si>
    <t>Doesn't apply to State</t>
  </si>
  <si>
    <t>Outputs</t>
  </si>
  <si>
    <t>Display of Form 8949</t>
  </si>
  <si>
    <t>Cash &amp; AVGO FMV</t>
  </si>
  <si>
    <t>Merger</t>
  </si>
  <si>
    <t>Fractional share</t>
  </si>
  <si>
    <t>Cash consideration</t>
  </si>
  <si>
    <t>Fractional Share</t>
  </si>
  <si>
    <t>Gain (Short)</t>
  </si>
  <si>
    <t>Gain (Long)</t>
  </si>
  <si>
    <t>Shares (FMV)</t>
  </si>
  <si>
    <t>Taxable income</t>
  </si>
  <si>
    <t>Total Gain (post-tax)</t>
  </si>
  <si>
    <t>Shows up as a "Broadcom Inc" sale in 1099-B</t>
  </si>
  <si>
    <t>Shares</t>
  </si>
  <si>
    <t>Dollars</t>
  </si>
  <si>
    <t>Form 8949</t>
  </si>
  <si>
    <t>Proceeds (d)</t>
  </si>
  <si>
    <t>1099-B basis (e)</t>
  </si>
  <si>
    <t>Code (f)</t>
  </si>
  <si>
    <t>Adjustment (g)</t>
  </si>
  <si>
    <t>Gain (h)</t>
  </si>
  <si>
    <t>Post-merger sale</t>
  </si>
  <si>
    <t>B</t>
  </si>
  <si>
    <t>Pre-merger tax basis</t>
  </si>
  <si>
    <t>Use Form 8949 section in ESPP &amp; RSU sheets for the rest of the values to enter into Form 8949, or TurboTax et al.</t>
  </si>
  <si>
    <t>Tax Impact</t>
  </si>
  <si>
    <t>WARNING</t>
  </si>
  <si>
    <t>There WILL be errors in the tax estimation. It doesn't even attempt AMT. I'm uncertain about how LTG progressiveness works</t>
  </si>
  <si>
    <t>The numbers you want for tax planning are the Gains in the section above</t>
  </si>
  <si>
    <t>Liability</t>
  </si>
  <si>
    <t>Safe Harbor</t>
  </si>
  <si>
    <t>Estimated Taxes</t>
  </si>
  <si>
    <t>Effective Rate</t>
  </si>
  <si>
    <t>Actual</t>
  </si>
  <si>
    <t>of which</t>
  </si>
  <si>
    <t>Threshold</t>
  </si>
  <si>
    <t>Outstanding</t>
  </si>
  <si>
    <t>Paid</t>
  </si>
  <si>
    <t>Owed</t>
  </si>
  <si>
    <t>Federal  - total</t>
  </si>
  <si>
    <t>Federal - income &amp; short term gain</t>
  </si>
  <si>
    <t>Federal - long term gain</t>
  </si>
  <si>
    <t>California</t>
  </si>
  <si>
    <t>Totals</t>
  </si>
  <si>
    <t>Output</t>
  </si>
  <si>
    <t>From ESPP purchase confirmation docs</t>
  </si>
  <si>
    <t>From eTrade</t>
  </si>
  <si>
    <t>Calculated</t>
  </si>
  <si>
    <t>Now</t>
  </si>
  <si>
    <t>Post Merger</t>
  </si>
  <si>
    <t xml:space="preserve">Input </t>
  </si>
  <si>
    <t>Derived - informational only</t>
  </si>
  <si>
    <t>Derived - should match vlaues from ESPP purchase confirmation</t>
  </si>
  <si>
    <t>Input - alternate for cross check</t>
  </si>
  <si>
    <t xml:space="preserve">1099-B </t>
  </si>
  <si>
    <t>Ratio (shares)</t>
  </si>
  <si>
    <t>Cash received</t>
  </si>
  <si>
    <t>Basis adjustment for Dell dividends</t>
  </si>
  <si>
    <t>Cost basis entering merger</t>
  </si>
  <si>
    <t>Alternate gain calculation</t>
  </si>
  <si>
    <t>Gain</t>
  </si>
  <si>
    <t>Reference for sale post-merger</t>
  </si>
  <si>
    <t>Purchase Begin Date</t>
  </si>
  <si>
    <t>Grant Date</t>
  </si>
  <si>
    <t>Purchase Date</t>
  </si>
  <si>
    <t>Shares Purchased</t>
  </si>
  <si>
    <t>Grant Date Market Value</t>
  </si>
  <si>
    <t>Purchase Value per Share</t>
  </si>
  <si>
    <t>Current Contributions</t>
  </si>
  <si>
    <t>Total Price</t>
  </si>
  <si>
    <t>Previous Carry Forward</t>
  </si>
  <si>
    <t>Total Contributions</t>
  </si>
  <si>
    <t>Carry Forward</t>
  </si>
  <si>
    <t>Purchase Price per Share</t>
  </si>
  <si>
    <t>AVGO qty from eTrade</t>
  </si>
  <si>
    <t>Use for fraction</t>
  </si>
  <si>
    <t>Proceeds (1d)</t>
  </si>
  <si>
    <t>Cost or Other Basis (1e)</t>
  </si>
  <si>
    <t>Accrued Market Discount (1f)</t>
  </si>
  <si>
    <t>Wash Sale Loss Disallowed (1g)</t>
  </si>
  <si>
    <t>Gain/Loss Amount</t>
  </si>
  <si>
    <t>Federal Income Tax Withheld (4)</t>
  </si>
  <si>
    <t>Derived from manual share qty</t>
  </si>
  <si>
    <t>Manual per-lot</t>
  </si>
  <si>
    <t>Prefer</t>
  </si>
  <si>
    <t>eTrade pro-rata</t>
  </si>
  <si>
    <t>derived eTrade per-lot</t>
  </si>
  <si>
    <t>manual per-lot</t>
  </si>
  <si>
    <t>active amount</t>
  </si>
  <si>
    <t>1st special divident basis adjustment</t>
  </si>
  <si>
    <t>2nd dividend basis adjustment</t>
  </si>
  <si>
    <t>VMW tax-basis per share</t>
  </si>
  <si>
    <t>VMW tax-basis per lot</t>
  </si>
  <si>
    <t>eTrade derived per-lot</t>
  </si>
  <si>
    <t>active qty</t>
  </si>
  <si>
    <t>Gain (cash+FMV AVGO-basis)</t>
  </si>
  <si>
    <t>Fraction</t>
  </si>
  <si>
    <t>Income &amp; short term gain</t>
  </si>
  <si>
    <t>Long term gain</t>
  </si>
  <si>
    <t>Form Section</t>
  </si>
  <si>
    <t>Acquisition Date</t>
  </si>
  <si>
    <t>1099-B Proceeds</t>
  </si>
  <si>
    <t>AVGO tax-basis per share</t>
  </si>
  <si>
    <t>AVGO basis adjusted by Ordinary Income</t>
  </si>
  <si>
    <t>Potential Captial Gain (AVGO)</t>
  </si>
  <si>
    <t>Qualified</t>
  </si>
  <si>
    <t>Pending Ordinary Income</t>
  </si>
  <si>
    <t>Short Term Capital Gain</t>
  </si>
  <si>
    <t>Long Term Capital Gain</t>
  </si>
  <si>
    <t>Required</t>
  </si>
  <si>
    <r>
      <rPr/>
      <t xml:space="preserve">NOTE: </t>
    </r>
    <r>
      <rPr>
        <color rgb="FF1155CC"/>
        <u/>
      </rPr>
      <t>costbasis.com</t>
    </r>
    <r>
      <rPr/>
      <t xml:space="preserve"> recommends attaching a statement explaining adjustment to proceeds</t>
    </r>
  </si>
  <si>
    <t>balance</t>
  </si>
  <si>
    <t>From RSU release confirmation docs</t>
  </si>
  <si>
    <t>Input for calculating tax withheld</t>
  </si>
  <si>
    <t>Tax basis entering merger</t>
  </si>
  <si>
    <t>Treatment</t>
  </si>
  <si>
    <t>Award Number</t>
  </si>
  <si>
    <t>Award Date</t>
  </si>
  <si>
    <t>Release Date</t>
  </si>
  <si>
    <t>Shares Issued</t>
  </si>
  <si>
    <t>Market Value Per Share</t>
  </si>
  <si>
    <t>Shares Traded</t>
  </si>
  <si>
    <t>Tax basis on receipt</t>
  </si>
  <si>
    <t>Tax paid on receipt</t>
  </si>
  <si>
    <r>
      <rPr/>
      <t xml:space="preserve">NOTE: </t>
    </r>
    <r>
      <rPr>
        <color rgb="FF1155CC"/>
        <u/>
      </rPr>
      <t>costbasis.com</t>
    </r>
    <r>
      <rPr/>
      <t xml:space="preserve"> recommends attaching a statement explaining the adjustment to proceeds</t>
    </r>
  </si>
  <si>
    <t>This Sheet is a collection of reference values used by the others. I do not expect anyone to need to make changes to these values.</t>
  </si>
  <si>
    <t>VMW final sale price</t>
  </si>
  <si>
    <t>VMW FMV</t>
  </si>
  <si>
    <t>Cash ratio (calculated)</t>
  </si>
  <si>
    <t>Ratio source</t>
  </si>
  <si>
    <t>Avgo ratio (calculated)</t>
  </si>
  <si>
    <t>Min share ratio</t>
  </si>
  <si>
    <t>AVGO conversion ratio</t>
  </si>
  <si>
    <t>Max share ratio</t>
  </si>
  <si>
    <t>Avgo ratio (etrade transaction log)</t>
  </si>
  <si>
    <t>0.5209</t>
  </si>
  <si>
    <t>Balance share ratio</t>
  </si>
  <si>
    <t>Probable fraction threshold</t>
  </si>
  <si>
    <t>Form 8949 proceeds</t>
  </si>
  <si>
    <t>AVGO post-merger sale value</t>
  </si>
  <si>
    <t>AVGO FMV (close of merger)</t>
  </si>
  <si>
    <t>Open</t>
  </si>
  <si>
    <t>Close</t>
  </si>
  <si>
    <t>High</t>
  </si>
  <si>
    <t>Low</t>
  </si>
  <si>
    <t>Factional Share value</t>
  </si>
  <si>
    <t>Form 8937</t>
  </si>
  <si>
    <t>Cost-basis events</t>
  </si>
  <si>
    <t>Basis adjustment</t>
  </si>
  <si>
    <t>Dell special dividend</t>
  </si>
  <si>
    <t>Broadcom Merger</t>
  </si>
  <si>
    <t>Post-merger sale date</t>
  </si>
  <si>
    <t>Post-merger sale date in 2023</t>
  </si>
  <si>
    <t>Short term captial gains &amp; income</t>
  </si>
  <si>
    <t>Long term captial gains</t>
  </si>
  <si>
    <t>Joint</t>
  </si>
  <si>
    <t>Head of household</t>
  </si>
  <si>
    <t>Standard deduction</t>
  </si>
  <si>
    <t>Long Term Capital Gains Thresholds</t>
  </si>
  <si>
    <t>Long Term Gains Active Rate</t>
  </si>
  <si>
    <t>Federal thresholds</t>
  </si>
  <si>
    <t>California thresholds</t>
  </si>
  <si>
    <t>Effective rate</t>
  </si>
  <si>
    <t>Federal Income Tax</t>
  </si>
  <si>
    <t>Federal Long Term Gains Tax</t>
  </si>
  <si>
    <t>State Income Tax</t>
  </si>
  <si>
    <t>Date</t>
  </si>
  <si>
    <t>Market Price</t>
  </si>
</sst>
</file>

<file path=xl/styles.xml><?xml version="1.0" encoding="utf-8"?>
<styleSheet xmlns="http://schemas.openxmlformats.org/spreadsheetml/2006/main" xmlns:x14ac="http://schemas.microsoft.com/office/spreadsheetml/2009/9/ac" xmlns:mc="http://schemas.openxmlformats.org/markup-compatibility/2006">
  <numFmts count="14">
    <numFmt numFmtId="164" formatCode="#,##0.00;(#,##0.00)"/>
    <numFmt numFmtId="165" formatCode="[$$]#,##0.00"/>
    <numFmt numFmtId="166" formatCode="#,##0.0000"/>
    <numFmt numFmtId="167" formatCode="yyyy&quot;-&quot;mm&quot;-&quot;dd"/>
    <numFmt numFmtId="168" formatCode="#,##0.00000000000000"/>
    <numFmt numFmtId="169" formatCode="#,##0.000000"/>
    <numFmt numFmtId="170" formatCode="&quot;$&quot;#,##0.00"/>
    <numFmt numFmtId="171" formatCode="#,##0.000"/>
    <numFmt numFmtId="172" formatCode="0.000"/>
    <numFmt numFmtId="173" formatCode="0.0000"/>
    <numFmt numFmtId="174" formatCode="0.000000"/>
    <numFmt numFmtId="175" formatCode="mm&quot;/&quot;dd&quot;/&quot;yy"/>
    <numFmt numFmtId="176" formatCode="0.000000000"/>
    <numFmt numFmtId="177" formatCode="yyyy-mm-dd"/>
  </numFmts>
  <fonts count="34">
    <font>
      <sz val="10.0"/>
      <color rgb="FF000000"/>
      <name val="Arial"/>
      <scheme val="minor"/>
    </font>
    <font>
      <b/>
      <color theme="1"/>
      <name val="Arial"/>
      <scheme val="minor"/>
    </font>
    <font>
      <color theme="1"/>
      <name val="Arial"/>
      <scheme val="minor"/>
    </font>
    <font/>
    <font>
      <color theme="1"/>
      <name val="Arial"/>
    </font>
    <font>
      <u/>
      <color rgb="FF0000FF"/>
    </font>
    <font>
      <u/>
      <color rgb="FF0000FF"/>
    </font>
    <font>
      <b/>
      <sz val="10.0"/>
      <color theme="1"/>
      <name val="Arial"/>
      <scheme val="minor"/>
    </font>
    <font>
      <sz val="10.0"/>
      <color theme="1"/>
      <name val="Arial"/>
      <scheme val="minor"/>
    </font>
    <font>
      <u/>
      <color rgb="FF0000FF"/>
    </font>
    <font>
      <u/>
      <sz val="10.0"/>
      <color rgb="FF0000FF"/>
    </font>
    <font>
      <u/>
      <sz val="10.0"/>
      <color rgb="FF0000FF"/>
    </font>
    <font>
      <u/>
      <sz val="10.0"/>
      <color rgb="FF0000FF"/>
    </font>
    <font>
      <u/>
      <color rgb="FF0000FF"/>
      <name val="Arial"/>
    </font>
    <font>
      <u/>
      <color rgb="FF0000FF"/>
      <name val="Arial"/>
    </font>
    <font>
      <sz val="8.0"/>
      <color theme="1"/>
      <name val="Arial"/>
      <scheme val="minor"/>
    </font>
    <font>
      <u/>
      <sz val="10.0"/>
      <color rgb="FF0000FF"/>
    </font>
    <font>
      <sz val="11.0"/>
      <color theme="1"/>
      <name val="Arial"/>
    </font>
    <font>
      <i/>
      <color theme="1"/>
      <name val="Arial"/>
      <scheme val="minor"/>
    </font>
    <font>
      <sz val="9.0"/>
      <color rgb="FF000000"/>
      <name val="&quot;Google Sans Mono&quot;"/>
    </font>
    <font>
      <b/>
      <color theme="1"/>
      <name val="Arial"/>
    </font>
    <font>
      <b/>
      <color rgb="FFFF0000"/>
      <name val="Arial"/>
      <scheme val="minor"/>
    </font>
    <font>
      <b/>
      <sz val="9.0"/>
      <color theme="1"/>
      <name val="Arial"/>
      <scheme val="minor"/>
    </font>
    <font>
      <sz val="11.0"/>
      <color rgb="FF1F1F1F"/>
      <name val="&quot;Google Sans&quot;"/>
    </font>
    <font>
      <sz val="10.0"/>
      <color rgb="FF1F1F1F"/>
      <name val="Arial"/>
      <scheme val="minor"/>
    </font>
    <font>
      <sz val="9.0"/>
      <color theme="1"/>
      <name val="&quot;Google Sans Mono&quot;"/>
    </font>
    <font>
      <b/>
      <color rgb="FF000000"/>
      <name val="Arial"/>
    </font>
    <font>
      <color rgb="FFD0E0E3"/>
      <name val="Arial"/>
    </font>
    <font>
      <i/>
      <color theme="1"/>
      <name val="Arial"/>
    </font>
    <font>
      <i/>
      <sz val="9.0"/>
      <color theme="1"/>
      <name val="&quot;Google Sans Mono&quot;"/>
    </font>
    <font>
      <i/>
      <sz val="10.0"/>
      <color theme="1"/>
      <name val="Arial"/>
      <scheme val="minor"/>
    </font>
    <font>
      <b/>
      <sz val="11.0"/>
      <color theme="1"/>
      <name val="Arial"/>
    </font>
    <font>
      <sz val="10.0"/>
      <color rgb="FF1B1B1B"/>
      <name val="Arial"/>
      <scheme val="minor"/>
    </font>
    <font>
      <b/>
      <sz val="10.0"/>
      <color rgb="FF000000"/>
      <name val="Arial"/>
      <scheme val="minor"/>
    </font>
  </fonts>
  <fills count="11">
    <fill>
      <patternFill patternType="none"/>
    </fill>
    <fill>
      <patternFill patternType="lightGray"/>
    </fill>
    <fill>
      <patternFill patternType="solid">
        <fgColor rgb="FFF3F3F3"/>
        <bgColor rgb="FFF3F3F3"/>
      </patternFill>
    </fill>
    <fill>
      <patternFill patternType="solid">
        <fgColor rgb="FFFFF2CC"/>
        <bgColor rgb="FFFFF2CC"/>
      </patternFill>
    </fill>
    <fill>
      <patternFill patternType="solid">
        <fgColor rgb="FFDED5BA"/>
        <bgColor rgb="FFDED5BA"/>
      </patternFill>
    </fill>
    <fill>
      <patternFill patternType="solid">
        <fgColor rgb="FFEAD1DC"/>
        <bgColor rgb="FFEAD1DC"/>
      </patternFill>
    </fill>
    <fill>
      <patternFill patternType="solid">
        <fgColor rgb="FFEFEFEF"/>
        <bgColor rgb="FFEFEFEF"/>
      </patternFill>
    </fill>
    <fill>
      <patternFill patternType="solid">
        <fgColor rgb="FFFFFFFF"/>
        <bgColor rgb="FFFFFFFF"/>
      </patternFill>
    </fill>
    <fill>
      <patternFill patternType="solid">
        <fgColor rgb="FFD0E0E3"/>
        <bgColor rgb="FFD0E0E3"/>
      </patternFill>
    </fill>
    <fill>
      <patternFill patternType="solid">
        <fgColor rgb="FFD9EAD3"/>
        <bgColor rgb="FFD9EAD3"/>
      </patternFill>
    </fill>
    <fill>
      <patternFill patternType="solid">
        <fgColor rgb="FFFCE5CD"/>
        <bgColor rgb="FFFCE5CD"/>
      </patternFill>
    </fill>
  </fills>
  <borders count="54">
    <border/>
    <border>
      <left style="thin">
        <color rgb="FF000000"/>
      </left>
      <right style="thin">
        <color rgb="FF000000"/>
      </right>
      <top style="thin">
        <color rgb="FF000000"/>
      </top>
    </border>
    <border>
      <left style="double">
        <color rgb="FF000000"/>
      </left>
      <top style="double">
        <color rgb="FF000000"/>
      </top>
    </border>
    <border>
      <top style="double">
        <color rgb="FF000000"/>
      </top>
    </border>
    <border>
      <right style="double">
        <color rgb="FF000000"/>
      </right>
      <top style="double">
        <color rgb="FF000000"/>
      </top>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border>
    <border>
      <left style="double">
        <color rgb="FF000000"/>
      </left>
    </border>
    <border>
      <right style="double">
        <color rgb="FF000000"/>
      </right>
    </border>
    <border>
      <left style="thick">
        <color rgb="FF000000"/>
      </left>
    </border>
    <border>
      <right style="thick">
        <color rgb="FF000000"/>
      </right>
    </border>
    <border>
      <left style="double">
        <color rgb="FF000000"/>
      </left>
      <top style="double">
        <color rgb="FF000000"/>
      </top>
      <bottom style="double">
        <color rgb="FF000000"/>
      </bottom>
    </border>
    <border>
      <left style="thin">
        <color rgb="FF000000"/>
      </lef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left style="thick">
        <color rgb="FF000000"/>
      </left>
      <top style="thin">
        <color rgb="FF000000"/>
      </top>
    </border>
    <border>
      <right style="thin">
        <color rgb="FF000000"/>
      </right>
      <top style="thin">
        <color rgb="FF000000"/>
      </top>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border>
    <border>
      <right style="thin">
        <color rgb="FF000000"/>
      </right>
    </border>
    <border>
      <left style="thick">
        <color rgb="FF000000"/>
      </left>
      <right style="thin">
        <color rgb="FF000000"/>
      </right>
    </border>
    <border>
      <left style="thin">
        <color rgb="FF000000"/>
      </left>
      <right style="thin">
        <color rgb="FF000000"/>
      </right>
      <bottom style="thin">
        <color rgb="FF000000"/>
      </bottom>
    </border>
    <border>
      <left style="double">
        <color rgb="FF000000"/>
      </left>
      <bottom style="double">
        <color rgb="FF000000"/>
      </bottom>
    </border>
    <border>
      <bottom style="double">
        <color rgb="FF000000"/>
      </bottom>
    </border>
    <border>
      <right style="double">
        <color rgb="FF000000"/>
      </right>
      <bottom style="double">
        <color rgb="FF000000"/>
      </bottom>
    </border>
    <border>
      <left style="thick">
        <color rgb="FF000000"/>
      </left>
      <bottom style="thick">
        <color rgb="FF000000"/>
      </bottom>
    </border>
    <border>
      <right style="thin">
        <color rgb="FF000000"/>
      </righ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top style="thin">
        <color rgb="FF000000"/>
      </top>
      <bottom style="thin">
        <color rgb="FF000000"/>
      </bottom>
    </border>
    <border>
      <right style="thick">
        <color rgb="FF000000"/>
      </right>
      <top style="thin">
        <color rgb="FF000000"/>
      </top>
      <bottom style="thin">
        <color rgb="FF000000"/>
      </bottom>
    </border>
    <border>
      <right style="thick">
        <color rgb="FF000000"/>
      </right>
      <bottom style="thin">
        <color rgb="FF000000"/>
      </bottom>
    </border>
    <border>
      <left style="double">
        <color rgb="FF000000"/>
      </left>
      <bottom style="thin">
        <color rgb="FF000000"/>
      </bottom>
    </border>
    <border>
      <right style="double">
        <color rgb="FF000000"/>
      </right>
      <bottom style="thin">
        <color rgb="FF000000"/>
      </bottom>
    </border>
  </borders>
  <cellStyleXfs count="1">
    <xf borderId="0" fillId="0" fontId="0" numFmtId="0" applyAlignment="1" applyFont="1"/>
  </cellStyleXfs>
  <cellXfs count="465">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xf>
    <xf borderId="0" fillId="0" fontId="2" numFmtId="49" xfId="0" applyFont="1" applyNumberFormat="1"/>
    <xf borderId="2" fillId="0" fontId="1" numFmtId="49" xfId="0" applyAlignment="1" applyBorder="1" applyFont="1" applyNumberFormat="1">
      <alignment horizontal="left" readingOrder="0"/>
    </xf>
    <xf borderId="3" fillId="0" fontId="3" numFmtId="0" xfId="0" applyBorder="1" applyFont="1"/>
    <xf borderId="4" fillId="0" fontId="3" numFmtId="0" xfId="0" applyBorder="1" applyFont="1"/>
    <xf borderId="5" fillId="0" fontId="1" numFmtId="49" xfId="0" applyAlignment="1" applyBorder="1" applyFont="1" applyNumberFormat="1">
      <alignment readingOrder="0"/>
    </xf>
    <xf borderId="6" fillId="0" fontId="3" numFmtId="0" xfId="0" applyBorder="1" applyFont="1"/>
    <xf borderId="7" fillId="0" fontId="3" numFmtId="0" xfId="0" applyBorder="1" applyFont="1"/>
    <xf borderId="8" fillId="3" fontId="2" numFmtId="49" xfId="0" applyAlignment="1" applyBorder="1" applyFill="1" applyFont="1" applyNumberFormat="1">
      <alignment readingOrder="0"/>
    </xf>
    <xf borderId="9" fillId="0" fontId="4" numFmtId="49" xfId="0" applyAlignment="1" applyBorder="1" applyFont="1" applyNumberFormat="1">
      <alignment shrinkToFit="0" vertical="bottom" wrapText="0"/>
    </xf>
    <xf borderId="0" fillId="0" fontId="4" numFmtId="49" xfId="0" applyAlignment="1" applyFont="1" applyNumberFormat="1">
      <alignment vertical="bottom"/>
    </xf>
    <xf borderId="10" fillId="0" fontId="2" numFmtId="49" xfId="0" applyBorder="1" applyFont="1" applyNumberFormat="1"/>
    <xf borderId="11" fillId="0" fontId="2" numFmtId="49" xfId="0" applyBorder="1" applyFont="1" applyNumberFormat="1"/>
    <xf borderId="12" fillId="0" fontId="2" numFmtId="0" xfId="0" applyBorder="1" applyFont="1"/>
    <xf borderId="8" fillId="4" fontId="2" numFmtId="49" xfId="0" applyAlignment="1" applyBorder="1" applyFill="1" applyFont="1" applyNumberFormat="1">
      <alignment readingOrder="0"/>
    </xf>
    <xf borderId="13" fillId="0" fontId="5" numFmtId="49" xfId="0" applyAlignment="1" applyBorder="1" applyFont="1" applyNumberFormat="1">
      <alignment horizontal="center" readingOrder="0"/>
    </xf>
    <xf borderId="14" fillId="0" fontId="6" numFmtId="49" xfId="0" applyAlignment="1" applyBorder="1" applyFont="1" applyNumberFormat="1">
      <alignment horizontal="center" readingOrder="0"/>
    </xf>
    <xf borderId="15" fillId="0" fontId="3" numFmtId="0" xfId="0" applyBorder="1" applyFont="1"/>
    <xf borderId="16" fillId="0" fontId="3" numFmtId="0" xfId="0" applyBorder="1" applyFont="1"/>
    <xf borderId="17" fillId="0" fontId="7" numFmtId="0" xfId="0" applyAlignment="1" applyBorder="1" applyFont="1">
      <alignment readingOrder="0"/>
    </xf>
    <xf borderId="18" fillId="0" fontId="8" numFmtId="0" xfId="0" applyBorder="1" applyFont="1"/>
    <xf borderId="19" fillId="0" fontId="7" numFmtId="49" xfId="0" applyAlignment="1" applyBorder="1" applyFont="1" applyNumberFormat="1">
      <alignment readingOrder="0"/>
    </xf>
    <xf borderId="20" fillId="0" fontId="8" numFmtId="0" xfId="0" applyBorder="1" applyFont="1"/>
    <xf borderId="20" fillId="0" fontId="2" numFmtId="49" xfId="0" applyBorder="1" applyFont="1" applyNumberFormat="1"/>
    <xf borderId="18" fillId="0" fontId="2" numFmtId="49" xfId="0" applyBorder="1" applyFont="1" applyNumberFormat="1"/>
    <xf borderId="19" fillId="0" fontId="7" numFmtId="0" xfId="0" applyAlignment="1" applyBorder="1" applyFont="1">
      <alignment readingOrder="0"/>
    </xf>
    <xf borderId="20" fillId="0" fontId="2" numFmtId="0" xfId="0" applyBorder="1" applyFont="1"/>
    <xf borderId="21" fillId="0" fontId="2" numFmtId="0" xfId="0" applyBorder="1" applyFont="1"/>
    <xf borderId="8" fillId="5" fontId="2" numFmtId="49" xfId="0" applyAlignment="1" applyBorder="1" applyFill="1" applyFont="1" applyNumberFormat="1">
      <alignment readingOrder="0"/>
    </xf>
    <xf borderId="2" fillId="0" fontId="2" numFmtId="0" xfId="0" applyBorder="1" applyFont="1"/>
    <xf borderId="3" fillId="0" fontId="4" numFmtId="49" xfId="0" applyAlignment="1" applyBorder="1" applyFont="1" applyNumberFormat="1">
      <alignment vertical="bottom"/>
    </xf>
    <xf borderId="3" fillId="0" fontId="2" numFmtId="49" xfId="0" applyBorder="1" applyFont="1" applyNumberFormat="1"/>
    <xf borderId="4" fillId="0" fontId="2" numFmtId="49" xfId="0" applyBorder="1" applyFont="1" applyNumberFormat="1"/>
    <xf borderId="11" fillId="0" fontId="2" numFmtId="0" xfId="0" applyBorder="1" applyFont="1"/>
    <xf borderId="22" fillId="0" fontId="2" numFmtId="0" xfId="0" applyBorder="1" applyFont="1"/>
    <xf borderId="23" fillId="0" fontId="2" numFmtId="49" xfId="0" applyBorder="1" applyFont="1" applyNumberFormat="1"/>
    <xf borderId="8" fillId="6" fontId="2" numFmtId="49" xfId="0" applyAlignment="1" applyBorder="1" applyFill="1" applyFont="1" applyNumberFormat="1">
      <alignment readingOrder="0"/>
    </xf>
    <xf borderId="9" fillId="0" fontId="2" numFmtId="0" xfId="0" applyAlignment="1" applyBorder="1" applyFont="1">
      <alignment readingOrder="0"/>
    </xf>
    <xf borderId="10" fillId="0" fontId="3" numFmtId="0" xfId="0" applyBorder="1" applyFont="1"/>
    <xf borderId="24" fillId="0" fontId="8" numFmtId="49" xfId="0" applyAlignment="1" applyBorder="1" applyFont="1" applyNumberFormat="1">
      <alignment readingOrder="0"/>
    </xf>
    <xf borderId="22" fillId="0" fontId="8" numFmtId="49" xfId="0" applyAlignment="1" applyBorder="1" applyFont="1" applyNumberFormat="1">
      <alignment horizontal="right"/>
    </xf>
    <xf borderId="0" fillId="0" fontId="9" numFmtId="0" xfId="0" applyAlignment="1" applyFont="1">
      <alignment readingOrder="0"/>
    </xf>
    <xf borderId="22" fillId="7" fontId="10" numFmtId="0" xfId="0" applyAlignment="1" applyBorder="1" applyFill="1" applyFont="1">
      <alignment readingOrder="0"/>
    </xf>
    <xf borderId="8" fillId="8" fontId="2" numFmtId="49" xfId="0" applyAlignment="1" applyBorder="1" applyFill="1" applyFont="1" applyNumberFormat="1">
      <alignment readingOrder="0"/>
    </xf>
    <xf borderId="9" fillId="0" fontId="4" numFmtId="49" xfId="0" applyAlignment="1" applyBorder="1" applyFont="1" applyNumberFormat="1">
      <alignment readingOrder="0" vertical="bottom"/>
    </xf>
    <xf borderId="11" fillId="0" fontId="8" numFmtId="0" xfId="0" applyAlignment="1" applyBorder="1" applyFont="1">
      <alignment horizontal="right"/>
    </xf>
    <xf borderId="23" fillId="0" fontId="11" numFmtId="49" xfId="0" applyAlignment="1" applyBorder="1" applyFont="1" applyNumberFormat="1">
      <alignment readingOrder="0"/>
    </xf>
    <xf borderId="0" fillId="0" fontId="8" numFmtId="0" xfId="0" applyAlignment="1" applyFont="1">
      <alignment readingOrder="0"/>
    </xf>
    <xf borderId="8" fillId="9" fontId="2" numFmtId="49" xfId="0" applyAlignment="1" applyBorder="1" applyFill="1" applyFont="1" applyNumberFormat="1">
      <alignment readingOrder="0"/>
    </xf>
    <xf borderId="9" fillId="0" fontId="4" numFmtId="49" xfId="0" applyAlignment="1" applyBorder="1" applyFont="1" applyNumberFormat="1">
      <alignment readingOrder="0" shrinkToFit="0" vertical="bottom" wrapText="0"/>
    </xf>
    <xf borderId="8" fillId="2" fontId="2" numFmtId="49" xfId="0" applyAlignment="1" applyBorder="1" applyFont="1" applyNumberFormat="1">
      <alignment readingOrder="0"/>
    </xf>
    <xf borderId="0" fillId="0" fontId="12" numFmtId="49" xfId="0" applyAlignment="1" applyFont="1" applyNumberFormat="1">
      <alignment readingOrder="0"/>
    </xf>
    <xf borderId="8" fillId="0" fontId="2" numFmtId="49" xfId="0" applyAlignment="1" applyBorder="1" applyFont="1" applyNumberFormat="1">
      <alignment readingOrder="0"/>
    </xf>
    <xf borderId="9" fillId="0" fontId="4" numFmtId="49" xfId="0" applyAlignment="1" applyBorder="1" applyFont="1" applyNumberFormat="1">
      <alignment readingOrder="0" shrinkToFit="0" vertical="bottom" wrapText="0"/>
    </xf>
    <xf borderId="22" fillId="0" fontId="8" numFmtId="0" xfId="0" applyBorder="1" applyFont="1"/>
    <xf borderId="0" fillId="0" fontId="8" numFmtId="0" xfId="0" applyFont="1"/>
    <xf borderId="25" fillId="0" fontId="2" numFmtId="49" xfId="0" applyAlignment="1" applyBorder="1" applyFont="1" applyNumberFormat="1">
      <alignment readingOrder="0"/>
    </xf>
    <xf borderId="9" fillId="0" fontId="13" numFmtId="49" xfId="0" applyAlignment="1" applyBorder="1" applyFont="1" applyNumberFormat="1">
      <alignment readingOrder="0" shrinkToFit="0" vertical="bottom" wrapText="0"/>
    </xf>
    <xf borderId="22" fillId="0" fontId="8" numFmtId="0" xfId="0" applyAlignment="1" applyBorder="1" applyFont="1">
      <alignment readingOrder="0"/>
    </xf>
    <xf borderId="9" fillId="0" fontId="14" numFmtId="49" xfId="0" applyAlignment="1" applyBorder="1" applyFont="1" applyNumberFormat="1">
      <alignment readingOrder="0" vertical="bottom"/>
    </xf>
    <xf borderId="22" fillId="0" fontId="2" numFmtId="0" xfId="0" applyAlignment="1" applyBorder="1" applyFont="1">
      <alignment readingOrder="0"/>
    </xf>
    <xf borderId="9" fillId="0" fontId="2" numFmtId="0" xfId="0" applyBorder="1" applyFont="1"/>
    <xf borderId="10" fillId="0" fontId="2" numFmtId="0" xfId="0" applyBorder="1" applyFont="1"/>
    <xf borderId="11" fillId="0" fontId="8" numFmtId="49" xfId="0" applyAlignment="1" applyBorder="1" applyFont="1" applyNumberFormat="1">
      <alignment horizontal="right"/>
    </xf>
    <xf borderId="23" fillId="0" fontId="2" numFmtId="0" xfId="0" applyBorder="1" applyFont="1"/>
    <xf borderId="11" fillId="0" fontId="8" numFmtId="49" xfId="0" applyAlignment="1" applyBorder="1" applyFont="1" applyNumberFormat="1">
      <alignment readingOrder="0"/>
    </xf>
    <xf borderId="23" fillId="0" fontId="8" numFmtId="0" xfId="0" applyBorder="1" applyFont="1"/>
    <xf borderId="9" fillId="0" fontId="15" numFmtId="0" xfId="0" applyAlignment="1" applyBorder="1" applyFont="1">
      <alignment readingOrder="0" shrinkToFit="0" wrapText="1"/>
    </xf>
    <xf borderId="23" fillId="0" fontId="16" numFmtId="0" xfId="0" applyAlignment="1" applyBorder="1" applyFont="1">
      <alignment readingOrder="0"/>
    </xf>
    <xf borderId="9" fillId="0" fontId="3" numFmtId="0" xfId="0" applyBorder="1" applyFont="1"/>
    <xf borderId="26" fillId="0" fontId="3" numFmtId="0" xfId="0" applyBorder="1" applyFont="1"/>
    <xf borderId="27" fillId="0" fontId="3" numFmtId="0" xfId="0" applyBorder="1" applyFont="1"/>
    <xf borderId="28" fillId="0" fontId="3" numFmtId="0" xfId="0" applyBorder="1" applyFont="1"/>
    <xf borderId="29" fillId="0" fontId="2" numFmtId="49" xfId="0" applyBorder="1" applyFont="1" applyNumberFormat="1"/>
    <xf borderId="30" fillId="0" fontId="2" numFmtId="0" xfId="0" applyBorder="1" applyFont="1"/>
    <xf borderId="31" fillId="0" fontId="2" numFmtId="0" xfId="0" applyBorder="1" applyFont="1"/>
    <xf borderId="32" fillId="0" fontId="2" numFmtId="0" xfId="0" applyBorder="1" applyFont="1"/>
    <xf borderId="32" fillId="0" fontId="2" numFmtId="49" xfId="0" applyBorder="1" applyFont="1" applyNumberFormat="1"/>
    <xf borderId="33" fillId="0" fontId="2" numFmtId="0" xfId="0" applyBorder="1" applyFont="1"/>
    <xf borderId="0" fillId="0" fontId="4" numFmtId="49" xfId="0" applyAlignment="1" applyFont="1" applyNumberFormat="1">
      <alignment shrinkToFit="0" vertical="bottom" wrapText="0"/>
    </xf>
    <xf borderId="0" fillId="0" fontId="4" numFmtId="49" xfId="0" applyAlignment="1" applyFont="1" applyNumberFormat="1">
      <alignment readingOrder="0" shrinkToFit="0" vertical="bottom" wrapText="0"/>
    </xf>
    <xf borderId="19" fillId="0" fontId="1" numFmtId="49" xfId="0" applyAlignment="1" applyBorder="1" applyFont="1" applyNumberFormat="1">
      <alignment readingOrder="0"/>
    </xf>
    <xf borderId="20" fillId="0" fontId="1" numFmtId="49" xfId="0" applyAlignment="1" applyBorder="1" applyFont="1" applyNumberFormat="1">
      <alignment horizontal="right" readingOrder="0"/>
    </xf>
    <xf borderId="18" fillId="0" fontId="1" numFmtId="49" xfId="0" applyAlignment="1" applyBorder="1" applyFont="1" applyNumberFormat="1">
      <alignment horizontal="right" readingOrder="0"/>
    </xf>
    <xf borderId="22" fillId="0" fontId="2" numFmtId="49" xfId="0" applyAlignment="1" applyBorder="1" applyFont="1" applyNumberFormat="1">
      <alignment readingOrder="0"/>
    </xf>
    <xf borderId="23" fillId="0" fontId="17" numFmtId="49" xfId="0" applyAlignment="1" applyBorder="1" applyFont="1" applyNumberFormat="1">
      <alignment horizontal="right" readingOrder="0"/>
    </xf>
    <xf borderId="22" fillId="0" fontId="2" numFmtId="49" xfId="0" applyBorder="1" applyFont="1" applyNumberFormat="1"/>
    <xf borderId="19" fillId="0" fontId="18" numFmtId="49" xfId="0" applyAlignment="1" applyBorder="1" applyFont="1" applyNumberFormat="1">
      <alignment readingOrder="0"/>
    </xf>
    <xf borderId="18" fillId="0" fontId="17" numFmtId="49" xfId="0" applyAlignment="1" applyBorder="1" applyFont="1" applyNumberFormat="1">
      <alignment horizontal="right" readingOrder="0"/>
    </xf>
    <xf borderId="34" fillId="0" fontId="18" numFmtId="49" xfId="0" applyAlignment="1" applyBorder="1" applyFont="1" applyNumberFormat="1">
      <alignment readingOrder="0"/>
    </xf>
    <xf borderId="35" fillId="0" fontId="18" numFmtId="49" xfId="0" applyAlignment="1" applyBorder="1" applyFont="1" applyNumberFormat="1">
      <alignment readingOrder="0"/>
    </xf>
    <xf borderId="36" fillId="4" fontId="18" numFmtId="49" xfId="0" applyAlignment="1" applyBorder="1" applyFont="1" applyNumberFormat="1">
      <alignment readingOrder="0"/>
    </xf>
    <xf borderId="37" fillId="0" fontId="18" numFmtId="49" xfId="0" applyAlignment="1" applyBorder="1" applyFont="1" applyNumberFormat="1">
      <alignment readingOrder="0"/>
    </xf>
    <xf borderId="0" fillId="0" fontId="1" numFmtId="49" xfId="0" applyAlignment="1" applyFont="1" applyNumberFormat="1">
      <alignment readingOrder="0"/>
    </xf>
    <xf borderId="0" fillId="0" fontId="1" numFmtId="49" xfId="0" applyAlignment="1" applyFont="1" applyNumberFormat="1">
      <alignment horizontal="right" readingOrder="0"/>
    </xf>
    <xf borderId="23" fillId="3" fontId="17" numFmtId="3" xfId="0" applyAlignment="1" applyBorder="1" applyFont="1" applyNumberFormat="1">
      <alignment horizontal="right" vertical="bottom"/>
    </xf>
    <xf borderId="34" fillId="0" fontId="2" numFmtId="49" xfId="0" applyAlignment="1" applyBorder="1" applyFont="1" applyNumberFormat="1">
      <alignment readingOrder="0"/>
    </xf>
    <xf borderId="35" fillId="0" fontId="2" numFmtId="49" xfId="0" applyAlignment="1" applyBorder="1" applyFont="1" applyNumberFormat="1">
      <alignment horizontal="left" readingOrder="0"/>
    </xf>
    <xf borderId="35" fillId="0" fontId="2" numFmtId="1" xfId="0" applyAlignment="1" applyBorder="1" applyFont="1" applyNumberFormat="1">
      <alignment horizontal="left" readingOrder="0"/>
    </xf>
    <xf borderId="36" fillId="4" fontId="4" numFmtId="164" xfId="0" applyAlignment="1" applyBorder="1" applyFont="1" applyNumberFormat="1">
      <alignment horizontal="right" vertical="bottom"/>
    </xf>
    <xf borderId="37" fillId="0" fontId="2" numFmtId="49" xfId="0" applyAlignment="1" applyBorder="1" applyFont="1" applyNumberFormat="1">
      <alignment readingOrder="0"/>
    </xf>
    <xf borderId="0" fillId="5" fontId="2" numFmtId="49" xfId="0" applyAlignment="1" applyFont="1" applyNumberFormat="1">
      <alignment readingOrder="0"/>
    </xf>
    <xf borderId="0" fillId="2" fontId="2" numFmtId="164" xfId="0" applyFont="1" applyNumberFormat="1"/>
    <xf borderId="0" fillId="4" fontId="2" numFmtId="164" xfId="0" applyAlignment="1" applyFont="1" applyNumberFormat="1">
      <alignment readingOrder="0"/>
    </xf>
    <xf borderId="38" fillId="0" fontId="2" numFmtId="49" xfId="0" applyAlignment="1" applyBorder="1" applyFont="1" applyNumberFormat="1">
      <alignment readingOrder="0"/>
    </xf>
    <xf borderId="39" fillId="3" fontId="17" numFmtId="3" xfId="0" applyAlignment="1" applyBorder="1" applyFont="1" applyNumberFormat="1">
      <alignment horizontal="right" vertical="bottom"/>
    </xf>
    <xf borderId="22" fillId="0" fontId="2" numFmtId="49" xfId="0" applyAlignment="1" applyBorder="1" applyFont="1" applyNumberFormat="1">
      <alignment horizontal="left" readingOrder="0"/>
    </xf>
    <xf borderId="0" fillId="0" fontId="2" numFmtId="49" xfId="0" applyAlignment="1" applyFont="1" applyNumberFormat="1">
      <alignment horizontal="left" readingOrder="0"/>
    </xf>
    <xf borderId="0" fillId="0" fontId="2" numFmtId="1" xfId="0" applyAlignment="1" applyFont="1" applyNumberFormat="1">
      <alignment horizontal="left" readingOrder="0"/>
    </xf>
    <xf borderId="8" fillId="4" fontId="4" numFmtId="164" xfId="0" applyAlignment="1" applyBorder="1" applyFont="1" applyNumberFormat="1">
      <alignment horizontal="right" vertical="bottom"/>
    </xf>
    <xf borderId="23" fillId="0" fontId="2" numFmtId="49" xfId="0" applyAlignment="1" applyBorder="1" applyFont="1" applyNumberFormat="1">
      <alignment readingOrder="0"/>
    </xf>
    <xf borderId="0" fillId="0" fontId="2" numFmtId="49" xfId="0" applyAlignment="1" applyFont="1" applyNumberFormat="1">
      <alignment readingOrder="0"/>
    </xf>
    <xf borderId="23" fillId="0" fontId="4" numFmtId="49" xfId="0" applyAlignment="1" applyBorder="1" applyFont="1" applyNumberFormat="1">
      <alignment vertical="bottom"/>
    </xf>
    <xf borderId="22" fillId="0" fontId="18" numFmtId="49" xfId="0" applyAlignment="1" applyBorder="1" applyFont="1" applyNumberFormat="1">
      <alignment readingOrder="0"/>
    </xf>
    <xf borderId="22" fillId="9" fontId="2" numFmtId="0" xfId="0" applyAlignment="1" applyBorder="1" applyFont="1">
      <alignment readingOrder="0"/>
    </xf>
    <xf borderId="0" fillId="5" fontId="2" numFmtId="0" xfId="0" applyAlignment="1" applyFont="1">
      <alignment readingOrder="0"/>
    </xf>
    <xf borderId="0" fillId="0" fontId="4" numFmtId="0" xfId="0" applyAlignment="1" applyFont="1">
      <alignment horizontal="center" vertical="bottom"/>
    </xf>
    <xf borderId="0" fillId="5" fontId="19" numFmtId="165" xfId="0" applyFont="1" applyNumberFormat="1"/>
    <xf borderId="23" fillId="4" fontId="4" numFmtId="3" xfId="0" applyAlignment="1" applyBorder="1" applyFont="1" applyNumberFormat="1">
      <alignment horizontal="right" vertical="bottom"/>
    </xf>
    <xf borderId="23" fillId="4" fontId="4" numFmtId="164" xfId="0" applyAlignment="1" applyBorder="1" applyFont="1" applyNumberFormat="1">
      <alignment horizontal="right" vertical="bottom"/>
    </xf>
    <xf borderId="0" fillId="7" fontId="4" numFmtId="164" xfId="0" applyAlignment="1" applyFont="1" applyNumberFormat="1">
      <alignment horizontal="right" vertical="bottom"/>
    </xf>
    <xf borderId="0" fillId="4" fontId="4" numFmtId="164" xfId="0" applyAlignment="1" applyFont="1" applyNumberFormat="1">
      <alignment horizontal="right" vertical="bottom"/>
    </xf>
    <xf borderId="38" fillId="0" fontId="2" numFmtId="0" xfId="0" applyAlignment="1" applyBorder="1" applyFont="1">
      <alignment readingOrder="0"/>
    </xf>
    <xf borderId="39" fillId="4" fontId="4" numFmtId="0" xfId="0" applyAlignment="1" applyBorder="1" applyFont="1">
      <alignment horizontal="right" vertical="bottom"/>
    </xf>
    <xf borderId="38" fillId="0" fontId="2" numFmtId="49" xfId="0" applyAlignment="1" applyBorder="1" applyFont="1" applyNumberFormat="1">
      <alignment horizontal="left" readingOrder="0"/>
    </xf>
    <xf borderId="40" fillId="0" fontId="2" numFmtId="49" xfId="0" applyAlignment="1" applyBorder="1" applyFont="1" applyNumberFormat="1">
      <alignment horizontal="left" readingOrder="0"/>
    </xf>
    <xf borderId="40" fillId="0" fontId="2" numFmtId="49" xfId="0" applyAlignment="1" applyBorder="1" applyFont="1" applyNumberFormat="1">
      <alignment horizontal="right" readingOrder="0"/>
    </xf>
    <xf borderId="39" fillId="0" fontId="2" numFmtId="49" xfId="0" applyAlignment="1" applyBorder="1" applyFont="1" applyNumberFormat="1">
      <alignment readingOrder="0"/>
    </xf>
    <xf borderId="0" fillId="4" fontId="4" numFmtId="164" xfId="0" applyAlignment="1" applyFont="1" applyNumberFormat="1">
      <alignment vertical="bottom"/>
    </xf>
    <xf borderId="0" fillId="4" fontId="2" numFmtId="49" xfId="0" applyAlignment="1" applyFont="1" applyNumberFormat="1">
      <alignment readingOrder="0"/>
    </xf>
    <xf borderId="0" fillId="2" fontId="2" numFmtId="0" xfId="0" applyFont="1"/>
    <xf borderId="0" fillId="4" fontId="2" numFmtId="0" xfId="0" applyAlignment="1" applyFont="1">
      <alignment readingOrder="0"/>
    </xf>
    <xf borderId="20" fillId="0" fontId="1" numFmtId="49" xfId="0" applyAlignment="1" applyBorder="1" applyFont="1" applyNumberFormat="1">
      <alignment horizontal="center" readingOrder="0"/>
    </xf>
    <xf borderId="40" fillId="5" fontId="2" numFmtId="49" xfId="0" applyAlignment="1" applyBorder="1" applyFont="1" applyNumberFormat="1">
      <alignment readingOrder="0"/>
    </xf>
    <xf borderId="40" fillId="0" fontId="2" numFmtId="49" xfId="0" applyBorder="1" applyFont="1" applyNumberFormat="1"/>
    <xf borderId="39" fillId="0" fontId="2" numFmtId="49" xfId="0" applyBorder="1" applyFont="1" applyNumberFormat="1"/>
    <xf borderId="0" fillId="0" fontId="1" numFmtId="49" xfId="0" applyAlignment="1" applyFont="1" applyNumberFormat="1">
      <alignment horizontal="center" readingOrder="0"/>
    </xf>
    <xf borderId="20" fillId="0" fontId="1" numFmtId="49" xfId="0" applyAlignment="1" applyBorder="1" applyFont="1" applyNumberFormat="1">
      <alignment readingOrder="0"/>
    </xf>
    <xf borderId="0" fillId="0" fontId="1" numFmtId="164" xfId="0" applyAlignment="1" applyFont="1" applyNumberFormat="1">
      <alignment horizontal="center" readingOrder="0"/>
    </xf>
    <xf borderId="0" fillId="0" fontId="1" numFmtId="0" xfId="0" applyAlignment="1" applyFont="1">
      <alignment readingOrder="0"/>
    </xf>
    <xf borderId="8" fillId="0" fontId="1" numFmtId="49" xfId="0" applyAlignment="1" applyBorder="1" applyFont="1" applyNumberFormat="1">
      <alignment readingOrder="0"/>
    </xf>
    <xf borderId="0" fillId="0" fontId="2" numFmtId="0" xfId="0" applyAlignment="1" applyFont="1">
      <alignment readingOrder="0"/>
    </xf>
    <xf borderId="23" fillId="0" fontId="1" numFmtId="49" xfId="0" applyAlignment="1" applyBorder="1" applyFont="1" applyNumberFormat="1">
      <alignment readingOrder="0"/>
    </xf>
    <xf borderId="20" fillId="2" fontId="2" numFmtId="166" xfId="0" applyBorder="1" applyFont="1" applyNumberFormat="1"/>
    <xf borderId="20" fillId="2" fontId="2" numFmtId="0" xfId="0" applyBorder="1" applyFont="1"/>
    <xf borderId="1" fillId="0" fontId="2" numFmtId="49" xfId="0" applyBorder="1" applyFont="1" applyNumberFormat="1"/>
    <xf borderId="0" fillId="0" fontId="2" numFmtId="164" xfId="0" applyFont="1" applyNumberFormat="1"/>
    <xf borderId="38" fillId="0" fontId="1" numFmtId="49" xfId="0" applyAlignment="1" applyBorder="1" applyFont="1" applyNumberFormat="1">
      <alignment readingOrder="0"/>
    </xf>
    <xf borderId="38" fillId="2" fontId="2" numFmtId="164" xfId="0" applyAlignment="1" applyBorder="1" applyFont="1" applyNumberFormat="1">
      <alignment horizontal="right" readingOrder="0"/>
    </xf>
    <xf borderId="40" fillId="2" fontId="2" numFmtId="164" xfId="0" applyBorder="1" applyFont="1" applyNumberFormat="1"/>
    <xf borderId="40" fillId="8" fontId="2" numFmtId="164" xfId="0" applyBorder="1" applyFont="1" applyNumberFormat="1"/>
    <xf borderId="40" fillId="2" fontId="2" numFmtId="164" xfId="0" applyAlignment="1" applyBorder="1" applyFont="1" applyNumberFormat="1">
      <alignment horizontal="right" readingOrder="0"/>
    </xf>
    <xf borderId="40" fillId="0" fontId="2" numFmtId="0" xfId="0" applyBorder="1" applyFont="1"/>
    <xf borderId="25" fillId="8" fontId="2" numFmtId="164" xfId="0" applyBorder="1" applyFont="1" applyNumberFormat="1"/>
    <xf borderId="41" fillId="0" fontId="1" numFmtId="0" xfId="0" applyAlignment="1" applyBorder="1" applyFont="1">
      <alignment horizontal="center" readingOrder="0"/>
    </xf>
    <xf borderId="42" fillId="0" fontId="3" numFmtId="0" xfId="0" applyBorder="1" applyFont="1"/>
    <xf borderId="43" fillId="0" fontId="3" numFmtId="0" xfId="0" applyBorder="1" applyFont="1"/>
    <xf borderId="0" fillId="0" fontId="2" numFmtId="164" xfId="0" applyAlignment="1" applyFont="1" applyNumberFormat="1">
      <alignment horizontal="center" readingOrder="0"/>
    </xf>
    <xf borderId="8" fillId="0" fontId="2" numFmtId="164" xfId="0" applyBorder="1" applyFont="1" applyNumberFormat="1"/>
    <xf borderId="44" fillId="0" fontId="2" numFmtId="0" xfId="0" applyAlignment="1" applyBorder="1" applyFont="1">
      <alignment readingOrder="0"/>
    </xf>
    <xf borderId="36" fillId="0" fontId="2" numFmtId="0" xfId="0" applyAlignment="1" applyBorder="1" applyFont="1">
      <alignment readingOrder="0"/>
    </xf>
    <xf borderId="45" fillId="0" fontId="2" numFmtId="0" xfId="0" applyAlignment="1" applyBorder="1" applyFont="1">
      <alignment readingOrder="0"/>
    </xf>
    <xf borderId="0" fillId="0" fontId="2" numFmtId="166" xfId="0" applyFont="1" applyNumberFormat="1"/>
    <xf borderId="39" fillId="0" fontId="1" numFmtId="49" xfId="0" applyAlignment="1" applyBorder="1" applyFont="1" applyNumberFormat="1">
      <alignment readingOrder="0"/>
    </xf>
    <xf borderId="35" fillId="0" fontId="2" numFmtId="49" xfId="0" applyBorder="1" applyFont="1" applyNumberFormat="1"/>
    <xf borderId="35" fillId="9" fontId="2" numFmtId="164" xfId="0" applyAlignment="1" applyBorder="1" applyFont="1" applyNumberFormat="1">
      <alignment readingOrder="0"/>
    </xf>
    <xf borderId="35" fillId="9" fontId="2" numFmtId="164" xfId="0" applyBorder="1" applyFont="1" applyNumberFormat="1"/>
    <xf borderId="35" fillId="0" fontId="2" numFmtId="0" xfId="0" applyBorder="1" applyFont="1"/>
    <xf borderId="36" fillId="9" fontId="2" numFmtId="164" xfId="0" applyBorder="1" applyFont="1" applyNumberFormat="1"/>
    <xf borderId="46" fillId="8" fontId="2" numFmtId="164" xfId="0" applyBorder="1" applyFont="1" applyNumberFormat="1"/>
    <xf borderId="47" fillId="8" fontId="2" numFmtId="164" xfId="0" applyAlignment="1" applyBorder="1" applyFont="1" applyNumberFormat="1">
      <alignment readingOrder="0"/>
    </xf>
    <xf borderId="47" fillId="8" fontId="2" numFmtId="164" xfId="0" applyBorder="1" applyFont="1" applyNumberFormat="1"/>
    <xf borderId="48" fillId="8" fontId="2" numFmtId="164" xfId="0" applyBorder="1" applyFont="1" applyNumberFormat="1"/>
    <xf borderId="0" fillId="0" fontId="2" numFmtId="0" xfId="0" applyFont="1"/>
    <xf borderId="8" fillId="0" fontId="2" numFmtId="0" xfId="0" applyBorder="1" applyFont="1"/>
    <xf borderId="36" fillId="0" fontId="20" numFmtId="49" xfId="0" applyAlignment="1" applyBorder="1" applyFont="1" applyNumberFormat="1">
      <alignment vertical="bottom"/>
    </xf>
    <xf borderId="37" fillId="2" fontId="4" numFmtId="164" xfId="0" applyAlignment="1" applyBorder="1" applyFont="1" applyNumberFormat="1">
      <alignment horizontal="right" vertical="bottom"/>
    </xf>
    <xf borderId="25" fillId="2" fontId="2" numFmtId="164" xfId="0" applyBorder="1" applyFont="1" applyNumberFormat="1"/>
    <xf borderId="40" fillId="0" fontId="1" numFmtId="49" xfId="0" applyAlignment="1" applyBorder="1" applyFont="1" applyNumberFormat="1">
      <alignment readingOrder="0"/>
    </xf>
    <xf borderId="37" fillId="0" fontId="2" numFmtId="49" xfId="0" applyBorder="1" applyFont="1" applyNumberFormat="1"/>
    <xf borderId="38" fillId="0" fontId="2" numFmtId="49" xfId="0" applyBorder="1" applyFont="1" applyNumberFormat="1"/>
    <xf borderId="20" fillId="0" fontId="21" numFmtId="49" xfId="0" applyAlignment="1" applyBorder="1" applyFont="1" applyNumberFormat="1">
      <alignment horizontal="right" readingOrder="0"/>
    </xf>
    <xf borderId="20" fillId="0" fontId="22" numFmtId="49" xfId="0" applyAlignment="1" applyBorder="1" applyFont="1" applyNumberFormat="1">
      <alignment horizontal="left" readingOrder="0"/>
    </xf>
    <xf borderId="20" fillId="0" fontId="3" numFmtId="0" xfId="0" applyBorder="1" applyFont="1"/>
    <xf borderId="18" fillId="0" fontId="3" numFmtId="0" xfId="0" applyBorder="1" applyFont="1"/>
    <xf borderId="0" fillId="0" fontId="22" numFmtId="49" xfId="0" applyAlignment="1" applyFont="1" applyNumberFormat="1">
      <alignment horizontal="left" readingOrder="0"/>
    </xf>
    <xf borderId="0" fillId="0" fontId="2" numFmtId="49" xfId="0" applyAlignment="1" applyFont="1" applyNumberFormat="1">
      <alignment readingOrder="0"/>
    </xf>
    <xf borderId="22" fillId="0" fontId="1" numFmtId="49" xfId="0" applyAlignment="1" applyBorder="1" applyFont="1" applyNumberFormat="1">
      <alignment readingOrder="0"/>
    </xf>
    <xf borderId="19" fillId="0" fontId="18" numFmtId="49" xfId="0" applyAlignment="1" applyBorder="1" applyFont="1" applyNumberFormat="1">
      <alignment horizontal="center" readingOrder="0"/>
    </xf>
    <xf borderId="37" fillId="0" fontId="18" numFmtId="49" xfId="0" applyAlignment="1" applyBorder="1" applyFont="1" applyNumberFormat="1">
      <alignment horizontal="center" readingOrder="0"/>
    </xf>
    <xf borderId="20" fillId="0" fontId="18" numFmtId="49" xfId="0" applyAlignment="1" applyBorder="1" applyFont="1" applyNumberFormat="1">
      <alignment horizontal="center" readingOrder="0"/>
    </xf>
    <xf borderId="18" fillId="0" fontId="18" numFmtId="49" xfId="0" applyAlignment="1" applyBorder="1" applyFont="1" applyNumberFormat="1">
      <alignment horizontal="center" readingOrder="0"/>
    </xf>
    <xf borderId="36" fillId="0" fontId="2" numFmtId="49" xfId="0" applyBorder="1" applyFont="1" applyNumberFormat="1"/>
    <xf borderId="19" fillId="8" fontId="2" numFmtId="164" xfId="0" applyBorder="1" applyFont="1" applyNumberFormat="1"/>
    <xf borderId="0" fillId="7" fontId="2" numFmtId="164" xfId="0" applyFont="1" applyNumberFormat="1"/>
    <xf borderId="18" fillId="8" fontId="2" numFmtId="164" xfId="0" applyBorder="1" applyFont="1" applyNumberFormat="1"/>
    <xf borderId="19" fillId="3" fontId="2" numFmtId="164" xfId="0" applyAlignment="1" applyBorder="1" applyFont="1" applyNumberFormat="1">
      <alignment readingOrder="0"/>
    </xf>
    <xf borderId="18" fillId="8" fontId="2" numFmtId="164" xfId="0" applyAlignment="1" applyBorder="1" applyFont="1" applyNumberFormat="1">
      <alignment readingOrder="0"/>
    </xf>
    <xf borderId="23" fillId="2" fontId="2" numFmtId="10" xfId="0" applyBorder="1" applyFont="1" applyNumberFormat="1"/>
    <xf borderId="22" fillId="7" fontId="2" numFmtId="164" xfId="0" applyBorder="1" applyFont="1" applyNumberFormat="1"/>
    <xf borderId="0" fillId="2" fontId="8" numFmtId="164" xfId="0" applyAlignment="1" applyFont="1" applyNumberFormat="1">
      <alignment readingOrder="0"/>
    </xf>
    <xf borderId="38" fillId="8" fontId="2" numFmtId="164" xfId="0" applyBorder="1" applyFont="1" applyNumberFormat="1"/>
    <xf borderId="22" fillId="8" fontId="2" numFmtId="164" xfId="0" applyBorder="1" applyFont="1" applyNumberFormat="1"/>
    <xf borderId="23" fillId="8" fontId="2" numFmtId="164" xfId="0" applyBorder="1" applyFont="1" applyNumberFormat="1"/>
    <xf borderId="22" fillId="3" fontId="2" numFmtId="164" xfId="0" applyAlignment="1" applyBorder="1" applyFont="1" applyNumberFormat="1">
      <alignment readingOrder="0"/>
    </xf>
    <xf borderId="23" fillId="8" fontId="2" numFmtId="164" xfId="0" applyAlignment="1" applyBorder="1" applyFont="1" applyNumberFormat="1">
      <alignment readingOrder="0"/>
    </xf>
    <xf borderId="34" fillId="0" fontId="1" numFmtId="49" xfId="0" applyAlignment="1" applyBorder="1" applyFont="1" applyNumberFormat="1">
      <alignment readingOrder="0"/>
    </xf>
    <xf borderId="34" fillId="2" fontId="2" numFmtId="164" xfId="0" applyBorder="1" applyFont="1" applyNumberFormat="1"/>
    <xf borderId="37" fillId="2" fontId="2" numFmtId="164" xfId="0" applyBorder="1" applyFont="1" applyNumberFormat="1"/>
    <xf borderId="34" fillId="2" fontId="1" numFmtId="164" xfId="0" applyBorder="1" applyFont="1" applyNumberFormat="1"/>
    <xf borderId="37" fillId="8" fontId="1" numFmtId="164" xfId="0" applyBorder="1" applyFont="1" applyNumberFormat="1"/>
    <xf borderId="36" fillId="2" fontId="2" numFmtId="10" xfId="0" applyBorder="1" applyFont="1" applyNumberFormat="1"/>
    <xf borderId="0" fillId="0" fontId="1" numFmtId="49" xfId="0" applyAlignment="1" applyFont="1" applyNumberFormat="1">
      <alignment readingOrder="0"/>
    </xf>
    <xf borderId="0" fillId="0" fontId="2" numFmtId="167" xfId="0" applyFont="1" applyNumberFormat="1"/>
    <xf borderId="0" fillId="0" fontId="2" numFmtId="164" xfId="0" applyAlignment="1" applyFont="1" applyNumberFormat="1">
      <alignment readingOrder="0"/>
    </xf>
    <xf borderId="0" fillId="0" fontId="1" numFmtId="164" xfId="0" applyAlignment="1" applyFont="1" applyNumberFormat="1">
      <alignment horizontal="right" readingOrder="0"/>
    </xf>
    <xf borderId="0" fillId="0" fontId="17" numFmtId="164" xfId="0" applyAlignment="1" applyFont="1" applyNumberFormat="1">
      <alignment horizontal="right" readingOrder="0"/>
    </xf>
    <xf borderId="0" fillId="0" fontId="23" numFmtId="168" xfId="0" applyAlignment="1" applyFont="1" applyNumberFormat="1">
      <alignment readingOrder="0"/>
    </xf>
    <xf borderId="0" fillId="7" fontId="23" numFmtId="168" xfId="0" applyAlignment="1" applyFont="1" applyNumberFormat="1">
      <alignment readingOrder="0"/>
    </xf>
    <xf borderId="0" fillId="0" fontId="24" numFmtId="168" xfId="0" applyAlignment="1" applyFont="1" applyNumberFormat="1">
      <alignment readingOrder="0"/>
    </xf>
    <xf borderId="0" fillId="0" fontId="2" numFmtId="168" xfId="0" applyFont="1" applyNumberFormat="1"/>
    <xf borderId="0" fillId="0" fontId="2" numFmtId="169" xfId="0" applyAlignment="1" applyFont="1" applyNumberFormat="1">
      <alignment readingOrder="0"/>
    </xf>
    <xf borderId="0" fillId="0" fontId="2" numFmtId="10" xfId="0" applyAlignment="1" applyFont="1" applyNumberFormat="1">
      <alignment readingOrder="0"/>
    </xf>
    <xf borderId="0" fillId="0" fontId="4" numFmtId="170" xfId="0" applyAlignment="1" applyFont="1" applyNumberFormat="1">
      <alignment horizontal="right" vertical="bottom"/>
    </xf>
    <xf borderId="0" fillId="0" fontId="25" numFmtId="164" xfId="0" applyFont="1" applyNumberFormat="1"/>
    <xf borderId="0" fillId="0" fontId="1" numFmtId="164" xfId="0" applyAlignment="1" applyFont="1" applyNumberFormat="1">
      <alignment horizontal="center"/>
    </xf>
    <xf borderId="0" fillId="7" fontId="25" numFmtId="164" xfId="0" applyFont="1" applyNumberFormat="1"/>
    <xf borderId="0" fillId="7" fontId="0" numFmtId="164" xfId="0" applyAlignment="1" applyFont="1" applyNumberFormat="1">
      <alignment readingOrder="0"/>
    </xf>
    <xf borderId="22" fillId="0" fontId="1" numFmtId="0" xfId="0" applyAlignment="1" applyBorder="1" applyFont="1">
      <alignment horizontal="center" readingOrder="0"/>
    </xf>
    <xf borderId="23" fillId="0" fontId="3" numFmtId="0" xfId="0" applyBorder="1" applyFont="1"/>
    <xf borderId="20" fillId="7" fontId="26" numFmtId="0" xfId="0" applyAlignment="1" applyBorder="1" applyFont="1">
      <alignment horizontal="center" readingOrder="0"/>
    </xf>
    <xf borderId="19" fillId="0" fontId="1" numFmtId="171" xfId="0" applyAlignment="1" applyBorder="1" applyFont="1" applyNumberFormat="1">
      <alignment horizontal="center" readingOrder="0"/>
    </xf>
    <xf borderId="20" fillId="0" fontId="1" numFmtId="171" xfId="0" applyAlignment="1" applyBorder="1" applyFont="1" applyNumberFormat="1">
      <alignment horizontal="center" readingOrder="0"/>
    </xf>
    <xf borderId="19" fillId="0" fontId="1" numFmtId="49" xfId="0" applyAlignment="1" applyBorder="1" applyFont="1" applyNumberFormat="1">
      <alignment horizontal="center" readingOrder="0"/>
    </xf>
    <xf borderId="18" fillId="0" fontId="1" numFmtId="49" xfId="0" applyAlignment="1" applyBorder="1" applyFont="1" applyNumberFormat="1">
      <alignment horizontal="center" readingOrder="0"/>
    </xf>
    <xf borderId="20" fillId="0" fontId="1" numFmtId="49" xfId="0" applyAlignment="1" applyBorder="1" applyFont="1" applyNumberFormat="1">
      <alignment horizontal="center" readingOrder="0"/>
    </xf>
    <xf borderId="0" fillId="0" fontId="1" numFmtId="49" xfId="0" applyAlignment="1" applyFont="1" applyNumberFormat="1">
      <alignment horizontal="center" readingOrder="0"/>
    </xf>
    <xf borderId="23" fillId="0" fontId="2" numFmtId="0" xfId="0" applyAlignment="1" applyBorder="1" applyFont="1">
      <alignment horizontal="center" readingOrder="0"/>
    </xf>
    <xf borderId="0" fillId="0" fontId="2" numFmtId="0" xfId="0" applyAlignment="1" applyFont="1">
      <alignment horizontal="center" readingOrder="0"/>
    </xf>
    <xf borderId="8" fillId="0" fontId="2" numFmtId="0" xfId="0" applyAlignment="1" applyBorder="1" applyFont="1">
      <alignment horizontal="center" readingOrder="0"/>
    </xf>
    <xf borderId="8" fillId="0" fontId="2" numFmtId="171" xfId="0" applyAlignment="1" applyBorder="1" applyFont="1" applyNumberFormat="1">
      <alignment readingOrder="0"/>
    </xf>
    <xf borderId="38" fillId="0" fontId="2" numFmtId="171" xfId="0" applyAlignment="1" applyBorder="1" applyFont="1" applyNumberFormat="1">
      <alignment horizontal="center" readingOrder="0"/>
    </xf>
    <xf borderId="40" fillId="0" fontId="3" numFmtId="0" xfId="0" applyBorder="1" applyFont="1"/>
    <xf borderId="39" fillId="0" fontId="3" numFmtId="0" xfId="0" applyBorder="1" applyFont="1"/>
    <xf borderId="0" fillId="0" fontId="2" numFmtId="171" xfId="0" applyAlignment="1" applyFont="1" applyNumberFormat="1">
      <alignment horizontal="center" readingOrder="0"/>
    </xf>
    <xf borderId="0" fillId="0" fontId="2" numFmtId="49" xfId="0" applyAlignment="1" applyFont="1" applyNumberFormat="1">
      <alignment horizontal="center" readingOrder="0"/>
    </xf>
    <xf borderId="22" fillId="0" fontId="2" numFmtId="49" xfId="0" applyAlignment="1" applyBorder="1" applyFont="1" applyNumberFormat="1">
      <alignment horizontal="center" readingOrder="0"/>
    </xf>
    <xf borderId="0" fillId="0" fontId="2" numFmtId="49" xfId="0" applyAlignment="1" applyFont="1" applyNumberFormat="1">
      <alignment horizontal="center" readingOrder="0"/>
    </xf>
    <xf borderId="18" fillId="0" fontId="2" numFmtId="0" xfId="0" applyAlignment="1" applyBorder="1" applyFont="1">
      <alignment readingOrder="0"/>
    </xf>
    <xf borderId="20" fillId="0" fontId="2" numFmtId="167" xfId="0" applyAlignment="1" applyBorder="1" applyFont="1" applyNumberFormat="1">
      <alignment readingOrder="0"/>
    </xf>
    <xf borderId="20" fillId="0" fontId="2" numFmtId="0" xfId="0" applyAlignment="1" applyBorder="1" applyFont="1">
      <alignment readingOrder="0"/>
    </xf>
    <xf borderId="19" fillId="0" fontId="2" numFmtId="0" xfId="0" applyAlignment="1" applyBorder="1" applyFont="1">
      <alignment readingOrder="0"/>
    </xf>
    <xf borderId="20" fillId="0" fontId="2" numFmtId="49" xfId="0" applyAlignment="1" applyBorder="1" applyFont="1" applyNumberFormat="1">
      <alignment readingOrder="0"/>
    </xf>
    <xf borderId="20" fillId="0" fontId="2" numFmtId="0" xfId="0" applyAlignment="1" applyBorder="1" applyFont="1">
      <alignment horizontal="right" readingOrder="0"/>
    </xf>
    <xf borderId="19" fillId="0" fontId="2" numFmtId="171" xfId="0" applyAlignment="1" applyBorder="1" applyFont="1" applyNumberFormat="1">
      <alignment readingOrder="0"/>
    </xf>
    <xf borderId="20" fillId="0" fontId="2" numFmtId="171" xfId="0" applyAlignment="1" applyBorder="1" applyFont="1" applyNumberFormat="1">
      <alignment readingOrder="0"/>
    </xf>
    <xf borderId="22" fillId="0" fontId="2" numFmtId="171" xfId="0" applyAlignment="1" applyBorder="1" applyFont="1" applyNumberFormat="1">
      <alignment readingOrder="0"/>
    </xf>
    <xf borderId="0" fillId="0" fontId="2" numFmtId="171" xfId="0" applyAlignment="1" applyFont="1" applyNumberFormat="1">
      <alignment readingOrder="0"/>
    </xf>
    <xf borderId="23" fillId="0" fontId="2" numFmtId="171" xfId="0" applyAlignment="1" applyBorder="1" applyFont="1" applyNumberFormat="1">
      <alignment readingOrder="0"/>
    </xf>
    <xf borderId="18" fillId="0" fontId="2" numFmtId="171" xfId="0" applyAlignment="1" applyBorder="1" applyFont="1" applyNumberFormat="1">
      <alignment readingOrder="0"/>
    </xf>
    <xf borderId="20" fillId="0" fontId="8" numFmtId="49" xfId="0" applyAlignment="1" applyBorder="1" applyFont="1" applyNumberFormat="1">
      <alignment readingOrder="0"/>
    </xf>
    <xf borderId="18" fillId="0" fontId="2" numFmtId="49" xfId="0" applyAlignment="1" applyBorder="1" applyFont="1" applyNumberFormat="1">
      <alignment readingOrder="0"/>
    </xf>
    <xf borderId="19" fillId="0" fontId="2" numFmtId="49" xfId="0" applyAlignment="1" applyBorder="1" applyFont="1" applyNumberFormat="1">
      <alignment readingOrder="0"/>
    </xf>
    <xf borderId="19" fillId="0" fontId="2" numFmtId="49" xfId="0" applyAlignment="1" applyBorder="1" applyFont="1" applyNumberFormat="1">
      <alignment horizontal="center" readingOrder="0"/>
    </xf>
    <xf borderId="20" fillId="0" fontId="2" numFmtId="49" xfId="0" applyAlignment="1" applyBorder="1" applyFont="1" applyNumberFormat="1">
      <alignment horizontal="center" readingOrder="0"/>
    </xf>
    <xf borderId="20" fillId="0" fontId="2" numFmtId="49" xfId="0" applyAlignment="1" applyBorder="1" applyFont="1" applyNumberFormat="1">
      <alignment readingOrder="0"/>
    </xf>
    <xf borderId="5" fillId="0" fontId="2" numFmtId="49" xfId="0" applyAlignment="1" applyBorder="1" applyFont="1" applyNumberFormat="1">
      <alignment readingOrder="0"/>
    </xf>
    <xf borderId="6" fillId="0" fontId="2" numFmtId="49" xfId="0" applyAlignment="1" applyBorder="1" applyFont="1" applyNumberFormat="1">
      <alignment readingOrder="0"/>
    </xf>
    <xf borderId="7" fillId="0" fontId="2" numFmtId="49" xfId="0" applyAlignment="1" applyBorder="1" applyFont="1" applyNumberFormat="1">
      <alignment readingOrder="0"/>
    </xf>
    <xf borderId="37" fillId="0" fontId="8" numFmtId="49" xfId="0" applyAlignment="1" applyBorder="1" applyFont="1" applyNumberFormat="1">
      <alignment readingOrder="0"/>
    </xf>
    <xf borderId="18" fillId="0" fontId="2" numFmtId="49" xfId="0" applyAlignment="1" applyBorder="1" applyFont="1" applyNumberFormat="1">
      <alignment readingOrder="0"/>
    </xf>
    <xf borderId="19" fillId="0" fontId="2" numFmtId="0" xfId="0" applyBorder="1" applyFont="1"/>
    <xf borderId="19" fillId="2" fontId="2" numFmtId="1" xfId="0" applyBorder="1" applyFont="1" applyNumberFormat="1"/>
    <xf borderId="18" fillId="0" fontId="2" numFmtId="0" xfId="0" applyBorder="1" applyFont="1"/>
    <xf borderId="20" fillId="2" fontId="2" numFmtId="164" xfId="0" applyBorder="1" applyFont="1" applyNumberFormat="1"/>
    <xf borderId="19" fillId="2" fontId="2" numFmtId="172" xfId="0" applyBorder="1" applyFont="1" applyNumberFormat="1"/>
    <xf borderId="20" fillId="0" fontId="2" numFmtId="164" xfId="0" applyBorder="1" applyFont="1" applyNumberFormat="1"/>
    <xf borderId="18" fillId="2" fontId="2" numFmtId="166" xfId="0" applyBorder="1" applyFont="1" applyNumberFormat="1"/>
    <xf borderId="19" fillId="8" fontId="2" numFmtId="166" xfId="0" applyBorder="1" applyFont="1" applyNumberFormat="1"/>
    <xf borderId="20" fillId="8" fontId="2" numFmtId="164" xfId="0" applyBorder="1" applyFont="1" applyNumberFormat="1"/>
    <xf borderId="18" fillId="2" fontId="2" numFmtId="164" xfId="0" applyBorder="1" applyFont="1" applyNumberFormat="1"/>
    <xf borderId="49" fillId="0" fontId="2" numFmtId="0" xfId="0" applyBorder="1" applyFont="1"/>
    <xf borderId="35" fillId="0" fontId="2" numFmtId="0" xfId="0" applyBorder="1" applyFont="1"/>
    <xf borderId="35" fillId="8" fontId="2" numFmtId="164" xfId="0" applyBorder="1" applyFont="1" applyNumberFormat="1"/>
    <xf borderId="50" fillId="8" fontId="2" numFmtId="164" xfId="0" applyBorder="1" applyFont="1" applyNumberFormat="1"/>
    <xf borderId="20" fillId="9" fontId="2" numFmtId="164" xfId="0" applyBorder="1" applyFont="1" applyNumberFormat="1"/>
    <xf borderId="20" fillId="9" fontId="8" numFmtId="164" xfId="0" applyBorder="1" applyFont="1" applyNumberFormat="1"/>
    <xf borderId="18" fillId="9" fontId="2" numFmtId="164" xfId="0" applyBorder="1" applyFont="1" applyNumberFormat="1"/>
    <xf borderId="35" fillId="0" fontId="4" numFmtId="0" xfId="0" applyAlignment="1" applyBorder="1" applyFont="1">
      <alignment horizontal="right" vertical="bottom"/>
    </xf>
    <xf borderId="35" fillId="0" fontId="4" numFmtId="0" xfId="0" applyAlignment="1" applyBorder="1" applyFont="1">
      <alignment horizontal="right" readingOrder="0" vertical="bottom"/>
    </xf>
    <xf borderId="20" fillId="0" fontId="4" numFmtId="0" xfId="0" applyAlignment="1" applyBorder="1" applyFont="1">
      <alignment horizontal="right" readingOrder="0" vertical="bottom"/>
    </xf>
    <xf borderId="35" fillId="0" fontId="8" numFmtId="0" xfId="0" applyAlignment="1" applyBorder="1" applyFont="1">
      <alignment horizontal="center" readingOrder="0"/>
    </xf>
    <xf borderId="34" fillId="0" fontId="25" numFmtId="0" xfId="0" applyAlignment="1" applyBorder="1" applyFont="1">
      <alignment horizontal="center"/>
    </xf>
    <xf borderId="35" fillId="0" fontId="25" numFmtId="0" xfId="0" applyAlignment="1" applyBorder="1" applyFont="1">
      <alignment horizontal="center"/>
    </xf>
    <xf borderId="37" fillId="0" fontId="25" numFmtId="0" xfId="0" applyAlignment="1" applyBorder="1" applyFont="1">
      <alignment horizontal="center"/>
    </xf>
    <xf borderId="35" fillId="0" fontId="27" numFmtId="0" xfId="0" applyAlignment="1" applyBorder="1" applyFont="1">
      <alignment horizontal="right" vertical="bottom"/>
    </xf>
    <xf borderId="35" fillId="0" fontId="25" numFmtId="0" xfId="0" applyAlignment="1" applyBorder="1" applyFont="1">
      <alignment horizontal="right" vertical="bottom"/>
    </xf>
    <xf borderId="11" fillId="0" fontId="25" numFmtId="0" xfId="0" applyAlignment="1" applyBorder="1" applyFont="1">
      <alignment horizontal="right" vertical="bottom"/>
    </xf>
    <xf borderId="0" fillId="0" fontId="25" numFmtId="0" xfId="0" applyAlignment="1" applyFont="1">
      <alignment horizontal="right" vertical="bottom"/>
    </xf>
    <xf borderId="40" fillId="0" fontId="25" numFmtId="0" xfId="0" applyAlignment="1" applyBorder="1" applyFont="1">
      <alignment horizontal="right" vertical="bottom"/>
    </xf>
    <xf borderId="51" fillId="0" fontId="25" numFmtId="0" xfId="0" applyAlignment="1" applyBorder="1" applyFont="1">
      <alignment horizontal="right" vertical="bottom"/>
    </xf>
    <xf borderId="35" fillId="0" fontId="4" numFmtId="0" xfId="0" applyAlignment="1" applyBorder="1" applyFont="1">
      <alignment horizontal="center" vertical="bottom"/>
    </xf>
    <xf borderId="35" fillId="0" fontId="8" numFmtId="0" xfId="0" applyAlignment="1" applyBorder="1" applyFont="1">
      <alignment horizontal="right" vertical="bottom"/>
    </xf>
    <xf borderId="0" fillId="0" fontId="4" numFmtId="0" xfId="0" applyAlignment="1" applyFont="1">
      <alignment horizontal="right" vertical="bottom"/>
    </xf>
    <xf borderId="23" fillId="6" fontId="4" numFmtId="167" xfId="0" applyAlignment="1" applyBorder="1" applyFont="1" applyNumberFormat="1">
      <alignment horizontal="right" vertical="bottom"/>
    </xf>
    <xf borderId="0" fillId="3" fontId="4" numFmtId="167" xfId="0" applyAlignment="1" applyFont="1" applyNumberFormat="1">
      <alignment horizontal="right" readingOrder="0" vertical="bottom"/>
    </xf>
    <xf borderId="23" fillId="3" fontId="4" numFmtId="167" xfId="0" applyAlignment="1" applyBorder="1" applyFont="1" applyNumberFormat="1">
      <alignment horizontal="right" readingOrder="0" vertical="bottom"/>
    </xf>
    <xf borderId="19" fillId="3" fontId="4" numFmtId="1" xfId="0" applyAlignment="1" applyBorder="1" applyFont="1" applyNumberFormat="1">
      <alignment horizontal="right" readingOrder="0" vertical="bottom"/>
    </xf>
    <xf borderId="0" fillId="2" fontId="4" numFmtId="164" xfId="0" applyAlignment="1" applyFont="1" applyNumberFormat="1">
      <alignment horizontal="right" vertical="bottom"/>
    </xf>
    <xf borderId="20" fillId="4" fontId="4" numFmtId="164" xfId="0" applyAlignment="1" applyBorder="1" applyFont="1" applyNumberFormat="1">
      <alignment horizontal="right" readingOrder="0" vertical="bottom"/>
    </xf>
    <xf borderId="23" fillId="2" fontId="4" numFmtId="173" xfId="0" applyAlignment="1" applyBorder="1" applyFont="1" applyNumberFormat="1">
      <alignment horizontal="right" vertical="bottom"/>
    </xf>
    <xf borderId="19" fillId="4" fontId="4" numFmtId="172" xfId="0" applyAlignment="1" applyBorder="1" applyFont="1" applyNumberFormat="1">
      <alignment horizontal="right" vertical="bottom"/>
    </xf>
    <xf borderId="0" fillId="3" fontId="25" numFmtId="171" xfId="0" applyAlignment="1" applyFont="1" applyNumberFormat="1">
      <alignment horizontal="center" readingOrder="0"/>
    </xf>
    <xf borderId="22" fillId="3" fontId="25" numFmtId="165" xfId="0" applyAlignment="1" applyBorder="1" applyFont="1" applyNumberFormat="1">
      <alignment horizontal="center" readingOrder="0"/>
    </xf>
    <xf borderId="0" fillId="4" fontId="8" numFmtId="165" xfId="0" applyAlignment="1" applyFont="1" applyNumberFormat="1">
      <alignment horizontal="center" readingOrder="0"/>
    </xf>
    <xf borderId="23" fillId="4" fontId="8" numFmtId="165" xfId="0" applyAlignment="1" applyBorder="1" applyFont="1" applyNumberFormat="1">
      <alignment horizontal="center" readingOrder="0"/>
    </xf>
    <xf borderId="0" fillId="2" fontId="25" numFmtId="174" xfId="0" applyAlignment="1" applyFont="1" applyNumberFormat="1">
      <alignment horizontal="center"/>
    </xf>
    <xf borderId="23" fillId="4" fontId="25" numFmtId="174" xfId="0" applyAlignment="1" applyBorder="1" applyFont="1" applyNumberFormat="1">
      <alignment horizontal="center" readingOrder="0"/>
    </xf>
    <xf borderId="0" fillId="2" fontId="4" numFmtId="173" xfId="0" applyAlignment="1" applyFont="1" applyNumberFormat="1">
      <alignment horizontal="right" vertical="bottom"/>
    </xf>
    <xf borderId="0" fillId="2" fontId="4" numFmtId="174" xfId="0" applyAlignment="1" applyFont="1" applyNumberFormat="1">
      <alignment horizontal="right" vertical="bottom"/>
    </xf>
    <xf borderId="23" fillId="2" fontId="4" numFmtId="164" xfId="0" applyAlignment="1" applyBorder="1" applyFont="1" applyNumberFormat="1">
      <alignment horizontal="right" vertical="bottom"/>
    </xf>
    <xf borderId="0" fillId="2" fontId="4" numFmtId="166" xfId="0" applyAlignment="1" applyFont="1" applyNumberFormat="1">
      <alignment horizontal="right" vertical="bottom"/>
    </xf>
    <xf borderId="0" fillId="8" fontId="27" numFmtId="166" xfId="0" applyAlignment="1" applyFont="1" applyNumberFormat="1">
      <alignment horizontal="right" vertical="bottom"/>
    </xf>
    <xf borderId="23" fillId="8" fontId="4" numFmtId="173" xfId="0" applyAlignment="1" applyBorder="1" applyFont="1" applyNumberFormat="1">
      <alignment horizontal="right" vertical="bottom"/>
    </xf>
    <xf borderId="0" fillId="8" fontId="8" numFmtId="173" xfId="0" applyAlignment="1" applyFont="1" applyNumberFormat="1">
      <alignment horizontal="right" vertical="bottom"/>
    </xf>
    <xf borderId="17" fillId="8" fontId="0" numFmtId="164" xfId="0" applyBorder="1" applyFont="1" applyNumberFormat="1"/>
    <xf borderId="20" fillId="8" fontId="8" numFmtId="175" xfId="0" applyAlignment="1" applyBorder="1" applyFont="1" applyNumberFormat="1">
      <alignment horizontal="right" vertical="bottom"/>
    </xf>
    <xf borderId="20" fillId="8" fontId="8" numFmtId="164" xfId="0" applyAlignment="1" applyBorder="1" applyFont="1" applyNumberFormat="1">
      <alignment horizontal="right" vertical="bottom"/>
    </xf>
    <xf borderId="20" fillId="8" fontId="8" numFmtId="164" xfId="0" applyAlignment="1" applyBorder="1" applyFont="1" applyNumberFormat="1">
      <alignment horizontal="right" readingOrder="0" vertical="bottom"/>
    </xf>
    <xf borderId="0" fillId="8" fontId="8" numFmtId="164" xfId="0" applyAlignment="1" applyFont="1" applyNumberFormat="1">
      <alignment horizontal="right" vertical="bottom"/>
    </xf>
    <xf borderId="12" fillId="8" fontId="8" numFmtId="164" xfId="0" applyAlignment="1" applyBorder="1" applyFont="1" applyNumberFormat="1">
      <alignment horizontal="right" vertical="bottom"/>
    </xf>
    <xf borderId="0" fillId="9" fontId="8" numFmtId="164" xfId="0" applyAlignment="1" applyFont="1" applyNumberFormat="1">
      <alignment horizontal="right" vertical="bottom"/>
    </xf>
    <xf borderId="0" fillId="9" fontId="4" numFmtId="164" xfId="0" applyAlignment="1" applyFont="1" applyNumberFormat="1">
      <alignment horizontal="right" vertical="bottom"/>
    </xf>
    <xf borderId="0" fillId="2" fontId="4" numFmtId="164" xfId="0" applyAlignment="1" applyFont="1" applyNumberFormat="1">
      <alignment horizontal="center" vertical="bottom"/>
    </xf>
    <xf borderId="0" fillId="9" fontId="0" numFmtId="164" xfId="0" applyFont="1" applyNumberFormat="1"/>
    <xf borderId="23" fillId="9" fontId="4" numFmtId="164" xfId="0" applyAlignment="1" applyBorder="1" applyFont="1" applyNumberFormat="1">
      <alignment horizontal="right" vertical="bottom"/>
    </xf>
    <xf borderId="0" fillId="0" fontId="4" numFmtId="164" xfId="0" applyAlignment="1" applyFont="1" applyNumberFormat="1">
      <alignment horizontal="right" vertical="bottom"/>
    </xf>
    <xf borderId="22" fillId="3" fontId="4" numFmtId="1" xfId="0" applyAlignment="1" applyBorder="1" applyFont="1" applyNumberFormat="1">
      <alignment horizontal="right" readingOrder="0" vertical="bottom"/>
    </xf>
    <xf borderId="0" fillId="4" fontId="4" numFmtId="164" xfId="0" applyAlignment="1" applyFont="1" applyNumberFormat="1">
      <alignment horizontal="right" readingOrder="0" vertical="bottom"/>
    </xf>
    <xf borderId="0" fillId="5" fontId="4" numFmtId="164" xfId="0" applyAlignment="1" applyFont="1" applyNumberFormat="1">
      <alignment horizontal="right" vertical="bottom"/>
    </xf>
    <xf borderId="22" fillId="4" fontId="4" numFmtId="172" xfId="0" applyAlignment="1" applyBorder="1" applyFont="1" applyNumberFormat="1">
      <alignment horizontal="right" vertical="bottom"/>
    </xf>
    <xf borderId="22" fillId="3" fontId="25" numFmtId="165" xfId="0" applyAlignment="1" applyBorder="1" applyFont="1" applyNumberFormat="1">
      <alignment horizontal="center"/>
    </xf>
    <xf borderId="11" fillId="8" fontId="0" numFmtId="164" xfId="0" applyBorder="1" applyFont="1" applyNumberFormat="1"/>
    <xf borderId="0" fillId="8" fontId="8" numFmtId="175" xfId="0" applyAlignment="1" applyFont="1" applyNumberFormat="1">
      <alignment horizontal="right" vertical="bottom"/>
    </xf>
    <xf borderId="0" fillId="8" fontId="8" numFmtId="164" xfId="0" applyAlignment="1" applyFont="1" applyNumberFormat="1">
      <alignment horizontal="right" readingOrder="0" vertical="bottom"/>
    </xf>
    <xf borderId="0" fillId="3" fontId="25" numFmtId="171" xfId="0" applyAlignment="1" applyFont="1" applyNumberFormat="1">
      <alignment horizontal="center"/>
    </xf>
    <xf borderId="22" fillId="10" fontId="4" numFmtId="172" xfId="0" applyAlignment="1" applyBorder="1" applyFill="1" applyFont="1" applyNumberFormat="1">
      <alignment horizontal="right" vertical="bottom"/>
    </xf>
    <xf borderId="0" fillId="3" fontId="4" numFmtId="171" xfId="0" applyAlignment="1" applyFont="1" applyNumberFormat="1">
      <alignment horizontal="center"/>
    </xf>
    <xf borderId="22" fillId="3" fontId="4" numFmtId="165" xfId="0" applyAlignment="1" applyBorder="1" applyFont="1" applyNumberFormat="1">
      <alignment horizontal="center"/>
    </xf>
    <xf borderId="0" fillId="3" fontId="4" numFmtId="167" xfId="0" applyAlignment="1" applyFont="1" applyNumberFormat="1">
      <alignment horizontal="right" vertical="bottom"/>
    </xf>
    <xf borderId="23" fillId="3" fontId="4" numFmtId="167" xfId="0" applyAlignment="1" applyBorder="1" applyFont="1" applyNumberFormat="1">
      <alignment horizontal="right" vertical="bottom"/>
    </xf>
    <xf borderId="22" fillId="3" fontId="4" numFmtId="1" xfId="0" applyAlignment="1" applyBorder="1" applyFont="1" applyNumberFormat="1">
      <alignment horizontal="right" vertical="bottom"/>
    </xf>
    <xf borderId="22" fillId="0" fontId="7" numFmtId="49" xfId="0" applyAlignment="1" applyBorder="1" applyFont="1" applyNumberFormat="1">
      <alignment horizontal="center" readingOrder="0"/>
    </xf>
    <xf borderId="22" fillId="0" fontId="7" numFmtId="49" xfId="0" applyAlignment="1" applyBorder="1" applyFont="1" applyNumberFormat="1">
      <alignment horizontal="center" readingOrder="0"/>
    </xf>
    <xf borderId="0" fillId="0" fontId="7" numFmtId="49" xfId="0" applyAlignment="1" applyFont="1" applyNumberFormat="1">
      <alignment horizontal="center" readingOrder="0"/>
    </xf>
    <xf borderId="20" fillId="0" fontId="7" numFmtId="49" xfId="0" applyAlignment="1" applyBorder="1" applyFont="1" applyNumberFormat="1">
      <alignment horizontal="center" readingOrder="0"/>
    </xf>
    <xf borderId="19" fillId="0" fontId="7" numFmtId="49" xfId="0" applyAlignment="1" applyBorder="1" applyFont="1" applyNumberFormat="1">
      <alignment horizontal="center" readingOrder="0"/>
    </xf>
    <xf borderId="19" fillId="0" fontId="7" numFmtId="49" xfId="0" applyAlignment="1" applyBorder="1" applyFont="1" applyNumberFormat="1">
      <alignment horizontal="center" readingOrder="0"/>
    </xf>
    <xf borderId="23" fillId="0" fontId="8" numFmtId="49" xfId="0" applyAlignment="1" applyBorder="1" applyFont="1" applyNumberFormat="1">
      <alignment horizontal="center" readingOrder="0"/>
    </xf>
    <xf borderId="0" fillId="0" fontId="8" numFmtId="49" xfId="0" applyAlignment="1" applyFont="1" applyNumberFormat="1">
      <alignment horizontal="center" readingOrder="0"/>
    </xf>
    <xf borderId="8" fillId="0" fontId="8" numFmtId="49" xfId="0" applyAlignment="1" applyBorder="1" applyFont="1" applyNumberFormat="1">
      <alignment readingOrder="0"/>
    </xf>
    <xf borderId="22" fillId="0" fontId="8" numFmtId="49" xfId="0" applyAlignment="1" applyBorder="1" applyFont="1" applyNumberFormat="1">
      <alignment horizontal="center" readingOrder="0"/>
    </xf>
    <xf borderId="8" fillId="0" fontId="8" numFmtId="49" xfId="0" applyAlignment="1" applyBorder="1" applyFont="1" applyNumberFormat="1">
      <alignment readingOrder="0"/>
    </xf>
    <xf borderId="38" fillId="0" fontId="2" numFmtId="49" xfId="0" applyAlignment="1" applyBorder="1" applyFont="1" applyNumberFormat="1">
      <alignment horizontal="center" readingOrder="0"/>
    </xf>
    <xf borderId="18" fillId="0" fontId="8" numFmtId="49" xfId="0" applyAlignment="1" applyBorder="1" applyFont="1" applyNumberFormat="1">
      <alignment readingOrder="0"/>
    </xf>
    <xf borderId="35" fillId="0" fontId="8" numFmtId="49" xfId="0" applyAlignment="1" applyBorder="1" applyFont="1" applyNumberFormat="1">
      <alignment readingOrder="0"/>
    </xf>
    <xf borderId="19" fillId="0" fontId="8" numFmtId="49" xfId="0" applyAlignment="1" applyBorder="1" applyFont="1" applyNumberFormat="1">
      <alignment readingOrder="0"/>
    </xf>
    <xf borderId="36" fillId="0" fontId="8" numFmtId="49" xfId="0" applyAlignment="1" applyBorder="1" applyFont="1" applyNumberFormat="1">
      <alignment readingOrder="0"/>
    </xf>
    <xf borderId="20" fillId="0" fontId="8" numFmtId="49" xfId="0" applyAlignment="1" applyBorder="1" applyFont="1" applyNumberFormat="1">
      <alignment horizontal="center" readingOrder="0"/>
    </xf>
    <xf borderId="34" fillId="0" fontId="2" numFmtId="49" xfId="0" applyAlignment="1" applyBorder="1" applyFont="1" applyNumberFormat="1">
      <alignment readingOrder="0"/>
    </xf>
    <xf borderId="18" fillId="0" fontId="8" numFmtId="49" xfId="0" applyAlignment="1" applyBorder="1" applyFont="1" applyNumberFormat="1">
      <alignment readingOrder="0"/>
    </xf>
    <xf borderId="22" fillId="0" fontId="2" numFmtId="49" xfId="0" applyAlignment="1" applyBorder="1" applyFont="1" applyNumberFormat="1">
      <alignment readingOrder="0"/>
    </xf>
    <xf borderId="23" fillId="0" fontId="2" numFmtId="49" xfId="0" applyAlignment="1" applyBorder="1" applyFont="1" applyNumberFormat="1">
      <alignment readingOrder="0"/>
    </xf>
    <xf borderId="34" fillId="0" fontId="8" numFmtId="49" xfId="0" applyAlignment="1" applyBorder="1" applyFont="1" applyNumberFormat="1">
      <alignment horizontal="center" readingOrder="0"/>
    </xf>
    <xf borderId="35" fillId="0" fontId="8" numFmtId="49" xfId="0" applyAlignment="1" applyBorder="1" applyFont="1" applyNumberFormat="1">
      <alignment horizontal="center" readingOrder="0"/>
    </xf>
    <xf borderId="35" fillId="0" fontId="8" numFmtId="49" xfId="0" applyAlignment="1" applyBorder="1" applyFont="1" applyNumberFormat="1">
      <alignment readingOrder="0"/>
    </xf>
    <xf borderId="2" fillId="0" fontId="2" numFmtId="49" xfId="0" applyAlignment="1" applyBorder="1" applyFont="1" applyNumberFormat="1">
      <alignment readingOrder="0"/>
    </xf>
    <xf borderId="3" fillId="0" fontId="2" numFmtId="49" xfId="0" applyAlignment="1" applyBorder="1" applyFont="1" applyNumberFormat="1">
      <alignment readingOrder="0"/>
    </xf>
    <xf borderId="4" fillId="0" fontId="2" numFmtId="49" xfId="0" applyAlignment="1" applyBorder="1" applyFont="1" applyNumberFormat="1">
      <alignment readingOrder="0"/>
    </xf>
    <xf borderId="20" fillId="0" fontId="8" numFmtId="49" xfId="0" applyAlignment="1" applyBorder="1" applyFont="1" applyNumberFormat="1">
      <alignment readingOrder="0"/>
    </xf>
    <xf borderId="0" fillId="0" fontId="8" numFmtId="49" xfId="0" applyAlignment="1" applyFont="1" applyNumberFormat="1">
      <alignment readingOrder="0"/>
    </xf>
    <xf borderId="34" fillId="0" fontId="2" numFmtId="0" xfId="0" applyBorder="1" applyFont="1"/>
    <xf borderId="34" fillId="2" fontId="2" numFmtId="1" xfId="0" applyBorder="1" applyFont="1" applyNumberFormat="1"/>
    <xf borderId="35" fillId="2" fontId="2" numFmtId="164" xfId="0" applyBorder="1" applyFont="1" applyNumberFormat="1"/>
    <xf borderId="34" fillId="2" fontId="2" numFmtId="171" xfId="0" applyBorder="1" applyFont="1" applyNumberFormat="1"/>
    <xf borderId="34" fillId="2" fontId="2" numFmtId="173" xfId="0" applyBorder="1" applyFont="1" applyNumberFormat="1"/>
    <xf borderId="35" fillId="2" fontId="2" numFmtId="166" xfId="0" applyBorder="1" applyFont="1" applyNumberFormat="1"/>
    <xf borderId="34" fillId="8" fontId="2" numFmtId="166" xfId="0" applyBorder="1" applyFont="1" applyNumberFormat="1"/>
    <xf borderId="35" fillId="8" fontId="2" numFmtId="166" xfId="0" applyBorder="1" applyFont="1" applyNumberFormat="1"/>
    <xf borderId="34" fillId="8" fontId="2" numFmtId="164" xfId="0" applyBorder="1" applyFont="1" applyNumberFormat="1"/>
    <xf borderId="34" fillId="0" fontId="2" numFmtId="0" xfId="0" applyBorder="1" applyFont="1"/>
    <xf borderId="35" fillId="7" fontId="2" numFmtId="0" xfId="0" applyBorder="1" applyFont="1"/>
    <xf borderId="35" fillId="0" fontId="2" numFmtId="164" xfId="0" applyBorder="1" applyFont="1" applyNumberFormat="1"/>
    <xf borderId="37" fillId="8" fontId="2" numFmtId="164" xfId="0" applyBorder="1" applyFont="1" applyNumberFormat="1"/>
    <xf borderId="35" fillId="0" fontId="4" numFmtId="0" xfId="0" applyAlignment="1" applyBorder="1" applyFont="1">
      <alignment vertical="bottom"/>
    </xf>
    <xf borderId="35" fillId="0" fontId="28" numFmtId="0" xfId="0" applyAlignment="1" applyBorder="1" applyFont="1">
      <alignment horizontal="right" readingOrder="0" vertical="bottom"/>
    </xf>
    <xf borderId="35" fillId="0" fontId="28" numFmtId="0" xfId="0" applyAlignment="1" applyBorder="1" applyFont="1">
      <alignment horizontal="right" readingOrder="0" vertical="bottom"/>
    </xf>
    <xf borderId="35" fillId="0" fontId="28" numFmtId="0" xfId="0" applyAlignment="1" applyBorder="1" applyFont="1">
      <alignment horizontal="right" vertical="bottom"/>
    </xf>
    <xf borderId="35" fillId="0" fontId="28" numFmtId="0" xfId="0" applyAlignment="1" applyBorder="1" applyFont="1">
      <alignment horizontal="center" readingOrder="0"/>
    </xf>
    <xf borderId="35" fillId="0" fontId="29" numFmtId="0" xfId="0" applyAlignment="1" applyBorder="1" applyFont="1">
      <alignment horizontal="center"/>
    </xf>
    <xf borderId="35" fillId="0" fontId="30" numFmtId="0" xfId="0" applyAlignment="1" applyBorder="1" applyFont="1">
      <alignment horizontal="center" readingOrder="0"/>
    </xf>
    <xf borderId="52" fillId="0" fontId="4" numFmtId="0" xfId="0" applyAlignment="1" applyBorder="1" applyFont="1">
      <alignment horizontal="right" vertical="bottom"/>
    </xf>
    <xf borderId="40" fillId="0" fontId="4" numFmtId="0" xfId="0" applyAlignment="1" applyBorder="1" applyFont="1">
      <alignment horizontal="right" vertical="bottom"/>
    </xf>
    <xf borderId="53" fillId="0" fontId="4" numFmtId="0" xfId="0" applyAlignment="1" applyBorder="1" applyFont="1">
      <alignment horizontal="right" vertical="bottom"/>
    </xf>
    <xf borderId="23" fillId="6" fontId="4" numFmtId="49" xfId="0" applyAlignment="1" applyBorder="1" applyFont="1" applyNumberFormat="1">
      <alignment vertical="bottom"/>
    </xf>
    <xf borderId="22" fillId="6" fontId="4" numFmtId="167" xfId="0" applyAlignment="1" applyBorder="1" applyFont="1" applyNumberFormat="1">
      <alignment horizontal="right" vertical="bottom"/>
    </xf>
    <xf borderId="1" fillId="4" fontId="4" numFmtId="1" xfId="0" applyAlignment="1" applyBorder="1" applyFont="1" applyNumberFormat="1">
      <alignment horizontal="right" vertical="bottom"/>
    </xf>
    <xf borderId="19" fillId="4" fontId="4" numFmtId="171" xfId="0" applyAlignment="1" applyBorder="1" applyFont="1" applyNumberFormat="1">
      <alignment horizontal="right" vertical="bottom"/>
    </xf>
    <xf borderId="0" fillId="4" fontId="8" numFmtId="165" xfId="0" applyAlignment="1" applyFont="1" applyNumberFormat="1">
      <alignment horizontal="center"/>
    </xf>
    <xf borderId="0" fillId="2" fontId="4" numFmtId="172" xfId="0" applyAlignment="1" applyFont="1" applyNumberFormat="1">
      <alignment horizontal="right" vertical="bottom"/>
    </xf>
    <xf borderId="0" fillId="8" fontId="4" numFmtId="166" xfId="0" applyAlignment="1" applyFont="1" applyNumberFormat="1">
      <alignment horizontal="right" vertical="bottom"/>
    </xf>
    <xf borderId="23" fillId="8" fontId="4" numFmtId="164" xfId="0" applyAlignment="1" applyBorder="1" applyFont="1" applyNumberFormat="1">
      <alignment horizontal="right" vertical="bottom"/>
    </xf>
    <xf borderId="0" fillId="8" fontId="4" numFmtId="164" xfId="0" applyAlignment="1" applyFont="1" applyNumberFormat="1">
      <alignment horizontal="right" vertical="bottom"/>
    </xf>
    <xf borderId="11" fillId="8" fontId="19" numFmtId="164" xfId="0" applyBorder="1" applyFont="1" applyNumberFormat="1"/>
    <xf borderId="0" fillId="9" fontId="4" numFmtId="164" xfId="0" applyAlignment="1" applyFont="1" applyNumberFormat="1">
      <alignment horizontal="right" readingOrder="0" vertical="bottom"/>
    </xf>
    <xf borderId="8" fillId="4" fontId="4" numFmtId="1" xfId="0" applyAlignment="1" applyBorder="1" applyFont="1" applyNumberFormat="1">
      <alignment horizontal="right" vertical="bottom"/>
    </xf>
    <xf borderId="22" fillId="4" fontId="4" numFmtId="171" xfId="0" applyAlignment="1" applyBorder="1" applyFont="1" applyNumberFormat="1">
      <alignment horizontal="right" vertical="bottom"/>
    </xf>
    <xf borderId="0" fillId="3" fontId="4" numFmtId="171" xfId="0" applyAlignment="1" applyFont="1" applyNumberFormat="1">
      <alignment horizontal="center" readingOrder="0"/>
    </xf>
    <xf borderId="22" fillId="10" fontId="4" numFmtId="171" xfId="0" applyAlignment="1" applyBorder="1" applyFont="1" applyNumberFormat="1">
      <alignment horizontal="right" vertical="bottom"/>
    </xf>
    <xf borderId="22" fillId="6" fontId="4" numFmtId="167" xfId="0" applyAlignment="1" applyBorder="1" applyFont="1" applyNumberFormat="1">
      <alignment vertical="bottom"/>
    </xf>
    <xf borderId="0" fillId="6" fontId="4" numFmtId="49" xfId="0" applyAlignment="1" applyFont="1" applyNumberFormat="1">
      <alignment vertical="bottom"/>
    </xf>
    <xf borderId="0" fillId="6" fontId="2" numFmtId="49" xfId="0" applyFont="1" applyNumberFormat="1"/>
    <xf borderId="22" fillId="6" fontId="2" numFmtId="167" xfId="0" applyBorder="1" applyFont="1" applyNumberFormat="1"/>
    <xf borderId="0" fillId="5" fontId="8" numFmtId="164" xfId="0" applyAlignment="1" applyFont="1" applyNumberFormat="1">
      <alignment readingOrder="0"/>
    </xf>
    <xf borderId="0" fillId="5" fontId="8" numFmtId="164" xfId="0" applyFont="1" applyNumberFormat="1"/>
    <xf borderId="0" fillId="2" fontId="2" numFmtId="176" xfId="0" applyAlignment="1" applyFont="1" applyNumberFormat="1">
      <alignment horizontal="right"/>
    </xf>
    <xf borderId="0" fillId="0" fontId="2" numFmtId="49" xfId="0" applyAlignment="1" applyFont="1" applyNumberFormat="1">
      <alignment horizontal="right" readingOrder="0"/>
    </xf>
    <xf borderId="0" fillId="2" fontId="19" numFmtId="49" xfId="0" applyAlignment="1" applyFont="1" applyNumberFormat="1">
      <alignment readingOrder="0"/>
    </xf>
    <xf borderId="0" fillId="5" fontId="2" numFmtId="174" xfId="0" applyAlignment="1" applyFont="1" applyNumberFormat="1">
      <alignment readingOrder="0"/>
    </xf>
    <xf borderId="0" fillId="5" fontId="8" numFmtId="172" xfId="0" applyAlignment="1" applyFont="1" applyNumberFormat="1">
      <alignment readingOrder="0"/>
    </xf>
    <xf borderId="0" fillId="5" fontId="2" numFmtId="174" xfId="0" applyAlignment="1" applyFont="1" applyNumberFormat="1">
      <alignment readingOrder="0"/>
    </xf>
    <xf borderId="0" fillId="5" fontId="2" numFmtId="49" xfId="0" applyAlignment="1" applyFont="1" applyNumberFormat="1">
      <alignment horizontal="right" readingOrder="0"/>
    </xf>
    <xf borderId="0" fillId="2" fontId="2" numFmtId="174" xfId="0" applyAlignment="1" applyFont="1" applyNumberFormat="1">
      <alignment readingOrder="0"/>
    </xf>
    <xf borderId="0" fillId="7" fontId="19" numFmtId="49" xfId="0" applyAlignment="1" applyFont="1" applyNumberFormat="1">
      <alignment readingOrder="0"/>
    </xf>
    <xf borderId="0" fillId="2" fontId="2" numFmtId="49" xfId="0" applyFont="1" applyNumberFormat="1"/>
    <xf borderId="0" fillId="0" fontId="8" numFmtId="164" xfId="0" applyAlignment="1" applyFont="1" applyNumberFormat="1">
      <alignment readingOrder="0"/>
    </xf>
    <xf borderId="0" fillId="0" fontId="1" numFmtId="49" xfId="0" applyAlignment="1" applyFont="1" applyNumberFormat="1">
      <alignment horizontal="left" readingOrder="0"/>
    </xf>
    <xf borderId="0" fillId="0" fontId="18" numFmtId="49" xfId="0" applyAlignment="1" applyFont="1" applyNumberFormat="1">
      <alignment readingOrder="0"/>
    </xf>
    <xf borderId="0" fillId="7" fontId="0" numFmtId="164" xfId="0" applyFont="1" applyNumberFormat="1"/>
    <xf borderId="0" fillId="5" fontId="8" numFmtId="164" xfId="0" applyAlignment="1" applyFont="1" applyNumberFormat="1">
      <alignment horizontal="right" vertical="bottom"/>
    </xf>
    <xf borderId="0" fillId="0" fontId="8" numFmtId="164" xfId="0" applyAlignment="1" applyFont="1" applyNumberFormat="1">
      <alignment horizontal="right" vertical="bottom"/>
    </xf>
    <xf borderId="0" fillId="0" fontId="25" numFmtId="49" xfId="0" applyFont="1" applyNumberFormat="1"/>
    <xf borderId="0" fillId="0" fontId="8" numFmtId="177" xfId="0" applyAlignment="1" applyFont="1" applyNumberFormat="1">
      <alignment readingOrder="0"/>
    </xf>
    <xf borderId="0" fillId="0" fontId="8" numFmtId="177" xfId="0" applyAlignment="1" applyFont="1" applyNumberFormat="1">
      <alignment horizontal="right" readingOrder="0"/>
    </xf>
    <xf borderId="0" fillId="0" fontId="8" numFmtId="49" xfId="0" applyFont="1" applyNumberFormat="1"/>
    <xf borderId="0" fillId="2" fontId="0" numFmtId="164" xfId="0" applyFont="1" applyNumberFormat="1"/>
    <xf borderId="1" fillId="0" fontId="2" numFmtId="49" xfId="0" applyAlignment="1" applyBorder="1" applyFont="1" applyNumberFormat="1">
      <alignment readingOrder="0"/>
    </xf>
    <xf borderId="0" fillId="2" fontId="8" numFmtId="164" xfId="0" applyAlignment="1" applyFont="1" applyNumberFormat="1">
      <alignment horizontal="right" readingOrder="0"/>
    </xf>
    <xf borderId="8" fillId="2" fontId="2" numFmtId="49" xfId="0" applyAlignment="1" applyBorder="1" applyFont="1" applyNumberFormat="1">
      <alignment horizontal="center" readingOrder="0"/>
    </xf>
    <xf borderId="25" fillId="2" fontId="2" numFmtId="49" xfId="0" applyAlignment="1" applyBorder="1" applyFont="1" applyNumberFormat="1">
      <alignment horizontal="center" readingOrder="0"/>
    </xf>
    <xf borderId="0" fillId="0" fontId="17" numFmtId="49" xfId="0" applyAlignment="1" applyFont="1" applyNumberFormat="1">
      <alignment horizontal="center" readingOrder="0"/>
    </xf>
    <xf borderId="0" fillId="0" fontId="31" numFmtId="49" xfId="0" applyAlignment="1" applyFont="1" applyNumberFormat="1">
      <alignment horizontal="center" readingOrder="0"/>
    </xf>
    <xf borderId="0" fillId="7" fontId="32" numFmtId="164" xfId="0" applyAlignment="1" applyFont="1" applyNumberFormat="1">
      <alignment horizontal="right" readingOrder="0"/>
    </xf>
    <xf borderId="0" fillId="0" fontId="1" numFmtId="9" xfId="0" applyAlignment="1" applyFont="1" applyNumberFormat="1">
      <alignment readingOrder="0"/>
    </xf>
    <xf borderId="0" fillId="0" fontId="8" numFmtId="164" xfId="0" applyFont="1" applyNumberFormat="1"/>
    <xf borderId="0" fillId="0" fontId="2" numFmtId="9" xfId="0" applyFont="1" applyNumberFormat="1"/>
    <xf borderId="0" fillId="0" fontId="8" numFmtId="164" xfId="0" applyAlignment="1" applyFont="1" applyNumberFormat="1">
      <alignment horizontal="right" readingOrder="0"/>
    </xf>
    <xf borderId="0" fillId="0" fontId="1" numFmtId="9" xfId="0" applyAlignment="1" applyFont="1" applyNumberFormat="1">
      <alignment horizontal="right" readingOrder="0"/>
    </xf>
    <xf borderId="0" fillId="0" fontId="33" numFmtId="9" xfId="0" applyAlignment="1" applyFont="1" applyNumberFormat="1">
      <alignment readingOrder="0"/>
    </xf>
    <xf borderId="0" fillId="0" fontId="0" numFmtId="164" xfId="0" applyAlignment="1" applyFont="1" applyNumberFormat="1">
      <alignment readingOrder="0"/>
    </xf>
    <xf borderId="0" fillId="0" fontId="0" numFmtId="49" xfId="0" applyAlignment="1" applyFont="1" applyNumberFormat="1">
      <alignment readingOrder="0"/>
    </xf>
    <xf borderId="0" fillId="0" fontId="20" numFmtId="0" xfId="0" applyAlignment="1" applyFont="1">
      <alignment vertical="bottom"/>
    </xf>
    <xf borderId="0" fillId="5" fontId="4" numFmtId="167" xfId="0" applyAlignment="1" applyFont="1" applyNumberFormat="1">
      <alignment horizontal="right" vertical="bottom"/>
    </xf>
    <xf borderId="0" fillId="5" fontId="4" numFmtId="0" xfId="0" applyAlignment="1" applyFont="1">
      <alignment horizontal="right" vertical="bottom"/>
    </xf>
  </cellXfs>
  <cellStyles count="1">
    <cellStyle xfId="0" name="Normal" builtinId="0"/>
  </cellStyles>
  <dxfs count="13">
    <dxf>
      <font>
        <color rgb="FFFF0000"/>
      </font>
      <fill>
        <patternFill patternType="none"/>
      </fill>
      <border/>
    </dxf>
    <dxf>
      <font/>
      <fill>
        <patternFill patternType="solid">
          <fgColor rgb="FFDED5BA"/>
          <bgColor rgb="FFDED5BA"/>
        </patternFill>
      </fill>
      <border/>
    </dxf>
    <dxf>
      <font>
        <color rgb="FFE69138"/>
      </font>
      <fill>
        <patternFill patternType="none"/>
      </fill>
      <border/>
    </dxf>
    <dxf>
      <font/>
      <fill>
        <patternFill patternType="solid">
          <fgColor rgb="FFB7E1CD"/>
          <bgColor rgb="FFB7E1CD"/>
        </patternFill>
      </fill>
      <border/>
    </dxf>
    <dxf>
      <font/>
      <fill>
        <patternFill patternType="solid">
          <fgColor rgb="FFFF0000"/>
          <bgColor rgb="FFFF0000"/>
        </patternFill>
      </fill>
      <border/>
    </dxf>
    <dxf>
      <font>
        <color rgb="FFFF0000"/>
      </font>
      <fill>
        <patternFill patternType="solid">
          <fgColor rgb="FFDED5BA"/>
          <bgColor rgb="FFDED5BA"/>
        </patternFill>
      </fill>
      <border/>
    </dxf>
    <dxf>
      <font/>
      <fill>
        <patternFill patternType="solid">
          <fgColor rgb="FFFCE5CD"/>
          <bgColor rgb="FFFCE5CD"/>
        </patternFill>
      </fill>
      <border/>
    </dxf>
    <dxf>
      <font/>
      <fill>
        <patternFill patternType="solid">
          <fgColor rgb="FFA2C4C9"/>
          <bgColor rgb="FFA2C4C9"/>
        </patternFill>
      </fill>
      <border/>
    </dxf>
    <dxf>
      <font>
        <color rgb="FFD0E0E3"/>
      </font>
      <fill>
        <patternFill patternType="none"/>
      </fill>
      <border/>
    </dxf>
    <dxf>
      <font>
        <color rgb="FF000000"/>
      </font>
      <fill>
        <patternFill patternType="solid">
          <fgColor rgb="FFD0E0E3"/>
          <bgColor rgb="FFD0E0E3"/>
        </patternFill>
      </fill>
      <border/>
    </dxf>
    <dxf>
      <font/>
      <fill>
        <patternFill patternType="none"/>
      </fill>
      <border/>
    </dxf>
    <dxf>
      <font/>
      <fill>
        <patternFill patternType="solid">
          <fgColor rgb="FFBBC8CB"/>
          <bgColor rgb="FFBBC8CB"/>
        </patternFill>
      </fill>
      <border/>
    </dxf>
    <dxf>
      <font/>
      <fill>
        <patternFill patternType="solid">
          <fgColor rgb="FFD0E0E3"/>
          <bgColor rgb="FFD0E0E3"/>
        </patternFill>
      </fill>
      <border/>
    </dxf>
  </dxfs>
  <tableStyles count="2">
    <tableStyle count="2" pivot="0" name="ESPP-style">
      <tableStyleElement dxfId="11" type="firstRowStripe"/>
      <tableStyleElement dxfId="12" type="secondRowStripe"/>
    </tableStyle>
    <tableStyle count="2" pivot="0" name="RSU-style">
      <tableStyleElement dxfId="11"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P7:AW35" displayName="Table_1" 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ESPP-style" showColumnStripes="0" showFirstColumn="1" showLastColumn="1" showRowStripes="1"/>
</table>
</file>

<file path=xl/tables/table2.xml><?xml version="1.0" encoding="utf-8"?>
<table xmlns="http://schemas.openxmlformats.org/spreadsheetml/2006/main" headerRowCount="0" ref="AL7:AS150" displayName="Table_2" name="Table_2" id="2">
  <tableColumns count="8">
    <tableColumn name="Column1" id="1"/>
    <tableColumn name="Column2" id="2"/>
    <tableColumn name="Column3" id="3"/>
    <tableColumn name="Column4" id="4"/>
    <tableColumn name="Column5" id="5"/>
    <tableColumn name="Column6" id="6"/>
    <tableColumn name="Column7" id="7"/>
    <tableColumn name="Column8" id="8"/>
  </tableColumns>
  <tableStyleInfo name="RSU-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hickeng/financial/blob/main/usage.md" TargetMode="External"/><Relationship Id="rId22" Type="http://schemas.openxmlformats.org/officeDocument/2006/relationships/hyperlink" Target="https://github.com/hickeng/financial/blob/main/usage.md" TargetMode="External"/><Relationship Id="rId21" Type="http://schemas.openxmlformats.org/officeDocument/2006/relationships/hyperlink" Target="https://github.com/hickeng/financial/blob/main/usage.md" TargetMode="External"/><Relationship Id="rId24" Type="http://schemas.openxmlformats.org/officeDocument/2006/relationships/hyperlink" Target="https://github.com/hickeng/financial/blob/main/usage.md" TargetMode="External"/><Relationship Id="rId23" Type="http://schemas.openxmlformats.org/officeDocument/2006/relationships/hyperlink" Target="https://github.com/hickeng/financial/blob/main/usage.md" TargetMode="External"/><Relationship Id="rId1" Type="http://schemas.openxmlformats.org/officeDocument/2006/relationships/comments" Target="../comments1.xml"/><Relationship Id="rId2" Type="http://schemas.openxmlformats.org/officeDocument/2006/relationships/hyperlink" Target="https://github.com/hickeng/financial/releases/tag/v0.1.7" TargetMode="External"/><Relationship Id="rId3" Type="http://schemas.openxmlformats.org/officeDocument/2006/relationships/hyperlink" Target="https://github.com/sponsors/hickeng" TargetMode="External"/><Relationship Id="rId4" Type="http://schemas.openxmlformats.org/officeDocument/2006/relationships/hyperlink" Target="https://creativecommons.org/licenses/by-nc/4.0/" TargetMode="External"/><Relationship Id="rId9" Type="http://schemas.openxmlformats.org/officeDocument/2006/relationships/hyperlink" Target="https://github.com/hickeng/financial/blob/main/usage.md" TargetMode="External"/><Relationship Id="rId26" Type="http://schemas.openxmlformats.org/officeDocument/2006/relationships/hyperlink" Target="https://github.com/hickeng/financial/blob/main/usage.md" TargetMode="External"/><Relationship Id="rId25" Type="http://schemas.openxmlformats.org/officeDocument/2006/relationships/hyperlink" Target="https://github.com/hickeng/financial/blob/main/usage.md" TargetMode="External"/><Relationship Id="rId28" Type="http://schemas.openxmlformats.org/officeDocument/2006/relationships/hyperlink" Target="https://github.com/hickeng/financial/blob/62-add-instructions-for-fractional-share-and-the-shares-from-etrade-column/usage.md" TargetMode="External"/><Relationship Id="rId27" Type="http://schemas.openxmlformats.org/officeDocument/2006/relationships/hyperlink" Target="https://github.com/hickeng/financial/blob/main/usage.md" TargetMode="External"/><Relationship Id="rId5" Type="http://schemas.openxmlformats.org/officeDocument/2006/relationships/hyperlink" Target="https://github.com/hickeng/financial/blob/main/usage.md" TargetMode="External"/><Relationship Id="rId6" Type="http://schemas.openxmlformats.org/officeDocument/2006/relationships/hyperlink" Target="https://github.com/hickeng/financial/blob/62-add-instructions-for-fractional-share-and-the-shares-from-etrade-column/usage.md" TargetMode="External"/><Relationship Id="rId29" Type="http://schemas.openxmlformats.org/officeDocument/2006/relationships/drawing" Target="../drawings/drawing1.xml"/><Relationship Id="rId7" Type="http://schemas.openxmlformats.org/officeDocument/2006/relationships/hyperlink" Target="https://github.com/hickeng/financial/blob/main/usage.md" TargetMode="External"/><Relationship Id="rId8" Type="http://schemas.openxmlformats.org/officeDocument/2006/relationships/hyperlink" Target="https://github.com/hickeng/financial/blob/main/usage.md" TargetMode="External"/><Relationship Id="rId30" Type="http://schemas.openxmlformats.org/officeDocument/2006/relationships/vmlDrawing" Target="../drawings/vmlDrawing1.vml"/><Relationship Id="rId11" Type="http://schemas.openxmlformats.org/officeDocument/2006/relationships/hyperlink" Target="https://github.com/hickeng/financial/blob/main/usage.md" TargetMode="External"/><Relationship Id="rId10" Type="http://schemas.openxmlformats.org/officeDocument/2006/relationships/hyperlink" Target="https://github.com/hickeng/financial/blob/main/usage.md" TargetMode="External"/><Relationship Id="rId13" Type="http://schemas.openxmlformats.org/officeDocument/2006/relationships/hyperlink" Target="https://github.com/hickeng/financial/blob/main/usage.md" TargetMode="External"/><Relationship Id="rId12" Type="http://schemas.openxmlformats.org/officeDocument/2006/relationships/hyperlink" Target="https://github.com/hickeng/financial/blob/main/usage.md" TargetMode="External"/><Relationship Id="rId15" Type="http://schemas.openxmlformats.org/officeDocument/2006/relationships/hyperlink" Target="https://github.com/hickeng/financial/blob/main/usage.md" TargetMode="External"/><Relationship Id="rId14" Type="http://schemas.openxmlformats.org/officeDocument/2006/relationships/hyperlink" Target="https://github.com/hickeng/financial/blob/main/README.md" TargetMode="External"/><Relationship Id="rId17" Type="http://schemas.openxmlformats.org/officeDocument/2006/relationships/hyperlink" Target="https://github.com/hickeng/financial/blob/main/usage.md" TargetMode="External"/><Relationship Id="rId16" Type="http://schemas.openxmlformats.org/officeDocument/2006/relationships/hyperlink" Target="https://github.com/hickeng/financial/blob/main/usage.md" TargetMode="External"/><Relationship Id="rId19" Type="http://schemas.openxmlformats.org/officeDocument/2006/relationships/hyperlink" Target="https://github.com/hickeng/financial/discussions" TargetMode="External"/><Relationship Id="rId18" Type="http://schemas.openxmlformats.org/officeDocument/2006/relationships/hyperlink" Target="https://github.com/hickeng/financial/blob/main/usage.md"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costbasis.com/calculators/cashtobootmerger.html" TargetMode="External"/><Relationship Id="rId3" Type="http://schemas.openxmlformats.org/officeDocument/2006/relationships/drawing" Target="../drawings/drawing2.xml"/><Relationship Id="rId4" Type="http://schemas.openxmlformats.org/officeDocument/2006/relationships/vmlDrawing" Target="../drawings/vmlDrawing2.vml"/><Relationship Id="rId6"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costbasis.com/calculators/cashtobootmerger.html" TargetMode="External"/><Relationship Id="rId3" Type="http://schemas.openxmlformats.org/officeDocument/2006/relationships/drawing" Target="../drawings/drawing3.xml"/><Relationship Id="rId4" Type="http://schemas.openxmlformats.org/officeDocument/2006/relationships/vmlDrawing" Target="../drawings/vmlDrawing3.vml"/><Relationship Id="rId6"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75"/>
    <col customWidth="1" min="2" max="2" width="16.5"/>
    <col customWidth="1" min="3" max="3" width="18.0"/>
    <col customWidth="1" min="4" max="4" width="21.25"/>
    <col customWidth="1" min="5" max="5" width="14.0"/>
    <col customWidth="1" min="6" max="6" width="11.63"/>
    <col customWidth="1" min="7" max="7" width="13.38"/>
    <col customWidth="1" min="8" max="8" width="18.0"/>
    <col customWidth="1" min="9" max="9" width="9.25"/>
    <col customWidth="1" min="10" max="10" width="20.5"/>
    <col customWidth="1" min="11" max="11" width="37.5"/>
    <col customWidth="1" min="12" max="12" width="13.25"/>
    <col customWidth="1" min="16" max="16" width="13.75"/>
  </cols>
  <sheetData>
    <row r="1">
      <c r="A1" s="1" t="str">
        <f>"Colour Coding"</f>
        <v>Colour Coding</v>
      </c>
      <c r="B1" s="2"/>
      <c r="C1" s="3" t="s">
        <v>0</v>
      </c>
      <c r="D1" s="4"/>
      <c r="E1" s="4"/>
      <c r="F1" s="4"/>
      <c r="G1" s="4"/>
      <c r="H1" s="5"/>
      <c r="I1" s="2"/>
      <c r="J1" s="6" t="s">
        <v>1</v>
      </c>
      <c r="K1" s="7"/>
      <c r="L1" s="7"/>
      <c r="M1" s="7"/>
      <c r="N1" s="7"/>
      <c r="O1" s="7"/>
      <c r="P1" s="7"/>
      <c r="Q1" s="7"/>
      <c r="R1" s="7"/>
      <c r="S1" s="7"/>
      <c r="T1" s="7"/>
      <c r="U1" s="8"/>
    </row>
    <row r="2">
      <c r="A2" s="9" t="s">
        <v>2</v>
      </c>
      <c r="B2" s="2"/>
      <c r="C2" s="10"/>
      <c r="D2" s="11"/>
      <c r="E2" s="2"/>
      <c r="F2" s="2"/>
      <c r="G2" s="2"/>
      <c r="H2" s="12"/>
      <c r="I2" s="2"/>
      <c r="J2" s="13"/>
      <c r="K2" s="2"/>
      <c r="L2" s="2"/>
      <c r="M2" s="2"/>
      <c r="N2" s="2"/>
      <c r="O2" s="2"/>
      <c r="P2" s="2"/>
      <c r="U2" s="14"/>
    </row>
    <row r="3">
      <c r="A3" s="15" t="s">
        <v>3</v>
      </c>
      <c r="B3" s="2"/>
      <c r="C3" s="16" t="s">
        <v>4</v>
      </c>
      <c r="D3" s="17" t="s">
        <v>5</v>
      </c>
      <c r="E3" s="18"/>
      <c r="F3" s="17" t="s">
        <v>6</v>
      </c>
      <c r="G3" s="18"/>
      <c r="H3" s="19"/>
      <c r="I3" s="2"/>
      <c r="J3" s="20" t="s">
        <v>7</v>
      </c>
      <c r="K3" s="21"/>
      <c r="L3" s="22" t="s">
        <v>8</v>
      </c>
      <c r="M3" s="23"/>
      <c r="N3" s="24"/>
      <c r="O3" s="24"/>
      <c r="P3" s="25"/>
      <c r="Q3" s="26" t="s">
        <v>9</v>
      </c>
      <c r="R3" s="27"/>
      <c r="S3" s="27"/>
      <c r="T3" s="27"/>
      <c r="U3" s="28"/>
    </row>
    <row r="4">
      <c r="A4" s="29" t="s">
        <v>10</v>
      </c>
      <c r="B4" s="2"/>
      <c r="C4" s="30"/>
      <c r="D4" s="31"/>
      <c r="E4" s="32"/>
      <c r="F4" s="32"/>
      <c r="G4" s="32"/>
      <c r="H4" s="33"/>
      <c r="I4" s="2"/>
      <c r="J4" s="34"/>
      <c r="L4" s="35"/>
      <c r="N4" s="2"/>
      <c r="O4" s="2"/>
      <c r="P4" s="36"/>
      <c r="Q4" s="35"/>
      <c r="U4" s="14"/>
    </row>
    <row r="5">
      <c r="A5" s="37" t="s">
        <v>11</v>
      </c>
      <c r="B5" s="2"/>
      <c r="C5" s="38" t="s">
        <v>12</v>
      </c>
      <c r="H5" s="39"/>
      <c r="I5" s="2"/>
      <c r="J5" s="40" t="s">
        <v>13</v>
      </c>
      <c r="L5" s="41" t="b">
        <v>0</v>
      </c>
      <c r="M5" s="42" t="s">
        <v>14</v>
      </c>
      <c r="N5" s="2"/>
      <c r="O5" s="2"/>
      <c r="P5" s="36"/>
      <c r="Q5" s="43" t="s">
        <v>15</v>
      </c>
      <c r="U5" s="14"/>
    </row>
    <row r="6">
      <c r="A6" s="44" t="s">
        <v>16</v>
      </c>
      <c r="B6" s="2"/>
      <c r="C6" s="45" t="s">
        <v>17</v>
      </c>
      <c r="H6" s="39"/>
      <c r="I6" s="2"/>
      <c r="J6" s="46" t="b">
        <v>0</v>
      </c>
      <c r="K6" s="47" t="s">
        <v>18</v>
      </c>
      <c r="L6" s="41" t="b">
        <v>0</v>
      </c>
      <c r="M6" s="42" t="s">
        <v>19</v>
      </c>
      <c r="N6" s="2"/>
      <c r="O6" s="2"/>
      <c r="P6" s="36"/>
      <c r="Q6" s="41" t="b">
        <v>0</v>
      </c>
      <c r="R6" s="48" t="s">
        <v>20</v>
      </c>
      <c r="U6" s="14"/>
    </row>
    <row r="7">
      <c r="A7" s="49" t="s">
        <v>21</v>
      </c>
      <c r="B7" s="2"/>
      <c r="C7" s="50" t="s">
        <v>22</v>
      </c>
      <c r="H7" s="39"/>
      <c r="I7" s="2"/>
      <c r="J7" s="46" t="b">
        <v>0</v>
      </c>
      <c r="K7" s="47" t="s">
        <v>23</v>
      </c>
      <c r="L7" s="41" t="b">
        <v>0</v>
      </c>
      <c r="M7" s="42" t="s">
        <v>24</v>
      </c>
      <c r="N7" s="2"/>
      <c r="O7" s="2"/>
      <c r="P7" s="36"/>
      <c r="Q7" s="41" t="b">
        <v>0</v>
      </c>
      <c r="R7" s="48" t="s">
        <v>25</v>
      </c>
      <c r="U7" s="14"/>
    </row>
    <row r="8">
      <c r="A8" s="51" t="str">
        <f>"Calculated - intermediate or informational"</f>
        <v>Calculated - intermediate or informational</v>
      </c>
      <c r="B8" s="2"/>
      <c r="C8" s="38" t="s">
        <v>26</v>
      </c>
      <c r="H8" s="39"/>
      <c r="I8" s="2"/>
      <c r="J8" s="34"/>
      <c r="L8" s="41" t="b">
        <v>0</v>
      </c>
      <c r="M8" s="52" t="s">
        <v>27</v>
      </c>
      <c r="N8" s="2"/>
      <c r="O8" s="2"/>
      <c r="P8" s="36"/>
      <c r="Q8" s="41" t="b">
        <v>0</v>
      </c>
      <c r="R8" s="48" t="s">
        <v>28</v>
      </c>
      <c r="U8" s="14"/>
    </row>
    <row r="9">
      <c r="A9" s="53" t="s">
        <v>29</v>
      </c>
      <c r="B9" s="2"/>
      <c r="C9" s="54" t="s">
        <v>30</v>
      </c>
      <c r="H9" s="39"/>
      <c r="I9" s="2"/>
      <c r="J9" s="46" t="b">
        <v>0</v>
      </c>
      <c r="K9" s="47" t="s">
        <v>31</v>
      </c>
      <c r="L9" s="41" t="b">
        <v>0</v>
      </c>
      <c r="M9" s="52" t="s">
        <v>32</v>
      </c>
      <c r="P9" s="36"/>
      <c r="Q9" s="55"/>
      <c r="R9" s="56"/>
      <c r="U9" s="14"/>
    </row>
    <row r="10">
      <c r="A10" s="57" t="s">
        <v>33</v>
      </c>
      <c r="B10" s="2"/>
      <c r="C10" s="58" t="s">
        <v>34</v>
      </c>
      <c r="H10" s="39"/>
      <c r="I10" s="2"/>
      <c r="J10" s="46" t="b">
        <v>0</v>
      </c>
      <c r="K10" s="47" t="s">
        <v>35</v>
      </c>
      <c r="N10" s="2"/>
      <c r="O10" s="2"/>
      <c r="P10" s="36"/>
      <c r="Q10" s="59" t="s">
        <v>36</v>
      </c>
      <c r="U10" s="14"/>
    </row>
    <row r="11">
      <c r="A11" s="2"/>
      <c r="B11" s="2"/>
      <c r="C11" s="60" t="s">
        <v>37</v>
      </c>
      <c r="H11" s="39"/>
      <c r="I11" s="2"/>
      <c r="J11" s="46" t="b">
        <v>0</v>
      </c>
      <c r="K11" s="52" t="s">
        <v>38</v>
      </c>
      <c r="L11" s="35"/>
      <c r="O11" s="2"/>
      <c r="P11" s="36"/>
      <c r="Q11" s="41" t="b">
        <v>0</v>
      </c>
      <c r="R11" s="52" t="s">
        <v>39</v>
      </c>
      <c r="U11" s="14"/>
    </row>
    <row r="12">
      <c r="A12" s="2"/>
      <c r="B12" s="2"/>
      <c r="C12" s="60" t="s">
        <v>40</v>
      </c>
      <c r="H12" s="39"/>
      <c r="I12" s="2"/>
      <c r="J12" s="46" t="b">
        <v>0</v>
      </c>
      <c r="K12" s="47" t="s">
        <v>41</v>
      </c>
      <c r="L12" s="61" t="s">
        <v>42</v>
      </c>
      <c r="O12" s="2"/>
      <c r="P12" s="36"/>
      <c r="Q12" s="41" t="b">
        <v>0</v>
      </c>
      <c r="R12" s="52" t="s">
        <v>43</v>
      </c>
      <c r="U12" s="14"/>
    </row>
    <row r="13">
      <c r="B13" s="2"/>
      <c r="C13" s="62"/>
      <c r="H13" s="63"/>
      <c r="I13" s="2"/>
      <c r="J13" s="64" t="b">
        <v>0</v>
      </c>
      <c r="K13" s="47" t="s">
        <v>44</v>
      </c>
      <c r="L13" s="41" t="b">
        <v>0</v>
      </c>
      <c r="M13" s="42" t="s">
        <v>45</v>
      </c>
      <c r="O13" s="2"/>
      <c r="P13" s="65"/>
      <c r="Q13" s="35"/>
      <c r="U13" s="14"/>
    </row>
    <row r="14">
      <c r="B14" s="2"/>
      <c r="C14" s="62"/>
      <c r="H14" s="63"/>
      <c r="I14" s="2"/>
      <c r="J14" s="34"/>
      <c r="L14" s="41" t="b">
        <v>0</v>
      </c>
      <c r="M14" s="42" t="s">
        <v>46</v>
      </c>
      <c r="N14" s="2"/>
      <c r="O14" s="2"/>
      <c r="P14" s="65"/>
      <c r="Q14" s="35"/>
      <c r="U14" s="14"/>
    </row>
    <row r="15">
      <c r="A15" s="2"/>
      <c r="B15" s="2"/>
      <c r="C15" s="62"/>
      <c r="H15" s="63"/>
      <c r="I15" s="2"/>
      <c r="J15" s="66" t="s">
        <v>42</v>
      </c>
      <c r="K15" s="67"/>
      <c r="L15" s="41" t="b">
        <v>0</v>
      </c>
      <c r="M15" s="42" t="s">
        <v>47</v>
      </c>
      <c r="N15" s="2"/>
      <c r="O15" s="2"/>
      <c r="P15" s="65"/>
      <c r="Q15" s="35"/>
      <c r="U15" s="14"/>
    </row>
    <row r="16">
      <c r="A16" s="2"/>
      <c r="B16" s="2"/>
      <c r="C16" s="68" t="s">
        <v>48</v>
      </c>
      <c r="H16" s="39"/>
      <c r="I16" s="2"/>
      <c r="J16" s="46" t="b">
        <v>0</v>
      </c>
      <c r="K16" s="69" t="s">
        <v>49</v>
      </c>
      <c r="L16" s="41" t="b">
        <v>0</v>
      </c>
      <c r="M16" s="42" t="s">
        <v>50</v>
      </c>
      <c r="N16" s="2"/>
      <c r="O16" s="2"/>
      <c r="P16" s="36"/>
      <c r="Q16" s="35"/>
      <c r="U16" s="14"/>
    </row>
    <row r="17">
      <c r="A17" s="2"/>
      <c r="B17" s="2"/>
      <c r="C17" s="70"/>
      <c r="H17" s="39"/>
      <c r="I17" s="2"/>
      <c r="J17" s="13"/>
      <c r="K17" s="65"/>
      <c r="L17" s="41" t="b">
        <v>0</v>
      </c>
      <c r="M17" s="52" t="s">
        <v>51</v>
      </c>
      <c r="N17" s="2"/>
      <c r="O17" s="2"/>
      <c r="P17" s="65"/>
      <c r="Q17" s="35"/>
      <c r="U17" s="14"/>
    </row>
    <row r="18">
      <c r="A18" s="2"/>
      <c r="B18" s="2"/>
      <c r="C18" s="71"/>
      <c r="D18" s="72"/>
      <c r="E18" s="72"/>
      <c r="F18" s="72"/>
      <c r="G18" s="72"/>
      <c r="H18" s="73"/>
      <c r="I18" s="2"/>
      <c r="J18" s="74"/>
      <c r="K18" s="75"/>
      <c r="L18" s="76"/>
      <c r="M18" s="77"/>
      <c r="N18" s="78"/>
      <c r="O18" s="78"/>
      <c r="P18" s="75"/>
      <c r="Q18" s="76"/>
      <c r="R18" s="77"/>
      <c r="S18" s="77"/>
      <c r="T18" s="77"/>
      <c r="U18" s="79"/>
    </row>
    <row r="19">
      <c r="A19" s="2"/>
      <c r="B19" s="2"/>
      <c r="C19" s="11"/>
      <c r="D19" s="80"/>
      <c r="E19" s="2"/>
      <c r="F19" s="2"/>
      <c r="G19" s="2"/>
      <c r="H19" s="2"/>
      <c r="I19" s="2"/>
      <c r="J19" s="2"/>
      <c r="K19" s="2"/>
      <c r="L19" s="2"/>
      <c r="M19" s="2"/>
      <c r="N19" s="2"/>
      <c r="O19" s="2"/>
      <c r="P19" s="2"/>
    </row>
    <row r="20">
      <c r="A20" s="2"/>
      <c r="B20" s="2"/>
      <c r="C20" s="81"/>
      <c r="D20" s="11"/>
      <c r="E20" s="2"/>
      <c r="F20" s="2"/>
      <c r="G20" s="2"/>
      <c r="H20" s="2"/>
      <c r="I20" s="2"/>
      <c r="J20" s="2"/>
      <c r="K20" s="2"/>
      <c r="L20" s="2"/>
      <c r="M20" s="2"/>
      <c r="N20" s="2"/>
      <c r="O20" s="2"/>
      <c r="P20" s="2"/>
    </row>
    <row r="21">
      <c r="A21" s="2"/>
      <c r="B21" s="2"/>
      <c r="C21" s="2"/>
      <c r="D21" s="2"/>
      <c r="E21" s="2"/>
      <c r="F21" s="2"/>
      <c r="G21" s="2"/>
      <c r="H21" s="2"/>
      <c r="I21" s="2"/>
      <c r="J21" s="2"/>
      <c r="K21" s="2"/>
      <c r="L21" s="2"/>
      <c r="M21" s="2"/>
      <c r="N21" s="2"/>
      <c r="O21" s="2"/>
      <c r="P21" s="2"/>
    </row>
    <row r="22">
      <c r="A22" s="82" t="s">
        <v>52</v>
      </c>
      <c r="B22" s="25"/>
      <c r="C22" s="2"/>
      <c r="D22" s="82" t="s">
        <v>53</v>
      </c>
      <c r="E22" s="24"/>
      <c r="F22" s="24"/>
      <c r="G22" s="24"/>
      <c r="H22" s="25"/>
      <c r="I22" s="2"/>
      <c r="J22" s="82" t="s">
        <v>54</v>
      </c>
      <c r="K22" s="24"/>
      <c r="L22" s="83"/>
      <c r="M22" s="83"/>
      <c r="N22" s="83"/>
      <c r="O22" s="83"/>
      <c r="P22" s="84"/>
    </row>
    <row r="23">
      <c r="A23" s="85"/>
      <c r="B23" s="86"/>
      <c r="C23" s="2"/>
      <c r="D23" s="87"/>
      <c r="E23" s="2"/>
      <c r="F23" s="2"/>
      <c r="G23" s="2"/>
      <c r="H23" s="36"/>
      <c r="I23" s="2"/>
      <c r="J23" s="87"/>
      <c r="K23" s="2"/>
      <c r="L23" s="2"/>
      <c r="M23" s="2"/>
      <c r="N23" s="2"/>
      <c r="O23" s="2"/>
      <c r="P23" s="36"/>
    </row>
    <row r="24">
      <c r="A24" s="88" t="s">
        <v>55</v>
      </c>
      <c r="B24" s="89"/>
      <c r="C24" s="2"/>
      <c r="D24" s="90" t="s">
        <v>56</v>
      </c>
      <c r="E24" s="91" t="s">
        <v>57</v>
      </c>
      <c r="F24" s="91" t="s">
        <v>58</v>
      </c>
      <c r="G24" s="92" t="s">
        <v>59</v>
      </c>
      <c r="H24" s="93" t="s">
        <v>60</v>
      </c>
      <c r="I24" s="2"/>
      <c r="J24" s="87"/>
      <c r="K24" s="2"/>
      <c r="L24" s="94" t="s">
        <v>61</v>
      </c>
      <c r="M24" s="95" t="s">
        <v>62</v>
      </c>
      <c r="N24" s="2"/>
      <c r="O24" s="2"/>
      <c r="P24" s="36"/>
    </row>
    <row r="25">
      <c r="A25" s="85" t="s">
        <v>63</v>
      </c>
      <c r="B25" s="96"/>
      <c r="C25" s="2"/>
      <c r="D25" s="97" t="s">
        <v>64</v>
      </c>
      <c r="E25" s="98" t="s">
        <v>65</v>
      </c>
      <c r="F25" s="99">
        <v>24.0</v>
      </c>
      <c r="G25" s="100"/>
      <c r="H25" s="101" t="s">
        <v>66</v>
      </c>
      <c r="I25" s="2"/>
      <c r="J25" s="85" t="s">
        <v>67</v>
      </c>
      <c r="K25" s="102" t="s">
        <v>68</v>
      </c>
      <c r="L25" s="103">
        <f>Reference!B18</f>
        <v>979.5</v>
      </c>
      <c r="M25" s="104">
        <v>123.45</v>
      </c>
      <c r="N25" s="2"/>
      <c r="O25" s="2"/>
      <c r="P25" s="36"/>
    </row>
    <row r="26">
      <c r="A26" s="105" t="s">
        <v>69</v>
      </c>
      <c r="B26" s="106"/>
      <c r="C26" s="2"/>
      <c r="D26" s="107" t="s">
        <v>70</v>
      </c>
      <c r="E26" s="108" t="s">
        <v>71</v>
      </c>
      <c r="F26" s="109">
        <v>1.0</v>
      </c>
      <c r="G26" s="110"/>
      <c r="H26" s="111" t="s">
        <v>72</v>
      </c>
      <c r="I26" s="2"/>
      <c r="J26" s="85" t="s">
        <v>73</v>
      </c>
      <c r="K26" s="102" t="s">
        <v>74</v>
      </c>
      <c r="L26" s="2"/>
      <c r="M26" s="112"/>
      <c r="N26" s="2"/>
      <c r="O26" s="2"/>
      <c r="P26" s="36"/>
    </row>
    <row r="27">
      <c r="A27" s="85"/>
      <c r="B27" s="113"/>
      <c r="C27" s="95"/>
      <c r="D27" s="107" t="s">
        <v>70</v>
      </c>
      <c r="E27" s="108" t="s">
        <v>71</v>
      </c>
      <c r="F27" s="109">
        <v>2.0</v>
      </c>
      <c r="G27" s="110"/>
      <c r="H27" s="111" t="s">
        <v>75</v>
      </c>
      <c r="I27" s="2"/>
      <c r="J27" s="85" t="s">
        <v>76</v>
      </c>
      <c r="K27" s="102" t="s">
        <v>77</v>
      </c>
      <c r="L27" s="103">
        <f>Reference!B23</f>
        <v>904.79</v>
      </c>
      <c r="M27" s="104">
        <v>123.45</v>
      </c>
      <c r="N27" s="2"/>
      <c r="O27" s="2"/>
      <c r="P27" s="36"/>
    </row>
    <row r="28">
      <c r="A28" s="114" t="s">
        <v>78</v>
      </c>
      <c r="B28" s="113"/>
      <c r="C28" s="95"/>
      <c r="D28" s="107" t="s">
        <v>70</v>
      </c>
      <c r="E28" s="108" t="s">
        <v>71</v>
      </c>
      <c r="F28" s="109">
        <v>16.0</v>
      </c>
      <c r="G28" s="110"/>
      <c r="H28" s="111" t="s">
        <v>79</v>
      </c>
      <c r="I28" s="2"/>
      <c r="J28" s="115" t="s">
        <v>80</v>
      </c>
      <c r="K28" s="116" t="s">
        <v>81</v>
      </c>
      <c r="L28" s="117" t="s">
        <v>82</v>
      </c>
      <c r="M28" s="118">
        <f>IFERROR(__xludf.DUMMYFUNCTION("GOOGLEFINANCE(""AVGO"")"),1398.45)</f>
        <v>1398.45</v>
      </c>
      <c r="N28" s="2"/>
      <c r="O28" s="2"/>
      <c r="P28" s="36"/>
    </row>
    <row r="29">
      <c r="A29" s="85" t="s">
        <v>83</v>
      </c>
      <c r="B29" s="119"/>
      <c r="C29" s="95"/>
      <c r="D29" s="107" t="s">
        <v>70</v>
      </c>
      <c r="E29" s="108" t="s">
        <v>71</v>
      </c>
      <c r="F29" s="109">
        <v>17.0</v>
      </c>
      <c r="G29" s="110"/>
      <c r="H29" s="111" t="s">
        <v>84</v>
      </c>
      <c r="I29" s="2"/>
      <c r="J29" s="85"/>
      <c r="K29" s="112"/>
      <c r="L29" s="2"/>
      <c r="M29" s="2"/>
      <c r="N29" s="2"/>
      <c r="O29" s="2"/>
      <c r="P29" s="36"/>
    </row>
    <row r="30">
      <c r="A30" s="85" t="s">
        <v>85</v>
      </c>
      <c r="B30" s="120"/>
      <c r="C30" s="95"/>
      <c r="D30" s="107"/>
      <c r="E30" s="108"/>
      <c r="F30" s="109"/>
      <c r="G30" s="121"/>
      <c r="H30" s="111"/>
      <c r="I30" s="2"/>
      <c r="J30" s="85" t="s">
        <v>86</v>
      </c>
      <c r="K30" s="122"/>
      <c r="L30" s="2"/>
      <c r="M30" s="2"/>
      <c r="N30" s="2"/>
      <c r="O30" s="2"/>
      <c r="P30" s="36"/>
    </row>
    <row r="31">
      <c r="A31" s="85" t="s">
        <v>87</v>
      </c>
      <c r="B31" s="120"/>
      <c r="C31" s="95"/>
      <c r="D31" s="35"/>
      <c r="H31" s="65"/>
      <c r="I31" s="2"/>
      <c r="J31" s="85" t="s">
        <v>88</v>
      </c>
      <c r="K31" s="122"/>
      <c r="L31" s="2"/>
      <c r="M31" s="2"/>
      <c r="N31" s="2"/>
      <c r="O31" s="2"/>
      <c r="P31" s="36"/>
    </row>
    <row r="32">
      <c r="A32" s="123" t="s">
        <v>89</v>
      </c>
      <c r="B32" s="124"/>
      <c r="C32" s="95"/>
      <c r="D32" s="125"/>
      <c r="E32" s="126"/>
      <c r="F32" s="126"/>
      <c r="G32" s="127"/>
      <c r="H32" s="128"/>
      <c r="I32" s="2"/>
      <c r="J32" s="85" t="s">
        <v>90</v>
      </c>
      <c r="K32" s="129"/>
      <c r="L32" s="2"/>
      <c r="M32" s="2"/>
      <c r="N32" s="2"/>
      <c r="O32" s="2"/>
      <c r="P32" s="36"/>
    </row>
    <row r="33">
      <c r="C33" s="95"/>
      <c r="D33" s="95"/>
      <c r="E33" s="95"/>
      <c r="F33" s="95"/>
      <c r="G33" s="95"/>
      <c r="H33" s="2"/>
      <c r="I33" s="2"/>
      <c r="J33" s="85" t="s">
        <v>91</v>
      </c>
      <c r="K33" s="130" t="s">
        <v>92</v>
      </c>
      <c r="L33" s="94"/>
      <c r="M33" s="2"/>
      <c r="N33" s="2"/>
      <c r="O33" s="2"/>
      <c r="P33" s="36"/>
    </row>
    <row r="34">
      <c r="A34" s="2"/>
      <c r="B34" s="2"/>
      <c r="C34" s="95"/>
      <c r="D34" s="95"/>
      <c r="E34" s="95"/>
      <c r="F34" s="95"/>
      <c r="G34" s="95"/>
      <c r="H34" s="2"/>
      <c r="I34" s="2"/>
      <c r="J34" s="85" t="s">
        <v>93</v>
      </c>
      <c r="K34" s="130" t="s">
        <v>94</v>
      </c>
      <c r="L34" s="131">
        <f>SWITCH(K34, "By status", SWITCH(K33,"Single",Reference!B36,"Joint",Reference!C36,"Head of household",Reference!D36), "Custom",M34)</f>
        <v>13850</v>
      </c>
      <c r="M34" s="132"/>
      <c r="N34" s="112" t="s">
        <v>95</v>
      </c>
      <c r="O34" s="2"/>
      <c r="P34" s="36"/>
    </row>
    <row r="35">
      <c r="A35" s="2"/>
      <c r="B35" s="2"/>
      <c r="C35" s="95"/>
      <c r="D35" s="95"/>
      <c r="E35" s="95"/>
      <c r="F35" s="95"/>
      <c r="G35" s="95"/>
      <c r="H35" s="2"/>
      <c r="I35" s="2"/>
      <c r="J35" s="87"/>
      <c r="K35" s="2"/>
      <c r="L35" s="2"/>
      <c r="M35" s="2"/>
      <c r="N35" s="2"/>
      <c r="O35" s="2"/>
      <c r="P35" s="36"/>
    </row>
    <row r="36">
      <c r="A36" s="82" t="s">
        <v>96</v>
      </c>
      <c r="B36" s="133"/>
      <c r="C36" s="133"/>
      <c r="D36" s="133"/>
      <c r="E36" s="133"/>
      <c r="F36" s="133"/>
      <c r="G36" s="24"/>
      <c r="H36" s="25"/>
      <c r="I36" s="2"/>
      <c r="J36" s="105" t="s">
        <v>97</v>
      </c>
      <c r="K36" s="134" t="s">
        <v>98</v>
      </c>
      <c r="L36" s="135"/>
      <c r="M36" s="135"/>
      <c r="N36" s="135"/>
      <c r="O36" s="135"/>
      <c r="P36" s="136"/>
    </row>
    <row r="37">
      <c r="A37" s="87"/>
      <c r="B37" s="94"/>
      <c r="C37" s="137"/>
      <c r="D37" s="137"/>
      <c r="E37" s="137"/>
      <c r="F37" s="137"/>
      <c r="G37" s="2"/>
      <c r="H37" s="136"/>
      <c r="I37" s="2"/>
      <c r="J37" s="2"/>
      <c r="K37" s="2"/>
      <c r="L37" s="2"/>
      <c r="M37" s="2"/>
      <c r="N37" s="2"/>
      <c r="O37" s="2"/>
      <c r="P37" s="2"/>
    </row>
    <row r="38">
      <c r="A38" s="82" t="s">
        <v>99</v>
      </c>
      <c r="B38" s="138"/>
      <c r="C38" s="133"/>
      <c r="D38" s="133"/>
      <c r="E38" s="133"/>
      <c r="F38" s="133"/>
      <c r="G38" s="24"/>
      <c r="H38" s="36"/>
      <c r="I38" s="2"/>
      <c r="J38" s="2"/>
      <c r="K38" s="2"/>
      <c r="L38" s="2"/>
      <c r="M38" s="2"/>
      <c r="N38" s="2"/>
      <c r="O38" s="94"/>
      <c r="P38" s="94"/>
    </row>
    <row r="39">
      <c r="A39" s="2"/>
      <c r="B39" s="2"/>
      <c r="C39" s="2"/>
      <c r="D39" s="2"/>
      <c r="E39" s="2"/>
      <c r="F39" s="2"/>
      <c r="G39" s="2"/>
      <c r="H39" s="36"/>
      <c r="I39" s="2"/>
      <c r="J39" s="82" t="s">
        <v>100</v>
      </c>
      <c r="K39" s="24"/>
      <c r="L39" s="24"/>
      <c r="M39" s="24"/>
      <c r="N39" s="24"/>
      <c r="O39" s="138"/>
      <c r="P39" s="25"/>
      <c r="Q39" s="139"/>
      <c r="R39" s="139"/>
      <c r="T39" s="140"/>
    </row>
    <row r="40">
      <c r="A40" s="2"/>
      <c r="B40" s="137" t="s">
        <v>101</v>
      </c>
      <c r="C40" s="137" t="s">
        <v>102</v>
      </c>
      <c r="D40" s="137" t="s">
        <v>103</v>
      </c>
      <c r="E40" s="137" t="s">
        <v>104</v>
      </c>
      <c r="F40" s="137" t="s">
        <v>105</v>
      </c>
      <c r="G40" s="94" t="s">
        <v>106</v>
      </c>
      <c r="H40" s="141" t="s">
        <v>107</v>
      </c>
      <c r="I40" s="2"/>
      <c r="J40" s="35"/>
      <c r="K40" s="142" t="s">
        <v>108</v>
      </c>
      <c r="P40" s="36"/>
      <c r="R40" s="139"/>
    </row>
    <row r="41">
      <c r="A41" s="143" t="s">
        <v>109</v>
      </c>
      <c r="B41" s="24"/>
      <c r="C41" s="144">
        <f>MOD(ESPP!AI5+RSU!AE5,1)</f>
        <v>0</v>
      </c>
      <c r="D41" s="27"/>
      <c r="E41" s="27"/>
      <c r="F41" s="145">
        <f>ROUNDDOWN(ESPP!AI5+RSU!AE5)</f>
        <v>0</v>
      </c>
      <c r="G41" s="27"/>
      <c r="H41" s="146"/>
      <c r="I41" s="2"/>
      <c r="J41" s="35"/>
      <c r="P41" s="36"/>
      <c r="T41" s="147"/>
    </row>
    <row r="42">
      <c r="A42" s="148" t="s">
        <v>110</v>
      </c>
      <c r="B42" s="149">
        <f>Reference!B31</f>
        <v>0</v>
      </c>
      <c r="C42" s="150">
        <f>ROUND(C41*Reference!B23,2)</f>
        <v>0</v>
      </c>
      <c r="D42" s="151">
        <f>ESPP!AN5+RSU!AJ5</f>
        <v>0</v>
      </c>
      <c r="E42" s="151">
        <f>ESPP!AO5+RSU!AK5</f>
        <v>0</v>
      </c>
      <c r="F42" s="152">
        <f>F41*Reference!B18</f>
        <v>0</v>
      </c>
      <c r="G42" s="153"/>
      <c r="H42" s="154">
        <f>LET(longTermNet, E42*(1-Reference!B44), shortTermNet, D42*(1-(Reference!$C$58+Reference!$C$60)), imputedIncome, G42 * (Reference!$C$58+Reference!$C$60), longTermNet + shortTermNet - imputedIncome)</f>
        <v>0</v>
      </c>
      <c r="I42" s="2"/>
      <c r="J42" s="35"/>
      <c r="K42" s="155" t="s">
        <v>111</v>
      </c>
      <c r="L42" s="156"/>
      <c r="M42" s="156"/>
      <c r="N42" s="156"/>
      <c r="O42" s="157"/>
      <c r="P42" s="36"/>
      <c r="R42" s="158"/>
      <c r="T42" s="147"/>
    </row>
    <row r="43">
      <c r="A43" s="87"/>
      <c r="B43" s="87"/>
      <c r="C43" s="2"/>
      <c r="H43" s="159"/>
      <c r="I43" s="2"/>
      <c r="J43" s="35"/>
      <c r="K43" s="160" t="s">
        <v>112</v>
      </c>
      <c r="L43" s="161" t="s">
        <v>113</v>
      </c>
      <c r="M43" s="161" t="s">
        <v>114</v>
      </c>
      <c r="N43" s="161" t="s">
        <v>115</v>
      </c>
      <c r="O43" s="162" t="s">
        <v>116</v>
      </c>
      <c r="P43" s="36"/>
      <c r="Q43" s="163"/>
      <c r="R43" s="158"/>
      <c r="S43" s="147"/>
    </row>
    <row r="44">
      <c r="A44" s="164" t="s">
        <v>117</v>
      </c>
      <c r="B44" s="165"/>
      <c r="C44" s="165"/>
      <c r="D44" s="166">
        <f>RSU!AV5</f>
        <v>0</v>
      </c>
      <c r="E44" s="167">
        <f>RSU!AW5+ESPP!BD5</f>
        <v>0</v>
      </c>
      <c r="F44" s="168"/>
      <c r="G44" s="167">
        <f>ESPP!BB5</f>
        <v>0</v>
      </c>
      <c r="H44" s="169">
        <f>LET(longTermNet, E44*(1-Reference!B46), shortTermNet, D44*(1-(Reference!$C$58+Reference!$C$60)), imputedIncome, G44 * (Reference!$C$58+Reference!$C$60), longTermNet + shortTermNet - imputedIncome)</f>
        <v>0</v>
      </c>
      <c r="I44" s="2"/>
      <c r="J44" s="35"/>
      <c r="K44" s="170">
        <f>C42</f>
        <v>0</v>
      </c>
      <c r="L44" s="171">
        <f>IF(ESPP!N5&gt;0,0,K44-O44)</f>
        <v>0</v>
      </c>
      <c r="M44" s="171" t="s">
        <v>118</v>
      </c>
      <c r="N44" s="172">
        <f>O44-K44+L44</f>
        <v>0</v>
      </c>
      <c r="O44" s="173">
        <f>RSU!AH5+ESPP!AL5</f>
        <v>0</v>
      </c>
      <c r="P44" s="36"/>
      <c r="R44" s="158"/>
      <c r="S44" s="147"/>
    </row>
    <row r="45">
      <c r="A45" s="112"/>
      <c r="B45" s="2"/>
      <c r="C45" s="2"/>
      <c r="D45" s="174"/>
      <c r="E45" s="174"/>
      <c r="F45" s="2"/>
      <c r="G45" s="2"/>
      <c r="H45" s="175"/>
      <c r="I45" s="2"/>
      <c r="J45" s="87"/>
      <c r="K45" s="2"/>
      <c r="L45" s="2"/>
      <c r="M45" s="2"/>
      <c r="N45" s="2"/>
      <c r="O45" s="2"/>
      <c r="P45" s="36"/>
    </row>
    <row r="46">
      <c r="A46" s="176" t="s">
        <v>119</v>
      </c>
      <c r="B46" s="177">
        <f>ESPP!AE5+RSU!AA5</f>
        <v>0</v>
      </c>
      <c r="C46" s="2"/>
      <c r="D46" s="2"/>
      <c r="E46" s="112"/>
      <c r="F46" s="112"/>
      <c r="G46" s="2"/>
      <c r="H46" s="178">
        <f>H42+H44</f>
        <v>0</v>
      </c>
      <c r="I46" s="2"/>
      <c r="J46" s="87"/>
      <c r="K46" s="112" t="s">
        <v>120</v>
      </c>
      <c r="P46" s="36"/>
    </row>
    <row r="47">
      <c r="A47" s="2"/>
      <c r="B47" s="2"/>
      <c r="C47" s="2"/>
      <c r="D47" s="2"/>
      <c r="E47" s="2"/>
      <c r="F47" s="2"/>
      <c r="G47" s="179"/>
      <c r="H47" s="180"/>
      <c r="I47" s="2"/>
      <c r="J47" s="181"/>
      <c r="K47" s="135"/>
      <c r="L47" s="135"/>
      <c r="M47" s="135"/>
      <c r="N47" s="135"/>
      <c r="O47" s="135"/>
      <c r="P47" s="136"/>
    </row>
    <row r="48">
      <c r="A48" s="138" t="s">
        <v>121</v>
      </c>
      <c r="B48" s="182" t="s">
        <v>122</v>
      </c>
      <c r="C48" s="183" t="s">
        <v>123</v>
      </c>
      <c r="D48" s="184"/>
      <c r="E48" s="184"/>
      <c r="F48" s="184"/>
      <c r="G48" s="184"/>
      <c r="H48" s="185"/>
      <c r="I48" s="2"/>
      <c r="J48" s="2"/>
      <c r="K48" s="2"/>
      <c r="L48" s="2"/>
      <c r="M48" s="2"/>
      <c r="N48" s="2"/>
      <c r="O48" s="2"/>
      <c r="P48" s="2"/>
    </row>
    <row r="49">
      <c r="A49" s="2"/>
      <c r="B49" s="137"/>
      <c r="C49" s="186" t="s">
        <v>124</v>
      </c>
      <c r="D49" s="137"/>
      <c r="E49" s="137"/>
      <c r="F49" s="137"/>
      <c r="G49" s="2"/>
      <c r="H49" s="36"/>
      <c r="I49" s="2"/>
      <c r="J49" s="187"/>
      <c r="K49" s="2"/>
      <c r="L49" s="2"/>
      <c r="M49" s="2"/>
      <c r="N49" s="2"/>
      <c r="O49" s="2"/>
      <c r="P49" s="2"/>
    </row>
    <row r="50">
      <c r="A50" s="2"/>
      <c r="B50" s="137"/>
      <c r="C50" s="137"/>
      <c r="D50" s="137"/>
      <c r="E50" s="137"/>
      <c r="F50" s="137"/>
      <c r="G50" s="2"/>
      <c r="H50" s="36"/>
      <c r="I50" s="2"/>
      <c r="J50" s="2"/>
      <c r="K50" s="2"/>
      <c r="L50" s="2"/>
      <c r="M50" s="2"/>
      <c r="N50" s="2"/>
      <c r="O50" s="2"/>
      <c r="P50" s="2"/>
    </row>
    <row r="51">
      <c r="A51" s="87"/>
      <c r="B51" s="137" t="s">
        <v>125</v>
      </c>
      <c r="D51" s="137" t="s">
        <v>126</v>
      </c>
      <c r="F51" s="137" t="s">
        <v>127</v>
      </c>
      <c r="H51" s="143" t="s">
        <v>128</v>
      </c>
      <c r="I51" s="2"/>
      <c r="J51" s="2"/>
      <c r="K51" s="2"/>
      <c r="L51" s="2"/>
      <c r="M51" s="2"/>
      <c r="N51" s="2"/>
      <c r="O51" s="2"/>
      <c r="P51" s="2"/>
      <c r="Q51" s="2"/>
    </row>
    <row r="52">
      <c r="A52" s="188"/>
      <c r="B52" s="189" t="s">
        <v>129</v>
      </c>
      <c r="C52" s="190" t="s">
        <v>130</v>
      </c>
      <c r="D52" s="191" t="s">
        <v>131</v>
      </c>
      <c r="E52" s="192" t="s">
        <v>132</v>
      </c>
      <c r="F52" s="189" t="s">
        <v>133</v>
      </c>
      <c r="G52" s="192" t="s">
        <v>134</v>
      </c>
      <c r="H52" s="193"/>
      <c r="I52" s="2"/>
      <c r="J52" s="2"/>
      <c r="K52" s="2"/>
      <c r="L52" s="2"/>
      <c r="M52" s="2"/>
      <c r="N52" s="2"/>
      <c r="O52" s="2"/>
      <c r="P52" s="2"/>
      <c r="Q52" s="2"/>
    </row>
    <row r="53">
      <c r="A53" s="188" t="s">
        <v>135</v>
      </c>
      <c r="B53" s="194">
        <f>C54+C55</f>
        <v>0</v>
      </c>
      <c r="C53" s="195"/>
      <c r="D53" s="194">
        <f>1.1*G25</f>
        <v>0</v>
      </c>
      <c r="E53" s="196">
        <f>D53-G27-F53</f>
        <v>0</v>
      </c>
      <c r="F53" s="197">
        <v>0.0</v>
      </c>
      <c r="G53" s="198">
        <f>B53-G27-F53</f>
        <v>0</v>
      </c>
      <c r="H53" s="199">
        <f>Reference!C58</f>
        <v>0</v>
      </c>
      <c r="I53" s="2"/>
      <c r="J53" s="2"/>
      <c r="K53" s="2"/>
      <c r="L53" s="2"/>
      <c r="M53" s="2"/>
      <c r="N53" s="2"/>
      <c r="O53" s="2"/>
      <c r="P53" s="2"/>
      <c r="Q53" s="2"/>
    </row>
    <row r="54">
      <c r="A54" s="188" t="s">
        <v>136</v>
      </c>
      <c r="B54" s="200"/>
      <c r="C54" s="201">
        <f>Reference!B58</f>
        <v>0</v>
      </c>
      <c r="D54" s="87"/>
      <c r="E54" s="36"/>
      <c r="F54" s="35"/>
      <c r="G54" s="65"/>
      <c r="H54" s="36"/>
      <c r="I54" s="2"/>
      <c r="J54" s="2"/>
      <c r="K54" s="2"/>
      <c r="L54" s="2"/>
      <c r="M54" s="2"/>
      <c r="N54" s="2"/>
      <c r="O54" s="2"/>
      <c r="P54" s="2"/>
      <c r="Q54" s="2"/>
    </row>
    <row r="55">
      <c r="A55" s="188" t="s">
        <v>137</v>
      </c>
      <c r="B55" s="200"/>
      <c r="C55" s="201">
        <f>Reference!B59</f>
        <v>0</v>
      </c>
      <c r="D55" s="87"/>
      <c r="E55" s="36"/>
      <c r="F55" s="35"/>
      <c r="G55" s="65"/>
      <c r="H55" s="36"/>
      <c r="I55" s="2"/>
      <c r="J55" s="2"/>
      <c r="K55" s="2"/>
      <c r="L55" s="2"/>
      <c r="M55" s="2"/>
      <c r="N55" s="2"/>
      <c r="O55" s="2"/>
      <c r="P55" s="2"/>
      <c r="Q55" s="2"/>
    </row>
    <row r="56">
      <c r="A56" s="188" t="s">
        <v>138</v>
      </c>
      <c r="B56" s="202">
        <f>Reference!B60</f>
        <v>0</v>
      </c>
      <c r="C56" s="195"/>
      <c r="D56" s="203">
        <f>0.9 * B56</f>
        <v>0</v>
      </c>
      <c r="E56" s="204">
        <f>D56-G29-F56</f>
        <v>0</v>
      </c>
      <c r="F56" s="205"/>
      <c r="G56" s="206">
        <f>B56-G29-F56</f>
        <v>0</v>
      </c>
      <c r="H56" s="199">
        <f>Reference!C60</f>
        <v>0</v>
      </c>
      <c r="I56" s="2"/>
      <c r="J56" s="2"/>
      <c r="K56" s="2"/>
      <c r="L56" s="2"/>
      <c r="M56" s="2"/>
      <c r="N56" s="2"/>
      <c r="O56" s="2"/>
      <c r="P56" s="2"/>
      <c r="Q56" s="2"/>
    </row>
    <row r="57">
      <c r="A57" s="207" t="s">
        <v>139</v>
      </c>
      <c r="B57" s="202">
        <f>B53+B56</f>
        <v>0</v>
      </c>
      <c r="C57" s="208"/>
      <c r="D57" s="208">
        <f t="shared" ref="D57:G57" si="1">SUM(D53:D56)</f>
        <v>0</v>
      </c>
      <c r="E57" s="209">
        <f t="shared" si="1"/>
        <v>0</v>
      </c>
      <c r="F57" s="210">
        <f t="shared" si="1"/>
        <v>0</v>
      </c>
      <c r="G57" s="211">
        <f t="shared" si="1"/>
        <v>0</v>
      </c>
      <c r="H57" s="212">
        <f>H56+H53</f>
        <v>0</v>
      </c>
      <c r="I57" s="2"/>
      <c r="J57" s="2"/>
      <c r="K57" s="2"/>
      <c r="L57" s="2"/>
      <c r="M57" s="2"/>
      <c r="N57" s="2"/>
      <c r="O57" s="2"/>
      <c r="P57" s="2"/>
      <c r="Q57" s="2"/>
    </row>
    <row r="58">
      <c r="A58" s="2"/>
      <c r="B58" s="2"/>
      <c r="C58" s="2"/>
      <c r="D58" s="2"/>
      <c r="E58" s="2"/>
      <c r="F58" s="2"/>
      <c r="G58" s="2"/>
      <c r="H58" s="2"/>
      <c r="I58" s="2"/>
      <c r="J58" s="2"/>
      <c r="K58" s="2"/>
      <c r="L58" s="2"/>
      <c r="M58" s="2"/>
      <c r="N58" s="2"/>
      <c r="O58" s="2"/>
      <c r="P58" s="2"/>
    </row>
    <row r="59">
      <c r="A59" s="2"/>
      <c r="B59" s="2"/>
      <c r="C59" s="2"/>
      <c r="D59" s="2"/>
      <c r="E59" s="2"/>
      <c r="F59" s="2"/>
      <c r="G59" s="2"/>
      <c r="H59" s="2"/>
      <c r="I59" s="2"/>
    </row>
    <row r="60">
      <c r="A60" s="2"/>
      <c r="B60" s="2"/>
      <c r="C60" s="2"/>
      <c r="D60" s="2"/>
      <c r="E60" s="213"/>
      <c r="F60" s="2"/>
      <c r="G60" s="2"/>
      <c r="H60" s="2"/>
      <c r="I60" s="2"/>
    </row>
    <row r="65">
      <c r="B65" s="147"/>
      <c r="C65" s="147"/>
      <c r="D65" s="147"/>
    </row>
    <row r="69">
      <c r="C69" s="214"/>
      <c r="D69" s="214"/>
    </row>
    <row r="70">
      <c r="B70" s="215"/>
      <c r="C70" s="147"/>
      <c r="D70" s="147"/>
      <c r="E70" s="147"/>
      <c r="F70" s="147"/>
    </row>
    <row r="71">
      <c r="B71" s="147"/>
      <c r="C71" s="216"/>
    </row>
    <row r="72">
      <c r="B72" s="217"/>
      <c r="C72" s="215"/>
    </row>
    <row r="73">
      <c r="C73" s="147"/>
      <c r="D73" s="147"/>
      <c r="E73" s="215"/>
      <c r="F73" s="215"/>
    </row>
    <row r="74">
      <c r="C74" s="147"/>
      <c r="D74" s="147"/>
      <c r="E74" s="215"/>
      <c r="F74" s="215"/>
    </row>
    <row r="75">
      <c r="C75" s="218"/>
      <c r="D75" s="219"/>
      <c r="E75" s="220"/>
      <c r="F75" s="221"/>
    </row>
    <row r="76">
      <c r="B76" s="222"/>
      <c r="C76" s="147"/>
      <c r="D76" s="147"/>
      <c r="E76" s="147"/>
      <c r="F76" s="147"/>
    </row>
    <row r="77">
      <c r="B77" s="142"/>
      <c r="C77" s="147"/>
      <c r="D77" s="147"/>
      <c r="E77" s="147"/>
      <c r="F77" s="147"/>
    </row>
    <row r="78">
      <c r="B78" s="147"/>
      <c r="C78" s="147"/>
      <c r="D78" s="147"/>
      <c r="E78" s="147"/>
      <c r="F78" s="147"/>
    </row>
    <row r="79">
      <c r="B79" s="147"/>
      <c r="C79" s="147"/>
      <c r="D79" s="147"/>
      <c r="E79" s="147"/>
      <c r="F79" s="147"/>
    </row>
    <row r="80">
      <c r="B80" s="223"/>
      <c r="C80" s="147"/>
      <c r="D80" s="147"/>
      <c r="E80" s="147"/>
      <c r="F80" s="147"/>
    </row>
    <row r="81">
      <c r="B81" s="147"/>
      <c r="C81" s="147"/>
      <c r="D81" s="147"/>
      <c r="E81" s="147"/>
      <c r="F81" s="147"/>
    </row>
    <row r="82">
      <c r="C82" s="147"/>
      <c r="D82" s="147"/>
      <c r="E82" s="147"/>
      <c r="F82" s="147"/>
    </row>
    <row r="83">
      <c r="C83" s="147"/>
      <c r="D83" s="147"/>
      <c r="E83" s="147"/>
      <c r="F83" s="147"/>
    </row>
    <row r="84">
      <c r="B84" s="163"/>
      <c r="C84" s="147"/>
      <c r="D84" s="147"/>
      <c r="E84" s="147"/>
      <c r="F84" s="147"/>
    </row>
    <row r="85">
      <c r="B85" s="224"/>
      <c r="C85" s="147"/>
      <c r="D85" s="147"/>
      <c r="E85" s="147"/>
      <c r="F85" s="147"/>
    </row>
    <row r="86">
      <c r="C86" s="215"/>
      <c r="E86" s="147"/>
      <c r="F86" s="147"/>
    </row>
    <row r="87">
      <c r="B87" s="225"/>
      <c r="C87" s="215"/>
    </row>
    <row r="90">
      <c r="C90" s="215"/>
      <c r="D90" s="215"/>
      <c r="E90" s="215"/>
      <c r="F90" s="142"/>
      <c r="G90" s="142"/>
    </row>
    <row r="91">
      <c r="B91" s="147"/>
    </row>
    <row r="98">
      <c r="C98" s="139"/>
      <c r="D98" s="139"/>
      <c r="E98" s="226"/>
      <c r="F98" s="139"/>
    </row>
    <row r="99">
      <c r="C99" s="139"/>
      <c r="D99" s="139"/>
      <c r="E99" s="226"/>
      <c r="F99" s="139"/>
    </row>
    <row r="100">
      <c r="C100" s="227"/>
      <c r="D100" s="227"/>
      <c r="E100" s="147"/>
      <c r="F100" s="147"/>
    </row>
    <row r="101">
      <c r="C101" s="147"/>
      <c r="D101" s="147"/>
      <c r="E101" s="147"/>
      <c r="F101" s="215"/>
    </row>
    <row r="102">
      <c r="C102" s="147"/>
      <c r="D102" s="147"/>
      <c r="E102" s="147"/>
      <c r="F102" s="228"/>
    </row>
    <row r="103">
      <c r="C103" s="147"/>
      <c r="D103" s="147"/>
      <c r="E103" s="147"/>
      <c r="F103" s="228"/>
    </row>
  </sheetData>
  <mergeCells count="19">
    <mergeCell ref="C1:H1"/>
    <mergeCell ref="J1:U1"/>
    <mergeCell ref="D3:E3"/>
    <mergeCell ref="F3:H3"/>
    <mergeCell ref="C5:H5"/>
    <mergeCell ref="C6:H6"/>
    <mergeCell ref="C7:H7"/>
    <mergeCell ref="K46:O46"/>
    <mergeCell ref="C48:H48"/>
    <mergeCell ref="B51:C51"/>
    <mergeCell ref="D51:E51"/>
    <mergeCell ref="F51:G51"/>
    <mergeCell ref="C8:H8"/>
    <mergeCell ref="C9:H9"/>
    <mergeCell ref="C10:H10"/>
    <mergeCell ref="C11:H11"/>
    <mergeCell ref="C12:H12"/>
    <mergeCell ref="C16:H18"/>
    <mergeCell ref="K42:O42"/>
  </mergeCells>
  <conditionalFormatting sqref="B29">
    <cfRule type="cellIs" dxfId="0" priority="1" operator="notEqual">
      <formula>B25+B26</formula>
    </cfRule>
  </conditionalFormatting>
  <conditionalFormatting sqref="B30">
    <cfRule type="containsBlanks" dxfId="1" priority="2">
      <formula>LEN(TRIM(B30))=0</formula>
    </cfRule>
  </conditionalFormatting>
  <conditionalFormatting sqref="B30">
    <cfRule type="expression" dxfId="0" priority="3">
      <formula>AND(EQ(K27, "eTrade"), NE(B30,C42))</formula>
    </cfRule>
  </conditionalFormatting>
  <conditionalFormatting sqref="B30">
    <cfRule type="expression" dxfId="2" priority="4">
      <formula>NE(K27,"eTrade")</formula>
    </cfRule>
  </conditionalFormatting>
  <conditionalFormatting sqref="B31">
    <cfRule type="cellIs" dxfId="0" priority="5" operator="notEqual">
      <formula>B42</formula>
    </cfRule>
  </conditionalFormatting>
  <conditionalFormatting sqref="G42">
    <cfRule type="notContainsBlanks" dxfId="3" priority="6">
      <formula>LEN(TRIM(G42))&gt;0</formula>
    </cfRule>
  </conditionalFormatting>
  <conditionalFormatting sqref="F41">
    <cfRule type="cellIs" dxfId="4" priority="7" operator="notEqual">
      <formula>ROUNDDOWN(B26 * indirect("Reference!$B$6"))</formula>
    </cfRule>
  </conditionalFormatting>
  <conditionalFormatting sqref="B32">
    <cfRule type="cellIs" dxfId="5" priority="8" operator="notEqual">
      <formula>F41</formula>
    </cfRule>
  </conditionalFormatting>
  <conditionalFormatting sqref="E53 E56">
    <cfRule type="cellIs" dxfId="0" priority="9" operator="greaterThan">
      <formula>0</formula>
    </cfRule>
  </conditionalFormatting>
  <dataValidations>
    <dataValidation type="list" allowBlank="1" showErrorMessage="1" sqref="K25">
      <formula1>"Mean,Close,High,Low,Custom"</formula1>
    </dataValidation>
    <dataValidation type="list" allowBlank="1" showErrorMessage="1" sqref="K27">
      <formula1>"eTrade,Form 8937,Custom"</formula1>
    </dataValidation>
    <dataValidation type="decimal" operator="equal" allowBlank="1" showDropDown="1" sqref="B29">
      <formula1>B25+B26</formula1>
    </dataValidation>
    <dataValidation type="decimal" operator="equal" allowBlank="1" showDropDown="1" showInputMessage="1" prompt="Check at least one box to select a lot for the fraction to associate with" sqref="C41">
      <formula1>ESPP!AK5+RSU!AG5</formula1>
    </dataValidation>
    <dataValidation type="list" allowBlank="1" showErrorMessage="1" sqref="K34">
      <formula1>"By status,Custom"</formula1>
    </dataValidation>
    <dataValidation type="list" allowBlank="1" showErrorMessage="1" sqref="K26">
      <formula1>"Pro-rata - from Necessary Inputs,Per-lot - from strategy or manual selection,Pro-rata - from eTrade share qty,Pro-rata - from eTrade transaction log"</formula1>
    </dataValidation>
    <dataValidation type="list" allowBlank="1" showInputMessage="1" prompt="Click and enter a value from the list of items" sqref="K28">
      <formula1>"last year,today,2024-03-01,2024-05-01,2024-06-01,2024-08-01,2024-09-01"</formula1>
    </dataValidation>
    <dataValidation type="decimal" operator="greaterThan" allowBlank="1" showDropDown="1" showErrorMessage="1" sqref="M28">
      <formula1>0.0</formula1>
    </dataValidation>
    <dataValidation type="list" allowBlank="1" showErrorMessage="1" sqref="K33">
      <formula1>"Single,Joint,Head of household"</formula1>
    </dataValidation>
    <dataValidation type="list" allowBlank="1" showErrorMessage="1" sqref="K36">
      <formula1>"Cash &amp; AVGO FMV,Cash only"</formula1>
    </dataValidation>
  </dataValidations>
  <hyperlinks>
    <hyperlink r:id="rId2" ref="C3"/>
    <hyperlink r:id="rId3" ref="D3"/>
    <hyperlink r:id="rId4" ref="F3"/>
    <hyperlink r:id="rId5" location="necessary" ref="M5"/>
    <hyperlink r:id="rId6" location="form-8949" ref="Q5"/>
    <hyperlink r:id="rId7" location="etrade-stock-plan-confirmations" ref="K6"/>
    <hyperlink r:id="rId8" location="espp" ref="M6"/>
    <hyperlink r:id="rId9" location="etrade-stock-plan-confirmations" ref="K7"/>
    <hyperlink r:id="rId10" location="rsu" ref="M7"/>
    <hyperlink r:id="rId11" location="factional-share" ref="M8"/>
    <hyperlink r:id="rId12" location="etrade-total-vmw-share-ownership" ref="K9"/>
    <hyperlink r:id="rId13" location="factional-share" ref="M9"/>
    <hyperlink r:id="rId14" ref="C10"/>
    <hyperlink r:id="rId15" location="etrade-transaction-log" ref="K10"/>
    <hyperlink r:id="rId16" ref="C11"/>
    <hyperlink r:id="rId17" location="etrade-benefit-history-spreadsheet" ref="K11"/>
    <hyperlink r:id="rId18" location="reporting-the-imputed-ordinary-income-from-espp-sale" ref="R11"/>
    <hyperlink r:id="rId19" ref="C12"/>
    <hyperlink r:id="rId20" location="etrade-1099-b--supplement" ref="K12"/>
    <hyperlink r:id="rId21" location="reporting-the-imputed-ordinary-income-from-espp-sale" ref="R12"/>
    <hyperlink r:id="rId22" location="etrade-1099-b--supplement" ref="K13"/>
    <hyperlink r:id="rId23" location="other-income" ref="M13"/>
    <hyperlink r:id="rId24" location="validations" ref="M14"/>
    <hyperlink r:id="rId25" location="w2-and-1040" ref="M15"/>
    <hyperlink r:id="rId26" location="etrade-per-lot-avgo-quantities" ref="K16"/>
    <hyperlink r:id="rId27" location="avgo-qty-from-eTrade" ref="M16"/>
    <hyperlink r:id="rId28" location="factional-share" ref="M17"/>
  </hyperlinks>
  <drawing r:id="rId29"/>
  <legacyDrawing r:id="rId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hidden="1" min="1" max="1" width="18.13"/>
    <col customWidth="1" min="4" max="4" width="14.75"/>
    <col customWidth="1" hidden="1" min="5" max="5" width="19.25"/>
    <col customWidth="1" hidden="1" min="6" max="6" width="20.38"/>
    <col customWidth="1" hidden="1" min="7" max="7" width="16.88"/>
    <col customWidth="1" hidden="1" min="8" max="8" width="23.25"/>
    <col customWidth="1" hidden="1" min="9" max="9" width="20.0"/>
    <col customWidth="1" hidden="1" min="10" max="10" width="14.75"/>
    <col customWidth="1" hidden="1" min="11" max="11" width="11.63"/>
    <col customWidth="1" hidden="1" min="12" max="12" width="20.13"/>
    <col customWidth="1" min="13" max="13" width="24.38"/>
    <col hidden="1" min="15" max="15" width="12.63"/>
    <col customWidth="1" hidden="1" min="16" max="16" width="19.0"/>
    <col customWidth="1" hidden="1" min="17" max="17" width="19.63"/>
    <col customWidth="1" hidden="1" min="18" max="18" width="21.5"/>
    <col hidden="1" min="19" max="19" width="12.63"/>
    <col customWidth="1" hidden="1" min="20" max="20" width="25.13"/>
    <col customWidth="1" hidden="1" min="21" max="22" width="23.75"/>
    <col customWidth="1" min="23" max="23" width="23.75"/>
    <col customWidth="1" hidden="1" min="24" max="24" width="12.5"/>
    <col customWidth="1" hidden="1" min="25" max="26" width="17.38"/>
    <col customWidth="1" hidden="1" min="27" max="28" width="28.0"/>
    <col customWidth="1" hidden="1" min="29" max="29" width="23.38"/>
    <col customWidth="1" hidden="1" min="30" max="31" width="21.0"/>
    <col customWidth="1" hidden="1" min="32" max="32" width="13.0"/>
    <col customWidth="1" hidden="1" min="33" max="35" width="17.38"/>
    <col customWidth="1" hidden="1" min="36" max="36" width="23.75"/>
    <col hidden="1" min="37" max="37" width="12.63"/>
    <col customWidth="1" min="40" max="40" width="19.63"/>
    <col customWidth="1" min="41" max="41" width="12.13"/>
    <col customWidth="1" min="42" max="42" width="13.63"/>
    <col customWidth="1" min="43" max="43" width="13.0"/>
    <col customWidth="1" min="44" max="44" width="13.88"/>
    <col customWidth="1" min="45" max="45" width="12.13"/>
    <col customWidth="1" min="46" max="46" width="13.25"/>
    <col customWidth="1" min="47" max="49" width="12.13"/>
    <col customWidth="1" min="50" max="50" width="24.0"/>
    <col customWidth="1" min="51" max="51" width="33.0"/>
    <col customWidth="1" min="52" max="52" width="23.38"/>
    <col customWidth="1" hidden="1" min="53" max="53" width="7.63"/>
    <col customWidth="1" min="54" max="54" width="19.88"/>
    <col customWidth="1" min="55" max="57" width="18.13"/>
  </cols>
  <sheetData>
    <row r="1">
      <c r="A1" s="229" t="s">
        <v>2</v>
      </c>
      <c r="W1" s="230"/>
      <c r="X1" s="137" t="s">
        <v>140</v>
      </c>
      <c r="BD1" s="230"/>
      <c r="BE1" s="137"/>
    </row>
    <row r="2">
      <c r="A2" s="231" t="s">
        <v>141</v>
      </c>
      <c r="B2" s="184"/>
      <c r="C2" s="184"/>
      <c r="D2" s="184"/>
      <c r="E2" s="184"/>
      <c r="F2" s="184"/>
      <c r="G2" s="184"/>
      <c r="H2" s="184"/>
      <c r="I2" s="184"/>
      <c r="J2" s="184"/>
      <c r="K2" s="184"/>
      <c r="L2" s="185"/>
      <c r="M2" s="232" t="s">
        <v>142</v>
      </c>
      <c r="N2" s="184"/>
      <c r="O2" s="233"/>
      <c r="P2" s="233"/>
      <c r="Q2" s="233"/>
      <c r="R2" s="233"/>
      <c r="S2" s="233"/>
      <c r="T2" s="233"/>
      <c r="U2" s="233"/>
      <c r="V2" s="184"/>
      <c r="W2" s="185"/>
      <c r="X2" s="133" t="s">
        <v>143</v>
      </c>
      <c r="Y2" s="184"/>
      <c r="Z2" s="184"/>
      <c r="AA2" s="184"/>
      <c r="AB2" s="184"/>
      <c r="AC2" s="184"/>
      <c r="AD2" s="184"/>
      <c r="AE2" s="184"/>
      <c r="AF2" s="184"/>
      <c r="AG2" s="184"/>
      <c r="AH2" s="184"/>
      <c r="AI2" s="184"/>
      <c r="AJ2" s="184"/>
      <c r="AK2" s="234"/>
      <c r="AL2" s="133" t="s">
        <v>144</v>
      </c>
      <c r="AM2" s="184"/>
      <c r="AN2" s="184"/>
      <c r="AO2" s="184"/>
      <c r="AP2" s="184"/>
      <c r="AQ2" s="184"/>
      <c r="AR2" s="184"/>
      <c r="AS2" s="184"/>
      <c r="AT2" s="184"/>
      <c r="AU2" s="184"/>
      <c r="AV2" s="184"/>
      <c r="AW2" s="185"/>
      <c r="AX2" s="235"/>
      <c r="AY2" s="236" t="s">
        <v>145</v>
      </c>
      <c r="AZ2" s="184"/>
      <c r="BA2" s="184"/>
      <c r="BB2" s="184"/>
      <c r="BC2" s="184"/>
      <c r="BD2" s="185"/>
      <c r="BE2" s="237"/>
    </row>
    <row r="3">
      <c r="A3" s="238"/>
      <c r="B3" s="239" t="s">
        <v>146</v>
      </c>
      <c r="H3" s="240" t="s">
        <v>147</v>
      </c>
      <c r="I3" s="239" t="s">
        <v>148</v>
      </c>
      <c r="L3" s="230"/>
      <c r="M3" s="241" t="s">
        <v>149</v>
      </c>
      <c r="O3" s="242" t="s">
        <v>150</v>
      </c>
      <c r="P3" s="243"/>
      <c r="Q3" s="243"/>
      <c r="R3" s="243"/>
      <c r="S3" s="243"/>
      <c r="T3" s="244"/>
      <c r="U3" s="245" t="s">
        <v>151</v>
      </c>
      <c r="W3" s="230"/>
      <c r="X3" s="246" t="s">
        <v>152</v>
      </c>
      <c r="AA3" s="230"/>
      <c r="AB3" s="246" t="s">
        <v>153</v>
      </c>
      <c r="AC3" s="230"/>
      <c r="AD3" s="111" t="s">
        <v>154</v>
      </c>
      <c r="AE3" s="111"/>
      <c r="AF3" s="246" t="s">
        <v>89</v>
      </c>
      <c r="AI3" s="230"/>
      <c r="AJ3" s="246" t="s">
        <v>155</v>
      </c>
      <c r="AK3" s="247"/>
      <c r="AL3" s="246" t="s">
        <v>156</v>
      </c>
      <c r="AM3" s="230"/>
      <c r="AN3" s="246"/>
      <c r="AO3" s="230"/>
      <c r="AP3" s="137" t="s">
        <v>111</v>
      </c>
      <c r="AX3" s="248"/>
      <c r="AY3" s="248" t="s">
        <v>157</v>
      </c>
      <c r="BD3" s="230"/>
      <c r="BE3" s="248"/>
    </row>
    <row r="4">
      <c r="A4" s="249" t="s">
        <v>158</v>
      </c>
      <c r="B4" s="250" t="s">
        <v>159</v>
      </c>
      <c r="C4" s="251" t="s">
        <v>160</v>
      </c>
      <c r="D4" s="252" t="s">
        <v>161</v>
      </c>
      <c r="E4" s="253" t="s">
        <v>162</v>
      </c>
      <c r="F4" s="251" t="s">
        <v>163</v>
      </c>
      <c r="G4" s="251" t="s">
        <v>164</v>
      </c>
      <c r="H4" s="254" t="s">
        <v>165</v>
      </c>
      <c r="I4" s="251" t="s">
        <v>166</v>
      </c>
      <c r="J4" s="251" t="s">
        <v>167</v>
      </c>
      <c r="K4" s="251" t="s">
        <v>168</v>
      </c>
      <c r="L4" s="249" t="s">
        <v>169</v>
      </c>
      <c r="M4" s="255" t="s">
        <v>170</v>
      </c>
      <c r="N4" s="256" t="s">
        <v>171</v>
      </c>
      <c r="O4" s="257" t="s">
        <v>172</v>
      </c>
      <c r="P4" s="258" t="s">
        <v>173</v>
      </c>
      <c r="Q4" s="258" t="s">
        <v>174</v>
      </c>
      <c r="R4" s="258" t="s">
        <v>175</v>
      </c>
      <c r="S4" s="258" t="s">
        <v>176</v>
      </c>
      <c r="T4" s="259" t="s">
        <v>177</v>
      </c>
      <c r="U4" s="255" t="s">
        <v>178</v>
      </c>
      <c r="V4" s="256" t="s">
        <v>179</v>
      </c>
      <c r="W4" s="260" t="s">
        <v>180</v>
      </c>
      <c r="X4" s="253" t="s">
        <v>181</v>
      </c>
      <c r="Y4" s="261" t="s">
        <v>182</v>
      </c>
      <c r="Z4" s="261" t="s">
        <v>183</v>
      </c>
      <c r="AA4" s="262" t="s">
        <v>184</v>
      </c>
      <c r="AB4" s="253" t="s">
        <v>185</v>
      </c>
      <c r="AC4" s="262" t="s">
        <v>186</v>
      </c>
      <c r="AD4" s="253" t="s">
        <v>187</v>
      </c>
      <c r="AE4" s="261" t="s">
        <v>188</v>
      </c>
      <c r="AF4" s="263" t="s">
        <v>181</v>
      </c>
      <c r="AG4" s="253" t="s">
        <v>189</v>
      </c>
      <c r="AH4" s="253" t="s">
        <v>183</v>
      </c>
      <c r="AI4" s="262" t="s">
        <v>190</v>
      </c>
      <c r="AJ4" s="253" t="s">
        <v>191</v>
      </c>
      <c r="AK4" s="264" t="s">
        <v>100</v>
      </c>
      <c r="AL4" s="265" t="s">
        <v>192</v>
      </c>
      <c r="AM4" s="262" t="s">
        <v>99</v>
      </c>
      <c r="AN4" s="253" t="s">
        <v>193</v>
      </c>
      <c r="AO4" s="266" t="s">
        <v>194</v>
      </c>
      <c r="AP4" s="267" t="s">
        <v>195</v>
      </c>
      <c r="AQ4" s="268" t="s">
        <v>196</v>
      </c>
      <c r="AR4" s="268" t="s">
        <v>197</v>
      </c>
      <c r="AS4" s="268" t="s">
        <v>112</v>
      </c>
      <c r="AT4" s="268" t="s">
        <v>113</v>
      </c>
      <c r="AU4" s="268" t="s">
        <v>114</v>
      </c>
      <c r="AV4" s="268" t="s">
        <v>115</v>
      </c>
      <c r="AW4" s="269" t="s">
        <v>116</v>
      </c>
      <c r="AX4" s="266" t="s">
        <v>198</v>
      </c>
      <c r="AY4" s="266" t="s">
        <v>199</v>
      </c>
      <c r="AZ4" s="266" t="s">
        <v>200</v>
      </c>
      <c r="BA4" s="266" t="s">
        <v>201</v>
      </c>
      <c r="BB4" s="266" t="s">
        <v>202</v>
      </c>
      <c r="BC4" s="270" t="s">
        <v>203</v>
      </c>
      <c r="BD4" s="271" t="s">
        <v>204</v>
      </c>
      <c r="BE4" s="187"/>
    </row>
    <row r="5">
      <c r="A5" s="272"/>
      <c r="B5" s="27"/>
      <c r="C5" s="27"/>
      <c r="D5" s="273">
        <f>SUM(D7:D1006)</f>
        <v>0</v>
      </c>
      <c r="E5" s="27"/>
      <c r="F5" s="27"/>
      <c r="G5" s="274"/>
      <c r="H5" s="275">
        <f>SUM(H7:H1006)</f>
        <v>0</v>
      </c>
      <c r="I5" s="27"/>
      <c r="J5" s="27"/>
      <c r="K5" s="27"/>
      <c r="L5" s="27"/>
      <c r="M5" s="276">
        <f>SUM(M7:M1006)</f>
        <v>0</v>
      </c>
      <c r="N5" s="274">
        <f>COUNTIF(N7:N1006, TRUE)</f>
        <v>0</v>
      </c>
      <c r="O5" s="272"/>
      <c r="P5" s="27"/>
      <c r="Q5" s="27"/>
      <c r="R5" s="27"/>
      <c r="S5" s="27"/>
      <c r="T5" s="274"/>
      <c r="U5" s="27"/>
      <c r="V5" s="27"/>
      <c r="W5" s="27"/>
      <c r="X5" s="275">
        <f t="shared" ref="X5:AA5" si="1">SUM(X7:X1006)</f>
        <v>0</v>
      </c>
      <c r="Y5" s="275">
        <f t="shared" si="1"/>
        <v>0</v>
      </c>
      <c r="Z5" s="275">
        <f t="shared" si="1"/>
        <v>0</v>
      </c>
      <c r="AA5" s="275">
        <f t="shared" si="1"/>
        <v>0</v>
      </c>
      <c r="AB5" s="27"/>
      <c r="AC5" s="27"/>
      <c r="AD5" s="27"/>
      <c r="AE5" s="277">
        <f t="shared" ref="AE5:AO5" si="2">SUM(AE7:AE1006)</f>
        <v>0</v>
      </c>
      <c r="AF5" s="144">
        <f t="shared" si="2"/>
        <v>0</v>
      </c>
      <c r="AG5" s="144">
        <f t="shared" si="2"/>
        <v>0</v>
      </c>
      <c r="AH5" s="144" t="str">
        <f t="shared" si="2"/>
        <v>#DIV/0!</v>
      </c>
      <c r="AI5" s="278">
        <f t="shared" si="2"/>
        <v>0</v>
      </c>
      <c r="AJ5" s="275">
        <f t="shared" si="2"/>
        <v>0</v>
      </c>
      <c r="AK5" s="279">
        <f t="shared" si="2"/>
        <v>0</v>
      </c>
      <c r="AL5" s="280">
        <f t="shared" si="2"/>
        <v>0</v>
      </c>
      <c r="AM5" s="281">
        <f t="shared" si="2"/>
        <v>0</v>
      </c>
      <c r="AN5" s="194">
        <f t="shared" si="2"/>
        <v>0</v>
      </c>
      <c r="AO5" s="280">
        <f t="shared" si="2"/>
        <v>0</v>
      </c>
      <c r="AP5" s="282"/>
      <c r="AQ5" s="283"/>
      <c r="AR5" s="283"/>
      <c r="AS5" s="284">
        <f t="shared" ref="AS5:AT5" si="3">SUM(AS7:AS1006)</f>
        <v>0</v>
      </c>
      <c r="AT5" s="284">
        <f t="shared" si="3"/>
        <v>0</v>
      </c>
      <c r="AU5" s="283"/>
      <c r="AV5" s="284">
        <f t="shared" ref="AV5:AW5" si="4">SUM(AV7:AV1006)</f>
        <v>0</v>
      </c>
      <c r="AW5" s="285">
        <f t="shared" si="4"/>
        <v>0</v>
      </c>
      <c r="AX5" s="168"/>
      <c r="AY5" s="27"/>
      <c r="AZ5" s="286">
        <f>SUM(AZ7:AZ1006)</f>
        <v>0</v>
      </c>
      <c r="BA5" s="286"/>
      <c r="BB5" s="286">
        <f t="shared" ref="BB5:BD5" si="5">SUM(BB7:BB1006)</f>
        <v>0</v>
      </c>
      <c r="BC5" s="287">
        <f t="shared" si="5"/>
        <v>0</v>
      </c>
      <c r="BD5" s="288">
        <f t="shared" si="5"/>
        <v>0</v>
      </c>
      <c r="BE5" s="147"/>
    </row>
    <row r="6">
      <c r="A6" s="289"/>
      <c r="B6" s="290" t="s">
        <v>205</v>
      </c>
      <c r="C6" s="290" t="s">
        <v>205</v>
      </c>
      <c r="D6" s="290" t="s">
        <v>205</v>
      </c>
      <c r="E6" s="289"/>
      <c r="F6" s="289"/>
      <c r="G6" s="291" t="s">
        <v>42</v>
      </c>
      <c r="H6" s="289"/>
      <c r="I6" s="290" t="s">
        <v>42</v>
      </c>
      <c r="J6" s="289"/>
      <c r="K6" s="289"/>
      <c r="L6" s="289"/>
      <c r="M6" s="290" t="s">
        <v>42</v>
      </c>
      <c r="N6" s="292" t="s">
        <v>205</v>
      </c>
      <c r="O6" s="293"/>
      <c r="P6" s="294"/>
      <c r="Q6" s="294"/>
      <c r="R6" s="294"/>
      <c r="S6" s="294"/>
      <c r="T6" s="295"/>
      <c r="U6" s="294"/>
      <c r="V6" s="294"/>
      <c r="W6" s="292" t="s">
        <v>42</v>
      </c>
      <c r="X6" s="289"/>
      <c r="Y6" s="289"/>
      <c r="Z6" s="289"/>
      <c r="AA6" s="289"/>
      <c r="AB6" s="289"/>
      <c r="AC6" s="289"/>
      <c r="AD6" s="289"/>
      <c r="AE6" s="289"/>
      <c r="AF6" s="289"/>
      <c r="AG6" s="289"/>
      <c r="AH6" s="289"/>
      <c r="AI6" s="289"/>
      <c r="AJ6" s="289"/>
      <c r="AK6" s="289"/>
      <c r="AL6" s="296"/>
      <c r="AM6" s="289"/>
      <c r="AN6" s="297"/>
      <c r="AO6" s="297"/>
      <c r="AP6" s="298"/>
      <c r="AQ6" s="299"/>
      <c r="AR6" s="299"/>
      <c r="AS6" s="42" t="s">
        <v>206</v>
      </c>
      <c r="AT6" s="299"/>
      <c r="AU6" s="299"/>
      <c r="AV6" s="300"/>
      <c r="AW6" s="301"/>
      <c r="AX6" s="300"/>
      <c r="AY6" s="297"/>
      <c r="AZ6" s="289"/>
      <c r="BA6" s="302"/>
      <c r="BB6" s="289"/>
      <c r="BC6" s="303"/>
      <c r="BD6" s="289"/>
      <c r="BE6" s="304"/>
    </row>
    <row r="7">
      <c r="A7" s="305" t="str">
        <f t="shared" ref="A7:A35" si="6">B7</f>
        <v/>
      </c>
      <c r="B7" s="306"/>
      <c r="C7" s="307"/>
      <c r="D7" s="308"/>
      <c r="E7" s="309" t="str">
        <f t="array" ref="E7">IF(B7&lt;&gt;"", IFERROR(VLOOKUP(B7, SORT(PriceReference!$A$1:$B1006), 2, TRUE), "price unavailable"), "")</f>
        <v/>
      </c>
      <c r="F7" s="309" t="str">
        <f t="array" ref="F7">IF(C7&lt;&gt;"", IFERROR(VLOOKUP(C7, SORT(PriceReference!$A$1:$B1006), 2, TRUE), "price unavailable"), "")</f>
        <v/>
      </c>
      <c r="G7" s="310"/>
      <c r="H7" s="309">
        <f t="shared" ref="H7:H35" si="7">D7*L7</f>
        <v>0</v>
      </c>
      <c r="I7" s="122"/>
      <c r="J7" s="309">
        <f t="shared" ref="J7:J35" si="8">LET(contrib,G7, carry,I7, IF(contrib&gt;0, carry+contrib, 0))</f>
        <v>0</v>
      </c>
      <c r="K7" s="309" t="str">
        <f t="shared" ref="K7:K35" si="9">LET(totalContrib,J7,totalPrice,H7, priorCarry,I7, IF(H7&gt;0,totalContrib-totalPrice,priorCarry))</f>
        <v/>
      </c>
      <c r="L7" s="311">
        <f t="shared" ref="L7:L35" si="10">LET(discount,0.85,grantDateValue,E7,purchaseDateValue,F7,roundingThresholdDate,DATEVALUE("2016-07-30"),purchasePrice,discount*MIN(grantDateValue,purchaseDateValue), IF(C7&lt;roundingThresholdDate, purchasePrice, ROUND(purchasePrice,2)))</f>
        <v>0</v>
      </c>
      <c r="M7" s="312"/>
      <c r="N7" s="313" t="b">
        <v>0</v>
      </c>
      <c r="O7" s="314"/>
      <c r="P7" s="315">
        <v>0.0</v>
      </c>
      <c r="Q7" s="315">
        <v>0.0</v>
      </c>
      <c r="R7" s="315">
        <v>0.0</v>
      </c>
      <c r="S7" s="315">
        <v>0.0</v>
      </c>
      <c r="T7" s="316">
        <v>0.0</v>
      </c>
      <c r="U7" s="317">
        <f t="shared" ref="U7:U35" si="11">iferror(M7/(0.252*D7),0)</f>
        <v>0</v>
      </c>
      <c r="V7" s="317" t="str">
        <f>SWITCH(W7,"cash",Reference!$E$5,"shares",Reference!$E$6,"balance",Reference!$E$7,"pro-rata",Reference!$B$5)</f>
        <v>#DIV/0!</v>
      </c>
      <c r="W7" s="318" t="s">
        <v>207</v>
      </c>
      <c r="X7" s="319">
        <f>LET(numVmwShares,D7, cashRatio,Reference!$B$4, vmwFinalPrice,Reference!$B$3, numVmwShares * cashRatio * vmwFinalPrice)</f>
        <v>0</v>
      </c>
      <c r="Y7" s="319">
        <f>iferror(LET(numVmwShares,$D7, stockRatio,U7, vmwFinalPrice,Reference!$B$3, (1 - stockRatio) * vmwFinalPrice * numVmwShares),0)</f>
        <v>0</v>
      </c>
      <c r="Z7" s="319">
        <f>iferror(LET(numVmwShares,$D7, stockRatio,V7, vmwFinalPrice,Reference!$B$3, (1 - stockRatio) * vmwFinalPrice * numVmwShares),0)</f>
        <v>0</v>
      </c>
      <c r="AA7" s="319">
        <f>SWITCH(Reference!$E$4,"eTradeTransactionLog", X7, "eTradeHoldingRatio", X7, "eTradeLotQtyRatio",Y7, "manualLotRatio", Z7)</f>
        <v>0</v>
      </c>
      <c r="AB7" s="309">
        <f>LET(purchaseDate,C7, dateOfRecord,Reference!$B$26, returnOfCapital,Reference!$C$26, IF(purchaseDate &lt; dateOfRecord, returnOfCapital,0))</f>
        <v>10.18</v>
      </c>
      <c r="AC7" s="309">
        <f>LET(purchaseDate,C7, dateOfRecord,Reference!$B$27, returnOfCapital,Reference!$C$27, IF(purchaseDate &lt; dateOfRecord, returnOfCapital,0))</f>
        <v>16.58</v>
      </c>
      <c r="AD7" s="309">
        <f t="shared" ref="AD7:AD35" si="12">LET(actualPrice,L7, firstReturnOfCapital,AB7, secondReturnOfCapital,AC7, actualPrice - firstReturnOfCapital - secondReturnOfCapital)</f>
        <v>-26.76</v>
      </c>
      <c r="AE7" s="309">
        <f t="shared" ref="AE7:AE35" si="13">AD7*D7</f>
        <v>0</v>
      </c>
      <c r="AF7" s="320">
        <f>LET(numVmwShares,D7, stockRatio,Reference!$B$5, vmwToAvgoRatio,Reference!$B$6, numVmwShares * stockRatio * vmwToAvgoRatio)</f>
        <v>0</v>
      </c>
      <c r="AG7" s="320">
        <f>LET(numVmwShares,D7, stockRatio,U7, vmwToAvgoRatio,Reference!$B$6, numVmwShares * stockRatio * vmwToAvgoRatio)</f>
        <v>0</v>
      </c>
      <c r="AH7" s="320" t="str">
        <f>LET(numVmwShares,D7, stockRatio,V7, vmwToAvgoRatio,Reference!$B$6, numVmwShares * stockRatio * vmwToAvgoRatio)</f>
        <v>#DIV/0!</v>
      </c>
      <c r="AI7" s="320">
        <f>SWITCH(Reference!$E$4,"eTradeTransactionLog", AF7, "eTradeHoldingRatio", AF7, "eTradeLotQtyRatio",AG7, "manualLotRatio", AH7)</f>
        <v>0</v>
      </c>
      <c r="AJ7" s="321">
        <f>LET(numVmwShares,D7, vmwBasis,AD7, avgoQty,AI7, avgoFMV,Reference!$B$18, cashReceived,AA7, gain,cashReceived+(avgoQty*avgoFMV)-(numVmwShares*vmwBasis),
MAX(gain,0))</f>
        <v>0</v>
      </c>
      <c r="AK7" s="322">
        <f>LET(useForFraction,N7, fractionAmount,Summary!$C$41, esppFractionLots,$N$5, rsuFractionLots,RSU!J$5, IF(useForFraction, fractionAmount / (esppFractionLots+rsuFractionLots), 0))</f>
        <v>0</v>
      </c>
      <c r="AL7" s="323">
        <f>LET(useForFraction,N7, fractionSaleFMV,Reference!$B$23, postMergerBasis,AY7, lotFractionAmount,AK7, IF(useForFraction, (fractionSaleFMV - postMergerBasis)*lotFractionAmount, 0))</f>
        <v>0</v>
      </c>
      <c r="AM7" s="324">
        <f t="shared" ref="AM7:AM35" si="14">LET(cashReceived,AA7, alternateGainAmount,AJ7, MIN(cashReceived, alternateGainAmount))</f>
        <v>0</v>
      </c>
      <c r="AN7" s="325">
        <f>LET(
imputedIncome,BB7,
avgoQty,AI7, 
perAvgoIncome, iferror(imputedIncome/avgoQty,0),
purchaseDate,C7,
mergerDate,Reference!$B$28,
lotFractionAmount,AK7,
lotFractionGain,AL7,
mergerGain,AM7,
shortTermGain,IF(DATEDIF(purchaseDate,mergerDate,"Y")&gt;=1,
  0,
  lotFractionGain + mergerGain
),
incomeOnFraction,perAvgoIncome*lotFractionAmount, 
shortTermGain + incomeOnFraction + IF(avgoQty=0,imputedIncome-incomeOnFraction,0))</f>
        <v>0</v>
      </c>
      <c r="AO7" s="325">
        <f>LET(
purchaseDate,C7,
mergerDate,Reference!$B$28,
lotFractionGain,AL7,
mergerGain,AM7,
IF(DATEDIF(purchaseDate,mergerDate,"Y")&gt;=1,
  lotFractionGain+mergerGain,
  0
))</f>
        <v>0</v>
      </c>
      <c r="AP7" s="326" t="str">
        <f>IF(DATEDIF(L7,Reference!$B$28,"Y")&gt;=1,"Part II Box D","Part I Box A")</f>
        <v>Part II Box D</v>
      </c>
      <c r="AQ7" s="327" t="str">
        <f t="shared" ref="AQ7:AQ35" si="15">C7</f>
        <v/>
      </c>
      <c r="AR7" s="328">
        <f t="shared" ref="AR7:AR35" si="16">X7</f>
        <v>0</v>
      </c>
      <c r="AS7" s="328">
        <f>LET(
cashReceived,AA7, 
avgoQty,AI7, 
proceedsStyle,Reference!$E$9, 
avgoFMV,Reference!$B$18, 
SWITCH(proceedsStyle, "combined", cashReceived +(avgoQty*avgoFMV), "cashOnly", cashReceived))</f>
        <v>0</v>
      </c>
      <c r="AT7" s="329">
        <f t="shared" ref="AT7:AT35" si="17">P7</f>
        <v>0</v>
      </c>
      <c r="AU7" s="329" t="str">
        <f t="shared" ref="AU7:AU35" si="18">IF(AV7=0,,"B")</f>
        <v/>
      </c>
      <c r="AV7" s="330">
        <f>LET(
proceedsStyle,Reference!$E$9,
proceeds,AS7,
gain,AW7,
numVmwShares,D7, 
vmwBasis, AD7, 
avgoQty,AI7, 
avgoFMV,Reference!$B$18, 
cashReceived,AA7, 
avgoTotalValue, avgoFMV*avgoQty, 
vmwTotalBasis, vmwBasis*numVmwShares,
alternateGainAmount,AJ7, 
basis1099B, AT7,
SWITCH(proceedsStyle,
  "cashOnly",
    proceeds - gain,
  "combined",
    basis1099B - IF(cashReceived&lt;alternateGainAmount,
      avgoTotalValue,
      vmwTotalBasis
  )
))</f>
        <v>0</v>
      </c>
      <c r="AW7" s="331">
        <f>LET(proceedsStyle,Reference!$E$9, proceeds,AS7, basis1099B, AT7, adjustment,AV7, SWITCH(proceedsStyle, "cashOnly", AM7, "combined", MAX(proceeds - basis1099B + adjustment, 0)))</f>
        <v>0</v>
      </c>
      <c r="AX7" s="332" t="str">
        <f t="shared" ref="AX7:AX35" si="19">LET(vmwBasis,AD7, numShares,D7, cashReceived,AA7, gainRecognized,AM7, isQualified,BA7, imputedIncome,BB7, avgoQty,AI7, IFERROR( ((vmwBasis*numShares) - cashReceived + gainRecognized)/avgoQty, "n/a"))</f>
        <v>n/a</v>
      </c>
      <c r="AY7" s="332" t="str">
        <f t="shared" ref="AY7:AY35" si="20">LET(vmwBasis,AD7, numShares,D7, cashReceived,AA7, gainRecognized,AM7, isQualified,BA7, imputedIncome,BB7, avgoQty,AI7, IFERROR( ((vmwBasis*numShares) - cashReceived + gainRecognized + imputedIncome)/avgoQty, "n/a"))</f>
        <v>n/a</v>
      </c>
      <c r="AZ7" s="333">
        <f>LET(saleFMV,Reference!$B$10, postMergerBasis,AY7, avgoQty,AI7, lotFractionAmount,AK7, iferror((saleFMV - postMergerBasis) * (avgoQty - lotFractionAmount), 0))</f>
        <v>0</v>
      </c>
      <c r="BA7" s="334" t="b">
        <f>LET(grantDate,B7, postMergerSaleDate,Reference!$B$29, purchaseBeginDate,A7, AND(DATEDIF(grantDate,postMergerSaleDate,"Y")&gt;=1, DATEDIF(purchaseBeginDate, postMergerSaleDate, "Y")&gt;=2))</f>
        <v>1</v>
      </c>
      <c r="BB7" s="333">
        <f>LET(
vmwBasis,AD7,
numVmwShares,D7,
cashReceived,AA7,
gainRecognized,AM7,
pureAvgoBasis,IFERROR((vmwBasis - (cashReceived + gainRecognized)/numVmwShares),0),
isQualified,BA7,
saleFMV,Reference!$B$10,
actualPrice,L7,
purchaseDateFMV,F7,
grantDateFMV,E7,
gainFromSale,(saleFMV - pureAvgoBasis),
disqualifiedIncome,(purchaseDateFMV - actualPrice),
qualifiedIncome,MIN(
   gainFromSale,
   (0.15 * grantDateFMV)),
income,IF(isQualified,
   qualifiedIncome,
   disqualifiedIncome),
numVmwShares * income)</f>
        <v>0</v>
      </c>
      <c r="BC7" s="335">
        <f>LET(
avgoQty,AI7, 
purchaseDate,C7,
postMergerSaleDate,Reference!$B$29,
saleFMV,Reference!$B$10,
postMergerBasis,AY7, 
IF(DATEDIF(purchaseDate,postMergerSaleDate,"Y")&gt;=1,
  0,
  avgoQty * (saleFMV - postMergerBasis)
))</f>
        <v>0</v>
      </c>
      <c r="BD7" s="336">
        <f>LET(
avgoQty,AI7, 
purchaseDate,C7,
postMergerSaleDate,Reference!$B$29,
saleFMV,Reference!$B$10,
postMergerBasis,AY7, 
IFERROR(IF(DATEDIF(purchaseDate,postMergerSaleDate,"Y")&gt;=1,
  avgoQty * (saleFMV - postMergerBasis),
  0
),0))</f>
        <v>0</v>
      </c>
      <c r="BE7" s="337"/>
    </row>
    <row r="8">
      <c r="A8" s="305" t="str">
        <f t="shared" si="6"/>
        <v/>
      </c>
      <c r="B8" s="306"/>
      <c r="C8" s="307"/>
      <c r="D8" s="338"/>
      <c r="E8" s="309" t="str">
        <f t="array" ref="E8">IF(B8&lt;&gt;"", IFERROR(VLOOKUP(B8, SORT(PriceReference!$A$1:$B1006), 2, TRUE), "price unavailable"), "")</f>
        <v/>
      </c>
      <c r="F8" s="309" t="str">
        <f t="array" ref="F8">IF(C8&lt;&gt;"", IFERROR(VLOOKUP(C8, SORT(PriceReference!$A$1:$B1006), 2, TRUE), "price unavailable"), "")</f>
        <v/>
      </c>
      <c r="G8" s="339"/>
      <c r="H8" s="309">
        <f t="shared" si="7"/>
        <v>0</v>
      </c>
      <c r="I8" s="340" t="str">
        <f t="shared" ref="I8:I35" si="21">K7</f>
        <v/>
      </c>
      <c r="J8" s="309">
        <f t="shared" si="8"/>
        <v>0</v>
      </c>
      <c r="K8" s="309" t="str">
        <f t="shared" si="9"/>
        <v/>
      </c>
      <c r="L8" s="311">
        <f t="shared" si="10"/>
        <v>0</v>
      </c>
      <c r="M8" s="341"/>
      <c r="N8" s="313" t="b">
        <v>0</v>
      </c>
      <c r="O8" s="342"/>
      <c r="P8" s="315">
        <v>0.0</v>
      </c>
      <c r="Q8" s="315">
        <v>0.0</v>
      </c>
      <c r="R8" s="315">
        <v>0.0</v>
      </c>
      <c r="S8" s="315">
        <v>0.0</v>
      </c>
      <c r="T8" s="316">
        <v>0.0</v>
      </c>
      <c r="U8" s="317">
        <f t="shared" si="11"/>
        <v>0</v>
      </c>
      <c r="V8" s="317" t="str">
        <f>SWITCH(W8,"cash",Reference!$E$5,"shares",Reference!$E$6,"balance",Reference!$E$7,"pro-rata",Reference!$B$5)</f>
        <v>#DIV/0!</v>
      </c>
      <c r="W8" s="318" t="s">
        <v>207</v>
      </c>
      <c r="X8" s="319">
        <f>LET(numVmwShares,D8, cashRatio,Reference!$B$4, vmwFinalPrice,Reference!$B$3, numVmwShares * cashRatio * vmwFinalPrice)</f>
        <v>0</v>
      </c>
      <c r="Y8" s="319">
        <f>iferror(LET(numVmwShares,$D8, stockRatio,U8, vmwFinalPrice,Reference!$B$3, (1 - stockRatio) * vmwFinalPrice * numVmwShares),0)</f>
        <v>0</v>
      </c>
      <c r="Z8" s="319">
        <f>iferror(LET(numVmwShares,$D8, stockRatio,V8, vmwFinalPrice,Reference!$B$3, (1 - stockRatio) * vmwFinalPrice * numVmwShares),0)</f>
        <v>0</v>
      </c>
      <c r="AA8" s="319">
        <f>SWITCH(Reference!$E$4,"eTradeTransactionLog", X8, "eTradeHoldingRatio", X8, "eTradeLotQtyRatio",Y8, "manualLotRatio", Z8)</f>
        <v>0</v>
      </c>
      <c r="AB8" s="309">
        <f>LET(purchaseDate,C8, dateOfRecord,Reference!$B$26, returnOfCapital,Reference!$C$26, IF(purchaseDate &lt; dateOfRecord, returnOfCapital,0))</f>
        <v>10.18</v>
      </c>
      <c r="AC8" s="309">
        <f>LET(purchaseDate,C8, dateOfRecord,Reference!$B$27, returnOfCapital,Reference!$C$27, IF(purchaseDate &lt; dateOfRecord, returnOfCapital,0))</f>
        <v>16.58</v>
      </c>
      <c r="AD8" s="309">
        <f t="shared" si="12"/>
        <v>-26.76</v>
      </c>
      <c r="AE8" s="309">
        <f t="shared" si="13"/>
        <v>0</v>
      </c>
      <c r="AF8" s="320">
        <f>LET(numVmwShares,D8, stockRatio,Reference!$B$5, vmwToAvgoRatio,Reference!$B$6, numVmwShares * stockRatio * vmwToAvgoRatio)</f>
        <v>0</v>
      </c>
      <c r="AG8" s="320">
        <f>LET(numVmwShares,D8, stockRatio,U8, vmwToAvgoRatio,Reference!$B$6, numVmwShares * stockRatio * vmwToAvgoRatio)</f>
        <v>0</v>
      </c>
      <c r="AH8" s="320" t="str">
        <f>LET(numVmwShares,D8, stockRatio,V8, vmwToAvgoRatio,Reference!$B$6, numVmwShares * stockRatio * vmwToAvgoRatio)</f>
        <v>#DIV/0!</v>
      </c>
      <c r="AI8" s="320">
        <f>SWITCH(Reference!$E$4,"eTradeTransactionLog", AF8, "eTradeHoldingRatio", AF8, "eTradeLotQtyRatio",AG8, "manualLotRatio", AH8)</f>
        <v>0</v>
      </c>
      <c r="AJ8" s="321">
        <f>LET(numVmwShares,D8, vmwBasis,AD8, avgoQty,AI8, avgoFMV,Reference!$B$18, cashReceived,AA8, gain,cashReceived+(avgoQty*avgoFMV)-(numVmwShares*vmwBasis),
MAX(gain,0))</f>
        <v>0</v>
      </c>
      <c r="AK8" s="322">
        <f>LET(useForFraction,N8, fractionAmount,Summary!$C$41, esppFractionLots,$N$5, rsuFractionLots,RSU!J$5, IF(useForFraction, fractionAmount / (esppFractionLots+rsuFractionLots), 0))</f>
        <v>0</v>
      </c>
      <c r="AL8" s="323">
        <f>LET(useForFraction,N8, fractionSaleFMV,Reference!$B$23, postMergerBasis,AY8, lotFractionAmount,AK8, IF(useForFraction, (fractionSaleFMV - postMergerBasis)*lotFractionAmount, 0))</f>
        <v>0</v>
      </c>
      <c r="AM8" s="324">
        <f t="shared" si="14"/>
        <v>0</v>
      </c>
      <c r="AN8" s="325">
        <f>LET(
imputedIncome,BB8,
avgoQty,AI8, 
perAvgoIncome, iferror(imputedIncome/avgoQty,0),
purchaseDate,C8,
mergerDate,Reference!$B$28,
lotFractionAmount,AK8,
lotFractionGain,AL8,
mergerGain,AM8,
shortTermGain,IF(DATEDIF(purchaseDate,mergerDate,"Y")&gt;=1,
  0,
  lotFractionGain + mergerGain
),
incomeOnFraction,perAvgoIncome*lotFractionAmount, 
shortTermGain + incomeOnFraction + IF(avgoQty=0,imputedIncome-incomeOnFraction,0))</f>
        <v>0</v>
      </c>
      <c r="AO8" s="325">
        <f>LET(
purchaseDate,C8,
mergerDate,Reference!$B$28,
lotFractionGain,AL8,
mergerGain,AM8,
IF(DATEDIF(purchaseDate,mergerDate,"Y")&gt;=1,
  lotFractionGain+mergerGain,
  0
))</f>
        <v>0</v>
      </c>
      <c r="AP8" s="343" t="str">
        <f>IF(DATEDIF(L8,Reference!$B$28,"Y")&gt;=1,"Part II Box D","Part I Box A")</f>
        <v>Part II Box D</v>
      </c>
      <c r="AQ8" s="344" t="str">
        <f t="shared" si="15"/>
        <v/>
      </c>
      <c r="AR8" s="330">
        <f t="shared" si="16"/>
        <v>0</v>
      </c>
      <c r="AS8" s="330">
        <f>LET(
cashReceived,AA8, 
avgoQty,AI8, 
proceedsStyle,Reference!$E$9, 
avgoFMV,Reference!$B$18, 
SWITCH(proceedsStyle, "combined", cashReceived +(avgoQty*avgoFMV), "cashOnly", cashReceived))</f>
        <v>0</v>
      </c>
      <c r="AT8" s="345">
        <f t="shared" si="17"/>
        <v>0</v>
      </c>
      <c r="AU8" s="345" t="str">
        <f t="shared" si="18"/>
        <v/>
      </c>
      <c r="AV8" s="330">
        <f>LET(
proceedsStyle,Reference!$E$9,
proceeds,AS8,
gain,AW8,
numVmwShares,D8, 
vmwBasis, AD8, 
avgoQty,AI8, 
avgoFMV,Reference!$B$18, 
cashReceived,AA8, 
avgoTotalValue, avgoFMV*avgoQty, 
vmwTotalBasis, vmwBasis*numVmwShares,
alternateGainAmount,AJ8, 
basis1099B, AT8,
SWITCH(proceedsStyle,
  "cashOnly",
    proceeds - gain,
  "combined",
    basis1099B - IF(cashReceived&lt;alternateGainAmount,
      avgoTotalValue,
      vmwTotalBasis
  )
))</f>
        <v>0</v>
      </c>
      <c r="AW8" s="331">
        <f>LET(proceedsStyle,Reference!$E$9, proceeds,AS8, basis1099B, AT8, adjustment,AV8, SWITCH(proceedsStyle, "cashOnly", AM8, "combined", MAX(proceeds - basis1099B + adjustment, 0)))</f>
        <v>0</v>
      </c>
      <c r="AX8" s="332" t="str">
        <f t="shared" si="19"/>
        <v>n/a</v>
      </c>
      <c r="AY8" s="332" t="str">
        <f t="shared" si="20"/>
        <v>n/a</v>
      </c>
      <c r="AZ8" s="333">
        <f>LET(saleFMV,Reference!$B$10, postMergerBasis,AY8, avgoQty,AI8, lotFractionAmount,AK8, iferror((saleFMV - postMergerBasis) * (avgoQty - lotFractionAmount), 0))</f>
        <v>0</v>
      </c>
      <c r="BA8" s="334" t="b">
        <f>LET(grantDate,B8, postMergerSaleDate,Reference!$B$29, purchaseBeginDate,A8, AND(DATEDIF(grantDate,postMergerSaleDate,"Y")&gt;=1, DATEDIF(purchaseBeginDate, postMergerSaleDate, "Y")&gt;=2))</f>
        <v>1</v>
      </c>
      <c r="BB8" s="333">
        <f>LET(
vmwBasis,AD8,
numVmwShares,D8,
cashReceived,AA8,
gainRecognized,AM8,
pureAvgoBasis,IFERROR((vmwBasis - (cashReceived + gainRecognized)/numVmwShares),0),
isQualified,BA8,
saleFMV,Reference!$B$10,
actualPrice,L8,
purchaseDateFMV,F8,
grantDateFMV,E8,
gainFromSale,(saleFMV - pureAvgoBasis),
disqualifiedIncome,(purchaseDateFMV - actualPrice),
qualifiedIncome,MIN(
   gainFromSale,
   (0.15 * grantDateFMV)),
income,IF(isQualified,
   qualifiedIncome,
   disqualifiedIncome),
numVmwShares * income)</f>
        <v>0</v>
      </c>
      <c r="BC8" s="335">
        <f>LET(
avgoQty,AI8, 
purchaseDate,C8,
postMergerSaleDate,Reference!$B$29,
saleFMV,Reference!$B$10,
postMergerBasis,AY8, 
IF(DATEDIF(purchaseDate,postMergerSaleDate,"Y")&gt;=1,
  0,
  avgoQty * (saleFMV - postMergerBasis)
))</f>
        <v>0</v>
      </c>
      <c r="BD8" s="336">
        <f>LET(
avgoQty,AI8, 
purchaseDate,C8,
postMergerSaleDate,Reference!$B$29,
saleFMV,Reference!$B$10,
postMergerBasis,AY8, 
IFERROR(IF(DATEDIF(purchaseDate,postMergerSaleDate,"Y")&gt;=1,
  avgoQty * (saleFMV - postMergerBasis),
  0
),0))</f>
        <v>0</v>
      </c>
      <c r="BE8" s="337"/>
    </row>
    <row r="9">
      <c r="A9" s="305" t="str">
        <f t="shared" si="6"/>
        <v/>
      </c>
      <c r="B9" s="306"/>
      <c r="C9" s="307"/>
      <c r="D9" s="338"/>
      <c r="E9" s="309" t="str">
        <f t="array" ref="E9">IF(B9&lt;&gt;"", IFERROR(VLOOKUP(B9, SORT(PriceReference!$A$1:$B1006), 2, TRUE), "price unavailable"), "")</f>
        <v/>
      </c>
      <c r="F9" s="309" t="str">
        <f t="array" ref="F9">IF(C9&lt;&gt;"", IFERROR(VLOOKUP(C9, SORT(PriceReference!$A$1:$B1006), 2, TRUE), "price unavailable"), "")</f>
        <v/>
      </c>
      <c r="G9" s="339"/>
      <c r="H9" s="309">
        <f t="shared" si="7"/>
        <v>0</v>
      </c>
      <c r="I9" s="340" t="str">
        <f t="shared" si="21"/>
        <v/>
      </c>
      <c r="J9" s="309">
        <f t="shared" si="8"/>
        <v>0</v>
      </c>
      <c r="K9" s="309" t="str">
        <f t="shared" si="9"/>
        <v/>
      </c>
      <c r="L9" s="311">
        <f t="shared" si="10"/>
        <v>0</v>
      </c>
      <c r="M9" s="341"/>
      <c r="N9" s="313" t="b">
        <v>0</v>
      </c>
      <c r="O9" s="314"/>
      <c r="P9" s="315">
        <v>0.0</v>
      </c>
      <c r="Q9" s="315">
        <v>0.0</v>
      </c>
      <c r="R9" s="315">
        <v>0.0</v>
      </c>
      <c r="S9" s="315">
        <v>0.0</v>
      </c>
      <c r="T9" s="316">
        <v>0.0</v>
      </c>
      <c r="U9" s="317">
        <f t="shared" si="11"/>
        <v>0</v>
      </c>
      <c r="V9" s="317" t="str">
        <f>SWITCH(W9,"cash",Reference!$E$5,"shares",Reference!$E$6,"balance",Reference!$E$7,"pro-rata",Reference!$B$5)</f>
        <v>#DIV/0!</v>
      </c>
      <c r="W9" s="318" t="s">
        <v>207</v>
      </c>
      <c r="X9" s="319">
        <f>LET(numVmwShares,D9, cashRatio,Reference!$B$4, vmwFinalPrice,Reference!$B$3, numVmwShares * cashRatio * vmwFinalPrice)</f>
        <v>0</v>
      </c>
      <c r="Y9" s="319">
        <f>iferror(LET(numVmwShares,$D9, stockRatio,U9, vmwFinalPrice,Reference!$B$3, (1 - stockRatio) * vmwFinalPrice * numVmwShares),0)</f>
        <v>0</v>
      </c>
      <c r="Z9" s="319">
        <f>iferror(LET(numVmwShares,$D9, stockRatio,V9, vmwFinalPrice,Reference!$B$3, (1 - stockRatio) * vmwFinalPrice * numVmwShares),0)</f>
        <v>0</v>
      </c>
      <c r="AA9" s="319">
        <f>SWITCH(Reference!$E$4,"eTradeTransactionLog", X9, "eTradeHoldingRatio", X9, "eTradeLotQtyRatio",Y9, "manualLotRatio", Z9)</f>
        <v>0</v>
      </c>
      <c r="AB9" s="309">
        <f>LET(purchaseDate,C9, dateOfRecord,Reference!$B$26, returnOfCapital,Reference!$C$26, IF(purchaseDate &lt; dateOfRecord, returnOfCapital,0))</f>
        <v>10.18</v>
      </c>
      <c r="AC9" s="309">
        <f>LET(purchaseDate,C9, dateOfRecord,Reference!$B$27, returnOfCapital,Reference!$C$27, IF(purchaseDate &lt; dateOfRecord, returnOfCapital,0))</f>
        <v>16.58</v>
      </c>
      <c r="AD9" s="309">
        <f t="shared" si="12"/>
        <v>-26.76</v>
      </c>
      <c r="AE9" s="309">
        <f t="shared" si="13"/>
        <v>0</v>
      </c>
      <c r="AF9" s="320">
        <f>LET(numVmwShares,D9, stockRatio,Reference!$B$5, vmwToAvgoRatio,Reference!$B$6, numVmwShares * stockRatio * vmwToAvgoRatio)</f>
        <v>0</v>
      </c>
      <c r="AG9" s="320">
        <f>LET(numVmwShares,D9, stockRatio,U9, vmwToAvgoRatio,Reference!$B$6, numVmwShares * stockRatio * vmwToAvgoRatio)</f>
        <v>0</v>
      </c>
      <c r="AH9" s="320" t="str">
        <f>LET(numVmwShares,D9, stockRatio,V9, vmwToAvgoRatio,Reference!$B$6, numVmwShares * stockRatio * vmwToAvgoRatio)</f>
        <v>#DIV/0!</v>
      </c>
      <c r="AI9" s="320">
        <f>SWITCH(Reference!$E$4,"eTradeTransactionLog", AF9, "eTradeHoldingRatio", AF9, "eTradeLotQtyRatio",AG9, "manualLotRatio", AH9)</f>
        <v>0</v>
      </c>
      <c r="AJ9" s="321">
        <f>LET(numVmwShares,D9, vmwBasis,AD9, avgoQty,AI9, avgoFMV,Reference!$B$18, cashReceived,AA9, gain,cashReceived+(avgoQty*avgoFMV)-(numVmwShares*vmwBasis),
MAX(gain,0))</f>
        <v>0</v>
      </c>
      <c r="AK9" s="322">
        <f>LET(useForFraction,N9, fractionAmount,Summary!$C$41, esppFractionLots,$N$5, rsuFractionLots,RSU!J$5, IF(useForFraction, fractionAmount / (esppFractionLots+rsuFractionLots), 0))</f>
        <v>0</v>
      </c>
      <c r="AL9" s="323">
        <f>LET(useForFraction,N9, fractionSaleFMV,Reference!$B$23, postMergerBasis,AY9, lotFractionAmount,AK9, IF(useForFraction, (fractionSaleFMV - postMergerBasis)*lotFractionAmount, 0))</f>
        <v>0</v>
      </c>
      <c r="AM9" s="324">
        <f t="shared" si="14"/>
        <v>0</v>
      </c>
      <c r="AN9" s="325">
        <f>LET(
imputedIncome,BB9,
avgoQty,AI9, 
perAvgoIncome, iferror(imputedIncome/avgoQty,0),
purchaseDate,C9,
mergerDate,Reference!$B$28,
lotFractionAmount,AK9,
lotFractionGain,AL9,
mergerGain,AM9,
shortTermGain,IF(DATEDIF(purchaseDate,mergerDate,"Y")&gt;=1,
  0,
  lotFractionGain + mergerGain
),
incomeOnFraction,perAvgoIncome*lotFractionAmount, 
shortTermGain + incomeOnFraction + IF(avgoQty=0,imputedIncome-incomeOnFraction,0))</f>
        <v>0</v>
      </c>
      <c r="AO9" s="325">
        <f>LET(
purchaseDate,C9,
mergerDate,Reference!$B$28,
lotFractionGain,AL9,
mergerGain,AM9,
IF(DATEDIF(purchaseDate,mergerDate,"Y")&gt;=1,
  lotFractionGain+mergerGain,
  0
))</f>
        <v>0</v>
      </c>
      <c r="AP9" s="343" t="str">
        <f>IF(DATEDIF(L9,Reference!$B$28,"Y")&gt;=1,"Part II Box D","Part I Box A")</f>
        <v>Part II Box D</v>
      </c>
      <c r="AQ9" s="344" t="str">
        <f t="shared" si="15"/>
        <v/>
      </c>
      <c r="AR9" s="330">
        <f t="shared" si="16"/>
        <v>0</v>
      </c>
      <c r="AS9" s="330">
        <f>LET(
cashReceived,AA9, 
avgoQty,AI9, 
proceedsStyle,Reference!$E$9, 
avgoFMV,Reference!$B$18, 
SWITCH(proceedsStyle, "combined", cashReceived +(avgoQty*avgoFMV), "cashOnly", cashReceived))</f>
        <v>0</v>
      </c>
      <c r="AT9" s="345">
        <f t="shared" si="17"/>
        <v>0</v>
      </c>
      <c r="AU9" s="345" t="str">
        <f t="shared" si="18"/>
        <v/>
      </c>
      <c r="AV9" s="330">
        <f>LET(
proceedsStyle,Reference!$E$9,
proceeds,AS9,
gain,AW9,
numVmwShares,D9, 
vmwBasis, AD9, 
avgoQty,AI9, 
avgoFMV,Reference!$B$18, 
cashReceived,AA9, 
avgoTotalValue, avgoFMV*avgoQty, 
vmwTotalBasis, vmwBasis*numVmwShares,
alternateGainAmount,AJ9, 
basis1099B, AT9,
SWITCH(proceedsStyle,
  "cashOnly",
    proceeds - gain,
  "combined",
    basis1099B - IF(cashReceived&lt;alternateGainAmount,
      avgoTotalValue,
      vmwTotalBasis
  )
))</f>
        <v>0</v>
      </c>
      <c r="AW9" s="331">
        <f>LET(proceedsStyle,Reference!$E$9, proceeds,AS9, basis1099B, AT9, adjustment,AV9, SWITCH(proceedsStyle, "cashOnly", AM9, "combined", MAX(proceeds - basis1099B + adjustment, 0)))</f>
        <v>0</v>
      </c>
      <c r="AX9" s="332" t="str">
        <f t="shared" si="19"/>
        <v>n/a</v>
      </c>
      <c r="AY9" s="332" t="str">
        <f t="shared" si="20"/>
        <v>n/a</v>
      </c>
      <c r="AZ9" s="333">
        <f>LET(saleFMV,Reference!$B$10, postMergerBasis,AY9, avgoQty,AI9, lotFractionAmount,AK9, iferror((saleFMV - postMergerBasis) * (avgoQty - lotFractionAmount), 0))</f>
        <v>0</v>
      </c>
      <c r="BA9" s="334" t="b">
        <f>LET(grantDate,B9, postMergerSaleDate,Reference!$B$29, purchaseBeginDate,A9, AND(DATEDIF(grantDate,postMergerSaleDate,"Y")&gt;=1, DATEDIF(purchaseBeginDate, postMergerSaleDate, "Y")&gt;=2))</f>
        <v>1</v>
      </c>
      <c r="BB9" s="333">
        <f>LET(
vmwBasis,AD9,
numVmwShares,D9,
cashReceived,AA9,
gainRecognized,AM9,
pureAvgoBasis,IFERROR((vmwBasis - (cashReceived + gainRecognized)/numVmwShares),0),
isQualified,BA9,
saleFMV,Reference!$B$10,
actualPrice,L9,
purchaseDateFMV,F9,
grantDateFMV,E9,
gainFromSale,(saleFMV - pureAvgoBasis),
disqualifiedIncome,(purchaseDateFMV - actualPrice),
qualifiedIncome,MIN(
   gainFromSale,
   (0.15 * grantDateFMV)),
income,IF(isQualified,
   qualifiedIncome,
   disqualifiedIncome),
numVmwShares * income)</f>
        <v>0</v>
      </c>
      <c r="BC9" s="335">
        <f>LET(
avgoQty,AI9, 
purchaseDate,C9,
postMergerSaleDate,Reference!$B$29,
saleFMV,Reference!$B$10,
postMergerBasis,AY9, 
IF(DATEDIF(purchaseDate,postMergerSaleDate,"Y")&gt;=1,
  0,
  avgoQty * (saleFMV - postMergerBasis)
))</f>
        <v>0</v>
      </c>
      <c r="BD9" s="336">
        <f>LET(
avgoQty,AI9, 
purchaseDate,C9,
postMergerSaleDate,Reference!$B$29,
saleFMV,Reference!$B$10,
postMergerBasis,AY9, 
IFERROR(IF(DATEDIF(purchaseDate,postMergerSaleDate,"Y")&gt;=1,
  avgoQty * (saleFMV - postMergerBasis),
  0
),0))</f>
        <v>0</v>
      </c>
      <c r="BE9" s="337"/>
    </row>
    <row r="10">
      <c r="A10" s="305" t="str">
        <f t="shared" si="6"/>
        <v/>
      </c>
      <c r="B10" s="306"/>
      <c r="C10" s="307"/>
      <c r="D10" s="338"/>
      <c r="E10" s="309" t="str">
        <f t="array" ref="E10">IF(B10&lt;&gt;"", IFERROR(VLOOKUP(B10, SORT(PriceReference!$A$1:$B1006), 2, TRUE), "price unavailable"), "")</f>
        <v/>
      </c>
      <c r="F10" s="309" t="str">
        <f t="array" ref="F10">IF(C10&lt;&gt;"", IFERROR(VLOOKUP(C10, SORT(PriceReference!$A$1:$B1006), 2, TRUE), "price unavailable"), "")</f>
        <v/>
      </c>
      <c r="G10" s="339"/>
      <c r="H10" s="309">
        <f t="shared" si="7"/>
        <v>0</v>
      </c>
      <c r="I10" s="340" t="str">
        <f t="shared" si="21"/>
        <v/>
      </c>
      <c r="J10" s="309">
        <f t="shared" si="8"/>
        <v>0</v>
      </c>
      <c r="K10" s="309" t="str">
        <f t="shared" si="9"/>
        <v/>
      </c>
      <c r="L10" s="311">
        <f t="shared" si="10"/>
        <v>0</v>
      </c>
      <c r="M10" s="341"/>
      <c r="N10" s="346" t="b">
        <v>0</v>
      </c>
      <c r="O10" s="342"/>
      <c r="P10" s="315">
        <v>0.0</v>
      </c>
      <c r="Q10" s="315">
        <v>0.0</v>
      </c>
      <c r="R10" s="315">
        <v>0.0</v>
      </c>
      <c r="S10" s="315">
        <v>0.0</v>
      </c>
      <c r="T10" s="316">
        <v>0.0</v>
      </c>
      <c r="U10" s="317">
        <f t="shared" si="11"/>
        <v>0</v>
      </c>
      <c r="V10" s="317" t="str">
        <f>SWITCH(W10,"cash",Reference!$E$5,"shares",Reference!$E$6,"balance",Reference!$E$7,"pro-rata",Reference!$B$5)</f>
        <v>#DIV/0!</v>
      </c>
      <c r="W10" s="318" t="s">
        <v>207</v>
      </c>
      <c r="X10" s="319">
        <f>LET(numVmwShares,D10, cashRatio,Reference!$B$4, vmwFinalPrice,Reference!$B$3, numVmwShares * cashRatio * vmwFinalPrice)</f>
        <v>0</v>
      </c>
      <c r="Y10" s="319">
        <f>iferror(LET(numVmwShares,$D10, stockRatio,U10, vmwFinalPrice,Reference!$B$3, (1 - stockRatio) * vmwFinalPrice * numVmwShares),0)</f>
        <v>0</v>
      </c>
      <c r="Z10" s="319">
        <f>iferror(LET(numVmwShares,$D10, stockRatio,V10, vmwFinalPrice,Reference!$B$3, (1 - stockRatio) * vmwFinalPrice * numVmwShares),0)</f>
        <v>0</v>
      </c>
      <c r="AA10" s="319">
        <f>SWITCH(Reference!$E$4,"eTradeTransactionLog", X10, "eTradeHoldingRatio", X10, "eTradeLotQtyRatio",Y10, "manualLotRatio", Z10)</f>
        <v>0</v>
      </c>
      <c r="AB10" s="309">
        <f>LET(purchaseDate,C10, dateOfRecord,Reference!$B$26, returnOfCapital,Reference!$C$26, IF(purchaseDate &lt; dateOfRecord, returnOfCapital,0))</f>
        <v>10.18</v>
      </c>
      <c r="AC10" s="309">
        <f>LET(purchaseDate,C10, dateOfRecord,Reference!$B$27, returnOfCapital,Reference!$C$27, IF(purchaseDate &lt; dateOfRecord, returnOfCapital,0))</f>
        <v>16.58</v>
      </c>
      <c r="AD10" s="309">
        <f t="shared" si="12"/>
        <v>-26.76</v>
      </c>
      <c r="AE10" s="309">
        <f t="shared" si="13"/>
        <v>0</v>
      </c>
      <c r="AF10" s="320">
        <f>LET(numVmwShares,D10, stockRatio,Reference!$B$5, vmwToAvgoRatio,Reference!$B$6, numVmwShares * stockRatio * vmwToAvgoRatio)</f>
        <v>0</v>
      </c>
      <c r="AG10" s="320">
        <f>LET(numVmwShares,D10, stockRatio,U10, vmwToAvgoRatio,Reference!$B$6, numVmwShares * stockRatio * vmwToAvgoRatio)</f>
        <v>0</v>
      </c>
      <c r="AH10" s="320" t="str">
        <f>LET(numVmwShares,D10, stockRatio,V10, vmwToAvgoRatio,Reference!$B$6, numVmwShares * stockRatio * vmwToAvgoRatio)</f>
        <v>#DIV/0!</v>
      </c>
      <c r="AI10" s="320">
        <f>SWITCH(Reference!$E$4,"eTradeTransactionLog", AF10, "eTradeHoldingRatio", AF10, "eTradeLotQtyRatio",AG10, "manualLotRatio", AH10)</f>
        <v>0</v>
      </c>
      <c r="AJ10" s="321">
        <f>LET(numVmwShares,D10, vmwBasis,AD10, avgoQty,AI10, avgoFMV,Reference!$B$18, cashReceived,AA10, gain,cashReceived+(avgoQty*avgoFMV)-(numVmwShares*vmwBasis),
MAX(gain,0))</f>
        <v>0</v>
      </c>
      <c r="AK10" s="322">
        <f>LET(useForFraction,N10, fractionAmount,Summary!$C$41, esppFractionLots,$N$5, rsuFractionLots,RSU!J$5, IF(useForFraction, fractionAmount / (esppFractionLots+rsuFractionLots), 0))</f>
        <v>0</v>
      </c>
      <c r="AL10" s="323">
        <f>LET(useForFraction,N10, fractionSaleFMV,Reference!$B$23, postMergerBasis,AY10, lotFractionAmount,AK10, IF(useForFraction, (fractionSaleFMV - postMergerBasis)*lotFractionAmount, 0))</f>
        <v>0</v>
      </c>
      <c r="AM10" s="324">
        <f t="shared" si="14"/>
        <v>0</v>
      </c>
      <c r="AN10" s="325">
        <f>LET(
imputedIncome,BB10,
avgoQty,AI10, 
perAvgoIncome, iferror(imputedIncome/avgoQty,0),
purchaseDate,C10,
mergerDate,Reference!$B$28,
lotFractionAmount,AK10,
lotFractionGain,AL10,
mergerGain,AM10,
shortTermGain,IF(DATEDIF(purchaseDate,mergerDate,"Y")&gt;=1,
  0,
  lotFractionGain + mergerGain
),
incomeOnFraction,perAvgoIncome*lotFractionAmount, 
shortTermGain + incomeOnFraction + IF(avgoQty=0,imputedIncome-incomeOnFraction,0))</f>
        <v>0</v>
      </c>
      <c r="AO10" s="325">
        <f>LET(
purchaseDate,C10,
mergerDate,Reference!$B$28,
lotFractionGain,AL10,
mergerGain,AM10,
IF(DATEDIF(purchaseDate,mergerDate,"Y")&gt;=1,
  lotFractionGain+mergerGain,
  0
))</f>
        <v>0</v>
      </c>
      <c r="AP10" s="343" t="str">
        <f>IF(DATEDIF(L10,Reference!$B$28,"Y")&gt;=1,"Part II Box D","Part I Box A")</f>
        <v>Part II Box D</v>
      </c>
      <c r="AQ10" s="344" t="str">
        <f t="shared" si="15"/>
        <v/>
      </c>
      <c r="AR10" s="330">
        <f t="shared" si="16"/>
        <v>0</v>
      </c>
      <c r="AS10" s="330">
        <f>LET(
cashReceived,AA10, 
avgoQty,AI10, 
proceedsStyle,Reference!$E$9, 
avgoFMV,Reference!$B$18, 
SWITCH(proceedsStyle, "combined", cashReceived +(avgoQty*avgoFMV), "cashOnly", cashReceived))</f>
        <v>0</v>
      </c>
      <c r="AT10" s="345">
        <f t="shared" si="17"/>
        <v>0</v>
      </c>
      <c r="AU10" s="345" t="str">
        <f t="shared" si="18"/>
        <v/>
      </c>
      <c r="AV10" s="330">
        <f>LET(
proceedsStyle,Reference!$E$9,
proceeds,AS10,
gain,AW10,
numVmwShares,D10, 
vmwBasis, AD10, 
avgoQty,AI10, 
avgoFMV,Reference!$B$18, 
cashReceived,AA10, 
avgoTotalValue, avgoFMV*avgoQty, 
vmwTotalBasis, vmwBasis*numVmwShares,
alternateGainAmount,AJ10, 
basis1099B, AT10,
SWITCH(proceedsStyle,
  "cashOnly",
    proceeds - gain,
  "combined",
    basis1099B - IF(cashReceived&lt;alternateGainAmount,
      avgoTotalValue,
      vmwTotalBasis
  )
))</f>
        <v>0</v>
      </c>
      <c r="AW10" s="331">
        <f>LET(proceedsStyle,Reference!$E$9, proceeds,AS10, basis1099B, AT10, adjustment,AV10, SWITCH(proceedsStyle, "cashOnly", AM10, "combined", MAX(proceeds - basis1099B + adjustment, 0)))</f>
        <v>0</v>
      </c>
      <c r="AX10" s="332" t="str">
        <f t="shared" si="19"/>
        <v>n/a</v>
      </c>
      <c r="AY10" s="332" t="str">
        <f t="shared" si="20"/>
        <v>n/a</v>
      </c>
      <c r="AZ10" s="333">
        <f>LET(saleFMV,Reference!$B$10, postMergerBasis,AY10, avgoQty,AI10, lotFractionAmount,AK10, iferror((saleFMV - postMergerBasis) * (avgoQty - lotFractionAmount), 0))</f>
        <v>0</v>
      </c>
      <c r="BA10" s="334" t="b">
        <f>LET(grantDate,B10, postMergerSaleDate,Reference!$B$29, purchaseBeginDate,A10, AND(DATEDIF(grantDate,postMergerSaleDate,"Y")&gt;=1, DATEDIF(purchaseBeginDate, postMergerSaleDate, "Y")&gt;=2))</f>
        <v>1</v>
      </c>
      <c r="BB10" s="333">
        <f>LET(
vmwBasis,AD10,
numVmwShares,D10,
cashReceived,AA10,
gainRecognized,AM10,
pureAvgoBasis,IFERROR((vmwBasis - (cashReceived + gainRecognized)/numVmwShares),0),
isQualified,BA10,
saleFMV,Reference!$B$10,
actualPrice,L10,
purchaseDateFMV,F10,
grantDateFMV,E10,
gainFromSale,(saleFMV - pureAvgoBasis),
disqualifiedIncome,(purchaseDateFMV - actualPrice),
qualifiedIncome,MIN(
   gainFromSale,
   (0.15 * grantDateFMV)),
income,IF(isQualified,
   qualifiedIncome,
   disqualifiedIncome),
numVmwShares * income)</f>
        <v>0</v>
      </c>
      <c r="BC10" s="335">
        <f>LET(
avgoQty,AI10, 
purchaseDate,C10,
postMergerSaleDate,Reference!$B$29,
saleFMV,Reference!$B$10,
postMergerBasis,AY10, 
IF(DATEDIF(purchaseDate,postMergerSaleDate,"Y")&gt;=1,
  0,
  avgoQty * (saleFMV - postMergerBasis)
))</f>
        <v>0</v>
      </c>
      <c r="BD10" s="336">
        <f>LET(
avgoQty,AI10, 
purchaseDate,C10,
postMergerSaleDate,Reference!$B$29,
saleFMV,Reference!$B$10,
postMergerBasis,AY10, 
IFERROR(IF(DATEDIF(purchaseDate,postMergerSaleDate,"Y")&gt;=1,
  avgoQty * (saleFMV - postMergerBasis),
  0
),0))</f>
        <v>0</v>
      </c>
      <c r="BE10" s="337"/>
    </row>
    <row r="11">
      <c r="A11" s="305" t="str">
        <f t="shared" si="6"/>
        <v/>
      </c>
      <c r="B11" s="306"/>
      <c r="C11" s="307"/>
      <c r="D11" s="338"/>
      <c r="E11" s="309" t="str">
        <f t="array" ref="E11">IF(B11&lt;&gt;"", IFERROR(VLOOKUP(B11, SORT(PriceReference!$A$1:$B1006), 2, TRUE), "price unavailable"), "")</f>
        <v/>
      </c>
      <c r="F11" s="309" t="str">
        <f t="array" ref="F11">IF(C11&lt;&gt;"", IFERROR(VLOOKUP(C11, SORT(PriceReference!$A$1:$B1006), 2, TRUE), "price unavailable"), "")</f>
        <v/>
      </c>
      <c r="G11" s="339"/>
      <c r="H11" s="309">
        <f t="shared" si="7"/>
        <v>0</v>
      </c>
      <c r="I11" s="340" t="str">
        <f t="shared" si="21"/>
        <v/>
      </c>
      <c r="J11" s="309">
        <f t="shared" si="8"/>
        <v>0</v>
      </c>
      <c r="K11" s="309" t="str">
        <f t="shared" si="9"/>
        <v/>
      </c>
      <c r="L11" s="311">
        <f t="shared" si="10"/>
        <v>0</v>
      </c>
      <c r="M11" s="347"/>
      <c r="N11" s="313" t="b">
        <v>0</v>
      </c>
      <c r="O11" s="314"/>
      <c r="P11" s="315">
        <v>0.0</v>
      </c>
      <c r="Q11" s="315">
        <v>0.0</v>
      </c>
      <c r="R11" s="315">
        <v>0.0</v>
      </c>
      <c r="S11" s="315">
        <v>0.0</v>
      </c>
      <c r="T11" s="316">
        <v>0.0</v>
      </c>
      <c r="U11" s="317">
        <f t="shared" si="11"/>
        <v>0</v>
      </c>
      <c r="V11" s="317" t="str">
        <f>SWITCH(W11,"cash",Reference!$E$5,"shares",Reference!$E$6,"balance",Reference!$E$7,"pro-rata",Reference!$B$5)</f>
        <v>#DIV/0!</v>
      </c>
      <c r="W11" s="318" t="s">
        <v>207</v>
      </c>
      <c r="X11" s="319">
        <f>LET(numVmwShares,D11, cashRatio,Reference!$B$4, vmwFinalPrice,Reference!$B$3, numVmwShares * cashRatio * vmwFinalPrice)</f>
        <v>0</v>
      </c>
      <c r="Y11" s="319">
        <f>iferror(LET(numVmwShares,$D11, stockRatio,U11, vmwFinalPrice,Reference!$B$3, (1 - stockRatio) * vmwFinalPrice * numVmwShares),0)</f>
        <v>0</v>
      </c>
      <c r="Z11" s="319">
        <f>iferror(LET(numVmwShares,$D11, stockRatio,V11, vmwFinalPrice,Reference!$B$3, (1 - stockRatio) * vmwFinalPrice * numVmwShares),0)</f>
        <v>0</v>
      </c>
      <c r="AA11" s="319">
        <f>SWITCH(Reference!$E$4,"eTradeTransactionLog", X11, "eTradeHoldingRatio", X11, "eTradeLotQtyRatio",Y11, "manualLotRatio", Z11)</f>
        <v>0</v>
      </c>
      <c r="AB11" s="309">
        <f>LET(purchaseDate,C11, dateOfRecord,Reference!$B$26, returnOfCapital,Reference!$C$26, IF(purchaseDate &lt; dateOfRecord, returnOfCapital,0))</f>
        <v>10.18</v>
      </c>
      <c r="AC11" s="309">
        <f>LET(purchaseDate,C11, dateOfRecord,Reference!$B$27, returnOfCapital,Reference!$C$27, IF(purchaseDate &lt; dateOfRecord, returnOfCapital,0))</f>
        <v>16.58</v>
      </c>
      <c r="AD11" s="309">
        <f t="shared" si="12"/>
        <v>-26.76</v>
      </c>
      <c r="AE11" s="309">
        <f t="shared" si="13"/>
        <v>0</v>
      </c>
      <c r="AF11" s="320">
        <f>LET(numVmwShares,D11, stockRatio,Reference!$B$5, vmwToAvgoRatio,Reference!$B$6, numVmwShares * stockRatio * vmwToAvgoRatio)</f>
        <v>0</v>
      </c>
      <c r="AG11" s="320">
        <f>LET(numVmwShares,D11, stockRatio,U11, vmwToAvgoRatio,Reference!$B$6, numVmwShares * stockRatio * vmwToAvgoRatio)</f>
        <v>0</v>
      </c>
      <c r="AH11" s="320" t="str">
        <f>LET(numVmwShares,D11, stockRatio,V11, vmwToAvgoRatio,Reference!$B$6, numVmwShares * stockRatio * vmwToAvgoRatio)</f>
        <v>#DIV/0!</v>
      </c>
      <c r="AI11" s="320">
        <f>SWITCH(Reference!$E$4,"eTradeTransactionLog", AF11, "eTradeHoldingRatio", AF11, "eTradeLotQtyRatio",AG11, "manualLotRatio", AH11)</f>
        <v>0</v>
      </c>
      <c r="AJ11" s="321">
        <f>LET(numVmwShares,D11, vmwBasis,AD11, avgoQty,AI11, avgoFMV,Reference!$B$18, cashReceived,AA11, gain,cashReceived+(avgoQty*avgoFMV)-(numVmwShares*vmwBasis),
MAX(gain,0))</f>
        <v>0</v>
      </c>
      <c r="AK11" s="322">
        <f>LET(useForFraction,N11, fractionAmount,Summary!$C$41, esppFractionLots,$N$5, rsuFractionLots,RSU!J$5, IF(useForFraction, fractionAmount / (esppFractionLots+rsuFractionLots), 0))</f>
        <v>0</v>
      </c>
      <c r="AL11" s="323">
        <f>LET(useForFraction,N11, fractionSaleFMV,Reference!$B$23, postMergerBasis,AY11, lotFractionAmount,AK11, IF(useForFraction, (fractionSaleFMV - postMergerBasis)*lotFractionAmount, 0))</f>
        <v>0</v>
      </c>
      <c r="AM11" s="324">
        <f t="shared" si="14"/>
        <v>0</v>
      </c>
      <c r="AN11" s="325">
        <f>LET(
imputedIncome,BB11,
avgoQty,AI11, 
perAvgoIncome, iferror(imputedIncome/avgoQty,0),
purchaseDate,C11,
mergerDate,Reference!$B$28,
lotFractionAmount,AK11,
lotFractionGain,AL11,
mergerGain,AM11,
shortTermGain,IF(DATEDIF(purchaseDate,mergerDate,"Y")&gt;=1,
  0,
  lotFractionGain + mergerGain
),
incomeOnFraction,perAvgoIncome*lotFractionAmount, 
shortTermGain + incomeOnFraction + IF(avgoQty=0,imputedIncome-incomeOnFraction,0))</f>
        <v>0</v>
      </c>
      <c r="AO11" s="325">
        <f>LET(
purchaseDate,C11,
mergerDate,Reference!$B$28,
lotFractionGain,AL11,
mergerGain,AM11,
IF(DATEDIF(purchaseDate,mergerDate,"Y")&gt;=1,
  lotFractionGain+mergerGain,
  0
))</f>
        <v>0</v>
      </c>
      <c r="AP11" s="343" t="str">
        <f>IF(DATEDIF(L11,Reference!$B$28,"Y")&gt;=1,"Part II Box D","Part I Box A")</f>
        <v>Part II Box D</v>
      </c>
      <c r="AQ11" s="344" t="str">
        <f t="shared" si="15"/>
        <v/>
      </c>
      <c r="AR11" s="330">
        <f t="shared" si="16"/>
        <v>0</v>
      </c>
      <c r="AS11" s="330">
        <f>LET(
cashReceived,AA11, 
avgoQty,AI11, 
proceedsStyle,Reference!$E$9, 
avgoFMV,Reference!$B$18, 
SWITCH(proceedsStyle, "combined", cashReceived +(avgoQty*avgoFMV), "cashOnly", cashReceived))</f>
        <v>0</v>
      </c>
      <c r="AT11" s="345">
        <f t="shared" si="17"/>
        <v>0</v>
      </c>
      <c r="AU11" s="345" t="str">
        <f t="shared" si="18"/>
        <v/>
      </c>
      <c r="AV11" s="330">
        <f>LET(
proceedsStyle,Reference!$E$9,
proceeds,AS11,
gain,AW11,
numVmwShares,D11, 
vmwBasis, AD11, 
avgoQty,AI11, 
avgoFMV,Reference!$B$18, 
cashReceived,AA11, 
avgoTotalValue, avgoFMV*avgoQty, 
vmwTotalBasis, vmwBasis*numVmwShares,
alternateGainAmount,AJ11, 
basis1099B, AT11,
SWITCH(proceedsStyle,
  "cashOnly",
    proceeds - gain,
  "combined",
    basis1099B - IF(cashReceived&lt;alternateGainAmount,
      avgoTotalValue,
      vmwTotalBasis
  )
))</f>
        <v>0</v>
      </c>
      <c r="AW11" s="331">
        <f>LET(proceedsStyle,Reference!$E$9, proceeds,AS11, basis1099B, AT11, adjustment,AV11, SWITCH(proceedsStyle, "cashOnly", AM11, "combined", MAX(proceeds - basis1099B + adjustment, 0)))</f>
        <v>0</v>
      </c>
      <c r="AX11" s="332" t="str">
        <f t="shared" si="19"/>
        <v>n/a</v>
      </c>
      <c r="AY11" s="332" t="str">
        <f t="shared" si="20"/>
        <v>n/a</v>
      </c>
      <c r="AZ11" s="333">
        <f>LET(saleFMV,Reference!$B$10, postMergerBasis,AY11, avgoQty,AI11, lotFractionAmount,AK11, iferror((saleFMV - postMergerBasis) * (avgoQty - lotFractionAmount), 0))</f>
        <v>0</v>
      </c>
      <c r="BA11" s="334" t="b">
        <f>LET(grantDate,B11, postMergerSaleDate,Reference!$B$29, purchaseBeginDate,A11, AND(DATEDIF(grantDate,postMergerSaleDate,"Y")&gt;=1, DATEDIF(purchaseBeginDate, postMergerSaleDate, "Y")&gt;=2))</f>
        <v>1</v>
      </c>
      <c r="BB11" s="333">
        <f>LET(
vmwBasis,AD11,
numVmwShares,D11,
cashReceived,AA11,
gainRecognized,AM11,
pureAvgoBasis,IFERROR((vmwBasis - (cashReceived + gainRecognized)/numVmwShares),0),
isQualified,BA11,
saleFMV,Reference!$B$10,
actualPrice,L11,
purchaseDateFMV,F11,
grantDateFMV,E11,
gainFromSale,(saleFMV - pureAvgoBasis),
disqualifiedIncome,(purchaseDateFMV - actualPrice),
qualifiedIncome,MIN(
   gainFromSale,
   (0.15 * grantDateFMV)),
income,IF(isQualified,
   qualifiedIncome,
   disqualifiedIncome),
numVmwShares * income)</f>
        <v>0</v>
      </c>
      <c r="BC11" s="335">
        <f>LET(
avgoQty,AI11, 
purchaseDate,C11,
postMergerSaleDate,Reference!$B$29,
saleFMV,Reference!$B$10,
postMergerBasis,AY11, 
IF(DATEDIF(purchaseDate,postMergerSaleDate,"Y")&gt;=1,
  0,
  avgoQty * (saleFMV - postMergerBasis)
))</f>
        <v>0</v>
      </c>
      <c r="BD11" s="336">
        <f>LET(
avgoQty,AI11, 
purchaseDate,C11,
postMergerSaleDate,Reference!$B$29,
saleFMV,Reference!$B$10,
postMergerBasis,AY11, 
IFERROR(IF(DATEDIF(purchaseDate,postMergerSaleDate,"Y")&gt;=1,
  avgoQty * (saleFMV - postMergerBasis),
  0
),0))</f>
        <v>0</v>
      </c>
      <c r="BE11" s="337"/>
    </row>
    <row r="12">
      <c r="A12" s="305" t="str">
        <f t="shared" si="6"/>
        <v/>
      </c>
      <c r="B12" s="306"/>
      <c r="C12" s="307"/>
      <c r="D12" s="338"/>
      <c r="E12" s="309" t="str">
        <f t="array" ref="E12">IF(B12&lt;&gt;"", IFERROR(VLOOKUP(B12, SORT(PriceReference!$A$1:$B1006), 2, TRUE), "price unavailable"), "")</f>
        <v/>
      </c>
      <c r="F12" s="309" t="str">
        <f t="array" ref="F12">IF(C12&lt;&gt;"", IFERROR(VLOOKUP(C12, SORT(PriceReference!$A$1:$B1006), 2, TRUE), "price unavailable"), "")</f>
        <v/>
      </c>
      <c r="G12" s="339"/>
      <c r="H12" s="309">
        <f t="shared" si="7"/>
        <v>0</v>
      </c>
      <c r="I12" s="340" t="str">
        <f t="shared" si="21"/>
        <v/>
      </c>
      <c r="J12" s="309">
        <f t="shared" si="8"/>
        <v>0</v>
      </c>
      <c r="K12" s="309" t="str">
        <f t="shared" si="9"/>
        <v/>
      </c>
      <c r="L12" s="311">
        <f t="shared" si="10"/>
        <v>0</v>
      </c>
      <c r="M12" s="341"/>
      <c r="N12" s="313" t="b">
        <v>0</v>
      </c>
      <c r="O12" s="314"/>
      <c r="P12" s="315">
        <v>0.0</v>
      </c>
      <c r="Q12" s="315">
        <v>0.0</v>
      </c>
      <c r="R12" s="315">
        <v>0.0</v>
      </c>
      <c r="S12" s="315">
        <v>0.0</v>
      </c>
      <c r="T12" s="316">
        <v>0.0</v>
      </c>
      <c r="U12" s="317">
        <f t="shared" si="11"/>
        <v>0</v>
      </c>
      <c r="V12" s="317" t="str">
        <f>SWITCH(W12,"cash",Reference!$E$5,"shares",Reference!$E$6,"balance",Reference!$E$7,"pro-rata",Reference!$B$5)</f>
        <v>#DIV/0!</v>
      </c>
      <c r="W12" s="318" t="s">
        <v>207</v>
      </c>
      <c r="X12" s="319">
        <f>LET(numVmwShares,D12, cashRatio,Reference!$B$4, vmwFinalPrice,Reference!$B$3, numVmwShares * cashRatio * vmwFinalPrice)</f>
        <v>0</v>
      </c>
      <c r="Y12" s="319">
        <f>iferror(LET(numVmwShares,$D12, stockRatio,U12, vmwFinalPrice,Reference!$B$3, (1 - stockRatio) * vmwFinalPrice * numVmwShares),0)</f>
        <v>0</v>
      </c>
      <c r="Z12" s="319">
        <f>iferror(LET(numVmwShares,$D12, stockRatio,V12, vmwFinalPrice,Reference!$B$3, (1 - stockRatio) * vmwFinalPrice * numVmwShares),0)</f>
        <v>0</v>
      </c>
      <c r="AA12" s="319">
        <f>SWITCH(Reference!$E$4,"eTradeTransactionLog", X12, "eTradeHoldingRatio", X12, "eTradeLotQtyRatio",Y12, "manualLotRatio", Z12)</f>
        <v>0</v>
      </c>
      <c r="AB12" s="309">
        <f>LET(purchaseDate,C12, dateOfRecord,Reference!$B$26, returnOfCapital,Reference!$C$26, IF(purchaseDate &lt; dateOfRecord, returnOfCapital,0))</f>
        <v>10.18</v>
      </c>
      <c r="AC12" s="309">
        <f>LET(purchaseDate,C12, dateOfRecord,Reference!$B$27, returnOfCapital,Reference!$C$27, IF(purchaseDate &lt; dateOfRecord, returnOfCapital,0))</f>
        <v>16.58</v>
      </c>
      <c r="AD12" s="309">
        <f t="shared" si="12"/>
        <v>-26.76</v>
      </c>
      <c r="AE12" s="309">
        <f t="shared" si="13"/>
        <v>0</v>
      </c>
      <c r="AF12" s="320">
        <f>LET(numVmwShares,D12, stockRatio,Reference!$B$5, vmwToAvgoRatio,Reference!$B$6, numVmwShares * stockRatio * vmwToAvgoRatio)</f>
        <v>0</v>
      </c>
      <c r="AG12" s="320">
        <f>LET(numVmwShares,D12, stockRatio,U12, vmwToAvgoRatio,Reference!$B$6, numVmwShares * stockRatio * vmwToAvgoRatio)</f>
        <v>0</v>
      </c>
      <c r="AH12" s="320" t="str">
        <f>LET(numVmwShares,D12, stockRatio,V12, vmwToAvgoRatio,Reference!$B$6, numVmwShares * stockRatio * vmwToAvgoRatio)</f>
        <v>#DIV/0!</v>
      </c>
      <c r="AI12" s="320">
        <f>SWITCH(Reference!$E$4,"eTradeTransactionLog", AF12, "eTradeHoldingRatio", AF12, "eTradeLotQtyRatio",AG12, "manualLotRatio", AH12)</f>
        <v>0</v>
      </c>
      <c r="AJ12" s="321">
        <f>LET(numVmwShares,D12, vmwBasis,AD12, avgoQty,AI12, avgoFMV,Reference!$B$18, cashReceived,AA12, gain,cashReceived+(avgoQty*avgoFMV)-(numVmwShares*vmwBasis),
MAX(gain,0))</f>
        <v>0</v>
      </c>
      <c r="AK12" s="322">
        <f>LET(useForFraction,N12, fractionAmount,Summary!$C$41, esppFractionLots,$N$5, rsuFractionLots,RSU!J$5, IF(useForFraction, fractionAmount / (esppFractionLots+rsuFractionLots), 0))</f>
        <v>0</v>
      </c>
      <c r="AL12" s="323">
        <f>LET(useForFraction,N12, fractionSaleFMV,Reference!$B$23, postMergerBasis,AY12, lotFractionAmount,AK12, IF(useForFraction, (fractionSaleFMV - postMergerBasis)*lotFractionAmount, 0))</f>
        <v>0</v>
      </c>
      <c r="AM12" s="324">
        <f t="shared" si="14"/>
        <v>0</v>
      </c>
      <c r="AN12" s="325">
        <f>LET(
imputedIncome,BB12,
avgoQty,AI12, 
perAvgoIncome, iferror(imputedIncome/avgoQty,0),
purchaseDate,C12,
mergerDate,Reference!$B$28,
lotFractionAmount,AK12,
lotFractionGain,AL12,
mergerGain,AM12,
shortTermGain,IF(DATEDIF(purchaseDate,mergerDate,"Y")&gt;=1,
  0,
  lotFractionGain + mergerGain
),
incomeOnFraction,perAvgoIncome*lotFractionAmount, 
shortTermGain + incomeOnFraction + IF(avgoQty=0,imputedIncome-incomeOnFraction,0))</f>
        <v>0</v>
      </c>
      <c r="AO12" s="325">
        <f>LET(
purchaseDate,C12,
mergerDate,Reference!$B$28,
lotFractionGain,AL12,
mergerGain,AM12,
IF(DATEDIF(purchaseDate,mergerDate,"Y")&gt;=1,
  lotFractionGain+mergerGain,
  0
))</f>
        <v>0</v>
      </c>
      <c r="AP12" s="343" t="str">
        <f>IF(DATEDIF(L12,Reference!$B$28,"Y")&gt;=1,"Part II Box D","Part I Box A")</f>
        <v>Part II Box D</v>
      </c>
      <c r="AQ12" s="344" t="str">
        <f t="shared" si="15"/>
        <v/>
      </c>
      <c r="AR12" s="330">
        <f t="shared" si="16"/>
        <v>0</v>
      </c>
      <c r="AS12" s="330">
        <f>LET(
cashReceived,AA12, 
avgoQty,AI12, 
proceedsStyle,Reference!$E$9, 
avgoFMV,Reference!$B$18, 
SWITCH(proceedsStyle, "combined", cashReceived +(avgoQty*avgoFMV), "cashOnly", cashReceived))</f>
        <v>0</v>
      </c>
      <c r="AT12" s="345">
        <f t="shared" si="17"/>
        <v>0</v>
      </c>
      <c r="AU12" s="345" t="str">
        <f t="shared" si="18"/>
        <v/>
      </c>
      <c r="AV12" s="330">
        <f>LET(
proceedsStyle,Reference!$E$9,
proceeds,AS12,
gain,AW12,
numVmwShares,D12, 
vmwBasis, AD12, 
avgoQty,AI12, 
avgoFMV,Reference!$B$18, 
cashReceived,AA12, 
avgoTotalValue, avgoFMV*avgoQty, 
vmwTotalBasis, vmwBasis*numVmwShares,
alternateGainAmount,AJ12, 
basis1099B, AT12,
SWITCH(proceedsStyle,
  "cashOnly",
    proceeds - gain,
  "combined",
    basis1099B - IF(cashReceived&lt;alternateGainAmount,
      avgoTotalValue,
      vmwTotalBasis
  )
))</f>
        <v>0</v>
      </c>
      <c r="AW12" s="331">
        <f>LET(proceedsStyle,Reference!$E$9, proceeds,AS12, basis1099B, AT12, adjustment,AV12, SWITCH(proceedsStyle, "cashOnly", AM12, "combined", MAX(proceeds - basis1099B + adjustment, 0)))</f>
        <v>0</v>
      </c>
      <c r="AX12" s="332" t="str">
        <f t="shared" si="19"/>
        <v>n/a</v>
      </c>
      <c r="AY12" s="332" t="str">
        <f t="shared" si="20"/>
        <v>n/a</v>
      </c>
      <c r="AZ12" s="333">
        <f>LET(saleFMV,Reference!$B$10, postMergerBasis,AY12, avgoQty,AI12, lotFractionAmount,AK12, iferror((saleFMV - postMergerBasis) * (avgoQty - lotFractionAmount), 0))</f>
        <v>0</v>
      </c>
      <c r="BA12" s="334" t="b">
        <f>LET(grantDate,B12, postMergerSaleDate,Reference!$B$29, purchaseBeginDate,A12, AND(DATEDIF(grantDate,postMergerSaleDate,"Y")&gt;=1, DATEDIF(purchaseBeginDate, postMergerSaleDate, "Y")&gt;=2))</f>
        <v>1</v>
      </c>
      <c r="BB12" s="333">
        <f>LET(
vmwBasis,AD12,
numVmwShares,D12,
cashReceived,AA12,
gainRecognized,AM12,
pureAvgoBasis,IFERROR((vmwBasis - (cashReceived + gainRecognized)/numVmwShares),0),
isQualified,BA12,
saleFMV,Reference!$B$10,
actualPrice,L12,
purchaseDateFMV,F12,
grantDateFMV,E12,
gainFromSale,(saleFMV - pureAvgoBasis),
disqualifiedIncome,(purchaseDateFMV - actualPrice),
qualifiedIncome,MIN(
   gainFromSale,
   (0.15 * grantDateFMV)),
income,IF(isQualified,
   qualifiedIncome,
   disqualifiedIncome),
numVmwShares * income)</f>
        <v>0</v>
      </c>
      <c r="BC12" s="335">
        <f>LET(
avgoQty,AI12, 
purchaseDate,C12,
postMergerSaleDate,Reference!$B$29,
saleFMV,Reference!$B$10,
postMergerBasis,AY12, 
IF(DATEDIF(purchaseDate,postMergerSaleDate,"Y")&gt;=1,
  0,
  avgoQty * (saleFMV - postMergerBasis)
))</f>
        <v>0</v>
      </c>
      <c r="BD12" s="336">
        <f>LET(
avgoQty,AI12, 
purchaseDate,C12,
postMergerSaleDate,Reference!$B$29,
saleFMV,Reference!$B$10,
postMergerBasis,AY12, 
IFERROR(IF(DATEDIF(purchaseDate,postMergerSaleDate,"Y")&gt;=1,
  avgoQty * (saleFMV - postMergerBasis),
  0
),0))</f>
        <v>0</v>
      </c>
      <c r="BE12" s="337"/>
    </row>
    <row r="13">
      <c r="A13" s="305" t="str">
        <f t="shared" si="6"/>
        <v/>
      </c>
      <c r="B13" s="306"/>
      <c r="C13" s="307"/>
      <c r="D13" s="338"/>
      <c r="E13" s="309" t="str">
        <f t="array" ref="E13">IF(B13&lt;&gt;"", IFERROR(VLOOKUP(B13, SORT(PriceReference!$A$1:$B1006), 2, TRUE), "price unavailable"), "")</f>
        <v/>
      </c>
      <c r="F13" s="309" t="str">
        <f t="array" ref="F13">IF(C13&lt;&gt;"", IFERROR(VLOOKUP(C13, SORT(PriceReference!$A$1:$B1006), 2, TRUE), "price unavailable"), "")</f>
        <v/>
      </c>
      <c r="G13" s="339"/>
      <c r="H13" s="309">
        <f t="shared" si="7"/>
        <v>0</v>
      </c>
      <c r="I13" s="340" t="str">
        <f t="shared" si="21"/>
        <v/>
      </c>
      <c r="J13" s="309">
        <f t="shared" si="8"/>
        <v>0</v>
      </c>
      <c r="K13" s="309" t="str">
        <f t="shared" si="9"/>
        <v/>
      </c>
      <c r="L13" s="311">
        <f t="shared" si="10"/>
        <v>0</v>
      </c>
      <c r="M13" s="341"/>
      <c r="N13" s="348" t="b">
        <v>0</v>
      </c>
      <c r="O13" s="349"/>
      <c r="P13" s="315">
        <v>0.0</v>
      </c>
      <c r="Q13" s="315">
        <v>0.0</v>
      </c>
      <c r="R13" s="315">
        <v>0.0</v>
      </c>
      <c r="S13" s="315">
        <v>0.0</v>
      </c>
      <c r="T13" s="316">
        <v>0.0</v>
      </c>
      <c r="U13" s="317">
        <f t="shared" si="11"/>
        <v>0</v>
      </c>
      <c r="V13" s="317" t="str">
        <f>SWITCH(W13,"cash",Reference!$E$5,"shares",Reference!$E$6,"balance",Reference!$E$7,"pro-rata",Reference!$B$5)</f>
        <v>#DIV/0!</v>
      </c>
      <c r="W13" s="318" t="s">
        <v>207</v>
      </c>
      <c r="X13" s="319">
        <f>LET(numVmwShares,D13, cashRatio,Reference!$B$4, vmwFinalPrice,Reference!$B$3, numVmwShares * cashRatio * vmwFinalPrice)</f>
        <v>0</v>
      </c>
      <c r="Y13" s="319">
        <f>iferror(LET(numVmwShares,$D13, stockRatio,U13, vmwFinalPrice,Reference!$B$3, (1 - stockRatio) * vmwFinalPrice * numVmwShares),0)</f>
        <v>0</v>
      </c>
      <c r="Z13" s="319">
        <f>iferror(LET(numVmwShares,$D13, stockRatio,V13, vmwFinalPrice,Reference!$B$3, (1 - stockRatio) * vmwFinalPrice * numVmwShares),0)</f>
        <v>0</v>
      </c>
      <c r="AA13" s="319">
        <f>SWITCH(Reference!$E$4,"eTradeTransactionLog", X13, "eTradeHoldingRatio", X13, "eTradeLotQtyRatio",Y13, "manualLotRatio", Z13)</f>
        <v>0</v>
      </c>
      <c r="AB13" s="309">
        <f>LET(purchaseDate,C13, dateOfRecord,Reference!$B$26, returnOfCapital,Reference!$C$26, IF(purchaseDate &lt; dateOfRecord, returnOfCapital,0))</f>
        <v>10.18</v>
      </c>
      <c r="AC13" s="309">
        <f>LET(purchaseDate,C13, dateOfRecord,Reference!$B$27, returnOfCapital,Reference!$C$27, IF(purchaseDate &lt; dateOfRecord, returnOfCapital,0))</f>
        <v>16.58</v>
      </c>
      <c r="AD13" s="309">
        <f t="shared" si="12"/>
        <v>-26.76</v>
      </c>
      <c r="AE13" s="309">
        <f t="shared" si="13"/>
        <v>0</v>
      </c>
      <c r="AF13" s="320">
        <f>LET(numVmwShares,D13, stockRatio,Reference!$B$5, vmwToAvgoRatio,Reference!$B$6, numVmwShares * stockRatio * vmwToAvgoRatio)</f>
        <v>0</v>
      </c>
      <c r="AG13" s="320">
        <f>LET(numVmwShares,D13, stockRatio,U13, vmwToAvgoRatio,Reference!$B$6, numVmwShares * stockRatio * vmwToAvgoRatio)</f>
        <v>0</v>
      </c>
      <c r="AH13" s="320" t="str">
        <f>LET(numVmwShares,D13, stockRatio,V13, vmwToAvgoRatio,Reference!$B$6, numVmwShares * stockRatio * vmwToAvgoRatio)</f>
        <v>#DIV/0!</v>
      </c>
      <c r="AI13" s="320">
        <f>SWITCH(Reference!$E$4,"eTradeTransactionLog", AF13, "eTradeHoldingRatio", AF13, "eTradeLotQtyRatio",AG13, "manualLotRatio", AH13)</f>
        <v>0</v>
      </c>
      <c r="AJ13" s="321">
        <f>LET(numVmwShares,D13, vmwBasis,AD13, avgoQty,AI13, avgoFMV,Reference!$B$18, cashReceived,AA13, gain,cashReceived+(avgoQty*avgoFMV)-(numVmwShares*vmwBasis),
MAX(gain,0))</f>
        <v>0</v>
      </c>
      <c r="AK13" s="322">
        <f>LET(useForFraction,N13, fractionAmount,Summary!$C$41, esppFractionLots,$N$5, rsuFractionLots,RSU!J$5, IF(useForFraction, fractionAmount / (esppFractionLots+rsuFractionLots), 0))</f>
        <v>0</v>
      </c>
      <c r="AL13" s="323">
        <f>LET(useForFraction,N13, fractionSaleFMV,Reference!$B$23, postMergerBasis,AY13, lotFractionAmount,AK13, IF(useForFraction, (fractionSaleFMV - postMergerBasis)*lotFractionAmount, 0))</f>
        <v>0</v>
      </c>
      <c r="AM13" s="324">
        <f t="shared" si="14"/>
        <v>0</v>
      </c>
      <c r="AN13" s="325">
        <f>LET(
imputedIncome,BB13,
avgoQty,AI13, 
perAvgoIncome, iferror(imputedIncome/avgoQty,0),
purchaseDate,C13,
mergerDate,Reference!$B$28,
lotFractionAmount,AK13,
lotFractionGain,AL13,
mergerGain,AM13,
shortTermGain,IF(DATEDIF(purchaseDate,mergerDate,"Y")&gt;=1,
  0,
  lotFractionGain + mergerGain
),
incomeOnFraction,perAvgoIncome*lotFractionAmount, 
shortTermGain + incomeOnFraction + IF(avgoQty=0,imputedIncome-incomeOnFraction,0))</f>
        <v>0</v>
      </c>
      <c r="AO13" s="325">
        <f>LET(
purchaseDate,C13,
mergerDate,Reference!$B$28,
lotFractionGain,AL13,
mergerGain,AM13,
IF(DATEDIF(purchaseDate,mergerDate,"Y")&gt;=1,
  lotFractionGain+mergerGain,
  0
))</f>
        <v>0</v>
      </c>
      <c r="AP13" s="343" t="str">
        <f>IF(DATEDIF(L13,Reference!$B$28,"Y")&gt;=1,"Part II Box D","Part I Box A")</f>
        <v>Part II Box D</v>
      </c>
      <c r="AQ13" s="344" t="str">
        <f t="shared" si="15"/>
        <v/>
      </c>
      <c r="AR13" s="330">
        <f t="shared" si="16"/>
        <v>0</v>
      </c>
      <c r="AS13" s="330">
        <f>LET(
cashReceived,AA13, 
avgoQty,AI13, 
proceedsStyle,Reference!$E$9, 
avgoFMV,Reference!$B$18, 
SWITCH(proceedsStyle, "combined", cashReceived +(avgoQty*avgoFMV), "cashOnly", cashReceived))</f>
        <v>0</v>
      </c>
      <c r="AT13" s="345">
        <f t="shared" si="17"/>
        <v>0</v>
      </c>
      <c r="AU13" s="345" t="str">
        <f t="shared" si="18"/>
        <v/>
      </c>
      <c r="AV13" s="330">
        <f>LET(
proceedsStyle,Reference!$E$9,
proceeds,AS13,
gain,AW13,
numVmwShares,D13, 
vmwBasis, AD13, 
avgoQty,AI13, 
avgoFMV,Reference!$B$18, 
cashReceived,AA13, 
avgoTotalValue, avgoFMV*avgoQty, 
vmwTotalBasis, vmwBasis*numVmwShares,
alternateGainAmount,AJ13, 
basis1099B, AT13,
SWITCH(proceedsStyle,
  "cashOnly",
    proceeds - gain,
  "combined",
    basis1099B - IF(cashReceived&lt;alternateGainAmount,
      avgoTotalValue,
      vmwTotalBasis
  )
))</f>
        <v>0</v>
      </c>
      <c r="AW13" s="331">
        <f>LET(proceedsStyle,Reference!$E$9, proceeds,AS13, basis1099B, AT13, adjustment,AV13, SWITCH(proceedsStyle, "cashOnly", AM13, "combined", MAX(proceeds - basis1099B + adjustment, 0)))</f>
        <v>0</v>
      </c>
      <c r="AX13" s="332" t="str">
        <f t="shared" si="19"/>
        <v>n/a</v>
      </c>
      <c r="AY13" s="332" t="str">
        <f t="shared" si="20"/>
        <v>n/a</v>
      </c>
      <c r="AZ13" s="333">
        <f>LET(saleFMV,Reference!$B$10, postMergerBasis,AY13, avgoQty,AI13, lotFractionAmount,AK13, iferror((saleFMV - postMergerBasis) * (avgoQty - lotFractionAmount), 0))</f>
        <v>0</v>
      </c>
      <c r="BA13" s="334" t="b">
        <f>LET(grantDate,B13, postMergerSaleDate,Reference!$B$29, purchaseBeginDate,A13, AND(DATEDIF(grantDate,postMergerSaleDate,"Y")&gt;=1, DATEDIF(purchaseBeginDate, postMergerSaleDate, "Y")&gt;=2))</f>
        <v>1</v>
      </c>
      <c r="BB13" s="333">
        <f>LET(
vmwBasis,AD13,
numVmwShares,D13,
cashReceived,AA13,
gainRecognized,AM13,
pureAvgoBasis,IFERROR((vmwBasis - (cashReceived + gainRecognized)/numVmwShares),0),
isQualified,BA13,
saleFMV,Reference!$B$10,
actualPrice,L13,
purchaseDateFMV,F13,
grantDateFMV,E13,
gainFromSale,(saleFMV - pureAvgoBasis),
disqualifiedIncome,(purchaseDateFMV - actualPrice),
qualifiedIncome,MIN(
   gainFromSale,
   (0.15 * grantDateFMV)),
income,IF(isQualified,
   qualifiedIncome,
   disqualifiedIncome),
numVmwShares * income)</f>
        <v>0</v>
      </c>
      <c r="BC13" s="335">
        <f>LET(
avgoQty,AI13, 
purchaseDate,C13,
postMergerSaleDate,Reference!$B$29,
saleFMV,Reference!$B$10,
postMergerBasis,AY13, 
IF(DATEDIF(purchaseDate,postMergerSaleDate,"Y")&gt;=1,
  0,
  avgoQty * (saleFMV - postMergerBasis)
))</f>
        <v>0</v>
      </c>
      <c r="BD13" s="336">
        <f>LET(
avgoQty,AI13, 
purchaseDate,C13,
postMergerSaleDate,Reference!$B$29,
saleFMV,Reference!$B$10,
postMergerBasis,AY13, 
IFERROR(IF(DATEDIF(purchaseDate,postMergerSaleDate,"Y")&gt;=1,
  avgoQty * (saleFMV - postMergerBasis),
  0
),0))</f>
        <v>0</v>
      </c>
      <c r="BE13" s="337"/>
    </row>
    <row r="14">
      <c r="A14" s="305" t="str">
        <f t="shared" si="6"/>
        <v/>
      </c>
      <c r="B14" s="306"/>
      <c r="C14" s="307"/>
      <c r="D14" s="338"/>
      <c r="E14" s="309" t="str">
        <f t="array" ref="E14">IF(B14&lt;&gt;"", IFERROR(VLOOKUP(B14, SORT(PriceReference!$A$1:$B1006), 2, TRUE), "price unavailable"), "")</f>
        <v/>
      </c>
      <c r="F14" s="309" t="str">
        <f t="array" ref="F14">IF(C14&lt;&gt;"", IFERROR(VLOOKUP(C14, SORT(PriceReference!$A$1:$B1006), 2, TRUE), "price unavailable"), "")</f>
        <v/>
      </c>
      <c r="G14" s="339"/>
      <c r="H14" s="309">
        <f t="shared" si="7"/>
        <v>0</v>
      </c>
      <c r="I14" s="340" t="str">
        <f t="shared" si="21"/>
        <v/>
      </c>
      <c r="J14" s="309">
        <f t="shared" si="8"/>
        <v>0</v>
      </c>
      <c r="K14" s="309" t="str">
        <f t="shared" si="9"/>
        <v/>
      </c>
      <c r="L14" s="311">
        <f t="shared" si="10"/>
        <v>0</v>
      </c>
      <c r="M14" s="347"/>
      <c r="N14" s="348" t="b">
        <v>0</v>
      </c>
      <c r="O14" s="349"/>
      <c r="P14" s="315">
        <v>0.0</v>
      </c>
      <c r="Q14" s="315">
        <v>0.0</v>
      </c>
      <c r="R14" s="315">
        <v>0.0</v>
      </c>
      <c r="S14" s="315">
        <v>0.0</v>
      </c>
      <c r="T14" s="316">
        <v>0.0</v>
      </c>
      <c r="U14" s="317">
        <f t="shared" si="11"/>
        <v>0</v>
      </c>
      <c r="V14" s="317" t="str">
        <f>SWITCH(W14,"cash",Reference!$E$5,"shares",Reference!$E$6,"balance",Reference!$E$7,"pro-rata",Reference!$B$5)</f>
        <v>#DIV/0!</v>
      </c>
      <c r="W14" s="318" t="s">
        <v>207</v>
      </c>
      <c r="X14" s="319">
        <f>LET(numVmwShares,D14, cashRatio,Reference!$B$4, vmwFinalPrice,Reference!$B$3, numVmwShares * cashRatio * vmwFinalPrice)</f>
        <v>0</v>
      </c>
      <c r="Y14" s="319">
        <f>iferror(LET(numVmwShares,$D14, stockRatio,U14, vmwFinalPrice,Reference!$B$3, (1 - stockRatio) * vmwFinalPrice * numVmwShares),0)</f>
        <v>0</v>
      </c>
      <c r="Z14" s="319">
        <f>iferror(LET(numVmwShares,$D14, stockRatio,V14, vmwFinalPrice,Reference!$B$3, (1 - stockRatio) * vmwFinalPrice * numVmwShares),0)</f>
        <v>0</v>
      </c>
      <c r="AA14" s="319">
        <f>SWITCH(Reference!$E$4,"eTradeTransactionLog", X14, "eTradeHoldingRatio", X14, "eTradeLotQtyRatio",Y14, "manualLotRatio", Z14)</f>
        <v>0</v>
      </c>
      <c r="AB14" s="309">
        <f>LET(purchaseDate,C14, dateOfRecord,Reference!$B$26, returnOfCapital,Reference!$C$26, IF(purchaseDate &lt; dateOfRecord, returnOfCapital,0))</f>
        <v>10.18</v>
      </c>
      <c r="AC14" s="309">
        <f>LET(purchaseDate,C14, dateOfRecord,Reference!$B$27, returnOfCapital,Reference!$C$27, IF(purchaseDate &lt; dateOfRecord, returnOfCapital,0))</f>
        <v>16.58</v>
      </c>
      <c r="AD14" s="309">
        <f t="shared" si="12"/>
        <v>-26.76</v>
      </c>
      <c r="AE14" s="309">
        <f t="shared" si="13"/>
        <v>0</v>
      </c>
      <c r="AF14" s="320">
        <f>LET(numVmwShares,D14, stockRatio,Reference!$B$5, vmwToAvgoRatio,Reference!$B$6, numVmwShares * stockRatio * vmwToAvgoRatio)</f>
        <v>0</v>
      </c>
      <c r="AG14" s="320">
        <f>LET(numVmwShares,D14, stockRatio,U14, vmwToAvgoRatio,Reference!$B$6, numVmwShares * stockRatio * vmwToAvgoRatio)</f>
        <v>0</v>
      </c>
      <c r="AH14" s="320" t="str">
        <f>LET(numVmwShares,D14, stockRatio,V14, vmwToAvgoRatio,Reference!$B$6, numVmwShares * stockRatio * vmwToAvgoRatio)</f>
        <v>#DIV/0!</v>
      </c>
      <c r="AI14" s="320">
        <f>SWITCH(Reference!$E$4,"eTradeTransactionLog", AF14, "eTradeHoldingRatio", AF14, "eTradeLotQtyRatio",AG14, "manualLotRatio", AH14)</f>
        <v>0</v>
      </c>
      <c r="AJ14" s="321">
        <f>LET(numVmwShares,D14, vmwBasis,AD14, avgoQty,AI14, avgoFMV,Reference!$B$18, cashReceived,AA14, gain,cashReceived+(avgoQty*avgoFMV)-(numVmwShares*vmwBasis),
MAX(gain,0))</f>
        <v>0</v>
      </c>
      <c r="AK14" s="322">
        <f>LET(useForFraction,N14, fractionAmount,Summary!$C$41, esppFractionLots,$N$5, rsuFractionLots,RSU!J$5, IF(useForFraction, fractionAmount / (esppFractionLots+rsuFractionLots), 0))</f>
        <v>0</v>
      </c>
      <c r="AL14" s="323">
        <f>LET(useForFraction,N14, fractionSaleFMV,Reference!$B$23, postMergerBasis,AY14, lotFractionAmount,AK14, IF(useForFraction, (fractionSaleFMV - postMergerBasis)*lotFractionAmount, 0))</f>
        <v>0</v>
      </c>
      <c r="AM14" s="324">
        <f t="shared" si="14"/>
        <v>0</v>
      </c>
      <c r="AN14" s="325">
        <f>LET(
imputedIncome,BB14,
avgoQty,AI14, 
perAvgoIncome, iferror(imputedIncome/avgoQty,0),
purchaseDate,C14,
mergerDate,Reference!$B$28,
lotFractionAmount,AK14,
lotFractionGain,AL14,
mergerGain,AM14,
shortTermGain,IF(DATEDIF(purchaseDate,mergerDate,"Y")&gt;=1,
  0,
  lotFractionGain + mergerGain
),
incomeOnFraction,perAvgoIncome*lotFractionAmount, 
shortTermGain + incomeOnFraction + IF(avgoQty=0,imputedIncome-incomeOnFraction,0))</f>
        <v>0</v>
      </c>
      <c r="AO14" s="325">
        <f>LET(
purchaseDate,C14,
mergerDate,Reference!$B$28,
lotFractionGain,AL14,
mergerGain,AM14,
IF(DATEDIF(purchaseDate,mergerDate,"Y")&gt;=1,
  lotFractionGain+mergerGain,
  0
))</f>
        <v>0</v>
      </c>
      <c r="AP14" s="343" t="str">
        <f>IF(DATEDIF(L14,Reference!$B$28,"Y")&gt;=1,"Part II Box D","Part I Box A")</f>
        <v>Part II Box D</v>
      </c>
      <c r="AQ14" s="344" t="str">
        <f t="shared" si="15"/>
        <v/>
      </c>
      <c r="AR14" s="330">
        <f t="shared" si="16"/>
        <v>0</v>
      </c>
      <c r="AS14" s="330">
        <f>LET(
cashReceived,AA14, 
avgoQty,AI14, 
proceedsStyle,Reference!$E$9, 
avgoFMV,Reference!$B$18, 
SWITCH(proceedsStyle, "combined", cashReceived +(avgoQty*avgoFMV), "cashOnly", cashReceived))</f>
        <v>0</v>
      </c>
      <c r="AT14" s="345">
        <f t="shared" si="17"/>
        <v>0</v>
      </c>
      <c r="AU14" s="345" t="str">
        <f t="shared" si="18"/>
        <v/>
      </c>
      <c r="AV14" s="330">
        <f>LET(
proceedsStyle,Reference!$E$9,
proceeds,AS14,
gain,AW14,
numVmwShares,D14, 
vmwBasis, AD14, 
avgoQty,AI14, 
avgoFMV,Reference!$B$18, 
cashReceived,AA14, 
avgoTotalValue, avgoFMV*avgoQty, 
vmwTotalBasis, vmwBasis*numVmwShares,
alternateGainAmount,AJ14, 
basis1099B, AT14,
SWITCH(proceedsStyle,
  "cashOnly",
    proceeds - gain,
  "combined",
    basis1099B - IF(cashReceived&lt;alternateGainAmount,
      avgoTotalValue,
      vmwTotalBasis
  )
))</f>
        <v>0</v>
      </c>
      <c r="AW14" s="331">
        <f>LET(proceedsStyle,Reference!$E$9, proceeds,AS14, basis1099B, AT14, adjustment,AV14, SWITCH(proceedsStyle, "cashOnly", AM14, "combined", MAX(proceeds - basis1099B + adjustment, 0)))</f>
        <v>0</v>
      </c>
      <c r="AX14" s="332" t="str">
        <f t="shared" si="19"/>
        <v>n/a</v>
      </c>
      <c r="AY14" s="332" t="str">
        <f t="shared" si="20"/>
        <v>n/a</v>
      </c>
      <c r="AZ14" s="333">
        <f>LET(saleFMV,Reference!$B$10, postMergerBasis,AY14, avgoQty,AI14, lotFractionAmount,AK14, iferror((saleFMV - postMergerBasis) * (avgoQty - lotFractionAmount), 0))</f>
        <v>0</v>
      </c>
      <c r="BA14" s="334" t="b">
        <f>LET(grantDate,B14, postMergerSaleDate,Reference!$B$29, purchaseBeginDate,A14, AND(DATEDIF(grantDate,postMergerSaleDate,"Y")&gt;=1, DATEDIF(purchaseBeginDate, postMergerSaleDate, "Y")&gt;=2))</f>
        <v>1</v>
      </c>
      <c r="BB14" s="333">
        <f>LET(
vmwBasis,AD14,
numVmwShares,D14,
cashReceived,AA14,
gainRecognized,AM14,
pureAvgoBasis,IFERROR((vmwBasis - (cashReceived + gainRecognized)/numVmwShares),0),
isQualified,BA14,
saleFMV,Reference!$B$10,
actualPrice,L14,
purchaseDateFMV,F14,
grantDateFMV,E14,
gainFromSale,(saleFMV - pureAvgoBasis),
disqualifiedIncome,(purchaseDateFMV - actualPrice),
qualifiedIncome,MIN(
   gainFromSale,
   (0.15 * grantDateFMV)),
income,IF(isQualified,
   qualifiedIncome,
   disqualifiedIncome),
numVmwShares * income)</f>
        <v>0</v>
      </c>
      <c r="BC14" s="335">
        <f>LET(
avgoQty,AI14, 
purchaseDate,C14,
postMergerSaleDate,Reference!$B$29,
saleFMV,Reference!$B$10,
postMergerBasis,AY14, 
IF(DATEDIF(purchaseDate,postMergerSaleDate,"Y")&gt;=1,
  0,
  avgoQty * (saleFMV - postMergerBasis)
))</f>
        <v>0</v>
      </c>
      <c r="BD14" s="336">
        <f>LET(
avgoQty,AI14, 
purchaseDate,C14,
postMergerSaleDate,Reference!$B$29,
saleFMV,Reference!$B$10,
postMergerBasis,AY14, 
IFERROR(IF(DATEDIF(purchaseDate,postMergerSaleDate,"Y")&gt;=1,
  avgoQty * (saleFMV - postMergerBasis),
  0
),0))</f>
        <v>0</v>
      </c>
      <c r="BE14" s="337"/>
    </row>
    <row r="15">
      <c r="A15" s="305" t="str">
        <f t="shared" si="6"/>
        <v/>
      </c>
      <c r="B15" s="306"/>
      <c r="C15" s="307"/>
      <c r="D15" s="338"/>
      <c r="E15" s="309" t="str">
        <f t="array" ref="E15">IF(B15&lt;&gt;"", IFERROR(VLOOKUP(B15, SORT(PriceReference!$A$1:$B1006), 2, TRUE), "price unavailable"), "")</f>
        <v/>
      </c>
      <c r="F15" s="309" t="str">
        <f t="array" ref="F15">IF(C15&lt;&gt;"", IFERROR(VLOOKUP(C15, SORT(PriceReference!$A$1:$B1006), 2, TRUE), "price unavailable"), "")</f>
        <v/>
      </c>
      <c r="G15" s="339"/>
      <c r="H15" s="309">
        <f t="shared" si="7"/>
        <v>0</v>
      </c>
      <c r="I15" s="340" t="str">
        <f t="shared" si="21"/>
        <v/>
      </c>
      <c r="J15" s="309">
        <f t="shared" si="8"/>
        <v>0</v>
      </c>
      <c r="K15" s="309" t="str">
        <f t="shared" si="9"/>
        <v/>
      </c>
      <c r="L15" s="311">
        <f t="shared" si="10"/>
        <v>0</v>
      </c>
      <c r="M15" s="347"/>
      <c r="N15" s="348" t="b">
        <v>0</v>
      </c>
      <c r="O15" s="349"/>
      <c r="P15" s="315">
        <v>0.0</v>
      </c>
      <c r="Q15" s="315">
        <v>0.0</v>
      </c>
      <c r="R15" s="315">
        <v>0.0</v>
      </c>
      <c r="S15" s="315">
        <v>0.0</v>
      </c>
      <c r="T15" s="316">
        <v>0.0</v>
      </c>
      <c r="U15" s="317">
        <f t="shared" si="11"/>
        <v>0</v>
      </c>
      <c r="V15" s="317" t="str">
        <f>SWITCH(W15,"cash",Reference!$E$5,"shares",Reference!$E$6,"balance",Reference!$E$7,"pro-rata",Reference!$B$5)</f>
        <v>#DIV/0!</v>
      </c>
      <c r="W15" s="318" t="s">
        <v>207</v>
      </c>
      <c r="X15" s="319">
        <f>LET(numVmwShares,D15, cashRatio,Reference!$B$4, vmwFinalPrice,Reference!$B$3, numVmwShares * cashRatio * vmwFinalPrice)</f>
        <v>0</v>
      </c>
      <c r="Y15" s="319">
        <f>iferror(LET(numVmwShares,$D15, stockRatio,U15, vmwFinalPrice,Reference!$B$3, (1 - stockRatio) * vmwFinalPrice * numVmwShares),0)</f>
        <v>0</v>
      </c>
      <c r="Z15" s="319">
        <f>iferror(LET(numVmwShares,$D15, stockRatio,V15, vmwFinalPrice,Reference!$B$3, (1 - stockRatio) * vmwFinalPrice * numVmwShares),0)</f>
        <v>0</v>
      </c>
      <c r="AA15" s="319">
        <f>SWITCH(Reference!$E$4,"eTradeTransactionLog", X15, "eTradeHoldingRatio", X15, "eTradeLotQtyRatio",Y15, "manualLotRatio", Z15)</f>
        <v>0</v>
      </c>
      <c r="AB15" s="309">
        <f>LET(purchaseDate,C15, dateOfRecord,Reference!$B$26, returnOfCapital,Reference!$C$26, IF(purchaseDate &lt; dateOfRecord, returnOfCapital,0))</f>
        <v>10.18</v>
      </c>
      <c r="AC15" s="309">
        <f>LET(purchaseDate,C15, dateOfRecord,Reference!$B$27, returnOfCapital,Reference!$C$27, IF(purchaseDate &lt; dateOfRecord, returnOfCapital,0))</f>
        <v>16.58</v>
      </c>
      <c r="AD15" s="309">
        <f t="shared" si="12"/>
        <v>-26.76</v>
      </c>
      <c r="AE15" s="309">
        <f t="shared" si="13"/>
        <v>0</v>
      </c>
      <c r="AF15" s="320">
        <f>LET(numVmwShares,D15, stockRatio,Reference!$B$5, vmwToAvgoRatio,Reference!$B$6, numVmwShares * stockRatio * vmwToAvgoRatio)</f>
        <v>0</v>
      </c>
      <c r="AG15" s="320">
        <f>LET(numVmwShares,D15, stockRatio,U15, vmwToAvgoRatio,Reference!$B$6, numVmwShares * stockRatio * vmwToAvgoRatio)</f>
        <v>0</v>
      </c>
      <c r="AH15" s="320" t="str">
        <f>LET(numVmwShares,D15, stockRatio,V15, vmwToAvgoRatio,Reference!$B$6, numVmwShares * stockRatio * vmwToAvgoRatio)</f>
        <v>#DIV/0!</v>
      </c>
      <c r="AI15" s="320">
        <f>SWITCH(Reference!$E$4,"eTradeTransactionLog", AF15, "eTradeHoldingRatio", AF15, "eTradeLotQtyRatio",AG15, "manualLotRatio", AH15)</f>
        <v>0</v>
      </c>
      <c r="AJ15" s="321">
        <f>LET(numVmwShares,D15, vmwBasis,AD15, avgoQty,AI15, avgoFMV,Reference!$B$18, cashReceived,AA15, gain,cashReceived+(avgoQty*avgoFMV)-(numVmwShares*vmwBasis),
MAX(gain,0))</f>
        <v>0</v>
      </c>
      <c r="AK15" s="322">
        <f>LET(useForFraction,N15, fractionAmount,Summary!$C$41, esppFractionLots,$N$5, rsuFractionLots,RSU!J$5, IF(useForFraction, fractionAmount / (esppFractionLots+rsuFractionLots), 0))</f>
        <v>0</v>
      </c>
      <c r="AL15" s="323">
        <f>LET(useForFraction,N15, fractionSaleFMV,Reference!$B$23, postMergerBasis,AY15, lotFractionAmount,AK15, IF(useForFraction, (fractionSaleFMV - postMergerBasis)*lotFractionAmount, 0))</f>
        <v>0</v>
      </c>
      <c r="AM15" s="324">
        <f t="shared" si="14"/>
        <v>0</v>
      </c>
      <c r="AN15" s="325">
        <f>LET(
imputedIncome,BB15,
avgoQty,AI15, 
perAvgoIncome, iferror(imputedIncome/avgoQty,0),
purchaseDate,C15,
mergerDate,Reference!$B$28,
lotFractionAmount,AK15,
lotFractionGain,AL15,
mergerGain,AM15,
shortTermGain,IF(DATEDIF(purchaseDate,mergerDate,"Y")&gt;=1,
  0,
  lotFractionGain + mergerGain
),
incomeOnFraction,perAvgoIncome*lotFractionAmount, 
shortTermGain + incomeOnFraction + IF(avgoQty=0,imputedIncome-incomeOnFraction,0))</f>
        <v>0</v>
      </c>
      <c r="AO15" s="325">
        <f>LET(
purchaseDate,C15,
mergerDate,Reference!$B$28,
lotFractionGain,AL15,
mergerGain,AM15,
IF(DATEDIF(purchaseDate,mergerDate,"Y")&gt;=1,
  lotFractionGain+mergerGain,
  0
))</f>
        <v>0</v>
      </c>
      <c r="AP15" s="343" t="str">
        <f>IF(DATEDIF(L15,Reference!$B$28,"Y")&gt;=1,"Part II Box D","Part I Box A")</f>
        <v>Part II Box D</v>
      </c>
      <c r="AQ15" s="344" t="str">
        <f t="shared" si="15"/>
        <v/>
      </c>
      <c r="AR15" s="330">
        <f t="shared" si="16"/>
        <v>0</v>
      </c>
      <c r="AS15" s="330">
        <f>LET(
cashReceived,AA15, 
avgoQty,AI15, 
proceedsStyle,Reference!$E$9, 
avgoFMV,Reference!$B$18, 
SWITCH(proceedsStyle, "combined", cashReceived +(avgoQty*avgoFMV), "cashOnly", cashReceived))</f>
        <v>0</v>
      </c>
      <c r="AT15" s="345">
        <f t="shared" si="17"/>
        <v>0</v>
      </c>
      <c r="AU15" s="345" t="str">
        <f t="shared" si="18"/>
        <v/>
      </c>
      <c r="AV15" s="330">
        <f>LET(
proceedsStyle,Reference!$E$9,
proceeds,AS15,
gain,AW15,
numVmwShares,D15, 
vmwBasis, AD15, 
avgoQty,AI15, 
avgoFMV,Reference!$B$18, 
cashReceived,AA15, 
avgoTotalValue, avgoFMV*avgoQty, 
vmwTotalBasis, vmwBasis*numVmwShares,
alternateGainAmount,AJ15, 
basis1099B, AT15,
SWITCH(proceedsStyle,
  "cashOnly",
    proceeds - gain,
  "combined",
    basis1099B - IF(cashReceived&lt;alternateGainAmount,
      avgoTotalValue,
      vmwTotalBasis
  )
))</f>
        <v>0</v>
      </c>
      <c r="AW15" s="331">
        <f>LET(proceedsStyle,Reference!$E$9, proceeds,AS15, basis1099B, AT15, adjustment,AV15, SWITCH(proceedsStyle, "cashOnly", AM15, "combined", MAX(proceeds - basis1099B + adjustment, 0)))</f>
        <v>0</v>
      </c>
      <c r="AX15" s="332" t="str">
        <f t="shared" si="19"/>
        <v>n/a</v>
      </c>
      <c r="AY15" s="332" t="str">
        <f t="shared" si="20"/>
        <v>n/a</v>
      </c>
      <c r="AZ15" s="333">
        <f>LET(saleFMV,Reference!$B$10, postMergerBasis,AY15, avgoQty,AI15, lotFractionAmount,AK15, iferror((saleFMV - postMergerBasis) * (avgoQty - lotFractionAmount), 0))</f>
        <v>0</v>
      </c>
      <c r="BA15" s="334" t="b">
        <f>LET(grantDate,B15, postMergerSaleDate,Reference!$B$29, purchaseBeginDate,A15, AND(DATEDIF(grantDate,postMergerSaleDate,"Y")&gt;=1, DATEDIF(purchaseBeginDate, postMergerSaleDate, "Y")&gt;=2))</f>
        <v>1</v>
      </c>
      <c r="BB15" s="333">
        <f>LET(
vmwBasis,AD15,
numVmwShares,D15,
cashReceived,AA15,
gainRecognized,AM15,
pureAvgoBasis,IFERROR((vmwBasis - (cashReceived + gainRecognized)/numVmwShares),0),
isQualified,BA15,
saleFMV,Reference!$B$10,
actualPrice,L15,
purchaseDateFMV,F15,
grantDateFMV,E15,
gainFromSale,(saleFMV - pureAvgoBasis),
disqualifiedIncome,(purchaseDateFMV - actualPrice),
qualifiedIncome,MIN(
   gainFromSale,
   (0.15 * grantDateFMV)),
income,IF(isQualified,
   qualifiedIncome,
   disqualifiedIncome),
numVmwShares * income)</f>
        <v>0</v>
      </c>
      <c r="BC15" s="335">
        <f>LET(
avgoQty,AI15, 
purchaseDate,C15,
postMergerSaleDate,Reference!$B$29,
saleFMV,Reference!$B$10,
postMergerBasis,AY15, 
IF(DATEDIF(purchaseDate,postMergerSaleDate,"Y")&gt;=1,
  0,
  avgoQty * (saleFMV - postMergerBasis)
))</f>
        <v>0</v>
      </c>
      <c r="BD15" s="336">
        <f>LET(
avgoQty,AI15, 
purchaseDate,C15,
postMergerSaleDate,Reference!$B$29,
saleFMV,Reference!$B$10,
postMergerBasis,AY15, 
IFERROR(IF(DATEDIF(purchaseDate,postMergerSaleDate,"Y")&gt;=1,
  avgoQty * (saleFMV - postMergerBasis),
  0
),0))</f>
        <v>0</v>
      </c>
      <c r="BE15" s="337"/>
    </row>
    <row r="16">
      <c r="A16" s="305" t="str">
        <f t="shared" si="6"/>
        <v/>
      </c>
      <c r="B16" s="306"/>
      <c r="C16" s="307"/>
      <c r="D16" s="338"/>
      <c r="E16" s="309" t="str">
        <f t="array" ref="E16">IF(B16&lt;&gt;"", IFERROR(VLOOKUP(B16, SORT(PriceReference!$A$1:$B1006), 2, TRUE), "price unavailable"), "")</f>
        <v/>
      </c>
      <c r="F16" s="309" t="str">
        <f t="array" ref="F16">IF(C16&lt;&gt;"", IFERROR(VLOOKUP(C16, SORT(PriceReference!$A$1:$B1006), 2, TRUE), "price unavailable"), "")</f>
        <v/>
      </c>
      <c r="G16" s="339"/>
      <c r="H16" s="309">
        <f t="shared" si="7"/>
        <v>0</v>
      </c>
      <c r="I16" s="340" t="str">
        <f t="shared" si="21"/>
        <v/>
      </c>
      <c r="J16" s="309">
        <f t="shared" si="8"/>
        <v>0</v>
      </c>
      <c r="K16" s="309" t="str">
        <f t="shared" si="9"/>
        <v/>
      </c>
      <c r="L16" s="311">
        <f t="shared" si="10"/>
        <v>0</v>
      </c>
      <c r="M16" s="341"/>
      <c r="N16" s="348" t="b">
        <v>0</v>
      </c>
      <c r="O16" s="349"/>
      <c r="P16" s="315">
        <v>0.0</v>
      </c>
      <c r="Q16" s="315">
        <v>0.0</v>
      </c>
      <c r="R16" s="315">
        <v>0.0</v>
      </c>
      <c r="S16" s="315">
        <v>0.0</v>
      </c>
      <c r="T16" s="316">
        <v>0.0</v>
      </c>
      <c r="U16" s="317">
        <f t="shared" si="11"/>
        <v>0</v>
      </c>
      <c r="V16" s="317" t="str">
        <f>SWITCH(W16,"cash",Reference!$E$5,"shares",Reference!$E$6,"balance",Reference!$E$7,"pro-rata",Reference!$B$5)</f>
        <v>#DIV/0!</v>
      </c>
      <c r="W16" s="318" t="s">
        <v>207</v>
      </c>
      <c r="X16" s="319">
        <f>LET(numVmwShares,D16, cashRatio,Reference!$B$4, vmwFinalPrice,Reference!$B$3, numVmwShares * cashRatio * vmwFinalPrice)</f>
        <v>0</v>
      </c>
      <c r="Y16" s="319">
        <f>iferror(LET(numVmwShares,$D16, stockRatio,U16, vmwFinalPrice,Reference!$B$3, (1 - stockRatio) * vmwFinalPrice * numVmwShares),0)</f>
        <v>0</v>
      </c>
      <c r="Z16" s="319">
        <f>iferror(LET(numVmwShares,$D16, stockRatio,V16, vmwFinalPrice,Reference!$B$3, (1 - stockRatio) * vmwFinalPrice * numVmwShares),0)</f>
        <v>0</v>
      </c>
      <c r="AA16" s="319">
        <f>SWITCH(Reference!$E$4,"eTradeTransactionLog", X16, "eTradeHoldingRatio", X16, "eTradeLotQtyRatio",Y16, "manualLotRatio", Z16)</f>
        <v>0</v>
      </c>
      <c r="AB16" s="309">
        <f>LET(purchaseDate,C16, dateOfRecord,Reference!$B$26, returnOfCapital,Reference!$C$26, IF(purchaseDate &lt; dateOfRecord, returnOfCapital,0))</f>
        <v>10.18</v>
      </c>
      <c r="AC16" s="309">
        <f>LET(purchaseDate,C16, dateOfRecord,Reference!$B$27, returnOfCapital,Reference!$C$27, IF(purchaseDate &lt; dateOfRecord, returnOfCapital,0))</f>
        <v>16.58</v>
      </c>
      <c r="AD16" s="309">
        <f t="shared" si="12"/>
        <v>-26.76</v>
      </c>
      <c r="AE16" s="309">
        <f t="shared" si="13"/>
        <v>0</v>
      </c>
      <c r="AF16" s="320">
        <f>LET(numVmwShares,D16, stockRatio,Reference!$B$5, vmwToAvgoRatio,Reference!$B$6, numVmwShares * stockRatio * vmwToAvgoRatio)</f>
        <v>0</v>
      </c>
      <c r="AG16" s="320">
        <f>LET(numVmwShares,D16, stockRatio,U16, vmwToAvgoRatio,Reference!$B$6, numVmwShares * stockRatio * vmwToAvgoRatio)</f>
        <v>0</v>
      </c>
      <c r="AH16" s="320" t="str">
        <f>LET(numVmwShares,D16, stockRatio,V16, vmwToAvgoRatio,Reference!$B$6, numVmwShares * stockRatio * vmwToAvgoRatio)</f>
        <v>#DIV/0!</v>
      </c>
      <c r="AI16" s="320">
        <f>SWITCH(Reference!$E$4,"eTradeTransactionLog", AF16, "eTradeHoldingRatio", AF16, "eTradeLotQtyRatio",AG16, "manualLotRatio", AH16)</f>
        <v>0</v>
      </c>
      <c r="AJ16" s="321">
        <f>LET(numVmwShares,D16, vmwBasis,AD16, avgoQty,AI16, avgoFMV,Reference!$B$18, cashReceived,AA16, gain,cashReceived+(avgoQty*avgoFMV)-(numVmwShares*vmwBasis),
MAX(gain,0))</f>
        <v>0</v>
      </c>
      <c r="AK16" s="322">
        <f>LET(useForFraction,N16, fractionAmount,Summary!$C$41, esppFractionLots,$N$5, rsuFractionLots,RSU!J$5, IF(useForFraction, fractionAmount / (esppFractionLots+rsuFractionLots), 0))</f>
        <v>0</v>
      </c>
      <c r="AL16" s="323">
        <f>LET(useForFraction,N16, fractionSaleFMV,Reference!$B$23, postMergerBasis,AY16, lotFractionAmount,AK16, IF(useForFraction, (fractionSaleFMV - postMergerBasis)*lotFractionAmount, 0))</f>
        <v>0</v>
      </c>
      <c r="AM16" s="324">
        <f t="shared" si="14"/>
        <v>0</v>
      </c>
      <c r="AN16" s="325">
        <f>LET(
imputedIncome,BB16,
avgoQty,AI16, 
perAvgoIncome, iferror(imputedIncome/avgoQty,0),
purchaseDate,C16,
mergerDate,Reference!$B$28,
lotFractionAmount,AK16,
lotFractionGain,AL16,
mergerGain,AM16,
shortTermGain,IF(DATEDIF(purchaseDate,mergerDate,"Y")&gt;=1,
  0,
  lotFractionGain + mergerGain
),
incomeOnFraction,perAvgoIncome*lotFractionAmount, 
shortTermGain + incomeOnFraction + IF(avgoQty=0,imputedIncome-incomeOnFraction,0))</f>
        <v>0</v>
      </c>
      <c r="AO16" s="325">
        <f>LET(
purchaseDate,C16,
mergerDate,Reference!$B$28,
lotFractionGain,AL16,
mergerGain,AM16,
IF(DATEDIF(purchaseDate,mergerDate,"Y")&gt;=1,
  lotFractionGain+mergerGain,
  0
))</f>
        <v>0</v>
      </c>
      <c r="AP16" s="343" t="str">
        <f>IF(DATEDIF(L16,Reference!$B$28,"Y")&gt;=1,"Part II Box D","Part I Box A")</f>
        <v>Part II Box D</v>
      </c>
      <c r="AQ16" s="344" t="str">
        <f t="shared" si="15"/>
        <v/>
      </c>
      <c r="AR16" s="330">
        <f t="shared" si="16"/>
        <v>0</v>
      </c>
      <c r="AS16" s="330">
        <f>LET(
cashReceived,AA16, 
avgoQty,AI16, 
proceedsStyle,Reference!$E$9, 
avgoFMV,Reference!$B$18, 
SWITCH(proceedsStyle, "combined", cashReceived +(avgoQty*avgoFMV), "cashOnly", cashReceived))</f>
        <v>0</v>
      </c>
      <c r="AT16" s="345">
        <f t="shared" si="17"/>
        <v>0</v>
      </c>
      <c r="AU16" s="345" t="str">
        <f t="shared" si="18"/>
        <v/>
      </c>
      <c r="AV16" s="330">
        <f>LET(
proceedsStyle,Reference!$E$9,
proceeds,AS16,
gain,AW16,
numVmwShares,D16, 
vmwBasis, AD16, 
avgoQty,AI16, 
avgoFMV,Reference!$B$18, 
cashReceived,AA16, 
avgoTotalValue, avgoFMV*avgoQty, 
vmwTotalBasis, vmwBasis*numVmwShares,
alternateGainAmount,AJ16, 
basis1099B, AT16,
SWITCH(proceedsStyle,
  "cashOnly",
    proceeds - gain,
  "combined",
    basis1099B - IF(cashReceived&lt;alternateGainAmount,
      avgoTotalValue,
      vmwTotalBasis
  )
))</f>
        <v>0</v>
      </c>
      <c r="AW16" s="331">
        <f>LET(proceedsStyle,Reference!$E$9, proceeds,AS16, basis1099B, AT16, adjustment,AV16, SWITCH(proceedsStyle, "cashOnly", AM16, "combined", MAX(proceeds - basis1099B + adjustment, 0)))</f>
        <v>0</v>
      </c>
      <c r="AX16" s="332" t="str">
        <f t="shared" si="19"/>
        <v>n/a</v>
      </c>
      <c r="AY16" s="332" t="str">
        <f t="shared" si="20"/>
        <v>n/a</v>
      </c>
      <c r="AZ16" s="333">
        <f>LET(saleFMV,Reference!$B$10, postMergerBasis,AY16, avgoQty,AI16, lotFractionAmount,AK16, iferror((saleFMV - postMergerBasis) * (avgoQty - lotFractionAmount), 0))</f>
        <v>0</v>
      </c>
      <c r="BA16" s="334" t="b">
        <f>LET(grantDate,B16, postMergerSaleDate,Reference!$B$29, purchaseBeginDate,A16, AND(DATEDIF(grantDate,postMergerSaleDate,"Y")&gt;=1, DATEDIF(purchaseBeginDate, postMergerSaleDate, "Y")&gt;=2))</f>
        <v>1</v>
      </c>
      <c r="BB16" s="333">
        <f>LET(
vmwBasis,AD16,
numVmwShares,D16,
cashReceived,AA16,
gainRecognized,AM16,
pureAvgoBasis,IFERROR((vmwBasis - (cashReceived + gainRecognized)/numVmwShares),0),
isQualified,BA16,
saleFMV,Reference!$B$10,
actualPrice,L16,
purchaseDateFMV,F16,
grantDateFMV,E16,
gainFromSale,(saleFMV - pureAvgoBasis),
disqualifiedIncome,(purchaseDateFMV - actualPrice),
qualifiedIncome,MIN(
   gainFromSale,
   (0.15 * grantDateFMV)),
income,IF(isQualified,
   qualifiedIncome,
   disqualifiedIncome),
numVmwShares * income)</f>
        <v>0</v>
      </c>
      <c r="BC16" s="335">
        <f>LET(
avgoQty,AI16, 
purchaseDate,C16,
postMergerSaleDate,Reference!$B$29,
saleFMV,Reference!$B$10,
postMergerBasis,AY16, 
IF(DATEDIF(purchaseDate,postMergerSaleDate,"Y")&gt;=1,
  0,
  avgoQty * (saleFMV - postMergerBasis)
))</f>
        <v>0</v>
      </c>
      <c r="BD16" s="336">
        <f>LET(
avgoQty,AI16, 
purchaseDate,C16,
postMergerSaleDate,Reference!$B$29,
saleFMV,Reference!$B$10,
postMergerBasis,AY16, 
IFERROR(IF(DATEDIF(purchaseDate,postMergerSaleDate,"Y")&gt;=1,
  avgoQty * (saleFMV - postMergerBasis),
  0
),0))</f>
        <v>0</v>
      </c>
      <c r="BE16" s="337"/>
    </row>
    <row r="17">
      <c r="A17" s="305" t="str">
        <f t="shared" si="6"/>
        <v/>
      </c>
      <c r="B17" s="306"/>
      <c r="C17" s="307"/>
      <c r="D17" s="338"/>
      <c r="E17" s="309" t="str">
        <f t="array" ref="E17">IF(B17&lt;&gt;"", IFERROR(VLOOKUP(B17, SORT(PriceReference!$A$1:$B1006), 2, TRUE), "price unavailable"), "")</f>
        <v/>
      </c>
      <c r="F17" s="309" t="str">
        <f t="array" ref="F17">IF(C17&lt;&gt;"", IFERROR(VLOOKUP(C17, SORT(PriceReference!$A$1:$B1006), 2, TRUE), "price unavailable"), "")</f>
        <v/>
      </c>
      <c r="G17" s="339"/>
      <c r="H17" s="309">
        <f t="shared" si="7"/>
        <v>0</v>
      </c>
      <c r="I17" s="340" t="str">
        <f t="shared" si="21"/>
        <v/>
      </c>
      <c r="J17" s="309">
        <f t="shared" si="8"/>
        <v>0</v>
      </c>
      <c r="K17" s="309" t="str">
        <f t="shared" si="9"/>
        <v/>
      </c>
      <c r="L17" s="311">
        <f t="shared" si="10"/>
        <v>0</v>
      </c>
      <c r="M17" s="341"/>
      <c r="N17" s="348" t="b">
        <v>0</v>
      </c>
      <c r="O17" s="349"/>
      <c r="P17" s="315">
        <v>0.0</v>
      </c>
      <c r="Q17" s="315">
        <v>0.0</v>
      </c>
      <c r="R17" s="315">
        <v>0.0</v>
      </c>
      <c r="S17" s="315">
        <v>0.0</v>
      </c>
      <c r="T17" s="316">
        <v>0.0</v>
      </c>
      <c r="U17" s="317">
        <f t="shared" si="11"/>
        <v>0</v>
      </c>
      <c r="V17" s="317" t="str">
        <f>SWITCH(W17,"cash",Reference!$E$5,"shares",Reference!$E$6,"balance",Reference!$E$7,"pro-rata",Reference!$B$5)</f>
        <v>#DIV/0!</v>
      </c>
      <c r="W17" s="318" t="s">
        <v>207</v>
      </c>
      <c r="X17" s="319">
        <f>LET(numVmwShares,D17, cashRatio,Reference!$B$4, vmwFinalPrice,Reference!$B$3, numVmwShares * cashRatio * vmwFinalPrice)</f>
        <v>0</v>
      </c>
      <c r="Y17" s="319">
        <f>iferror(LET(numVmwShares,$D17, stockRatio,U17, vmwFinalPrice,Reference!$B$3, (1 - stockRatio) * vmwFinalPrice * numVmwShares),0)</f>
        <v>0</v>
      </c>
      <c r="Z17" s="319">
        <f>iferror(LET(numVmwShares,$D17, stockRatio,V17, vmwFinalPrice,Reference!$B$3, (1 - stockRatio) * vmwFinalPrice * numVmwShares),0)</f>
        <v>0</v>
      </c>
      <c r="AA17" s="319">
        <f>SWITCH(Reference!$E$4,"eTradeTransactionLog", X17, "eTradeHoldingRatio", X17, "eTradeLotQtyRatio",Y17, "manualLotRatio", Z17)</f>
        <v>0</v>
      </c>
      <c r="AB17" s="309">
        <f>LET(purchaseDate,C17, dateOfRecord,Reference!$B$26, returnOfCapital,Reference!$C$26, IF(purchaseDate &lt; dateOfRecord, returnOfCapital,0))</f>
        <v>10.18</v>
      </c>
      <c r="AC17" s="309">
        <f>LET(purchaseDate,C17, dateOfRecord,Reference!$B$27, returnOfCapital,Reference!$C$27, IF(purchaseDate &lt; dateOfRecord, returnOfCapital,0))</f>
        <v>16.58</v>
      </c>
      <c r="AD17" s="309">
        <f t="shared" si="12"/>
        <v>-26.76</v>
      </c>
      <c r="AE17" s="309">
        <f t="shared" si="13"/>
        <v>0</v>
      </c>
      <c r="AF17" s="320">
        <f>LET(numVmwShares,D17, stockRatio,Reference!$B$5, vmwToAvgoRatio,Reference!$B$6, numVmwShares * stockRatio * vmwToAvgoRatio)</f>
        <v>0</v>
      </c>
      <c r="AG17" s="320">
        <f>LET(numVmwShares,D17, stockRatio,U17, vmwToAvgoRatio,Reference!$B$6, numVmwShares * stockRatio * vmwToAvgoRatio)</f>
        <v>0</v>
      </c>
      <c r="AH17" s="320" t="str">
        <f>LET(numVmwShares,D17, stockRatio,V17, vmwToAvgoRatio,Reference!$B$6, numVmwShares * stockRatio * vmwToAvgoRatio)</f>
        <v>#DIV/0!</v>
      </c>
      <c r="AI17" s="320">
        <f>SWITCH(Reference!$E$4,"eTradeTransactionLog", AF17, "eTradeHoldingRatio", AF17, "eTradeLotQtyRatio",AG17, "manualLotRatio", AH17)</f>
        <v>0</v>
      </c>
      <c r="AJ17" s="321">
        <f>LET(numVmwShares,D17, vmwBasis,AD17, avgoQty,AI17, avgoFMV,Reference!$B$18, cashReceived,AA17, gain,cashReceived+(avgoQty*avgoFMV)-(numVmwShares*vmwBasis),
MAX(gain,0))</f>
        <v>0</v>
      </c>
      <c r="AK17" s="322">
        <f>LET(useForFraction,N17, fractionAmount,Summary!$C$41, esppFractionLots,$N$5, rsuFractionLots,RSU!J$5, IF(useForFraction, fractionAmount / (esppFractionLots+rsuFractionLots), 0))</f>
        <v>0</v>
      </c>
      <c r="AL17" s="323">
        <f>LET(useForFraction,N17, fractionSaleFMV,Reference!$B$23, postMergerBasis,AY17, lotFractionAmount,AK17, IF(useForFraction, (fractionSaleFMV - postMergerBasis)*lotFractionAmount, 0))</f>
        <v>0</v>
      </c>
      <c r="AM17" s="324">
        <f t="shared" si="14"/>
        <v>0</v>
      </c>
      <c r="AN17" s="325">
        <f>LET(
imputedIncome,BB17,
avgoQty,AI17, 
perAvgoIncome, iferror(imputedIncome/avgoQty,0),
purchaseDate,C17,
mergerDate,Reference!$B$28,
lotFractionAmount,AK17,
lotFractionGain,AL17,
mergerGain,AM17,
shortTermGain,IF(DATEDIF(purchaseDate,mergerDate,"Y")&gt;=1,
  0,
  lotFractionGain + mergerGain
),
incomeOnFraction,perAvgoIncome*lotFractionAmount, 
shortTermGain + incomeOnFraction + IF(avgoQty=0,imputedIncome-incomeOnFraction,0))</f>
        <v>0</v>
      </c>
      <c r="AO17" s="325">
        <f>LET(
purchaseDate,C17,
mergerDate,Reference!$B$28,
lotFractionGain,AL17,
mergerGain,AM17,
IF(DATEDIF(purchaseDate,mergerDate,"Y")&gt;=1,
  lotFractionGain+mergerGain,
  0
))</f>
        <v>0</v>
      </c>
      <c r="AP17" s="343" t="str">
        <f>IF(DATEDIF(L17,Reference!$B$28,"Y")&gt;=1,"Part II Box D","Part I Box A")</f>
        <v>Part II Box D</v>
      </c>
      <c r="AQ17" s="344" t="str">
        <f t="shared" si="15"/>
        <v/>
      </c>
      <c r="AR17" s="330">
        <f t="shared" si="16"/>
        <v>0</v>
      </c>
      <c r="AS17" s="330">
        <f>LET(
cashReceived,AA17, 
avgoQty,AI17, 
proceedsStyle,Reference!$E$9, 
avgoFMV,Reference!$B$18, 
SWITCH(proceedsStyle, "combined", cashReceived +(avgoQty*avgoFMV), "cashOnly", cashReceived))</f>
        <v>0</v>
      </c>
      <c r="AT17" s="345">
        <f t="shared" si="17"/>
        <v>0</v>
      </c>
      <c r="AU17" s="345" t="str">
        <f t="shared" si="18"/>
        <v/>
      </c>
      <c r="AV17" s="330">
        <f>LET(
proceedsStyle,Reference!$E$9,
proceeds,AS17,
gain,AW17,
numVmwShares,D17, 
vmwBasis, AD17, 
avgoQty,AI17, 
avgoFMV,Reference!$B$18, 
cashReceived,AA17, 
avgoTotalValue, avgoFMV*avgoQty, 
vmwTotalBasis, vmwBasis*numVmwShares,
alternateGainAmount,AJ17, 
basis1099B, AT17,
SWITCH(proceedsStyle,
  "cashOnly",
    proceeds - gain,
  "combined",
    basis1099B - IF(cashReceived&lt;alternateGainAmount,
      avgoTotalValue,
      vmwTotalBasis
  )
))</f>
        <v>0</v>
      </c>
      <c r="AW17" s="331">
        <f>LET(proceedsStyle,Reference!$E$9, proceeds,AS17, basis1099B, AT17, adjustment,AV17, SWITCH(proceedsStyle, "cashOnly", AM17, "combined", MAX(proceeds - basis1099B + adjustment, 0)))</f>
        <v>0</v>
      </c>
      <c r="AX17" s="332" t="str">
        <f t="shared" si="19"/>
        <v>n/a</v>
      </c>
      <c r="AY17" s="332" t="str">
        <f t="shared" si="20"/>
        <v>n/a</v>
      </c>
      <c r="AZ17" s="333">
        <f>LET(saleFMV,Reference!$B$10, postMergerBasis,AY17, avgoQty,AI17, lotFractionAmount,AK17, iferror((saleFMV - postMergerBasis) * (avgoQty - lotFractionAmount), 0))</f>
        <v>0</v>
      </c>
      <c r="BA17" s="334" t="b">
        <f>LET(grantDate,B17, postMergerSaleDate,Reference!$B$29, purchaseBeginDate,A17, AND(DATEDIF(grantDate,postMergerSaleDate,"Y")&gt;=1, DATEDIF(purchaseBeginDate, postMergerSaleDate, "Y")&gt;=2))</f>
        <v>1</v>
      </c>
      <c r="BB17" s="333">
        <f>LET(
vmwBasis,AD17,
numVmwShares,D17,
cashReceived,AA17,
gainRecognized,AM17,
pureAvgoBasis,IFERROR((vmwBasis - (cashReceived + gainRecognized)/numVmwShares),0),
isQualified,BA17,
saleFMV,Reference!$B$10,
actualPrice,L17,
purchaseDateFMV,F17,
grantDateFMV,E17,
gainFromSale,(saleFMV - pureAvgoBasis),
disqualifiedIncome,(purchaseDateFMV - actualPrice),
qualifiedIncome,MIN(
   gainFromSale,
   (0.15 * grantDateFMV)),
income,IF(isQualified,
   qualifiedIncome,
   disqualifiedIncome),
numVmwShares * income)</f>
        <v>0</v>
      </c>
      <c r="BC17" s="335">
        <f>LET(
avgoQty,AI17, 
purchaseDate,C17,
postMergerSaleDate,Reference!$B$29,
saleFMV,Reference!$B$10,
postMergerBasis,AY17, 
IF(DATEDIF(purchaseDate,postMergerSaleDate,"Y")&gt;=1,
  0,
  avgoQty * (saleFMV - postMergerBasis)
))</f>
        <v>0</v>
      </c>
      <c r="BD17" s="336">
        <f>LET(
avgoQty,AI17, 
purchaseDate,C17,
postMergerSaleDate,Reference!$B$29,
saleFMV,Reference!$B$10,
postMergerBasis,AY17, 
IFERROR(IF(DATEDIF(purchaseDate,postMergerSaleDate,"Y")&gt;=1,
  avgoQty * (saleFMV - postMergerBasis),
  0
),0))</f>
        <v>0</v>
      </c>
      <c r="BE17" s="337"/>
    </row>
    <row r="18">
      <c r="A18" s="305" t="str">
        <f t="shared" si="6"/>
        <v/>
      </c>
      <c r="B18" s="306"/>
      <c r="C18" s="307"/>
      <c r="D18" s="338"/>
      <c r="E18" s="309" t="str">
        <f t="array" ref="E18">IF(B18&lt;&gt;"", IFERROR(VLOOKUP(B18, SORT(PriceReference!$A$1:$B1006), 2, TRUE), "price unavailable"), "")</f>
        <v/>
      </c>
      <c r="F18" s="309" t="str">
        <f t="array" ref="F18">IF(C18&lt;&gt;"", IFERROR(VLOOKUP(C18, SORT(PriceReference!$A$1:$B1006), 2, TRUE), "price unavailable"), "")</f>
        <v/>
      </c>
      <c r="G18" s="339"/>
      <c r="H18" s="309">
        <f t="shared" si="7"/>
        <v>0</v>
      </c>
      <c r="I18" s="340" t="str">
        <f t="shared" si="21"/>
        <v/>
      </c>
      <c r="J18" s="309">
        <f t="shared" si="8"/>
        <v>0</v>
      </c>
      <c r="K18" s="309" t="str">
        <f t="shared" si="9"/>
        <v/>
      </c>
      <c r="L18" s="311">
        <f t="shared" si="10"/>
        <v>0</v>
      </c>
      <c r="M18" s="341"/>
      <c r="N18" s="348" t="b">
        <v>0</v>
      </c>
      <c r="O18" s="349"/>
      <c r="P18" s="315">
        <v>0.0</v>
      </c>
      <c r="Q18" s="315">
        <v>0.0</v>
      </c>
      <c r="R18" s="315">
        <v>0.0</v>
      </c>
      <c r="S18" s="315">
        <v>0.0</v>
      </c>
      <c r="T18" s="316">
        <v>0.0</v>
      </c>
      <c r="U18" s="317">
        <f t="shared" si="11"/>
        <v>0</v>
      </c>
      <c r="V18" s="317" t="str">
        <f>SWITCH(W18,"cash",Reference!$E$5,"shares",Reference!$E$6,"balance",Reference!$E$7,"pro-rata",Reference!$B$5)</f>
        <v>#DIV/0!</v>
      </c>
      <c r="W18" s="318" t="s">
        <v>207</v>
      </c>
      <c r="X18" s="319">
        <f>LET(numVmwShares,D18, cashRatio,Reference!$B$4, vmwFinalPrice,Reference!$B$3, numVmwShares * cashRatio * vmwFinalPrice)</f>
        <v>0</v>
      </c>
      <c r="Y18" s="319">
        <f>iferror(LET(numVmwShares,$D18, stockRatio,U18, vmwFinalPrice,Reference!$B$3, (1 - stockRatio) * vmwFinalPrice * numVmwShares),0)</f>
        <v>0</v>
      </c>
      <c r="Z18" s="319">
        <f>iferror(LET(numVmwShares,$D18, stockRatio,V18, vmwFinalPrice,Reference!$B$3, (1 - stockRatio) * vmwFinalPrice * numVmwShares),0)</f>
        <v>0</v>
      </c>
      <c r="AA18" s="319">
        <f>SWITCH(Reference!$E$4,"eTradeTransactionLog", X18, "eTradeHoldingRatio", X18, "eTradeLotQtyRatio",Y18, "manualLotRatio", Z18)</f>
        <v>0</v>
      </c>
      <c r="AB18" s="309">
        <f>LET(purchaseDate,C18, dateOfRecord,Reference!$B$26, returnOfCapital,Reference!$C$26, IF(purchaseDate &lt; dateOfRecord, returnOfCapital,0))</f>
        <v>10.18</v>
      </c>
      <c r="AC18" s="309">
        <f>LET(purchaseDate,C18, dateOfRecord,Reference!$B$27, returnOfCapital,Reference!$C$27, IF(purchaseDate &lt; dateOfRecord, returnOfCapital,0))</f>
        <v>16.58</v>
      </c>
      <c r="AD18" s="309">
        <f t="shared" si="12"/>
        <v>-26.76</v>
      </c>
      <c r="AE18" s="309">
        <f t="shared" si="13"/>
        <v>0</v>
      </c>
      <c r="AF18" s="320">
        <f>LET(numVmwShares,D18, stockRatio,Reference!$B$5, vmwToAvgoRatio,Reference!$B$6, numVmwShares * stockRatio * vmwToAvgoRatio)</f>
        <v>0</v>
      </c>
      <c r="AG18" s="320">
        <f>LET(numVmwShares,D18, stockRatio,U18, vmwToAvgoRatio,Reference!$B$6, numVmwShares * stockRatio * vmwToAvgoRatio)</f>
        <v>0</v>
      </c>
      <c r="AH18" s="320" t="str">
        <f>LET(numVmwShares,D18, stockRatio,V18, vmwToAvgoRatio,Reference!$B$6, numVmwShares * stockRatio * vmwToAvgoRatio)</f>
        <v>#DIV/0!</v>
      </c>
      <c r="AI18" s="320">
        <f>SWITCH(Reference!$E$4,"eTradeTransactionLog", AF18, "eTradeHoldingRatio", AF18, "eTradeLotQtyRatio",AG18, "manualLotRatio", AH18)</f>
        <v>0</v>
      </c>
      <c r="AJ18" s="321">
        <f>LET(numVmwShares,D18, vmwBasis,AD18, avgoQty,AI18, avgoFMV,Reference!$B$18, cashReceived,AA18, gain,cashReceived+(avgoQty*avgoFMV)-(numVmwShares*vmwBasis),
MAX(gain,0))</f>
        <v>0</v>
      </c>
      <c r="AK18" s="322">
        <f>LET(useForFraction,N18, fractionAmount,Summary!$C$41, esppFractionLots,$N$5, rsuFractionLots,RSU!J$5, IF(useForFraction, fractionAmount / (esppFractionLots+rsuFractionLots), 0))</f>
        <v>0</v>
      </c>
      <c r="AL18" s="323">
        <f>LET(useForFraction,N18, fractionSaleFMV,Reference!$B$23, postMergerBasis,AY18, lotFractionAmount,AK18, IF(useForFraction, (fractionSaleFMV - postMergerBasis)*lotFractionAmount, 0))</f>
        <v>0</v>
      </c>
      <c r="AM18" s="324">
        <f t="shared" si="14"/>
        <v>0</v>
      </c>
      <c r="AN18" s="325">
        <f>LET(
imputedIncome,BB18,
avgoQty,AI18, 
perAvgoIncome, iferror(imputedIncome/avgoQty,0),
purchaseDate,C18,
mergerDate,Reference!$B$28,
lotFractionAmount,AK18,
lotFractionGain,AL18,
mergerGain,AM18,
shortTermGain,IF(DATEDIF(purchaseDate,mergerDate,"Y")&gt;=1,
  0,
  lotFractionGain + mergerGain
),
incomeOnFraction,perAvgoIncome*lotFractionAmount, 
shortTermGain + incomeOnFraction + IF(avgoQty=0,imputedIncome-incomeOnFraction,0))</f>
        <v>0</v>
      </c>
      <c r="AO18" s="325">
        <f>LET(
purchaseDate,C18,
mergerDate,Reference!$B$28,
lotFractionGain,AL18,
mergerGain,AM18,
IF(DATEDIF(purchaseDate,mergerDate,"Y")&gt;=1,
  lotFractionGain+mergerGain,
  0
))</f>
        <v>0</v>
      </c>
      <c r="AP18" s="343" t="str">
        <f>IF(DATEDIF(L18,Reference!$B$28,"Y")&gt;=1,"Part II Box D","Part I Box A")</f>
        <v>Part II Box D</v>
      </c>
      <c r="AQ18" s="344" t="str">
        <f t="shared" si="15"/>
        <v/>
      </c>
      <c r="AR18" s="330">
        <f t="shared" si="16"/>
        <v>0</v>
      </c>
      <c r="AS18" s="330">
        <f>LET(
cashReceived,AA18, 
avgoQty,AI18, 
proceedsStyle,Reference!$E$9, 
avgoFMV,Reference!$B$18, 
SWITCH(proceedsStyle, "combined", cashReceived +(avgoQty*avgoFMV), "cashOnly", cashReceived))</f>
        <v>0</v>
      </c>
      <c r="AT18" s="345">
        <f t="shared" si="17"/>
        <v>0</v>
      </c>
      <c r="AU18" s="345" t="str">
        <f t="shared" si="18"/>
        <v/>
      </c>
      <c r="AV18" s="330">
        <f>LET(
proceedsStyle,Reference!$E$9,
proceeds,AS18,
gain,AW18,
numVmwShares,D18, 
vmwBasis, AD18, 
avgoQty,AI18, 
avgoFMV,Reference!$B$18, 
cashReceived,AA18, 
avgoTotalValue, avgoFMV*avgoQty, 
vmwTotalBasis, vmwBasis*numVmwShares,
alternateGainAmount,AJ18, 
basis1099B, AT18,
SWITCH(proceedsStyle,
  "cashOnly",
    proceeds - gain,
  "combined",
    basis1099B - IF(cashReceived&lt;alternateGainAmount,
      avgoTotalValue,
      vmwTotalBasis
  )
))</f>
        <v>0</v>
      </c>
      <c r="AW18" s="331">
        <f>LET(proceedsStyle,Reference!$E$9, proceeds,AS18, basis1099B, AT18, adjustment,AV18, SWITCH(proceedsStyle, "cashOnly", AM18, "combined", MAX(proceeds - basis1099B + adjustment, 0)))</f>
        <v>0</v>
      </c>
      <c r="AX18" s="332" t="str">
        <f t="shared" si="19"/>
        <v>n/a</v>
      </c>
      <c r="AY18" s="332" t="str">
        <f t="shared" si="20"/>
        <v>n/a</v>
      </c>
      <c r="AZ18" s="333">
        <f>LET(saleFMV,Reference!$B$10, postMergerBasis,AY18, avgoQty,AI18, lotFractionAmount,AK18, iferror((saleFMV - postMergerBasis) * (avgoQty - lotFractionAmount), 0))</f>
        <v>0</v>
      </c>
      <c r="BA18" s="334" t="b">
        <f>LET(grantDate,B18, postMergerSaleDate,Reference!$B$29, purchaseBeginDate,A18, AND(DATEDIF(grantDate,postMergerSaleDate,"Y")&gt;=1, DATEDIF(purchaseBeginDate, postMergerSaleDate, "Y")&gt;=2))</f>
        <v>1</v>
      </c>
      <c r="BB18" s="333">
        <f>LET(
vmwBasis,AD18,
numVmwShares,D18,
cashReceived,AA18,
gainRecognized,AM18,
pureAvgoBasis,IFERROR((vmwBasis - (cashReceived + gainRecognized)/numVmwShares),0),
isQualified,BA18,
saleFMV,Reference!$B$10,
actualPrice,L18,
purchaseDateFMV,F18,
grantDateFMV,E18,
gainFromSale,(saleFMV - pureAvgoBasis),
disqualifiedIncome,(purchaseDateFMV - actualPrice),
qualifiedIncome,MIN(
   gainFromSale,
   (0.15 * grantDateFMV)),
income,IF(isQualified,
   qualifiedIncome,
   disqualifiedIncome),
numVmwShares * income)</f>
        <v>0</v>
      </c>
      <c r="BC18" s="335">
        <f>LET(
avgoQty,AI18, 
purchaseDate,C18,
postMergerSaleDate,Reference!$B$29,
saleFMV,Reference!$B$10,
postMergerBasis,AY18, 
IF(DATEDIF(purchaseDate,postMergerSaleDate,"Y")&gt;=1,
  0,
  avgoQty * (saleFMV - postMergerBasis)
))</f>
        <v>0</v>
      </c>
      <c r="BD18" s="336">
        <f>LET(
avgoQty,AI18, 
purchaseDate,C18,
postMergerSaleDate,Reference!$B$29,
saleFMV,Reference!$B$10,
postMergerBasis,AY18, 
IFERROR(IF(DATEDIF(purchaseDate,postMergerSaleDate,"Y")&gt;=1,
  avgoQty * (saleFMV - postMergerBasis),
  0
),0))</f>
        <v>0</v>
      </c>
      <c r="BE18" s="337"/>
    </row>
    <row r="19">
      <c r="A19" s="305" t="str">
        <f t="shared" si="6"/>
        <v/>
      </c>
      <c r="B19" s="306"/>
      <c r="C19" s="307"/>
      <c r="D19" s="338"/>
      <c r="E19" s="309" t="str">
        <f t="array" ref="E19">IF(B19&lt;&gt;"", IFERROR(VLOOKUP(B19, SORT(PriceReference!$A$1:$B1006), 2, TRUE), "price unavailable"), "")</f>
        <v/>
      </c>
      <c r="F19" s="309" t="str">
        <f t="array" ref="F19">IF(C19&lt;&gt;"", IFERROR(VLOOKUP(C19, SORT(PriceReference!$A$1:$B1006), 2, TRUE), "price unavailable"), "")</f>
        <v/>
      </c>
      <c r="G19" s="339"/>
      <c r="H19" s="309">
        <f t="shared" si="7"/>
        <v>0</v>
      </c>
      <c r="I19" s="340" t="str">
        <f t="shared" si="21"/>
        <v/>
      </c>
      <c r="J19" s="309">
        <f t="shared" si="8"/>
        <v>0</v>
      </c>
      <c r="K19" s="309" t="str">
        <f t="shared" si="9"/>
        <v/>
      </c>
      <c r="L19" s="311">
        <f t="shared" si="10"/>
        <v>0</v>
      </c>
      <c r="M19" s="341"/>
      <c r="N19" s="348" t="b">
        <v>0</v>
      </c>
      <c r="O19" s="349"/>
      <c r="P19" s="315">
        <v>0.0</v>
      </c>
      <c r="Q19" s="315">
        <v>0.0</v>
      </c>
      <c r="R19" s="315">
        <v>0.0</v>
      </c>
      <c r="S19" s="315">
        <v>0.0</v>
      </c>
      <c r="T19" s="316">
        <v>0.0</v>
      </c>
      <c r="U19" s="317">
        <f t="shared" si="11"/>
        <v>0</v>
      </c>
      <c r="V19" s="317" t="str">
        <f>SWITCH(W19,"cash",Reference!$E$5,"shares",Reference!$E$6,"balance",Reference!$E$7,"pro-rata",Reference!$B$5)</f>
        <v>#DIV/0!</v>
      </c>
      <c r="W19" s="318" t="s">
        <v>207</v>
      </c>
      <c r="X19" s="319">
        <f>LET(numVmwShares,D19, cashRatio,Reference!$B$4, vmwFinalPrice,Reference!$B$3, numVmwShares * cashRatio * vmwFinalPrice)</f>
        <v>0</v>
      </c>
      <c r="Y19" s="319">
        <f>iferror(LET(numVmwShares,$D19, stockRatio,U19, vmwFinalPrice,Reference!$B$3, (1 - stockRatio) * vmwFinalPrice * numVmwShares),0)</f>
        <v>0</v>
      </c>
      <c r="Z19" s="319">
        <f>iferror(LET(numVmwShares,$D19, stockRatio,V19, vmwFinalPrice,Reference!$B$3, (1 - stockRatio) * vmwFinalPrice * numVmwShares),0)</f>
        <v>0</v>
      </c>
      <c r="AA19" s="319">
        <f>SWITCH(Reference!$E$4,"eTradeTransactionLog", X19, "eTradeHoldingRatio", X19, "eTradeLotQtyRatio",Y19, "manualLotRatio", Z19)</f>
        <v>0</v>
      </c>
      <c r="AB19" s="309">
        <f>LET(purchaseDate,C19, dateOfRecord,Reference!$B$26, returnOfCapital,Reference!$C$26, IF(purchaseDate &lt; dateOfRecord, returnOfCapital,0))</f>
        <v>10.18</v>
      </c>
      <c r="AC19" s="309">
        <f>LET(purchaseDate,C19, dateOfRecord,Reference!$B$27, returnOfCapital,Reference!$C$27, IF(purchaseDate &lt; dateOfRecord, returnOfCapital,0))</f>
        <v>16.58</v>
      </c>
      <c r="AD19" s="309">
        <f t="shared" si="12"/>
        <v>-26.76</v>
      </c>
      <c r="AE19" s="309">
        <f t="shared" si="13"/>
        <v>0</v>
      </c>
      <c r="AF19" s="320">
        <f>LET(numVmwShares,D19, stockRatio,Reference!$B$5, vmwToAvgoRatio,Reference!$B$6, numVmwShares * stockRatio * vmwToAvgoRatio)</f>
        <v>0</v>
      </c>
      <c r="AG19" s="320">
        <f>LET(numVmwShares,D19, stockRatio,U19, vmwToAvgoRatio,Reference!$B$6, numVmwShares * stockRatio * vmwToAvgoRatio)</f>
        <v>0</v>
      </c>
      <c r="AH19" s="320" t="str">
        <f>LET(numVmwShares,D19, stockRatio,V19, vmwToAvgoRatio,Reference!$B$6, numVmwShares * stockRatio * vmwToAvgoRatio)</f>
        <v>#DIV/0!</v>
      </c>
      <c r="AI19" s="320">
        <f>SWITCH(Reference!$E$4,"eTradeTransactionLog", AF19, "eTradeHoldingRatio", AF19, "eTradeLotQtyRatio",AG19, "manualLotRatio", AH19)</f>
        <v>0</v>
      </c>
      <c r="AJ19" s="321">
        <f>LET(numVmwShares,D19, vmwBasis,AD19, avgoQty,AI19, avgoFMV,Reference!$B$18, cashReceived,AA19, gain,cashReceived+(avgoQty*avgoFMV)-(numVmwShares*vmwBasis),
MAX(gain,0))</f>
        <v>0</v>
      </c>
      <c r="AK19" s="322">
        <f>LET(useForFraction,N19, fractionAmount,Summary!$C$41, esppFractionLots,$N$5, rsuFractionLots,RSU!J$5, IF(useForFraction, fractionAmount / (esppFractionLots+rsuFractionLots), 0))</f>
        <v>0</v>
      </c>
      <c r="AL19" s="323">
        <f>LET(useForFraction,N19, fractionSaleFMV,Reference!$B$23, postMergerBasis,AY19, lotFractionAmount,AK19, IF(useForFraction, (fractionSaleFMV - postMergerBasis)*lotFractionAmount, 0))</f>
        <v>0</v>
      </c>
      <c r="AM19" s="324">
        <f t="shared" si="14"/>
        <v>0</v>
      </c>
      <c r="AN19" s="325">
        <f>LET(
imputedIncome,BB19,
avgoQty,AI19, 
perAvgoIncome, iferror(imputedIncome/avgoQty,0),
purchaseDate,C19,
mergerDate,Reference!$B$28,
lotFractionAmount,AK19,
lotFractionGain,AL19,
mergerGain,AM19,
shortTermGain,IF(DATEDIF(purchaseDate,mergerDate,"Y")&gt;=1,
  0,
  lotFractionGain + mergerGain
),
incomeOnFraction,perAvgoIncome*lotFractionAmount, 
shortTermGain + incomeOnFraction + IF(avgoQty=0,imputedIncome-incomeOnFraction,0))</f>
        <v>0</v>
      </c>
      <c r="AO19" s="325">
        <f>LET(
purchaseDate,C19,
mergerDate,Reference!$B$28,
lotFractionGain,AL19,
mergerGain,AM19,
IF(DATEDIF(purchaseDate,mergerDate,"Y")&gt;=1,
  lotFractionGain+mergerGain,
  0
))</f>
        <v>0</v>
      </c>
      <c r="AP19" s="343" t="str">
        <f>IF(DATEDIF(L19,Reference!$B$28,"Y")&gt;=1,"Part II Box D","Part I Box A")</f>
        <v>Part II Box D</v>
      </c>
      <c r="AQ19" s="344" t="str">
        <f t="shared" si="15"/>
        <v/>
      </c>
      <c r="AR19" s="330">
        <f t="shared" si="16"/>
        <v>0</v>
      </c>
      <c r="AS19" s="330">
        <f>LET(
cashReceived,AA19, 
avgoQty,AI19, 
proceedsStyle,Reference!$E$9, 
avgoFMV,Reference!$B$18, 
SWITCH(proceedsStyle, "combined", cashReceived +(avgoQty*avgoFMV), "cashOnly", cashReceived))</f>
        <v>0</v>
      </c>
      <c r="AT19" s="345">
        <f t="shared" si="17"/>
        <v>0</v>
      </c>
      <c r="AU19" s="345" t="str">
        <f t="shared" si="18"/>
        <v/>
      </c>
      <c r="AV19" s="330">
        <f>LET(
proceedsStyle,Reference!$E$9,
proceeds,AS19,
gain,AW19,
numVmwShares,D19, 
vmwBasis, AD19, 
avgoQty,AI19, 
avgoFMV,Reference!$B$18, 
cashReceived,AA19, 
avgoTotalValue, avgoFMV*avgoQty, 
vmwTotalBasis, vmwBasis*numVmwShares,
alternateGainAmount,AJ19, 
basis1099B, AT19,
SWITCH(proceedsStyle,
  "cashOnly",
    proceeds - gain,
  "combined",
    basis1099B - IF(cashReceived&lt;alternateGainAmount,
      avgoTotalValue,
      vmwTotalBasis
  )
))</f>
        <v>0</v>
      </c>
      <c r="AW19" s="331">
        <f>LET(proceedsStyle,Reference!$E$9, proceeds,AS19, basis1099B, AT19, adjustment,AV19, SWITCH(proceedsStyle, "cashOnly", AM19, "combined", MAX(proceeds - basis1099B + adjustment, 0)))</f>
        <v>0</v>
      </c>
      <c r="AX19" s="332" t="str">
        <f t="shared" si="19"/>
        <v>n/a</v>
      </c>
      <c r="AY19" s="332" t="str">
        <f t="shared" si="20"/>
        <v>n/a</v>
      </c>
      <c r="AZ19" s="333">
        <f>LET(saleFMV,Reference!$B$10, postMergerBasis,AY19, avgoQty,AI19, lotFractionAmount,AK19, iferror((saleFMV - postMergerBasis) * (avgoQty - lotFractionAmount), 0))</f>
        <v>0</v>
      </c>
      <c r="BA19" s="334" t="b">
        <f>LET(grantDate,B19, postMergerSaleDate,Reference!$B$29, purchaseBeginDate,A19, AND(DATEDIF(grantDate,postMergerSaleDate,"Y")&gt;=1, DATEDIF(purchaseBeginDate, postMergerSaleDate, "Y")&gt;=2))</f>
        <v>1</v>
      </c>
      <c r="BB19" s="333">
        <f>LET(
vmwBasis,AD19,
numVmwShares,D19,
cashReceived,AA19,
gainRecognized,AM19,
pureAvgoBasis,IFERROR((vmwBasis - (cashReceived + gainRecognized)/numVmwShares),0),
isQualified,BA19,
saleFMV,Reference!$B$10,
actualPrice,L19,
purchaseDateFMV,F19,
grantDateFMV,E19,
gainFromSale,(saleFMV - pureAvgoBasis),
disqualifiedIncome,(purchaseDateFMV - actualPrice),
qualifiedIncome,MIN(
   gainFromSale,
   (0.15 * grantDateFMV)),
income,IF(isQualified,
   qualifiedIncome,
   disqualifiedIncome),
numVmwShares * income)</f>
        <v>0</v>
      </c>
      <c r="BC19" s="335">
        <f>LET(
avgoQty,AI19, 
purchaseDate,C19,
postMergerSaleDate,Reference!$B$29,
saleFMV,Reference!$B$10,
postMergerBasis,AY19, 
IF(DATEDIF(purchaseDate,postMergerSaleDate,"Y")&gt;=1,
  0,
  avgoQty * (saleFMV - postMergerBasis)
))</f>
        <v>0</v>
      </c>
      <c r="BD19" s="336">
        <f>LET(
avgoQty,AI19, 
purchaseDate,C19,
postMergerSaleDate,Reference!$B$29,
saleFMV,Reference!$B$10,
postMergerBasis,AY19, 
IFERROR(IF(DATEDIF(purchaseDate,postMergerSaleDate,"Y")&gt;=1,
  avgoQty * (saleFMV - postMergerBasis),
  0
),0))</f>
        <v>0</v>
      </c>
      <c r="BE19" s="337"/>
    </row>
    <row r="20">
      <c r="A20" s="305" t="str">
        <f t="shared" si="6"/>
        <v/>
      </c>
      <c r="B20" s="306"/>
      <c r="C20" s="307"/>
      <c r="D20" s="338"/>
      <c r="E20" s="309" t="str">
        <f t="array" ref="E20">IF(B20&lt;&gt;"", IFERROR(VLOOKUP(B20, SORT(PriceReference!$A$1:$B1006), 2, TRUE), "price unavailable"), "")</f>
        <v/>
      </c>
      <c r="F20" s="309" t="str">
        <f t="array" ref="F20">IF(C20&lt;&gt;"", IFERROR(VLOOKUP(C20, SORT(PriceReference!$A$1:$B1006), 2, TRUE), "price unavailable"), "")</f>
        <v/>
      </c>
      <c r="G20" s="339"/>
      <c r="H20" s="309">
        <f t="shared" si="7"/>
        <v>0</v>
      </c>
      <c r="I20" s="340" t="str">
        <f t="shared" si="21"/>
        <v/>
      </c>
      <c r="J20" s="309">
        <f t="shared" si="8"/>
        <v>0</v>
      </c>
      <c r="K20" s="309" t="str">
        <f t="shared" si="9"/>
        <v/>
      </c>
      <c r="L20" s="311">
        <f t="shared" si="10"/>
        <v>0</v>
      </c>
      <c r="M20" s="347"/>
      <c r="N20" s="348" t="b">
        <v>0</v>
      </c>
      <c r="O20" s="349"/>
      <c r="P20" s="315">
        <v>0.0</v>
      </c>
      <c r="Q20" s="315">
        <v>0.0</v>
      </c>
      <c r="R20" s="315">
        <v>0.0</v>
      </c>
      <c r="S20" s="315">
        <v>0.0</v>
      </c>
      <c r="T20" s="316">
        <v>0.0</v>
      </c>
      <c r="U20" s="317">
        <f t="shared" si="11"/>
        <v>0</v>
      </c>
      <c r="V20" s="317" t="str">
        <f>SWITCH(W20,"cash",Reference!$E$5,"shares",Reference!$E$6,"balance",Reference!$E$7,"pro-rata",Reference!$B$5)</f>
        <v>#DIV/0!</v>
      </c>
      <c r="W20" s="318" t="s">
        <v>207</v>
      </c>
      <c r="X20" s="319">
        <f>LET(numVmwShares,D20, cashRatio,Reference!$B$4, vmwFinalPrice,Reference!$B$3, numVmwShares * cashRatio * vmwFinalPrice)</f>
        <v>0</v>
      </c>
      <c r="Y20" s="319">
        <f>iferror(LET(numVmwShares,$D20, stockRatio,U20, vmwFinalPrice,Reference!$B$3, (1 - stockRatio) * vmwFinalPrice * numVmwShares),0)</f>
        <v>0</v>
      </c>
      <c r="Z20" s="319">
        <f>iferror(LET(numVmwShares,$D20, stockRatio,V20, vmwFinalPrice,Reference!$B$3, (1 - stockRatio) * vmwFinalPrice * numVmwShares),0)</f>
        <v>0</v>
      </c>
      <c r="AA20" s="319">
        <f>SWITCH(Reference!$E$4,"eTradeTransactionLog", X20, "eTradeHoldingRatio", X20, "eTradeLotQtyRatio",Y20, "manualLotRatio", Z20)</f>
        <v>0</v>
      </c>
      <c r="AB20" s="309">
        <f>LET(purchaseDate,C20, dateOfRecord,Reference!$B$26, returnOfCapital,Reference!$C$26, IF(purchaseDate &lt; dateOfRecord, returnOfCapital,0))</f>
        <v>10.18</v>
      </c>
      <c r="AC20" s="309">
        <f>LET(purchaseDate,C20, dateOfRecord,Reference!$B$27, returnOfCapital,Reference!$C$27, IF(purchaseDate &lt; dateOfRecord, returnOfCapital,0))</f>
        <v>16.58</v>
      </c>
      <c r="AD20" s="309">
        <f t="shared" si="12"/>
        <v>-26.76</v>
      </c>
      <c r="AE20" s="309">
        <f t="shared" si="13"/>
        <v>0</v>
      </c>
      <c r="AF20" s="320">
        <f>LET(numVmwShares,D20, stockRatio,Reference!$B$5, vmwToAvgoRatio,Reference!$B$6, numVmwShares * stockRatio * vmwToAvgoRatio)</f>
        <v>0</v>
      </c>
      <c r="AG20" s="320">
        <f>LET(numVmwShares,D20, stockRatio,U20, vmwToAvgoRatio,Reference!$B$6, numVmwShares * stockRatio * vmwToAvgoRatio)</f>
        <v>0</v>
      </c>
      <c r="AH20" s="320" t="str">
        <f>LET(numVmwShares,D20, stockRatio,V20, vmwToAvgoRatio,Reference!$B$6, numVmwShares * stockRatio * vmwToAvgoRatio)</f>
        <v>#DIV/0!</v>
      </c>
      <c r="AI20" s="320">
        <f>SWITCH(Reference!$E$4,"eTradeTransactionLog", AF20, "eTradeHoldingRatio", AF20, "eTradeLotQtyRatio",AG20, "manualLotRatio", AH20)</f>
        <v>0</v>
      </c>
      <c r="AJ20" s="321">
        <f>LET(numVmwShares,D20, vmwBasis,AD20, avgoQty,AI20, avgoFMV,Reference!$B$18, cashReceived,AA20, gain,cashReceived+(avgoQty*avgoFMV)-(numVmwShares*vmwBasis),
MAX(gain,0))</f>
        <v>0</v>
      </c>
      <c r="AK20" s="322">
        <f>LET(useForFraction,N20, fractionAmount,Summary!$C$41, esppFractionLots,$N$5, rsuFractionLots,RSU!J$5, IF(useForFraction, fractionAmount / (esppFractionLots+rsuFractionLots), 0))</f>
        <v>0</v>
      </c>
      <c r="AL20" s="323">
        <f>LET(useForFraction,N20, fractionSaleFMV,Reference!$B$23, postMergerBasis,AY20, lotFractionAmount,AK20, IF(useForFraction, (fractionSaleFMV - postMergerBasis)*lotFractionAmount, 0))</f>
        <v>0</v>
      </c>
      <c r="AM20" s="324">
        <f t="shared" si="14"/>
        <v>0</v>
      </c>
      <c r="AN20" s="325">
        <f>LET(
imputedIncome,BB20,
avgoQty,AI20, 
perAvgoIncome, iferror(imputedIncome/avgoQty,0),
purchaseDate,C20,
mergerDate,Reference!$B$28,
lotFractionAmount,AK20,
lotFractionGain,AL20,
mergerGain,AM20,
shortTermGain,IF(DATEDIF(purchaseDate,mergerDate,"Y")&gt;=1,
  0,
  lotFractionGain + mergerGain
),
incomeOnFraction,perAvgoIncome*lotFractionAmount, 
shortTermGain + incomeOnFraction + IF(avgoQty=0,imputedIncome-incomeOnFraction,0))</f>
        <v>0</v>
      </c>
      <c r="AO20" s="325">
        <f>LET(
purchaseDate,C20,
mergerDate,Reference!$B$28,
lotFractionGain,AL20,
mergerGain,AM20,
IF(DATEDIF(purchaseDate,mergerDate,"Y")&gt;=1,
  lotFractionGain+mergerGain,
  0
))</f>
        <v>0</v>
      </c>
      <c r="AP20" s="343" t="str">
        <f>IF(DATEDIF(L20,Reference!$B$28,"Y")&gt;=1,"Part II Box D","Part I Box A")</f>
        <v>Part II Box D</v>
      </c>
      <c r="AQ20" s="344" t="str">
        <f t="shared" si="15"/>
        <v/>
      </c>
      <c r="AR20" s="330">
        <f t="shared" si="16"/>
        <v>0</v>
      </c>
      <c r="AS20" s="330">
        <f>LET(
cashReceived,AA20, 
avgoQty,AI20, 
proceedsStyle,Reference!$E$9, 
avgoFMV,Reference!$B$18, 
SWITCH(proceedsStyle, "combined", cashReceived +(avgoQty*avgoFMV), "cashOnly", cashReceived))</f>
        <v>0</v>
      </c>
      <c r="AT20" s="345">
        <f t="shared" si="17"/>
        <v>0</v>
      </c>
      <c r="AU20" s="345" t="str">
        <f t="shared" si="18"/>
        <v/>
      </c>
      <c r="AV20" s="330">
        <f>LET(
proceedsStyle,Reference!$E$9,
proceeds,AS20,
gain,AW20,
numVmwShares,D20, 
vmwBasis, AD20, 
avgoQty,AI20, 
avgoFMV,Reference!$B$18, 
cashReceived,AA20, 
avgoTotalValue, avgoFMV*avgoQty, 
vmwTotalBasis, vmwBasis*numVmwShares,
alternateGainAmount,AJ20, 
basis1099B, AT20,
SWITCH(proceedsStyle,
  "cashOnly",
    proceeds - gain,
  "combined",
    basis1099B - IF(cashReceived&lt;alternateGainAmount,
      avgoTotalValue,
      vmwTotalBasis
  )
))</f>
        <v>0</v>
      </c>
      <c r="AW20" s="331">
        <f>LET(proceedsStyle,Reference!$E$9, proceeds,AS20, basis1099B, AT20, adjustment,AV20, SWITCH(proceedsStyle, "cashOnly", AM20, "combined", MAX(proceeds - basis1099B + adjustment, 0)))</f>
        <v>0</v>
      </c>
      <c r="AX20" s="332" t="str">
        <f t="shared" si="19"/>
        <v>n/a</v>
      </c>
      <c r="AY20" s="332" t="str">
        <f t="shared" si="20"/>
        <v>n/a</v>
      </c>
      <c r="AZ20" s="333">
        <f>LET(saleFMV,Reference!$B$10, postMergerBasis,AY20, avgoQty,AI20, lotFractionAmount,AK20, iferror((saleFMV - postMergerBasis) * (avgoQty - lotFractionAmount), 0))</f>
        <v>0</v>
      </c>
      <c r="BA20" s="334" t="b">
        <f>LET(grantDate,B20, postMergerSaleDate,Reference!$B$29, purchaseBeginDate,A20, AND(DATEDIF(grantDate,postMergerSaleDate,"Y")&gt;=1, DATEDIF(purchaseBeginDate, postMergerSaleDate, "Y")&gt;=2))</f>
        <v>1</v>
      </c>
      <c r="BB20" s="333">
        <f>LET(
vmwBasis,AD20,
numVmwShares,D20,
cashReceived,AA20,
gainRecognized,AM20,
pureAvgoBasis,IFERROR((vmwBasis - (cashReceived + gainRecognized)/numVmwShares),0),
isQualified,BA20,
saleFMV,Reference!$B$10,
actualPrice,L20,
purchaseDateFMV,F20,
grantDateFMV,E20,
gainFromSale,(saleFMV - pureAvgoBasis),
disqualifiedIncome,(purchaseDateFMV - actualPrice),
qualifiedIncome,MIN(
   gainFromSale,
   (0.15 * grantDateFMV)),
income,IF(isQualified,
   qualifiedIncome,
   disqualifiedIncome),
numVmwShares * income)</f>
        <v>0</v>
      </c>
      <c r="BC20" s="335">
        <f>LET(
avgoQty,AI20, 
purchaseDate,C20,
postMergerSaleDate,Reference!$B$29,
saleFMV,Reference!$B$10,
postMergerBasis,AY20, 
IF(DATEDIF(purchaseDate,postMergerSaleDate,"Y")&gt;=1,
  0,
  avgoQty * (saleFMV - postMergerBasis)
))</f>
        <v>0</v>
      </c>
      <c r="BD20" s="336">
        <f>LET(
avgoQty,AI20, 
purchaseDate,C20,
postMergerSaleDate,Reference!$B$29,
saleFMV,Reference!$B$10,
postMergerBasis,AY20, 
IFERROR(IF(DATEDIF(purchaseDate,postMergerSaleDate,"Y")&gt;=1,
  avgoQty * (saleFMV - postMergerBasis),
  0
),0))</f>
        <v>0</v>
      </c>
      <c r="BE20" s="337"/>
    </row>
    <row r="21">
      <c r="A21" s="305" t="str">
        <f t="shared" si="6"/>
        <v/>
      </c>
      <c r="B21" s="306"/>
      <c r="C21" s="307"/>
      <c r="D21" s="338"/>
      <c r="E21" s="309" t="str">
        <f t="array" ref="E21">IF(B21&lt;&gt;"", IFERROR(VLOOKUP(B21, SORT(PriceReference!$A$1:$B1006), 2, TRUE), "price unavailable"), "")</f>
        <v/>
      </c>
      <c r="F21" s="309" t="str">
        <f t="array" ref="F21">IF(C21&lt;&gt;"", IFERROR(VLOOKUP(C21, SORT(PriceReference!$A$1:$B1006), 2, TRUE), "price unavailable"), "")</f>
        <v/>
      </c>
      <c r="G21" s="339"/>
      <c r="H21" s="309">
        <f t="shared" si="7"/>
        <v>0</v>
      </c>
      <c r="I21" s="340" t="str">
        <f t="shared" si="21"/>
        <v/>
      </c>
      <c r="J21" s="309">
        <f t="shared" si="8"/>
        <v>0</v>
      </c>
      <c r="K21" s="309" t="str">
        <f t="shared" si="9"/>
        <v/>
      </c>
      <c r="L21" s="311">
        <f t="shared" si="10"/>
        <v>0</v>
      </c>
      <c r="M21" s="347"/>
      <c r="N21" s="348" t="b">
        <v>0</v>
      </c>
      <c r="O21" s="349"/>
      <c r="P21" s="315">
        <v>0.0</v>
      </c>
      <c r="Q21" s="315">
        <v>0.0</v>
      </c>
      <c r="R21" s="315">
        <v>0.0</v>
      </c>
      <c r="S21" s="315">
        <v>0.0</v>
      </c>
      <c r="T21" s="316">
        <v>0.0</v>
      </c>
      <c r="U21" s="317">
        <f t="shared" si="11"/>
        <v>0</v>
      </c>
      <c r="V21" s="317" t="str">
        <f>SWITCH(W21,"cash",Reference!$E$5,"shares",Reference!$E$6,"balance",Reference!$E$7,"pro-rata",Reference!$B$5)</f>
        <v>#DIV/0!</v>
      </c>
      <c r="W21" s="318" t="s">
        <v>207</v>
      </c>
      <c r="X21" s="319">
        <f>LET(numVmwShares,D21, cashRatio,Reference!$B$4, vmwFinalPrice,Reference!$B$3, numVmwShares * cashRatio * vmwFinalPrice)</f>
        <v>0</v>
      </c>
      <c r="Y21" s="319">
        <f>iferror(LET(numVmwShares,$D21, stockRatio,U21, vmwFinalPrice,Reference!$B$3, (1 - stockRatio) * vmwFinalPrice * numVmwShares),0)</f>
        <v>0</v>
      </c>
      <c r="Z21" s="319">
        <f>iferror(LET(numVmwShares,$D21, stockRatio,V21, vmwFinalPrice,Reference!$B$3, (1 - stockRatio) * vmwFinalPrice * numVmwShares),0)</f>
        <v>0</v>
      </c>
      <c r="AA21" s="319">
        <f>SWITCH(Reference!$E$4,"eTradeTransactionLog", X21, "eTradeHoldingRatio", X21, "eTradeLotQtyRatio",Y21, "manualLotRatio", Z21)</f>
        <v>0</v>
      </c>
      <c r="AB21" s="309">
        <f>LET(purchaseDate,C21, dateOfRecord,Reference!$B$26, returnOfCapital,Reference!$C$26, IF(purchaseDate &lt; dateOfRecord, returnOfCapital,0))</f>
        <v>10.18</v>
      </c>
      <c r="AC21" s="309">
        <f>LET(purchaseDate,C21, dateOfRecord,Reference!$B$27, returnOfCapital,Reference!$C$27, IF(purchaseDate &lt; dateOfRecord, returnOfCapital,0))</f>
        <v>16.58</v>
      </c>
      <c r="AD21" s="309">
        <f t="shared" si="12"/>
        <v>-26.76</v>
      </c>
      <c r="AE21" s="309">
        <f t="shared" si="13"/>
        <v>0</v>
      </c>
      <c r="AF21" s="320">
        <f>LET(numVmwShares,D21, stockRatio,Reference!$B$5, vmwToAvgoRatio,Reference!$B$6, numVmwShares * stockRatio * vmwToAvgoRatio)</f>
        <v>0</v>
      </c>
      <c r="AG21" s="320">
        <f>LET(numVmwShares,D21, stockRatio,U21, vmwToAvgoRatio,Reference!$B$6, numVmwShares * stockRatio * vmwToAvgoRatio)</f>
        <v>0</v>
      </c>
      <c r="AH21" s="320" t="str">
        <f>LET(numVmwShares,D21, stockRatio,V21, vmwToAvgoRatio,Reference!$B$6, numVmwShares * stockRatio * vmwToAvgoRatio)</f>
        <v>#DIV/0!</v>
      </c>
      <c r="AI21" s="320">
        <f>SWITCH(Reference!$E$4,"eTradeTransactionLog", AF21, "eTradeHoldingRatio", AF21, "eTradeLotQtyRatio",AG21, "manualLotRatio", AH21)</f>
        <v>0</v>
      </c>
      <c r="AJ21" s="321">
        <f>LET(numVmwShares,D21, vmwBasis,AD21, avgoQty,AI21, avgoFMV,Reference!$B$18, cashReceived,AA21, gain,cashReceived+(avgoQty*avgoFMV)-(numVmwShares*vmwBasis),
MAX(gain,0))</f>
        <v>0</v>
      </c>
      <c r="AK21" s="322">
        <f>LET(useForFraction,N21, fractionAmount,Summary!$C$41, esppFractionLots,$N$5, rsuFractionLots,RSU!J$5, IF(useForFraction, fractionAmount / (esppFractionLots+rsuFractionLots), 0))</f>
        <v>0</v>
      </c>
      <c r="AL21" s="323">
        <f>LET(useForFraction,N21, fractionSaleFMV,Reference!$B$23, postMergerBasis,AY21, lotFractionAmount,AK21, IF(useForFraction, (fractionSaleFMV - postMergerBasis)*lotFractionAmount, 0))</f>
        <v>0</v>
      </c>
      <c r="AM21" s="324">
        <f t="shared" si="14"/>
        <v>0</v>
      </c>
      <c r="AN21" s="325">
        <f>LET(
imputedIncome,BB21,
avgoQty,AI21, 
perAvgoIncome, iferror(imputedIncome/avgoQty,0),
purchaseDate,C21,
mergerDate,Reference!$B$28,
lotFractionAmount,AK21,
lotFractionGain,AL21,
mergerGain,AM21,
shortTermGain,IF(DATEDIF(purchaseDate,mergerDate,"Y")&gt;=1,
  0,
  lotFractionGain + mergerGain
),
incomeOnFraction,perAvgoIncome*lotFractionAmount, 
shortTermGain + incomeOnFraction + IF(avgoQty=0,imputedIncome-incomeOnFraction,0))</f>
        <v>0</v>
      </c>
      <c r="AO21" s="325">
        <f>LET(
purchaseDate,C21,
mergerDate,Reference!$B$28,
lotFractionGain,AL21,
mergerGain,AM21,
IF(DATEDIF(purchaseDate,mergerDate,"Y")&gt;=1,
  lotFractionGain+mergerGain,
  0
))</f>
        <v>0</v>
      </c>
      <c r="AP21" s="343" t="str">
        <f>IF(DATEDIF(L21,Reference!$B$28,"Y")&gt;=1,"Part II Box D","Part I Box A")</f>
        <v>Part II Box D</v>
      </c>
      <c r="AQ21" s="344" t="str">
        <f t="shared" si="15"/>
        <v/>
      </c>
      <c r="AR21" s="330">
        <f t="shared" si="16"/>
        <v>0</v>
      </c>
      <c r="AS21" s="330">
        <f>LET(
cashReceived,AA21, 
avgoQty,AI21, 
proceedsStyle,Reference!$E$9, 
avgoFMV,Reference!$B$18, 
SWITCH(proceedsStyle, "combined", cashReceived +(avgoQty*avgoFMV), "cashOnly", cashReceived))</f>
        <v>0</v>
      </c>
      <c r="AT21" s="345">
        <f t="shared" si="17"/>
        <v>0</v>
      </c>
      <c r="AU21" s="345" t="str">
        <f t="shared" si="18"/>
        <v/>
      </c>
      <c r="AV21" s="330">
        <f>LET(
proceedsStyle,Reference!$E$9,
proceeds,AS21,
gain,AW21,
numVmwShares,D21, 
vmwBasis, AD21, 
avgoQty,AI21, 
avgoFMV,Reference!$B$18, 
cashReceived,AA21, 
avgoTotalValue, avgoFMV*avgoQty, 
vmwTotalBasis, vmwBasis*numVmwShares,
alternateGainAmount,AJ21, 
basis1099B, AT21,
SWITCH(proceedsStyle,
  "cashOnly",
    proceeds - gain,
  "combined",
    basis1099B - IF(cashReceived&lt;alternateGainAmount,
      avgoTotalValue,
      vmwTotalBasis
  )
))</f>
        <v>0</v>
      </c>
      <c r="AW21" s="331">
        <f>LET(proceedsStyle,Reference!$E$9, proceeds,AS21, basis1099B, AT21, adjustment,AV21, SWITCH(proceedsStyle, "cashOnly", AM21, "combined", MAX(proceeds - basis1099B + adjustment, 0)))</f>
        <v>0</v>
      </c>
      <c r="AX21" s="332" t="str">
        <f t="shared" si="19"/>
        <v>n/a</v>
      </c>
      <c r="AY21" s="332" t="str">
        <f t="shared" si="20"/>
        <v>n/a</v>
      </c>
      <c r="AZ21" s="333">
        <f>LET(saleFMV,Reference!$B$10, postMergerBasis,AY21, avgoQty,AI21, lotFractionAmount,AK21, iferror((saleFMV - postMergerBasis) * (avgoQty - lotFractionAmount), 0))</f>
        <v>0</v>
      </c>
      <c r="BA21" s="334" t="b">
        <f>LET(grantDate,B21, postMergerSaleDate,Reference!$B$29, purchaseBeginDate,A21, AND(DATEDIF(grantDate,postMergerSaleDate,"Y")&gt;=1, DATEDIF(purchaseBeginDate, postMergerSaleDate, "Y")&gt;=2))</f>
        <v>1</v>
      </c>
      <c r="BB21" s="333">
        <f>LET(
vmwBasis,AD21,
numVmwShares,D21,
cashReceived,AA21,
gainRecognized,AM21,
pureAvgoBasis,IFERROR((vmwBasis - (cashReceived + gainRecognized)/numVmwShares),0),
isQualified,BA21,
saleFMV,Reference!$B$10,
actualPrice,L21,
purchaseDateFMV,F21,
grantDateFMV,E21,
gainFromSale,(saleFMV - pureAvgoBasis),
disqualifiedIncome,(purchaseDateFMV - actualPrice),
qualifiedIncome,MIN(
   gainFromSale,
   (0.15 * grantDateFMV)),
income,IF(isQualified,
   qualifiedIncome,
   disqualifiedIncome),
numVmwShares * income)</f>
        <v>0</v>
      </c>
      <c r="BC21" s="335">
        <f>LET(
avgoQty,AI21, 
purchaseDate,C21,
postMergerSaleDate,Reference!$B$29,
saleFMV,Reference!$B$10,
postMergerBasis,AY21, 
IF(DATEDIF(purchaseDate,postMergerSaleDate,"Y")&gt;=1,
  0,
  avgoQty * (saleFMV - postMergerBasis)
))</f>
        <v>0</v>
      </c>
      <c r="BD21" s="336">
        <f>LET(
avgoQty,AI21, 
purchaseDate,C21,
postMergerSaleDate,Reference!$B$29,
saleFMV,Reference!$B$10,
postMergerBasis,AY21, 
IFERROR(IF(DATEDIF(purchaseDate,postMergerSaleDate,"Y")&gt;=1,
  avgoQty * (saleFMV - postMergerBasis),
  0
),0))</f>
        <v>0</v>
      </c>
      <c r="BE21" s="337"/>
    </row>
    <row r="22">
      <c r="A22" s="305" t="str">
        <f t="shared" si="6"/>
        <v/>
      </c>
      <c r="B22" s="306"/>
      <c r="C22" s="307"/>
      <c r="D22" s="338"/>
      <c r="E22" s="309" t="str">
        <f t="array" ref="E22">IF(B22&lt;&gt;"", IFERROR(VLOOKUP(B22, SORT(PriceReference!$A$1:$B1006), 2, TRUE), "price unavailable"), "")</f>
        <v/>
      </c>
      <c r="F22" s="309" t="str">
        <f t="array" ref="F22">IF(C22&lt;&gt;"", IFERROR(VLOOKUP(C22, SORT(PriceReference!$A$1:$B1006), 2, TRUE), "price unavailable"), "")</f>
        <v/>
      </c>
      <c r="G22" s="339"/>
      <c r="H22" s="309">
        <f t="shared" si="7"/>
        <v>0</v>
      </c>
      <c r="I22" s="340" t="str">
        <f t="shared" si="21"/>
        <v/>
      </c>
      <c r="J22" s="309">
        <f t="shared" si="8"/>
        <v>0</v>
      </c>
      <c r="K22" s="309" t="str">
        <f t="shared" si="9"/>
        <v/>
      </c>
      <c r="L22" s="311">
        <f t="shared" si="10"/>
        <v>0</v>
      </c>
      <c r="M22" s="341"/>
      <c r="N22" s="348" t="b">
        <v>0</v>
      </c>
      <c r="O22" s="349"/>
      <c r="P22" s="315">
        <v>0.0</v>
      </c>
      <c r="Q22" s="315">
        <v>0.0</v>
      </c>
      <c r="R22" s="315">
        <v>0.0</v>
      </c>
      <c r="S22" s="315">
        <v>0.0</v>
      </c>
      <c r="T22" s="316">
        <v>0.0</v>
      </c>
      <c r="U22" s="317">
        <f t="shared" si="11"/>
        <v>0</v>
      </c>
      <c r="V22" s="317" t="str">
        <f>SWITCH(W22,"cash",Reference!$E$5,"shares",Reference!$E$6,"balance",Reference!$E$7,"pro-rata",Reference!$B$5)</f>
        <v>#DIV/0!</v>
      </c>
      <c r="W22" s="318" t="s">
        <v>207</v>
      </c>
      <c r="X22" s="319">
        <f>LET(numVmwShares,D22, cashRatio,Reference!$B$4, vmwFinalPrice,Reference!$B$3, numVmwShares * cashRatio * vmwFinalPrice)</f>
        <v>0</v>
      </c>
      <c r="Y22" s="319">
        <f>iferror(LET(numVmwShares,$D22, stockRatio,U22, vmwFinalPrice,Reference!$B$3, (1 - stockRatio) * vmwFinalPrice * numVmwShares),0)</f>
        <v>0</v>
      </c>
      <c r="Z22" s="319">
        <f>iferror(LET(numVmwShares,$D22, stockRatio,V22, vmwFinalPrice,Reference!$B$3, (1 - stockRatio) * vmwFinalPrice * numVmwShares),0)</f>
        <v>0</v>
      </c>
      <c r="AA22" s="319">
        <f>SWITCH(Reference!$E$4,"eTradeTransactionLog", X22, "eTradeHoldingRatio", X22, "eTradeLotQtyRatio",Y22, "manualLotRatio", Z22)</f>
        <v>0</v>
      </c>
      <c r="AB22" s="309">
        <f>LET(purchaseDate,C22, dateOfRecord,Reference!$B$26, returnOfCapital,Reference!$C$26, IF(purchaseDate &lt; dateOfRecord, returnOfCapital,0))</f>
        <v>10.18</v>
      </c>
      <c r="AC22" s="309">
        <f>LET(purchaseDate,C22, dateOfRecord,Reference!$B$27, returnOfCapital,Reference!$C$27, IF(purchaseDate &lt; dateOfRecord, returnOfCapital,0))</f>
        <v>16.58</v>
      </c>
      <c r="AD22" s="309">
        <f t="shared" si="12"/>
        <v>-26.76</v>
      </c>
      <c r="AE22" s="309">
        <f t="shared" si="13"/>
        <v>0</v>
      </c>
      <c r="AF22" s="320">
        <f>LET(numVmwShares,D22, stockRatio,Reference!$B$5, vmwToAvgoRatio,Reference!$B$6, numVmwShares * stockRatio * vmwToAvgoRatio)</f>
        <v>0</v>
      </c>
      <c r="AG22" s="320">
        <f>LET(numVmwShares,D22, stockRatio,U22, vmwToAvgoRatio,Reference!$B$6, numVmwShares * stockRatio * vmwToAvgoRatio)</f>
        <v>0</v>
      </c>
      <c r="AH22" s="320" t="str">
        <f>LET(numVmwShares,D22, stockRatio,V22, vmwToAvgoRatio,Reference!$B$6, numVmwShares * stockRatio * vmwToAvgoRatio)</f>
        <v>#DIV/0!</v>
      </c>
      <c r="AI22" s="320">
        <f>SWITCH(Reference!$E$4,"eTradeTransactionLog", AF22, "eTradeHoldingRatio", AF22, "eTradeLotQtyRatio",AG22, "manualLotRatio", AH22)</f>
        <v>0</v>
      </c>
      <c r="AJ22" s="321">
        <f>LET(numVmwShares,D22, vmwBasis,AD22, avgoQty,AI22, avgoFMV,Reference!$B$18, cashReceived,AA22, gain,cashReceived+(avgoQty*avgoFMV)-(numVmwShares*vmwBasis),
MAX(gain,0))</f>
        <v>0</v>
      </c>
      <c r="AK22" s="322">
        <f>LET(useForFraction,N22, fractionAmount,Summary!$C$41, esppFractionLots,$N$5, rsuFractionLots,RSU!J$5, IF(useForFraction, fractionAmount / (esppFractionLots+rsuFractionLots), 0))</f>
        <v>0</v>
      </c>
      <c r="AL22" s="323">
        <f>LET(useForFraction,N22, fractionSaleFMV,Reference!$B$23, postMergerBasis,AY22, lotFractionAmount,AK22, IF(useForFraction, (fractionSaleFMV - postMergerBasis)*lotFractionAmount, 0))</f>
        <v>0</v>
      </c>
      <c r="AM22" s="324">
        <f t="shared" si="14"/>
        <v>0</v>
      </c>
      <c r="AN22" s="325">
        <f>LET(
imputedIncome,BB22,
avgoQty,AI22, 
perAvgoIncome, iferror(imputedIncome/avgoQty,0),
purchaseDate,C22,
mergerDate,Reference!$B$28,
lotFractionAmount,AK22,
lotFractionGain,AL22,
mergerGain,AM22,
shortTermGain,IF(DATEDIF(purchaseDate,mergerDate,"Y")&gt;=1,
  0,
  lotFractionGain + mergerGain
),
incomeOnFraction,perAvgoIncome*lotFractionAmount, 
shortTermGain + incomeOnFraction + IF(avgoQty=0,imputedIncome-incomeOnFraction,0))</f>
        <v>0</v>
      </c>
      <c r="AO22" s="325">
        <f>LET(
purchaseDate,C22,
mergerDate,Reference!$B$28,
lotFractionGain,AL22,
mergerGain,AM22,
IF(DATEDIF(purchaseDate,mergerDate,"Y")&gt;=1,
  lotFractionGain+mergerGain,
  0
))</f>
        <v>0</v>
      </c>
      <c r="AP22" s="343" t="str">
        <f>IF(DATEDIF(L22,Reference!$B$28,"Y")&gt;=1,"Part II Box D","Part I Box A")</f>
        <v>Part II Box D</v>
      </c>
      <c r="AQ22" s="344" t="str">
        <f t="shared" si="15"/>
        <v/>
      </c>
      <c r="AR22" s="330">
        <f t="shared" si="16"/>
        <v>0</v>
      </c>
      <c r="AS22" s="330">
        <f>LET(
cashReceived,AA22, 
avgoQty,AI22, 
proceedsStyle,Reference!$E$9, 
avgoFMV,Reference!$B$18, 
SWITCH(proceedsStyle, "combined", cashReceived +(avgoQty*avgoFMV), "cashOnly", cashReceived))</f>
        <v>0</v>
      </c>
      <c r="AT22" s="345">
        <f t="shared" si="17"/>
        <v>0</v>
      </c>
      <c r="AU22" s="345" t="str">
        <f t="shared" si="18"/>
        <v/>
      </c>
      <c r="AV22" s="330">
        <f>LET(
proceedsStyle,Reference!$E$9,
proceeds,AS22,
gain,AW22,
numVmwShares,D22, 
vmwBasis, AD22, 
avgoQty,AI22, 
avgoFMV,Reference!$B$18, 
cashReceived,AA22, 
avgoTotalValue, avgoFMV*avgoQty, 
vmwTotalBasis, vmwBasis*numVmwShares,
alternateGainAmount,AJ22, 
basis1099B, AT22,
SWITCH(proceedsStyle,
  "cashOnly",
    proceeds - gain,
  "combined",
    basis1099B - IF(cashReceived&lt;alternateGainAmount,
      avgoTotalValue,
      vmwTotalBasis
  )
))</f>
        <v>0</v>
      </c>
      <c r="AW22" s="331">
        <f>LET(proceedsStyle,Reference!$E$9, proceeds,AS22, basis1099B, AT22, adjustment,AV22, SWITCH(proceedsStyle, "cashOnly", AM22, "combined", MAX(proceeds - basis1099B + adjustment, 0)))</f>
        <v>0</v>
      </c>
      <c r="AX22" s="332" t="str">
        <f t="shared" si="19"/>
        <v>n/a</v>
      </c>
      <c r="AY22" s="332" t="str">
        <f t="shared" si="20"/>
        <v>n/a</v>
      </c>
      <c r="AZ22" s="333">
        <f>LET(saleFMV,Reference!$B$10, postMergerBasis,AY22, avgoQty,AI22, lotFractionAmount,AK22, iferror((saleFMV - postMergerBasis) * (avgoQty - lotFractionAmount), 0))</f>
        <v>0</v>
      </c>
      <c r="BA22" s="334" t="b">
        <f>LET(grantDate,B22, postMergerSaleDate,Reference!$B$29, purchaseBeginDate,A22, AND(DATEDIF(grantDate,postMergerSaleDate,"Y")&gt;=1, DATEDIF(purchaseBeginDate, postMergerSaleDate, "Y")&gt;=2))</f>
        <v>1</v>
      </c>
      <c r="BB22" s="333">
        <f>LET(
vmwBasis,AD22,
numVmwShares,D22,
cashReceived,AA22,
gainRecognized,AM22,
pureAvgoBasis,IFERROR((vmwBasis - (cashReceived + gainRecognized)/numVmwShares),0),
isQualified,BA22,
saleFMV,Reference!$B$10,
actualPrice,L22,
purchaseDateFMV,F22,
grantDateFMV,E22,
gainFromSale,(saleFMV - pureAvgoBasis),
disqualifiedIncome,(purchaseDateFMV - actualPrice),
qualifiedIncome,MIN(
   gainFromSale,
   (0.15 * grantDateFMV)),
income,IF(isQualified,
   qualifiedIncome,
   disqualifiedIncome),
numVmwShares * income)</f>
        <v>0</v>
      </c>
      <c r="BC22" s="335">
        <f>LET(
avgoQty,AI22, 
purchaseDate,C22,
postMergerSaleDate,Reference!$B$29,
saleFMV,Reference!$B$10,
postMergerBasis,AY22, 
IF(DATEDIF(purchaseDate,postMergerSaleDate,"Y")&gt;=1,
  0,
  avgoQty * (saleFMV - postMergerBasis)
))</f>
        <v>0</v>
      </c>
      <c r="BD22" s="336">
        <f>LET(
avgoQty,AI22, 
purchaseDate,C22,
postMergerSaleDate,Reference!$B$29,
saleFMV,Reference!$B$10,
postMergerBasis,AY22, 
IFERROR(IF(DATEDIF(purchaseDate,postMergerSaleDate,"Y")&gt;=1,
  avgoQty * (saleFMV - postMergerBasis),
  0
),0))</f>
        <v>0</v>
      </c>
      <c r="BE22" s="337"/>
    </row>
    <row r="23">
      <c r="A23" s="305" t="str">
        <f t="shared" si="6"/>
        <v/>
      </c>
      <c r="B23" s="306"/>
      <c r="C23" s="307"/>
      <c r="D23" s="338"/>
      <c r="E23" s="309" t="str">
        <f t="array" ref="E23">IF(B23&lt;&gt;"", IFERROR(VLOOKUP(B23, SORT(PriceReference!$A$1:$B1006), 2, TRUE), "price unavailable"), "")</f>
        <v/>
      </c>
      <c r="F23" s="309" t="str">
        <f t="array" ref="F23">IF(C23&lt;&gt;"", IFERROR(VLOOKUP(C23, SORT(PriceReference!$A$1:$B1006), 2, TRUE), "price unavailable"), "")</f>
        <v/>
      </c>
      <c r="G23" s="339"/>
      <c r="H23" s="309">
        <f t="shared" si="7"/>
        <v>0</v>
      </c>
      <c r="I23" s="340" t="str">
        <f t="shared" si="21"/>
        <v/>
      </c>
      <c r="J23" s="309">
        <f t="shared" si="8"/>
        <v>0</v>
      </c>
      <c r="K23" s="309" t="str">
        <f t="shared" si="9"/>
        <v/>
      </c>
      <c r="L23" s="311">
        <f t="shared" si="10"/>
        <v>0</v>
      </c>
      <c r="M23" s="347"/>
      <c r="N23" s="348" t="b">
        <v>0</v>
      </c>
      <c r="O23" s="349"/>
      <c r="P23" s="315">
        <v>0.0</v>
      </c>
      <c r="Q23" s="315">
        <v>0.0</v>
      </c>
      <c r="R23" s="315">
        <v>0.0</v>
      </c>
      <c r="S23" s="315">
        <v>0.0</v>
      </c>
      <c r="T23" s="316">
        <v>0.0</v>
      </c>
      <c r="U23" s="317">
        <f t="shared" si="11"/>
        <v>0</v>
      </c>
      <c r="V23" s="317" t="str">
        <f>SWITCH(W23,"cash",Reference!$E$5,"shares",Reference!$E$6,"balance",Reference!$E$7,"pro-rata",Reference!$B$5)</f>
        <v>#DIV/0!</v>
      </c>
      <c r="W23" s="318" t="s">
        <v>207</v>
      </c>
      <c r="X23" s="319">
        <f>LET(numVmwShares,D23, cashRatio,Reference!$B$4, vmwFinalPrice,Reference!$B$3, numVmwShares * cashRatio * vmwFinalPrice)</f>
        <v>0</v>
      </c>
      <c r="Y23" s="319">
        <f>iferror(LET(numVmwShares,$D23, stockRatio,U23, vmwFinalPrice,Reference!$B$3, (1 - stockRatio) * vmwFinalPrice * numVmwShares),0)</f>
        <v>0</v>
      </c>
      <c r="Z23" s="319">
        <f>iferror(LET(numVmwShares,$D23, stockRatio,V23, vmwFinalPrice,Reference!$B$3, (1 - stockRatio) * vmwFinalPrice * numVmwShares),0)</f>
        <v>0</v>
      </c>
      <c r="AA23" s="319">
        <f>SWITCH(Reference!$E$4,"eTradeTransactionLog", X23, "eTradeHoldingRatio", X23, "eTradeLotQtyRatio",Y23, "manualLotRatio", Z23)</f>
        <v>0</v>
      </c>
      <c r="AB23" s="309">
        <f>LET(purchaseDate,C23, dateOfRecord,Reference!$B$26, returnOfCapital,Reference!$C$26, IF(purchaseDate &lt; dateOfRecord, returnOfCapital,0))</f>
        <v>10.18</v>
      </c>
      <c r="AC23" s="309">
        <f>LET(purchaseDate,C23, dateOfRecord,Reference!$B$27, returnOfCapital,Reference!$C$27, IF(purchaseDate &lt; dateOfRecord, returnOfCapital,0))</f>
        <v>16.58</v>
      </c>
      <c r="AD23" s="309">
        <f t="shared" si="12"/>
        <v>-26.76</v>
      </c>
      <c r="AE23" s="309">
        <f t="shared" si="13"/>
        <v>0</v>
      </c>
      <c r="AF23" s="320">
        <f>LET(numVmwShares,D23, stockRatio,Reference!$B$5, vmwToAvgoRatio,Reference!$B$6, numVmwShares * stockRatio * vmwToAvgoRatio)</f>
        <v>0</v>
      </c>
      <c r="AG23" s="320">
        <f>LET(numVmwShares,D23, stockRatio,U23, vmwToAvgoRatio,Reference!$B$6, numVmwShares * stockRatio * vmwToAvgoRatio)</f>
        <v>0</v>
      </c>
      <c r="AH23" s="320" t="str">
        <f>LET(numVmwShares,D23, stockRatio,V23, vmwToAvgoRatio,Reference!$B$6, numVmwShares * stockRatio * vmwToAvgoRatio)</f>
        <v>#DIV/0!</v>
      </c>
      <c r="AI23" s="320">
        <f>SWITCH(Reference!$E$4,"eTradeTransactionLog", AF23, "eTradeHoldingRatio", AF23, "eTradeLotQtyRatio",AG23, "manualLotRatio", AH23)</f>
        <v>0</v>
      </c>
      <c r="AJ23" s="321">
        <f>LET(numVmwShares,D23, vmwBasis,AD23, avgoQty,AI23, avgoFMV,Reference!$B$18, cashReceived,AA23, gain,cashReceived+(avgoQty*avgoFMV)-(numVmwShares*vmwBasis),
MAX(gain,0))</f>
        <v>0</v>
      </c>
      <c r="AK23" s="322">
        <f>LET(useForFraction,N23, fractionAmount,Summary!$C$41, esppFractionLots,$N$5, rsuFractionLots,RSU!J$5, IF(useForFraction, fractionAmount / (esppFractionLots+rsuFractionLots), 0))</f>
        <v>0</v>
      </c>
      <c r="AL23" s="323">
        <f>LET(useForFraction,N23, fractionSaleFMV,Reference!$B$23, postMergerBasis,AY23, lotFractionAmount,AK23, IF(useForFraction, (fractionSaleFMV - postMergerBasis)*lotFractionAmount, 0))</f>
        <v>0</v>
      </c>
      <c r="AM23" s="324">
        <f t="shared" si="14"/>
        <v>0</v>
      </c>
      <c r="AN23" s="325">
        <f>LET(
imputedIncome,BB23,
avgoQty,AI23, 
perAvgoIncome, iferror(imputedIncome/avgoQty,0),
purchaseDate,C23,
mergerDate,Reference!$B$28,
lotFractionAmount,AK23,
lotFractionGain,AL23,
mergerGain,AM23,
shortTermGain,IF(DATEDIF(purchaseDate,mergerDate,"Y")&gt;=1,
  0,
  lotFractionGain + mergerGain
),
incomeOnFraction,perAvgoIncome*lotFractionAmount, 
shortTermGain + incomeOnFraction + IF(avgoQty=0,imputedIncome-incomeOnFraction,0))</f>
        <v>0</v>
      </c>
      <c r="AO23" s="325">
        <f>LET(
purchaseDate,C23,
mergerDate,Reference!$B$28,
lotFractionGain,AL23,
mergerGain,AM23,
IF(DATEDIF(purchaseDate,mergerDate,"Y")&gt;=1,
  lotFractionGain+mergerGain,
  0
))</f>
        <v>0</v>
      </c>
      <c r="AP23" s="343" t="str">
        <f>IF(DATEDIF(L23,Reference!$B$28,"Y")&gt;=1,"Part II Box D","Part I Box A")</f>
        <v>Part II Box D</v>
      </c>
      <c r="AQ23" s="344" t="str">
        <f t="shared" si="15"/>
        <v/>
      </c>
      <c r="AR23" s="330">
        <f t="shared" si="16"/>
        <v>0</v>
      </c>
      <c r="AS23" s="330">
        <f>LET(
cashReceived,AA23, 
avgoQty,AI23, 
proceedsStyle,Reference!$E$9, 
avgoFMV,Reference!$B$18, 
SWITCH(proceedsStyle, "combined", cashReceived +(avgoQty*avgoFMV), "cashOnly", cashReceived))</f>
        <v>0</v>
      </c>
      <c r="AT23" s="345">
        <f t="shared" si="17"/>
        <v>0</v>
      </c>
      <c r="AU23" s="345" t="str">
        <f t="shared" si="18"/>
        <v/>
      </c>
      <c r="AV23" s="330">
        <f>LET(
proceedsStyle,Reference!$E$9,
proceeds,AS23,
gain,AW23,
numVmwShares,D23, 
vmwBasis, AD23, 
avgoQty,AI23, 
avgoFMV,Reference!$B$18, 
cashReceived,AA23, 
avgoTotalValue, avgoFMV*avgoQty, 
vmwTotalBasis, vmwBasis*numVmwShares,
alternateGainAmount,AJ23, 
basis1099B, AT23,
SWITCH(proceedsStyle,
  "cashOnly",
    proceeds - gain,
  "combined",
    basis1099B - IF(cashReceived&lt;alternateGainAmount,
      avgoTotalValue,
      vmwTotalBasis
  )
))</f>
        <v>0</v>
      </c>
      <c r="AW23" s="331">
        <f>LET(proceedsStyle,Reference!$E$9, proceeds,AS23, basis1099B, AT23, adjustment,AV23, SWITCH(proceedsStyle, "cashOnly", AM23, "combined", MAX(proceeds - basis1099B + adjustment, 0)))</f>
        <v>0</v>
      </c>
      <c r="AX23" s="332" t="str">
        <f t="shared" si="19"/>
        <v>n/a</v>
      </c>
      <c r="AY23" s="332" t="str">
        <f t="shared" si="20"/>
        <v>n/a</v>
      </c>
      <c r="AZ23" s="333">
        <f>LET(saleFMV,Reference!$B$10, postMergerBasis,AY23, avgoQty,AI23, lotFractionAmount,AK23, iferror((saleFMV - postMergerBasis) * (avgoQty - lotFractionAmount), 0))</f>
        <v>0</v>
      </c>
      <c r="BA23" s="334" t="b">
        <f>LET(grantDate,B23, postMergerSaleDate,Reference!$B$29, purchaseBeginDate,A23, AND(DATEDIF(grantDate,postMergerSaleDate,"Y")&gt;=1, DATEDIF(purchaseBeginDate, postMergerSaleDate, "Y")&gt;=2))</f>
        <v>1</v>
      </c>
      <c r="BB23" s="333">
        <f>LET(
vmwBasis,AD23,
numVmwShares,D23,
cashReceived,AA23,
gainRecognized,AM23,
pureAvgoBasis,IFERROR((vmwBasis - (cashReceived + gainRecognized)/numVmwShares),0),
isQualified,BA23,
saleFMV,Reference!$B$10,
actualPrice,L23,
purchaseDateFMV,F23,
grantDateFMV,E23,
gainFromSale,(saleFMV - pureAvgoBasis),
disqualifiedIncome,(purchaseDateFMV - actualPrice),
qualifiedIncome,MIN(
   gainFromSale,
   (0.15 * grantDateFMV)),
income,IF(isQualified,
   qualifiedIncome,
   disqualifiedIncome),
numVmwShares * income)</f>
        <v>0</v>
      </c>
      <c r="BC23" s="335">
        <f>LET(
avgoQty,AI23, 
purchaseDate,C23,
postMergerSaleDate,Reference!$B$29,
saleFMV,Reference!$B$10,
postMergerBasis,AY23, 
IF(DATEDIF(purchaseDate,postMergerSaleDate,"Y")&gt;=1,
  0,
  avgoQty * (saleFMV - postMergerBasis)
))</f>
        <v>0</v>
      </c>
      <c r="BD23" s="336">
        <f>LET(
avgoQty,AI23, 
purchaseDate,C23,
postMergerSaleDate,Reference!$B$29,
saleFMV,Reference!$B$10,
postMergerBasis,AY23, 
IFERROR(IF(DATEDIF(purchaseDate,postMergerSaleDate,"Y")&gt;=1,
  avgoQty * (saleFMV - postMergerBasis),
  0
),0))</f>
        <v>0</v>
      </c>
      <c r="BE23" s="337"/>
    </row>
    <row r="24">
      <c r="A24" s="305" t="str">
        <f t="shared" si="6"/>
        <v/>
      </c>
      <c r="B24" s="306"/>
      <c r="C24" s="307"/>
      <c r="D24" s="338"/>
      <c r="E24" s="309" t="str">
        <f t="array" ref="E24">IF(B24&lt;&gt;"", IFERROR(VLOOKUP(B24, SORT(PriceReference!$A$1:$B1006), 2, TRUE), "price unavailable"), "")</f>
        <v/>
      </c>
      <c r="F24" s="309" t="str">
        <f t="array" ref="F24">IF(C24&lt;&gt;"", IFERROR(VLOOKUP(C24, SORT(PriceReference!$A$1:$B1006), 2, TRUE), "price unavailable"), "")</f>
        <v/>
      </c>
      <c r="G24" s="339"/>
      <c r="H24" s="309">
        <f t="shared" si="7"/>
        <v>0</v>
      </c>
      <c r="I24" s="340" t="str">
        <f t="shared" si="21"/>
        <v/>
      </c>
      <c r="J24" s="309">
        <f t="shared" si="8"/>
        <v>0</v>
      </c>
      <c r="K24" s="309" t="str">
        <f t="shared" si="9"/>
        <v/>
      </c>
      <c r="L24" s="311">
        <f t="shared" si="10"/>
        <v>0</v>
      </c>
      <c r="M24" s="341"/>
      <c r="N24" s="348" t="b">
        <v>0</v>
      </c>
      <c r="O24" s="349"/>
      <c r="P24" s="315">
        <v>0.0</v>
      </c>
      <c r="Q24" s="315">
        <v>0.0</v>
      </c>
      <c r="R24" s="315">
        <v>0.0</v>
      </c>
      <c r="S24" s="315">
        <v>0.0</v>
      </c>
      <c r="T24" s="316">
        <v>0.0</v>
      </c>
      <c r="U24" s="317">
        <f t="shared" si="11"/>
        <v>0</v>
      </c>
      <c r="V24" s="317" t="str">
        <f>SWITCH(W24,"cash",Reference!$E$5,"shares",Reference!$E$6,"balance",Reference!$E$7,"pro-rata",Reference!$B$5)</f>
        <v>#DIV/0!</v>
      </c>
      <c r="W24" s="318" t="s">
        <v>207</v>
      </c>
      <c r="X24" s="319">
        <f>LET(numVmwShares,D24, cashRatio,Reference!$B$4, vmwFinalPrice,Reference!$B$3, numVmwShares * cashRatio * vmwFinalPrice)</f>
        <v>0</v>
      </c>
      <c r="Y24" s="319">
        <f>iferror(LET(numVmwShares,$D24, stockRatio,U24, vmwFinalPrice,Reference!$B$3, (1 - stockRatio) * vmwFinalPrice * numVmwShares),0)</f>
        <v>0</v>
      </c>
      <c r="Z24" s="319">
        <f>iferror(LET(numVmwShares,$D24, stockRatio,V24, vmwFinalPrice,Reference!$B$3, (1 - stockRatio) * vmwFinalPrice * numVmwShares),0)</f>
        <v>0</v>
      </c>
      <c r="AA24" s="319">
        <f>SWITCH(Reference!$E$4,"eTradeTransactionLog", X24, "eTradeHoldingRatio", X24, "eTradeLotQtyRatio",Y24, "manualLotRatio", Z24)</f>
        <v>0</v>
      </c>
      <c r="AB24" s="309">
        <f>LET(purchaseDate,C24, dateOfRecord,Reference!$B$26, returnOfCapital,Reference!$C$26, IF(purchaseDate &lt; dateOfRecord, returnOfCapital,0))</f>
        <v>10.18</v>
      </c>
      <c r="AC24" s="309">
        <f>LET(purchaseDate,C24, dateOfRecord,Reference!$B$27, returnOfCapital,Reference!$C$27, IF(purchaseDate &lt; dateOfRecord, returnOfCapital,0))</f>
        <v>16.58</v>
      </c>
      <c r="AD24" s="309">
        <f t="shared" si="12"/>
        <v>-26.76</v>
      </c>
      <c r="AE24" s="309">
        <f t="shared" si="13"/>
        <v>0</v>
      </c>
      <c r="AF24" s="320">
        <f>LET(numVmwShares,D24, stockRatio,Reference!$B$5, vmwToAvgoRatio,Reference!$B$6, numVmwShares * stockRatio * vmwToAvgoRatio)</f>
        <v>0</v>
      </c>
      <c r="AG24" s="320">
        <f>LET(numVmwShares,D24, stockRatio,U24, vmwToAvgoRatio,Reference!$B$6, numVmwShares * stockRatio * vmwToAvgoRatio)</f>
        <v>0</v>
      </c>
      <c r="AH24" s="320" t="str">
        <f>LET(numVmwShares,D24, stockRatio,V24, vmwToAvgoRatio,Reference!$B$6, numVmwShares * stockRatio * vmwToAvgoRatio)</f>
        <v>#DIV/0!</v>
      </c>
      <c r="AI24" s="320">
        <f>SWITCH(Reference!$E$4,"eTradeTransactionLog", AF24, "eTradeHoldingRatio", AF24, "eTradeLotQtyRatio",AG24, "manualLotRatio", AH24)</f>
        <v>0</v>
      </c>
      <c r="AJ24" s="321">
        <f>LET(numVmwShares,D24, vmwBasis,AD24, avgoQty,AI24, avgoFMV,Reference!$B$18, cashReceived,AA24, gain,cashReceived+(avgoQty*avgoFMV)-(numVmwShares*vmwBasis),
MAX(gain,0))</f>
        <v>0</v>
      </c>
      <c r="AK24" s="322">
        <f>LET(useForFraction,N24, fractionAmount,Summary!$C$41, esppFractionLots,$N$5, rsuFractionLots,RSU!J$5, IF(useForFraction, fractionAmount / (esppFractionLots+rsuFractionLots), 0))</f>
        <v>0</v>
      </c>
      <c r="AL24" s="323">
        <f>LET(useForFraction,N24, fractionSaleFMV,Reference!$B$23, postMergerBasis,AY24, lotFractionAmount,AK24, IF(useForFraction, (fractionSaleFMV - postMergerBasis)*lotFractionAmount, 0))</f>
        <v>0</v>
      </c>
      <c r="AM24" s="324">
        <f t="shared" si="14"/>
        <v>0</v>
      </c>
      <c r="AN24" s="325">
        <f>LET(
imputedIncome,BB24,
avgoQty,AI24, 
perAvgoIncome, iferror(imputedIncome/avgoQty,0),
purchaseDate,C24,
mergerDate,Reference!$B$28,
lotFractionAmount,AK24,
lotFractionGain,AL24,
mergerGain,AM24,
shortTermGain,IF(DATEDIF(purchaseDate,mergerDate,"Y")&gt;=1,
  0,
  lotFractionGain + mergerGain
),
incomeOnFraction,perAvgoIncome*lotFractionAmount, 
shortTermGain + incomeOnFraction + IF(avgoQty=0,imputedIncome-incomeOnFraction,0))</f>
        <v>0</v>
      </c>
      <c r="AO24" s="325">
        <f>LET(
purchaseDate,C24,
mergerDate,Reference!$B$28,
lotFractionGain,AL24,
mergerGain,AM24,
IF(DATEDIF(purchaseDate,mergerDate,"Y")&gt;=1,
  lotFractionGain+mergerGain,
  0
))</f>
        <v>0</v>
      </c>
      <c r="AP24" s="343" t="str">
        <f>IF(DATEDIF(L24,Reference!$B$28,"Y")&gt;=1,"Part II Box D","Part I Box A")</f>
        <v>Part II Box D</v>
      </c>
      <c r="AQ24" s="344" t="str">
        <f t="shared" si="15"/>
        <v/>
      </c>
      <c r="AR24" s="330">
        <f t="shared" si="16"/>
        <v>0</v>
      </c>
      <c r="AS24" s="330">
        <f>LET(
cashReceived,AA24, 
avgoQty,AI24, 
proceedsStyle,Reference!$E$9, 
avgoFMV,Reference!$B$18, 
SWITCH(proceedsStyle, "combined", cashReceived +(avgoQty*avgoFMV), "cashOnly", cashReceived))</f>
        <v>0</v>
      </c>
      <c r="AT24" s="345">
        <f t="shared" si="17"/>
        <v>0</v>
      </c>
      <c r="AU24" s="345" t="str">
        <f t="shared" si="18"/>
        <v/>
      </c>
      <c r="AV24" s="330">
        <f>LET(
proceedsStyle,Reference!$E$9,
proceeds,AS24,
gain,AW24,
numVmwShares,D24, 
vmwBasis, AD24, 
avgoQty,AI24, 
avgoFMV,Reference!$B$18, 
cashReceived,AA24, 
avgoTotalValue, avgoFMV*avgoQty, 
vmwTotalBasis, vmwBasis*numVmwShares,
alternateGainAmount,AJ24, 
basis1099B, AT24,
SWITCH(proceedsStyle,
  "cashOnly",
    proceeds - gain,
  "combined",
    basis1099B - IF(cashReceived&lt;alternateGainAmount,
      avgoTotalValue,
      vmwTotalBasis
  )
))</f>
        <v>0</v>
      </c>
      <c r="AW24" s="331">
        <f>LET(proceedsStyle,Reference!$E$9, proceeds,AS24, basis1099B, AT24, adjustment,AV24, SWITCH(proceedsStyle, "cashOnly", AM24, "combined", MAX(proceeds - basis1099B + adjustment, 0)))</f>
        <v>0</v>
      </c>
      <c r="AX24" s="332" t="str">
        <f t="shared" si="19"/>
        <v>n/a</v>
      </c>
      <c r="AY24" s="332" t="str">
        <f t="shared" si="20"/>
        <v>n/a</v>
      </c>
      <c r="AZ24" s="333">
        <f>LET(saleFMV,Reference!$B$10, postMergerBasis,AY24, avgoQty,AI24, lotFractionAmount,AK24, iferror((saleFMV - postMergerBasis) * (avgoQty - lotFractionAmount), 0))</f>
        <v>0</v>
      </c>
      <c r="BA24" s="334" t="b">
        <f>LET(grantDate,B24, postMergerSaleDate,Reference!$B$29, purchaseBeginDate,A24, AND(DATEDIF(grantDate,postMergerSaleDate,"Y")&gt;=1, DATEDIF(purchaseBeginDate, postMergerSaleDate, "Y")&gt;=2))</f>
        <v>1</v>
      </c>
      <c r="BB24" s="333">
        <f>LET(
vmwBasis,AD24,
numVmwShares,D24,
cashReceived,AA24,
gainRecognized,AM24,
pureAvgoBasis,IFERROR((vmwBasis - (cashReceived + gainRecognized)/numVmwShares),0),
isQualified,BA24,
saleFMV,Reference!$B$10,
actualPrice,L24,
purchaseDateFMV,F24,
grantDateFMV,E24,
gainFromSale,(saleFMV - pureAvgoBasis),
disqualifiedIncome,(purchaseDateFMV - actualPrice),
qualifiedIncome,MIN(
   gainFromSale,
   (0.15 * grantDateFMV)),
income,IF(isQualified,
   qualifiedIncome,
   disqualifiedIncome),
numVmwShares * income)</f>
        <v>0</v>
      </c>
      <c r="BC24" s="335">
        <f>LET(
avgoQty,AI24, 
purchaseDate,C24,
postMergerSaleDate,Reference!$B$29,
saleFMV,Reference!$B$10,
postMergerBasis,AY24, 
IF(DATEDIF(purchaseDate,postMergerSaleDate,"Y")&gt;=1,
  0,
  avgoQty * (saleFMV - postMergerBasis)
))</f>
        <v>0</v>
      </c>
      <c r="BD24" s="336">
        <f>LET(
avgoQty,AI24, 
purchaseDate,C24,
postMergerSaleDate,Reference!$B$29,
saleFMV,Reference!$B$10,
postMergerBasis,AY24, 
IFERROR(IF(DATEDIF(purchaseDate,postMergerSaleDate,"Y")&gt;=1,
  avgoQty * (saleFMV - postMergerBasis),
  0
),0))</f>
        <v>0</v>
      </c>
      <c r="BE24" s="337"/>
    </row>
    <row r="25">
      <c r="A25" s="305" t="str">
        <f t="shared" si="6"/>
        <v/>
      </c>
      <c r="B25" s="306"/>
      <c r="C25" s="307"/>
      <c r="D25" s="338"/>
      <c r="E25" s="309" t="str">
        <f t="array" ref="E25">IF(B25&lt;&gt;"", IFERROR(VLOOKUP(B25, SORT(PriceReference!$A$1:$B1006), 2, TRUE), "price unavailable"), "")</f>
        <v/>
      </c>
      <c r="F25" s="309" t="str">
        <f t="array" ref="F25">IF(C25&lt;&gt;"", IFERROR(VLOOKUP(C25, SORT(PriceReference!$A$1:$B1006), 2, TRUE), "price unavailable"), "")</f>
        <v/>
      </c>
      <c r="G25" s="339"/>
      <c r="H25" s="309">
        <f t="shared" si="7"/>
        <v>0</v>
      </c>
      <c r="I25" s="340" t="str">
        <f t="shared" si="21"/>
        <v/>
      </c>
      <c r="J25" s="309">
        <f t="shared" si="8"/>
        <v>0</v>
      </c>
      <c r="K25" s="309" t="str">
        <f t="shared" si="9"/>
        <v/>
      </c>
      <c r="L25" s="311">
        <f t="shared" si="10"/>
        <v>0</v>
      </c>
      <c r="M25" s="341"/>
      <c r="N25" s="348" t="b">
        <v>0</v>
      </c>
      <c r="O25" s="349"/>
      <c r="P25" s="315">
        <v>0.0</v>
      </c>
      <c r="Q25" s="315">
        <v>0.0</v>
      </c>
      <c r="R25" s="315">
        <v>0.0</v>
      </c>
      <c r="S25" s="315">
        <v>0.0</v>
      </c>
      <c r="T25" s="316">
        <v>0.0</v>
      </c>
      <c r="U25" s="317">
        <f t="shared" si="11"/>
        <v>0</v>
      </c>
      <c r="V25" s="317" t="str">
        <f>SWITCH(W25,"cash",Reference!$E$5,"shares",Reference!$E$6,"balance",Reference!$E$7,"pro-rata",Reference!$B$5)</f>
        <v>#DIV/0!</v>
      </c>
      <c r="W25" s="318" t="s">
        <v>207</v>
      </c>
      <c r="X25" s="319">
        <f>LET(numVmwShares,D25, cashRatio,Reference!$B$4, vmwFinalPrice,Reference!$B$3, numVmwShares * cashRatio * vmwFinalPrice)</f>
        <v>0</v>
      </c>
      <c r="Y25" s="319">
        <f>iferror(LET(numVmwShares,$D25, stockRatio,U25, vmwFinalPrice,Reference!$B$3, (1 - stockRatio) * vmwFinalPrice * numVmwShares),0)</f>
        <v>0</v>
      </c>
      <c r="Z25" s="319">
        <f>iferror(LET(numVmwShares,$D25, stockRatio,V25, vmwFinalPrice,Reference!$B$3, (1 - stockRatio) * vmwFinalPrice * numVmwShares),0)</f>
        <v>0</v>
      </c>
      <c r="AA25" s="319">
        <f>SWITCH(Reference!$E$4,"eTradeTransactionLog", X25, "eTradeHoldingRatio", X25, "eTradeLotQtyRatio",Y25, "manualLotRatio", Z25)</f>
        <v>0</v>
      </c>
      <c r="AB25" s="309">
        <f>LET(purchaseDate,C25, dateOfRecord,Reference!$B$26, returnOfCapital,Reference!$C$26, IF(purchaseDate &lt; dateOfRecord, returnOfCapital,0))</f>
        <v>10.18</v>
      </c>
      <c r="AC25" s="309">
        <f>LET(purchaseDate,C25, dateOfRecord,Reference!$B$27, returnOfCapital,Reference!$C$27, IF(purchaseDate &lt; dateOfRecord, returnOfCapital,0))</f>
        <v>16.58</v>
      </c>
      <c r="AD25" s="309">
        <f t="shared" si="12"/>
        <v>-26.76</v>
      </c>
      <c r="AE25" s="309">
        <f t="shared" si="13"/>
        <v>0</v>
      </c>
      <c r="AF25" s="320">
        <f>LET(numVmwShares,D25, stockRatio,Reference!$B$5, vmwToAvgoRatio,Reference!$B$6, numVmwShares * stockRatio * vmwToAvgoRatio)</f>
        <v>0</v>
      </c>
      <c r="AG25" s="320">
        <f>LET(numVmwShares,D25, stockRatio,U25, vmwToAvgoRatio,Reference!$B$6, numVmwShares * stockRatio * vmwToAvgoRatio)</f>
        <v>0</v>
      </c>
      <c r="AH25" s="320" t="str">
        <f>LET(numVmwShares,D25, stockRatio,V25, vmwToAvgoRatio,Reference!$B$6, numVmwShares * stockRatio * vmwToAvgoRatio)</f>
        <v>#DIV/0!</v>
      </c>
      <c r="AI25" s="320">
        <f>SWITCH(Reference!$E$4,"eTradeTransactionLog", AF25, "eTradeHoldingRatio", AF25, "eTradeLotQtyRatio",AG25, "manualLotRatio", AH25)</f>
        <v>0</v>
      </c>
      <c r="AJ25" s="321">
        <f>LET(numVmwShares,D25, vmwBasis,AD25, avgoQty,AI25, avgoFMV,Reference!$B$18, cashReceived,AA25, gain,cashReceived+(avgoQty*avgoFMV)-(numVmwShares*vmwBasis),
MAX(gain,0))</f>
        <v>0</v>
      </c>
      <c r="AK25" s="322">
        <f>LET(useForFraction,N25, fractionAmount,Summary!$C$41, esppFractionLots,$N$5, rsuFractionLots,RSU!J$5, IF(useForFraction, fractionAmount / (esppFractionLots+rsuFractionLots), 0))</f>
        <v>0</v>
      </c>
      <c r="AL25" s="323">
        <f>LET(useForFraction,N25, fractionSaleFMV,Reference!$B$23, postMergerBasis,AY25, lotFractionAmount,AK25, IF(useForFraction, (fractionSaleFMV - postMergerBasis)*lotFractionAmount, 0))</f>
        <v>0</v>
      </c>
      <c r="AM25" s="324">
        <f t="shared" si="14"/>
        <v>0</v>
      </c>
      <c r="AN25" s="325">
        <f>LET(
imputedIncome,BB25,
avgoQty,AI25, 
perAvgoIncome, iferror(imputedIncome/avgoQty,0),
purchaseDate,C25,
mergerDate,Reference!$B$28,
lotFractionAmount,AK25,
lotFractionGain,AL25,
mergerGain,AM25,
shortTermGain,IF(DATEDIF(purchaseDate,mergerDate,"Y")&gt;=1,
  0,
  lotFractionGain + mergerGain
),
incomeOnFraction,perAvgoIncome*lotFractionAmount, 
shortTermGain + incomeOnFraction + IF(avgoQty=0,imputedIncome-incomeOnFraction,0))</f>
        <v>0</v>
      </c>
      <c r="AO25" s="325">
        <f>LET(
purchaseDate,C25,
mergerDate,Reference!$B$28,
lotFractionGain,AL25,
mergerGain,AM25,
IF(DATEDIF(purchaseDate,mergerDate,"Y")&gt;=1,
  lotFractionGain+mergerGain,
  0
))</f>
        <v>0</v>
      </c>
      <c r="AP25" s="343" t="str">
        <f>IF(DATEDIF(L25,Reference!$B$28,"Y")&gt;=1,"Part II Box D","Part I Box A")</f>
        <v>Part II Box D</v>
      </c>
      <c r="AQ25" s="344" t="str">
        <f t="shared" si="15"/>
        <v/>
      </c>
      <c r="AR25" s="330">
        <f t="shared" si="16"/>
        <v>0</v>
      </c>
      <c r="AS25" s="330">
        <f>LET(
cashReceived,AA25, 
avgoQty,AI25, 
proceedsStyle,Reference!$E$9, 
avgoFMV,Reference!$B$18, 
SWITCH(proceedsStyle, "combined", cashReceived +(avgoQty*avgoFMV), "cashOnly", cashReceived))</f>
        <v>0</v>
      </c>
      <c r="AT25" s="345">
        <f t="shared" si="17"/>
        <v>0</v>
      </c>
      <c r="AU25" s="345" t="str">
        <f t="shared" si="18"/>
        <v/>
      </c>
      <c r="AV25" s="330">
        <f>LET(
proceedsStyle,Reference!$E$9,
proceeds,AS25,
gain,AW25,
numVmwShares,D25, 
vmwBasis, AD25, 
avgoQty,AI25, 
avgoFMV,Reference!$B$18, 
cashReceived,AA25, 
avgoTotalValue, avgoFMV*avgoQty, 
vmwTotalBasis, vmwBasis*numVmwShares,
alternateGainAmount,AJ25, 
basis1099B, AT25,
SWITCH(proceedsStyle,
  "cashOnly",
    proceeds - gain,
  "combined",
    basis1099B - IF(cashReceived&lt;alternateGainAmount,
      avgoTotalValue,
      vmwTotalBasis
  )
))</f>
        <v>0</v>
      </c>
      <c r="AW25" s="331">
        <f>LET(proceedsStyle,Reference!$E$9, proceeds,AS25, basis1099B, AT25, adjustment,AV25, SWITCH(proceedsStyle, "cashOnly", AM25, "combined", MAX(proceeds - basis1099B + adjustment, 0)))</f>
        <v>0</v>
      </c>
      <c r="AX25" s="332" t="str">
        <f t="shared" si="19"/>
        <v>n/a</v>
      </c>
      <c r="AY25" s="332" t="str">
        <f t="shared" si="20"/>
        <v>n/a</v>
      </c>
      <c r="AZ25" s="333">
        <f>LET(saleFMV,Reference!$B$10, postMergerBasis,AY25, avgoQty,AI25, lotFractionAmount,AK25, iferror((saleFMV - postMergerBasis) * (avgoQty - lotFractionAmount), 0))</f>
        <v>0</v>
      </c>
      <c r="BA25" s="334" t="b">
        <f>LET(grantDate,B25, postMergerSaleDate,Reference!$B$29, purchaseBeginDate,A25, AND(DATEDIF(grantDate,postMergerSaleDate,"Y")&gt;=1, DATEDIF(purchaseBeginDate, postMergerSaleDate, "Y")&gt;=2))</f>
        <v>1</v>
      </c>
      <c r="BB25" s="333">
        <f>LET(
vmwBasis,AD25,
numVmwShares,D25,
cashReceived,AA25,
gainRecognized,AM25,
pureAvgoBasis,IFERROR((vmwBasis - (cashReceived + gainRecognized)/numVmwShares),0),
isQualified,BA25,
saleFMV,Reference!$B$10,
actualPrice,L25,
purchaseDateFMV,F25,
grantDateFMV,E25,
gainFromSale,(saleFMV - pureAvgoBasis),
disqualifiedIncome,(purchaseDateFMV - actualPrice),
qualifiedIncome,MIN(
   gainFromSale,
   (0.15 * grantDateFMV)),
income,IF(isQualified,
   qualifiedIncome,
   disqualifiedIncome),
numVmwShares * income)</f>
        <v>0</v>
      </c>
      <c r="BC25" s="335">
        <f>LET(
avgoQty,AI25, 
purchaseDate,C25,
postMergerSaleDate,Reference!$B$29,
saleFMV,Reference!$B$10,
postMergerBasis,AY25, 
IF(DATEDIF(purchaseDate,postMergerSaleDate,"Y")&gt;=1,
  0,
  avgoQty * (saleFMV - postMergerBasis)
))</f>
        <v>0</v>
      </c>
      <c r="BD25" s="336">
        <f>LET(
avgoQty,AI25, 
purchaseDate,C25,
postMergerSaleDate,Reference!$B$29,
saleFMV,Reference!$B$10,
postMergerBasis,AY25, 
IFERROR(IF(DATEDIF(purchaseDate,postMergerSaleDate,"Y")&gt;=1,
  avgoQty * (saleFMV - postMergerBasis),
  0
),0))</f>
        <v>0</v>
      </c>
      <c r="BE25" s="337"/>
    </row>
    <row r="26">
      <c r="A26" s="305" t="str">
        <f t="shared" si="6"/>
        <v/>
      </c>
      <c r="B26" s="306"/>
      <c r="C26" s="307"/>
      <c r="D26" s="338"/>
      <c r="E26" s="309" t="str">
        <f t="array" ref="E26">IF(B26&lt;&gt;"", IFERROR(VLOOKUP(B26, SORT(PriceReference!$A$1:$B1006), 2, TRUE), "price unavailable"), "")</f>
        <v/>
      </c>
      <c r="F26" s="309" t="str">
        <f t="array" ref="F26">IF(C26&lt;&gt;"", IFERROR(VLOOKUP(C26, SORT(PriceReference!$A$1:$B1006), 2, TRUE), "price unavailable"), "")</f>
        <v/>
      </c>
      <c r="G26" s="339"/>
      <c r="H26" s="309">
        <f t="shared" si="7"/>
        <v>0</v>
      </c>
      <c r="I26" s="340" t="str">
        <f t="shared" si="21"/>
        <v/>
      </c>
      <c r="J26" s="309">
        <f t="shared" si="8"/>
        <v>0</v>
      </c>
      <c r="K26" s="309" t="str">
        <f t="shared" si="9"/>
        <v/>
      </c>
      <c r="L26" s="311">
        <f t="shared" si="10"/>
        <v>0</v>
      </c>
      <c r="M26" s="341"/>
      <c r="N26" s="348" t="b">
        <v>0</v>
      </c>
      <c r="O26" s="349"/>
      <c r="P26" s="315">
        <v>0.0</v>
      </c>
      <c r="Q26" s="315">
        <v>0.0</v>
      </c>
      <c r="R26" s="315">
        <v>0.0</v>
      </c>
      <c r="S26" s="315">
        <v>0.0</v>
      </c>
      <c r="T26" s="316">
        <v>0.0</v>
      </c>
      <c r="U26" s="317">
        <f t="shared" si="11"/>
        <v>0</v>
      </c>
      <c r="V26" s="317" t="str">
        <f>SWITCH(W26,"cash",Reference!$E$5,"shares",Reference!$E$6,"balance",Reference!$E$7,"pro-rata",Reference!$B$5)</f>
        <v>#DIV/0!</v>
      </c>
      <c r="W26" s="318" t="s">
        <v>207</v>
      </c>
      <c r="X26" s="319">
        <f>LET(numVmwShares,D26, cashRatio,Reference!$B$4, vmwFinalPrice,Reference!$B$3, numVmwShares * cashRatio * vmwFinalPrice)</f>
        <v>0</v>
      </c>
      <c r="Y26" s="319">
        <f>iferror(LET(numVmwShares,$D26, stockRatio,U26, vmwFinalPrice,Reference!$B$3, (1 - stockRatio) * vmwFinalPrice * numVmwShares),0)</f>
        <v>0</v>
      </c>
      <c r="Z26" s="319">
        <f>iferror(LET(numVmwShares,$D26, stockRatio,V26, vmwFinalPrice,Reference!$B$3, (1 - stockRatio) * vmwFinalPrice * numVmwShares),0)</f>
        <v>0</v>
      </c>
      <c r="AA26" s="319">
        <f>SWITCH(Reference!$E$4,"eTradeTransactionLog", X26, "eTradeHoldingRatio", X26, "eTradeLotQtyRatio",Y26, "manualLotRatio", Z26)</f>
        <v>0</v>
      </c>
      <c r="AB26" s="309">
        <f>LET(purchaseDate,C26, dateOfRecord,Reference!$B$26, returnOfCapital,Reference!$C$26, IF(purchaseDate &lt; dateOfRecord, returnOfCapital,0))</f>
        <v>10.18</v>
      </c>
      <c r="AC26" s="309">
        <f>LET(purchaseDate,C26, dateOfRecord,Reference!$B$27, returnOfCapital,Reference!$C$27, IF(purchaseDate &lt; dateOfRecord, returnOfCapital,0))</f>
        <v>16.58</v>
      </c>
      <c r="AD26" s="309">
        <f t="shared" si="12"/>
        <v>-26.76</v>
      </c>
      <c r="AE26" s="309">
        <f t="shared" si="13"/>
        <v>0</v>
      </c>
      <c r="AF26" s="320">
        <f>LET(numVmwShares,D26, stockRatio,Reference!$B$5, vmwToAvgoRatio,Reference!$B$6, numVmwShares * stockRatio * vmwToAvgoRatio)</f>
        <v>0</v>
      </c>
      <c r="AG26" s="320">
        <f>LET(numVmwShares,D26, stockRatio,U26, vmwToAvgoRatio,Reference!$B$6, numVmwShares * stockRatio * vmwToAvgoRatio)</f>
        <v>0</v>
      </c>
      <c r="AH26" s="320" t="str">
        <f>LET(numVmwShares,D26, stockRatio,V26, vmwToAvgoRatio,Reference!$B$6, numVmwShares * stockRatio * vmwToAvgoRatio)</f>
        <v>#DIV/0!</v>
      </c>
      <c r="AI26" s="320">
        <f>SWITCH(Reference!$E$4,"eTradeTransactionLog", AF26, "eTradeHoldingRatio", AF26, "eTradeLotQtyRatio",AG26, "manualLotRatio", AH26)</f>
        <v>0</v>
      </c>
      <c r="AJ26" s="321">
        <f>LET(numVmwShares,D26, vmwBasis,AD26, avgoQty,AI26, avgoFMV,Reference!$B$18, cashReceived,AA26, gain,cashReceived+(avgoQty*avgoFMV)-(numVmwShares*vmwBasis),
MAX(gain,0))</f>
        <v>0</v>
      </c>
      <c r="AK26" s="322">
        <f>LET(useForFraction,N26, fractionAmount,Summary!$C$41, esppFractionLots,$N$5, rsuFractionLots,RSU!J$5, IF(useForFraction, fractionAmount / (esppFractionLots+rsuFractionLots), 0))</f>
        <v>0</v>
      </c>
      <c r="AL26" s="323">
        <f>LET(useForFraction,N26, fractionSaleFMV,Reference!$B$23, postMergerBasis,AY26, lotFractionAmount,AK26, IF(useForFraction, (fractionSaleFMV - postMergerBasis)*lotFractionAmount, 0))</f>
        <v>0</v>
      </c>
      <c r="AM26" s="324">
        <f t="shared" si="14"/>
        <v>0</v>
      </c>
      <c r="AN26" s="325">
        <f>LET(
imputedIncome,BB26,
avgoQty,AI26, 
perAvgoIncome, iferror(imputedIncome/avgoQty,0),
purchaseDate,C26,
mergerDate,Reference!$B$28,
lotFractionAmount,AK26,
lotFractionGain,AL26,
mergerGain,AM26,
shortTermGain,IF(DATEDIF(purchaseDate,mergerDate,"Y")&gt;=1,
  0,
  lotFractionGain + mergerGain
),
incomeOnFraction,perAvgoIncome*lotFractionAmount, 
shortTermGain + incomeOnFraction + IF(avgoQty=0,imputedIncome-incomeOnFraction,0))</f>
        <v>0</v>
      </c>
      <c r="AO26" s="325">
        <f>LET(
purchaseDate,C26,
mergerDate,Reference!$B$28,
lotFractionGain,AL26,
mergerGain,AM26,
IF(DATEDIF(purchaseDate,mergerDate,"Y")&gt;=1,
  lotFractionGain+mergerGain,
  0
))</f>
        <v>0</v>
      </c>
      <c r="AP26" s="343" t="str">
        <f>IF(DATEDIF(L26,Reference!$B$28,"Y")&gt;=1,"Part II Box D","Part I Box A")</f>
        <v>Part II Box D</v>
      </c>
      <c r="AQ26" s="344" t="str">
        <f t="shared" si="15"/>
        <v/>
      </c>
      <c r="AR26" s="330">
        <f t="shared" si="16"/>
        <v>0</v>
      </c>
      <c r="AS26" s="330">
        <f>LET(
cashReceived,AA26, 
avgoQty,AI26, 
proceedsStyle,Reference!$E$9, 
avgoFMV,Reference!$B$18, 
SWITCH(proceedsStyle, "combined", cashReceived +(avgoQty*avgoFMV), "cashOnly", cashReceived))</f>
        <v>0</v>
      </c>
      <c r="AT26" s="345">
        <f t="shared" si="17"/>
        <v>0</v>
      </c>
      <c r="AU26" s="345" t="str">
        <f t="shared" si="18"/>
        <v/>
      </c>
      <c r="AV26" s="330">
        <f>LET(
proceedsStyle,Reference!$E$9,
proceeds,AS26,
gain,AW26,
numVmwShares,D26, 
vmwBasis, AD26, 
avgoQty,AI26, 
avgoFMV,Reference!$B$18, 
cashReceived,AA26, 
avgoTotalValue, avgoFMV*avgoQty, 
vmwTotalBasis, vmwBasis*numVmwShares,
alternateGainAmount,AJ26, 
basis1099B, AT26,
SWITCH(proceedsStyle,
  "cashOnly",
    proceeds - gain,
  "combined",
    basis1099B - IF(cashReceived&lt;alternateGainAmount,
      avgoTotalValue,
      vmwTotalBasis
  )
))</f>
        <v>0</v>
      </c>
      <c r="AW26" s="331">
        <f>LET(proceedsStyle,Reference!$E$9, proceeds,AS26, basis1099B, AT26, adjustment,AV26, SWITCH(proceedsStyle, "cashOnly", AM26, "combined", MAX(proceeds - basis1099B + adjustment, 0)))</f>
        <v>0</v>
      </c>
      <c r="AX26" s="332" t="str">
        <f t="shared" si="19"/>
        <v>n/a</v>
      </c>
      <c r="AY26" s="332" t="str">
        <f t="shared" si="20"/>
        <v>n/a</v>
      </c>
      <c r="AZ26" s="333">
        <f>LET(saleFMV,Reference!$B$10, postMergerBasis,AY26, avgoQty,AI26, lotFractionAmount,AK26, iferror((saleFMV - postMergerBasis) * (avgoQty - lotFractionAmount), 0))</f>
        <v>0</v>
      </c>
      <c r="BA26" s="334" t="b">
        <f>LET(grantDate,B26, postMergerSaleDate,Reference!$B$29, purchaseBeginDate,A26, AND(DATEDIF(grantDate,postMergerSaleDate,"Y")&gt;=1, DATEDIF(purchaseBeginDate, postMergerSaleDate, "Y")&gt;=2))</f>
        <v>1</v>
      </c>
      <c r="BB26" s="333">
        <f>LET(
vmwBasis,AD26,
numVmwShares,D26,
cashReceived,AA26,
gainRecognized,AM26,
pureAvgoBasis,IFERROR((vmwBasis - (cashReceived + gainRecognized)/numVmwShares),0),
isQualified,BA26,
saleFMV,Reference!$B$10,
actualPrice,L26,
purchaseDateFMV,F26,
grantDateFMV,E26,
gainFromSale,(saleFMV - pureAvgoBasis),
disqualifiedIncome,(purchaseDateFMV - actualPrice),
qualifiedIncome,MIN(
   gainFromSale,
   (0.15 * grantDateFMV)),
income,IF(isQualified,
   qualifiedIncome,
   disqualifiedIncome),
numVmwShares * income)</f>
        <v>0</v>
      </c>
      <c r="BC26" s="335">
        <f>LET(
avgoQty,AI26, 
purchaseDate,C26,
postMergerSaleDate,Reference!$B$29,
saleFMV,Reference!$B$10,
postMergerBasis,AY26, 
IF(DATEDIF(purchaseDate,postMergerSaleDate,"Y")&gt;=1,
  0,
  avgoQty * (saleFMV - postMergerBasis)
))</f>
        <v>0</v>
      </c>
      <c r="BD26" s="336">
        <f>LET(
avgoQty,AI26, 
purchaseDate,C26,
postMergerSaleDate,Reference!$B$29,
saleFMV,Reference!$B$10,
postMergerBasis,AY26, 
IFERROR(IF(DATEDIF(purchaseDate,postMergerSaleDate,"Y")&gt;=1,
  avgoQty * (saleFMV - postMergerBasis),
  0
),0))</f>
        <v>0</v>
      </c>
      <c r="BE26" s="337"/>
    </row>
    <row r="27">
      <c r="A27" s="305" t="str">
        <f t="shared" si="6"/>
        <v/>
      </c>
      <c r="B27" s="350"/>
      <c r="C27" s="351"/>
      <c r="D27" s="352"/>
      <c r="E27" s="309" t="str">
        <f t="array" ref="E27">IF(B27&lt;&gt;"", IFERROR(VLOOKUP(B27, SORT(PriceReference!$A$1:$B1006), 2, TRUE), "price unavailable"), "")</f>
        <v/>
      </c>
      <c r="F27" s="309" t="str">
        <f t="array" ref="F27">IF(C27&lt;&gt;"", IFERROR(VLOOKUP(C27, SORT(PriceReference!$A$1:$B1006), 2, TRUE), "price unavailable"), "")</f>
        <v/>
      </c>
      <c r="G27" s="122"/>
      <c r="H27" s="309">
        <f t="shared" si="7"/>
        <v>0</v>
      </c>
      <c r="I27" s="340" t="str">
        <f t="shared" si="21"/>
        <v/>
      </c>
      <c r="J27" s="309">
        <f t="shared" si="8"/>
        <v>0</v>
      </c>
      <c r="K27" s="309" t="str">
        <f t="shared" si="9"/>
        <v/>
      </c>
      <c r="L27" s="311">
        <f t="shared" si="10"/>
        <v>0</v>
      </c>
      <c r="M27" s="341"/>
      <c r="N27" s="348" t="b">
        <v>0</v>
      </c>
      <c r="O27" s="349"/>
      <c r="P27" s="315">
        <v>0.0</v>
      </c>
      <c r="Q27" s="315">
        <v>0.0</v>
      </c>
      <c r="R27" s="315">
        <v>0.0</v>
      </c>
      <c r="S27" s="315">
        <v>0.0</v>
      </c>
      <c r="T27" s="316">
        <v>0.0</v>
      </c>
      <c r="U27" s="317">
        <f t="shared" si="11"/>
        <v>0</v>
      </c>
      <c r="V27" s="317" t="str">
        <f>SWITCH(W27,"cash",Reference!$E$5,"shares",Reference!$E$6,"balance",Reference!$E$7,"pro-rata",Reference!$B$5)</f>
        <v>#DIV/0!</v>
      </c>
      <c r="W27" s="318" t="s">
        <v>207</v>
      </c>
      <c r="X27" s="319">
        <f>LET(numVmwShares,D27, cashRatio,Reference!$B$4, vmwFinalPrice,Reference!$B$3, numVmwShares * cashRatio * vmwFinalPrice)</f>
        <v>0</v>
      </c>
      <c r="Y27" s="319">
        <f>iferror(LET(numVmwShares,$D27, stockRatio,U27, vmwFinalPrice,Reference!$B$3, (1 - stockRatio) * vmwFinalPrice * numVmwShares),0)</f>
        <v>0</v>
      </c>
      <c r="Z27" s="319">
        <f>iferror(LET(numVmwShares,$D27, stockRatio,V27, vmwFinalPrice,Reference!$B$3, (1 - stockRatio) * vmwFinalPrice * numVmwShares),0)</f>
        <v>0</v>
      </c>
      <c r="AA27" s="319">
        <f>SWITCH(Reference!$E$4,"eTradeTransactionLog", X27, "eTradeHoldingRatio", X27, "eTradeLotQtyRatio",Y27, "manualLotRatio", Z27)</f>
        <v>0</v>
      </c>
      <c r="AB27" s="309">
        <f>LET(purchaseDate,C27, dateOfRecord,Reference!$B$26, returnOfCapital,Reference!$C$26, IF(purchaseDate &lt; dateOfRecord, returnOfCapital,0))</f>
        <v>10.18</v>
      </c>
      <c r="AC27" s="309">
        <f>LET(purchaseDate,C27, dateOfRecord,Reference!$B$27, returnOfCapital,Reference!$C$27, IF(purchaseDate &lt; dateOfRecord, returnOfCapital,0))</f>
        <v>16.58</v>
      </c>
      <c r="AD27" s="309">
        <f t="shared" si="12"/>
        <v>-26.76</v>
      </c>
      <c r="AE27" s="309">
        <f t="shared" si="13"/>
        <v>0</v>
      </c>
      <c r="AF27" s="320">
        <f>LET(numVmwShares,D27, stockRatio,Reference!$B$5, vmwToAvgoRatio,Reference!$B$6, numVmwShares * stockRatio * vmwToAvgoRatio)</f>
        <v>0</v>
      </c>
      <c r="AG27" s="320">
        <f>LET(numVmwShares,D27, stockRatio,U27, vmwToAvgoRatio,Reference!$B$6, numVmwShares * stockRatio * vmwToAvgoRatio)</f>
        <v>0</v>
      </c>
      <c r="AH27" s="320" t="str">
        <f>LET(numVmwShares,D27, stockRatio,V27, vmwToAvgoRatio,Reference!$B$6, numVmwShares * stockRatio * vmwToAvgoRatio)</f>
        <v>#DIV/0!</v>
      </c>
      <c r="AI27" s="320">
        <f>SWITCH(Reference!$E$4,"eTradeTransactionLog", AF27, "eTradeHoldingRatio", AF27, "eTradeLotQtyRatio",AG27, "manualLotRatio", AH27)</f>
        <v>0</v>
      </c>
      <c r="AJ27" s="321">
        <f>LET(numVmwShares,D27, vmwBasis,AD27, avgoQty,AI27, avgoFMV,Reference!$B$18, cashReceived,AA27, gain,cashReceived+(avgoQty*avgoFMV)-(numVmwShares*vmwBasis),
MAX(gain,0))</f>
        <v>0</v>
      </c>
      <c r="AK27" s="322">
        <f>LET(useForFraction,N27, fractionAmount,Summary!$C$41, esppFractionLots,$N$5, rsuFractionLots,RSU!J$5, IF(useForFraction, fractionAmount / (esppFractionLots+rsuFractionLots), 0))</f>
        <v>0</v>
      </c>
      <c r="AL27" s="323">
        <f>LET(useForFraction,N27, fractionSaleFMV,Reference!$B$23, postMergerBasis,AY27, lotFractionAmount,AK27, IF(useForFraction, (fractionSaleFMV - postMergerBasis)*lotFractionAmount, 0))</f>
        <v>0</v>
      </c>
      <c r="AM27" s="324">
        <f t="shared" si="14"/>
        <v>0</v>
      </c>
      <c r="AN27" s="325">
        <f>LET(
imputedIncome,BB27,
avgoQty,AI27, 
perAvgoIncome, iferror(imputedIncome/avgoQty,0),
purchaseDate,C27,
mergerDate,Reference!$B$28,
lotFractionAmount,AK27,
lotFractionGain,AL27,
mergerGain,AM27,
shortTermGain,IF(DATEDIF(purchaseDate,mergerDate,"Y")&gt;=1,
  0,
  lotFractionGain + mergerGain
),
incomeOnFraction,perAvgoIncome*lotFractionAmount, 
shortTermGain + incomeOnFraction + IF(avgoQty=0,imputedIncome-incomeOnFraction,0))</f>
        <v>0</v>
      </c>
      <c r="AO27" s="325">
        <f>LET(
purchaseDate,C27,
mergerDate,Reference!$B$28,
lotFractionGain,AL27,
mergerGain,AM27,
IF(DATEDIF(purchaseDate,mergerDate,"Y")&gt;=1,
  lotFractionGain+mergerGain,
  0
))</f>
        <v>0</v>
      </c>
      <c r="AP27" s="343" t="str">
        <f>IF(DATEDIF(L27,Reference!$B$28,"Y")&gt;=1,"Part II Box D","Part I Box A")</f>
        <v>Part II Box D</v>
      </c>
      <c r="AQ27" s="344" t="str">
        <f t="shared" si="15"/>
        <v/>
      </c>
      <c r="AR27" s="330">
        <f t="shared" si="16"/>
        <v>0</v>
      </c>
      <c r="AS27" s="330">
        <f>LET(
cashReceived,AA27, 
avgoQty,AI27, 
proceedsStyle,Reference!$E$9, 
avgoFMV,Reference!$B$18, 
SWITCH(proceedsStyle, "combined", cashReceived +(avgoQty*avgoFMV), "cashOnly", cashReceived))</f>
        <v>0</v>
      </c>
      <c r="AT27" s="345">
        <f t="shared" si="17"/>
        <v>0</v>
      </c>
      <c r="AU27" s="345" t="str">
        <f t="shared" si="18"/>
        <v/>
      </c>
      <c r="AV27" s="330">
        <f>LET(
proceedsStyle,Reference!$E$9,
proceeds,AS27,
gain,AW27,
numVmwShares,D27, 
vmwBasis, AD27, 
avgoQty,AI27, 
avgoFMV,Reference!$B$18, 
cashReceived,AA27, 
avgoTotalValue, avgoFMV*avgoQty, 
vmwTotalBasis, vmwBasis*numVmwShares,
alternateGainAmount,AJ27, 
basis1099B, AT27,
SWITCH(proceedsStyle,
  "cashOnly",
    proceeds - gain,
  "combined",
    basis1099B - IF(cashReceived&lt;alternateGainAmount,
      avgoTotalValue,
      vmwTotalBasis
  )
))</f>
        <v>0</v>
      </c>
      <c r="AW27" s="331">
        <f>LET(proceedsStyle,Reference!$E$9, proceeds,AS27, basis1099B, AT27, adjustment,AV27, SWITCH(proceedsStyle, "cashOnly", AM27, "combined", MAX(proceeds - basis1099B + adjustment, 0)))</f>
        <v>0</v>
      </c>
      <c r="AX27" s="332" t="str">
        <f t="shared" si="19"/>
        <v>n/a</v>
      </c>
      <c r="AY27" s="332" t="str">
        <f t="shared" si="20"/>
        <v>n/a</v>
      </c>
      <c r="AZ27" s="333">
        <f>LET(saleFMV,Reference!$B$10, postMergerBasis,AY27, avgoQty,AI27, lotFractionAmount,AK27, iferror((saleFMV - postMergerBasis) * (avgoQty - lotFractionAmount), 0))</f>
        <v>0</v>
      </c>
      <c r="BA27" s="334" t="b">
        <f>LET(grantDate,B27, postMergerSaleDate,Reference!$B$29, purchaseBeginDate,A27, AND(DATEDIF(grantDate,postMergerSaleDate,"Y")&gt;=1, DATEDIF(purchaseBeginDate, postMergerSaleDate, "Y")&gt;=2))</f>
        <v>1</v>
      </c>
      <c r="BB27" s="333">
        <f>LET(
vmwBasis,AD27,
numVmwShares,D27,
cashReceived,AA27,
gainRecognized,AM27,
pureAvgoBasis,IFERROR((vmwBasis - (cashReceived + gainRecognized)/numVmwShares),0),
isQualified,BA27,
saleFMV,Reference!$B$10,
actualPrice,L27,
purchaseDateFMV,F27,
grantDateFMV,E27,
gainFromSale,(saleFMV - pureAvgoBasis),
disqualifiedIncome,(purchaseDateFMV - actualPrice),
qualifiedIncome,MIN(
   gainFromSale,
   (0.15 * grantDateFMV)),
income,IF(isQualified,
   qualifiedIncome,
   disqualifiedIncome),
numVmwShares * income)</f>
        <v>0</v>
      </c>
      <c r="BC27" s="335">
        <f>LET(
avgoQty,AI27, 
purchaseDate,C27,
postMergerSaleDate,Reference!$B$29,
saleFMV,Reference!$B$10,
postMergerBasis,AY27, 
IF(DATEDIF(purchaseDate,postMergerSaleDate,"Y")&gt;=1,
  0,
  avgoQty * (saleFMV - postMergerBasis)
))</f>
        <v>0</v>
      </c>
      <c r="BD27" s="336">
        <f>LET(
avgoQty,AI27, 
purchaseDate,C27,
postMergerSaleDate,Reference!$B$29,
saleFMV,Reference!$B$10,
postMergerBasis,AY27, 
IFERROR(IF(DATEDIF(purchaseDate,postMergerSaleDate,"Y")&gt;=1,
  avgoQty * (saleFMV - postMergerBasis),
  0
),0))</f>
        <v>0</v>
      </c>
      <c r="BE27" s="337"/>
    </row>
    <row r="28">
      <c r="A28" s="305" t="str">
        <f t="shared" si="6"/>
        <v/>
      </c>
      <c r="B28" s="350"/>
      <c r="C28" s="351"/>
      <c r="D28" s="352"/>
      <c r="E28" s="309" t="str">
        <f t="array" ref="E28">IF(B28&lt;&gt;"", IFERROR(VLOOKUP(B28, SORT(PriceReference!$A$1:$B1006), 2, TRUE), "price unavailable"), "")</f>
        <v/>
      </c>
      <c r="F28" s="309" t="str">
        <f t="array" ref="F28">IF(C28&lt;&gt;"", IFERROR(VLOOKUP(C28, SORT(PriceReference!$A$1:$B1006), 2, TRUE), "price unavailable"), "")</f>
        <v/>
      </c>
      <c r="G28" s="122"/>
      <c r="H28" s="309">
        <f t="shared" si="7"/>
        <v>0</v>
      </c>
      <c r="I28" s="340" t="str">
        <f t="shared" si="21"/>
        <v/>
      </c>
      <c r="J28" s="309">
        <f t="shared" si="8"/>
        <v>0</v>
      </c>
      <c r="K28" s="309" t="str">
        <f t="shared" si="9"/>
        <v/>
      </c>
      <c r="L28" s="311">
        <f t="shared" si="10"/>
        <v>0</v>
      </c>
      <c r="M28" s="341"/>
      <c r="N28" s="348" t="b">
        <v>0</v>
      </c>
      <c r="O28" s="349"/>
      <c r="P28" s="315">
        <v>0.0</v>
      </c>
      <c r="Q28" s="315">
        <v>0.0</v>
      </c>
      <c r="R28" s="315">
        <v>0.0</v>
      </c>
      <c r="S28" s="315">
        <v>0.0</v>
      </c>
      <c r="T28" s="316">
        <v>0.0</v>
      </c>
      <c r="U28" s="317">
        <f t="shared" si="11"/>
        <v>0</v>
      </c>
      <c r="V28" s="317" t="str">
        <f>SWITCH(W28,"cash",Reference!$E$5,"shares",Reference!$E$6,"balance",Reference!$E$7,"pro-rata",Reference!$B$5)</f>
        <v>#DIV/0!</v>
      </c>
      <c r="W28" s="318" t="s">
        <v>207</v>
      </c>
      <c r="X28" s="319">
        <f>LET(numVmwShares,D28, cashRatio,Reference!$B$4, vmwFinalPrice,Reference!$B$3, numVmwShares * cashRatio * vmwFinalPrice)</f>
        <v>0</v>
      </c>
      <c r="Y28" s="319">
        <f>iferror(LET(numVmwShares,$D28, stockRatio,U28, vmwFinalPrice,Reference!$B$3, (1 - stockRatio) * vmwFinalPrice * numVmwShares),0)</f>
        <v>0</v>
      </c>
      <c r="Z28" s="319">
        <f>iferror(LET(numVmwShares,$D28, stockRatio,V28, vmwFinalPrice,Reference!$B$3, (1 - stockRatio) * vmwFinalPrice * numVmwShares),0)</f>
        <v>0</v>
      </c>
      <c r="AA28" s="319">
        <f>SWITCH(Reference!$E$4,"eTradeTransactionLog", X28, "eTradeHoldingRatio", X28, "eTradeLotQtyRatio",Y28, "manualLotRatio", Z28)</f>
        <v>0</v>
      </c>
      <c r="AB28" s="309">
        <f>LET(purchaseDate,C28, dateOfRecord,Reference!$B$26, returnOfCapital,Reference!$C$26, IF(purchaseDate &lt; dateOfRecord, returnOfCapital,0))</f>
        <v>10.18</v>
      </c>
      <c r="AC28" s="309">
        <f>LET(purchaseDate,C28, dateOfRecord,Reference!$B$27, returnOfCapital,Reference!$C$27, IF(purchaseDate &lt; dateOfRecord, returnOfCapital,0))</f>
        <v>16.58</v>
      </c>
      <c r="AD28" s="309">
        <f t="shared" si="12"/>
        <v>-26.76</v>
      </c>
      <c r="AE28" s="309">
        <f t="shared" si="13"/>
        <v>0</v>
      </c>
      <c r="AF28" s="320">
        <f>LET(numVmwShares,D28, stockRatio,Reference!$B$5, vmwToAvgoRatio,Reference!$B$6, numVmwShares * stockRatio * vmwToAvgoRatio)</f>
        <v>0</v>
      </c>
      <c r="AG28" s="320">
        <f>LET(numVmwShares,D28, stockRatio,U28, vmwToAvgoRatio,Reference!$B$6, numVmwShares * stockRatio * vmwToAvgoRatio)</f>
        <v>0</v>
      </c>
      <c r="AH28" s="320" t="str">
        <f>LET(numVmwShares,D28, stockRatio,V28, vmwToAvgoRatio,Reference!$B$6, numVmwShares * stockRatio * vmwToAvgoRatio)</f>
        <v>#DIV/0!</v>
      </c>
      <c r="AI28" s="320">
        <f>SWITCH(Reference!$E$4,"eTradeTransactionLog", AF28, "eTradeHoldingRatio", AF28, "eTradeLotQtyRatio",AG28, "manualLotRatio", AH28)</f>
        <v>0</v>
      </c>
      <c r="AJ28" s="321">
        <f>LET(numVmwShares,D28, vmwBasis,AD28, avgoQty,AI28, avgoFMV,Reference!$B$18, cashReceived,AA28, gain,cashReceived+(avgoQty*avgoFMV)-(numVmwShares*vmwBasis),
MAX(gain,0))</f>
        <v>0</v>
      </c>
      <c r="AK28" s="322">
        <f>LET(useForFraction,N28, fractionAmount,Summary!$C$41, esppFractionLots,$N$5, rsuFractionLots,RSU!J$5, IF(useForFraction, fractionAmount / (esppFractionLots+rsuFractionLots), 0))</f>
        <v>0</v>
      </c>
      <c r="AL28" s="323">
        <f>LET(useForFraction,N28, fractionSaleFMV,Reference!$B$23, postMergerBasis,AY28, lotFractionAmount,AK28, IF(useForFraction, (fractionSaleFMV - postMergerBasis)*lotFractionAmount, 0))</f>
        <v>0</v>
      </c>
      <c r="AM28" s="324">
        <f t="shared" si="14"/>
        <v>0</v>
      </c>
      <c r="AN28" s="325">
        <f>LET(
imputedIncome,BB28,
avgoQty,AI28, 
perAvgoIncome, iferror(imputedIncome/avgoQty,0),
purchaseDate,C28,
mergerDate,Reference!$B$28,
lotFractionAmount,AK28,
lotFractionGain,AL28,
mergerGain,AM28,
shortTermGain,IF(DATEDIF(purchaseDate,mergerDate,"Y")&gt;=1,
  0,
  lotFractionGain + mergerGain
),
incomeOnFraction,perAvgoIncome*lotFractionAmount, 
shortTermGain + incomeOnFraction + IF(avgoQty=0,imputedIncome-incomeOnFraction,0))</f>
        <v>0</v>
      </c>
      <c r="AO28" s="325">
        <f>LET(
purchaseDate,C28,
mergerDate,Reference!$B$28,
lotFractionGain,AL28,
mergerGain,AM28,
IF(DATEDIF(purchaseDate,mergerDate,"Y")&gt;=1,
  lotFractionGain+mergerGain,
  0
))</f>
        <v>0</v>
      </c>
      <c r="AP28" s="343" t="str">
        <f>IF(DATEDIF(L28,Reference!$B$28,"Y")&gt;=1,"Part II Box D","Part I Box A")</f>
        <v>Part II Box D</v>
      </c>
      <c r="AQ28" s="344" t="str">
        <f t="shared" si="15"/>
        <v/>
      </c>
      <c r="AR28" s="330">
        <f t="shared" si="16"/>
        <v>0</v>
      </c>
      <c r="AS28" s="330">
        <f>LET(
cashReceived,AA28, 
avgoQty,AI28, 
proceedsStyle,Reference!$E$9, 
avgoFMV,Reference!$B$18, 
SWITCH(proceedsStyle, "combined", cashReceived +(avgoQty*avgoFMV), "cashOnly", cashReceived))</f>
        <v>0</v>
      </c>
      <c r="AT28" s="345">
        <f t="shared" si="17"/>
        <v>0</v>
      </c>
      <c r="AU28" s="345" t="str">
        <f t="shared" si="18"/>
        <v/>
      </c>
      <c r="AV28" s="330">
        <f>LET(
proceedsStyle,Reference!$E$9,
proceeds,AS28,
gain,AW28,
numVmwShares,D28, 
vmwBasis, AD28, 
avgoQty,AI28, 
avgoFMV,Reference!$B$18, 
cashReceived,AA28, 
avgoTotalValue, avgoFMV*avgoQty, 
vmwTotalBasis, vmwBasis*numVmwShares,
alternateGainAmount,AJ28, 
basis1099B, AT28,
SWITCH(proceedsStyle,
  "cashOnly",
    proceeds - gain,
  "combined",
    basis1099B - IF(cashReceived&lt;alternateGainAmount,
      avgoTotalValue,
      vmwTotalBasis
  )
))</f>
        <v>0</v>
      </c>
      <c r="AW28" s="331">
        <f>LET(proceedsStyle,Reference!$E$9, proceeds,AS28, basis1099B, AT28, adjustment,AV28, SWITCH(proceedsStyle, "cashOnly", AM28, "combined", MAX(proceeds - basis1099B + adjustment, 0)))</f>
        <v>0</v>
      </c>
      <c r="AX28" s="332" t="str">
        <f t="shared" si="19"/>
        <v>n/a</v>
      </c>
      <c r="AY28" s="332" t="str">
        <f t="shared" si="20"/>
        <v>n/a</v>
      </c>
      <c r="AZ28" s="333">
        <f>LET(saleFMV,Reference!$B$10, postMergerBasis,AY28, avgoQty,AI28, lotFractionAmount,AK28, iferror((saleFMV - postMergerBasis) * (avgoQty - lotFractionAmount), 0))</f>
        <v>0</v>
      </c>
      <c r="BA28" s="334" t="b">
        <f>LET(grantDate,B28, postMergerSaleDate,Reference!$B$29, purchaseBeginDate,A28, AND(DATEDIF(grantDate,postMergerSaleDate,"Y")&gt;=1, DATEDIF(purchaseBeginDate, postMergerSaleDate, "Y")&gt;=2))</f>
        <v>1</v>
      </c>
      <c r="BB28" s="333">
        <f>LET(
vmwBasis,AD28,
numVmwShares,D28,
cashReceived,AA28,
gainRecognized,AM28,
pureAvgoBasis,IFERROR((vmwBasis - (cashReceived + gainRecognized)/numVmwShares),0),
isQualified,BA28,
saleFMV,Reference!$B$10,
actualPrice,L28,
purchaseDateFMV,F28,
grantDateFMV,E28,
gainFromSale,(saleFMV - pureAvgoBasis),
disqualifiedIncome,(purchaseDateFMV - actualPrice),
qualifiedIncome,MIN(
   gainFromSale,
   (0.15 * grantDateFMV)),
income,IF(isQualified,
   qualifiedIncome,
   disqualifiedIncome),
numVmwShares * income)</f>
        <v>0</v>
      </c>
      <c r="BC28" s="335">
        <f>LET(
avgoQty,AI28, 
purchaseDate,C28,
postMergerSaleDate,Reference!$B$29,
saleFMV,Reference!$B$10,
postMergerBasis,AY28, 
IF(DATEDIF(purchaseDate,postMergerSaleDate,"Y")&gt;=1,
  0,
  avgoQty * (saleFMV - postMergerBasis)
))</f>
        <v>0</v>
      </c>
      <c r="BD28" s="336">
        <f>LET(
avgoQty,AI28, 
purchaseDate,C28,
postMergerSaleDate,Reference!$B$29,
saleFMV,Reference!$B$10,
postMergerBasis,AY28, 
IFERROR(IF(DATEDIF(purchaseDate,postMergerSaleDate,"Y")&gt;=1,
  avgoQty * (saleFMV - postMergerBasis),
  0
),0))</f>
        <v>0</v>
      </c>
      <c r="BE28" s="337"/>
    </row>
    <row r="29">
      <c r="A29" s="305" t="str">
        <f t="shared" si="6"/>
        <v/>
      </c>
      <c r="B29" s="350"/>
      <c r="C29" s="351"/>
      <c r="D29" s="352"/>
      <c r="E29" s="309" t="str">
        <f t="array" ref="E29">IF(B29&lt;&gt;"", IFERROR(VLOOKUP(B29, SORT(PriceReference!$A$1:$B1006), 2, TRUE), "price unavailable"), "")</f>
        <v/>
      </c>
      <c r="F29" s="309" t="str">
        <f t="array" ref="F29">IF(C29&lt;&gt;"", IFERROR(VLOOKUP(C29, SORT(PriceReference!$A$1:$B1006), 2, TRUE), "price unavailable"), "")</f>
        <v/>
      </c>
      <c r="G29" s="122"/>
      <c r="H29" s="309">
        <f t="shared" si="7"/>
        <v>0</v>
      </c>
      <c r="I29" s="340" t="str">
        <f t="shared" si="21"/>
        <v/>
      </c>
      <c r="J29" s="309">
        <f t="shared" si="8"/>
        <v>0</v>
      </c>
      <c r="K29" s="309" t="str">
        <f t="shared" si="9"/>
        <v/>
      </c>
      <c r="L29" s="311">
        <f t="shared" si="10"/>
        <v>0</v>
      </c>
      <c r="M29" s="341"/>
      <c r="N29" s="348" t="b">
        <v>0</v>
      </c>
      <c r="O29" s="349"/>
      <c r="P29" s="315">
        <v>0.0</v>
      </c>
      <c r="Q29" s="315">
        <v>0.0</v>
      </c>
      <c r="R29" s="315">
        <v>0.0</v>
      </c>
      <c r="S29" s="315">
        <v>0.0</v>
      </c>
      <c r="T29" s="316">
        <v>0.0</v>
      </c>
      <c r="U29" s="317">
        <f t="shared" si="11"/>
        <v>0</v>
      </c>
      <c r="V29" s="317" t="str">
        <f>SWITCH(W29,"cash",Reference!$E$5,"shares",Reference!$E$6,"balance",Reference!$E$7,"pro-rata",Reference!$B$5)</f>
        <v>#DIV/0!</v>
      </c>
      <c r="W29" s="318" t="s">
        <v>207</v>
      </c>
      <c r="X29" s="319">
        <f>LET(numVmwShares,D29, cashRatio,Reference!$B$4, vmwFinalPrice,Reference!$B$3, numVmwShares * cashRatio * vmwFinalPrice)</f>
        <v>0</v>
      </c>
      <c r="Y29" s="319">
        <f>iferror(LET(numVmwShares,$D29, stockRatio,U29, vmwFinalPrice,Reference!$B$3, (1 - stockRatio) * vmwFinalPrice * numVmwShares),0)</f>
        <v>0</v>
      </c>
      <c r="Z29" s="319">
        <f>iferror(LET(numVmwShares,$D29, stockRatio,V29, vmwFinalPrice,Reference!$B$3, (1 - stockRatio) * vmwFinalPrice * numVmwShares),0)</f>
        <v>0</v>
      </c>
      <c r="AA29" s="319">
        <f>SWITCH(Reference!$E$4,"eTradeTransactionLog", X29, "eTradeHoldingRatio", X29, "eTradeLotQtyRatio",Y29, "manualLotRatio", Z29)</f>
        <v>0</v>
      </c>
      <c r="AB29" s="309">
        <f>LET(purchaseDate,C29, dateOfRecord,Reference!$B$26, returnOfCapital,Reference!$C$26, IF(purchaseDate &lt; dateOfRecord, returnOfCapital,0))</f>
        <v>10.18</v>
      </c>
      <c r="AC29" s="309">
        <f>LET(purchaseDate,C29, dateOfRecord,Reference!$B$27, returnOfCapital,Reference!$C$27, IF(purchaseDate &lt; dateOfRecord, returnOfCapital,0))</f>
        <v>16.58</v>
      </c>
      <c r="AD29" s="309">
        <f t="shared" si="12"/>
        <v>-26.76</v>
      </c>
      <c r="AE29" s="309">
        <f t="shared" si="13"/>
        <v>0</v>
      </c>
      <c r="AF29" s="320">
        <f>LET(numVmwShares,D29, stockRatio,Reference!$B$5, vmwToAvgoRatio,Reference!$B$6, numVmwShares * stockRatio * vmwToAvgoRatio)</f>
        <v>0</v>
      </c>
      <c r="AG29" s="320">
        <f>LET(numVmwShares,D29, stockRatio,U29, vmwToAvgoRatio,Reference!$B$6, numVmwShares * stockRatio * vmwToAvgoRatio)</f>
        <v>0</v>
      </c>
      <c r="AH29" s="320" t="str">
        <f>LET(numVmwShares,D29, stockRatio,V29, vmwToAvgoRatio,Reference!$B$6, numVmwShares * stockRatio * vmwToAvgoRatio)</f>
        <v>#DIV/0!</v>
      </c>
      <c r="AI29" s="320">
        <f>SWITCH(Reference!$E$4,"eTradeTransactionLog", AF29, "eTradeHoldingRatio", AF29, "eTradeLotQtyRatio",AG29, "manualLotRatio", AH29)</f>
        <v>0</v>
      </c>
      <c r="AJ29" s="321">
        <f>LET(numVmwShares,D29, vmwBasis,AD29, avgoQty,AI29, avgoFMV,Reference!$B$18, cashReceived,AA29, gain,cashReceived+(avgoQty*avgoFMV)-(numVmwShares*vmwBasis),
MAX(gain,0))</f>
        <v>0</v>
      </c>
      <c r="AK29" s="322">
        <f>LET(useForFraction,N29, fractionAmount,Summary!$C$41, esppFractionLots,$N$5, rsuFractionLots,RSU!J$5, IF(useForFraction, fractionAmount / (esppFractionLots+rsuFractionLots), 0))</f>
        <v>0</v>
      </c>
      <c r="AL29" s="323">
        <f>LET(useForFraction,N29, fractionSaleFMV,Reference!$B$23, postMergerBasis,AY29, lotFractionAmount,AK29, IF(useForFraction, (fractionSaleFMV - postMergerBasis)*lotFractionAmount, 0))</f>
        <v>0</v>
      </c>
      <c r="AM29" s="324">
        <f t="shared" si="14"/>
        <v>0</v>
      </c>
      <c r="AN29" s="325">
        <f>LET(
imputedIncome,BB29,
avgoQty,AI29, 
perAvgoIncome, iferror(imputedIncome/avgoQty,0),
purchaseDate,C29,
mergerDate,Reference!$B$28,
lotFractionAmount,AK29,
lotFractionGain,AL29,
mergerGain,AM29,
shortTermGain,IF(DATEDIF(purchaseDate,mergerDate,"Y")&gt;=1,
  0,
  lotFractionGain + mergerGain
),
incomeOnFraction,perAvgoIncome*lotFractionAmount, 
shortTermGain + incomeOnFraction + IF(avgoQty=0,imputedIncome-incomeOnFraction,0))</f>
        <v>0</v>
      </c>
      <c r="AO29" s="325">
        <f>LET(
purchaseDate,C29,
mergerDate,Reference!$B$28,
lotFractionGain,AL29,
mergerGain,AM29,
IF(DATEDIF(purchaseDate,mergerDate,"Y")&gt;=1,
  lotFractionGain+mergerGain,
  0
))</f>
        <v>0</v>
      </c>
      <c r="AP29" s="343" t="str">
        <f>IF(DATEDIF(L29,Reference!$B$28,"Y")&gt;=1,"Part II Box D","Part I Box A")</f>
        <v>Part II Box D</v>
      </c>
      <c r="AQ29" s="344" t="str">
        <f t="shared" si="15"/>
        <v/>
      </c>
      <c r="AR29" s="330">
        <f t="shared" si="16"/>
        <v>0</v>
      </c>
      <c r="AS29" s="330">
        <f>LET(
cashReceived,AA29, 
avgoQty,AI29, 
proceedsStyle,Reference!$E$9, 
avgoFMV,Reference!$B$18, 
SWITCH(proceedsStyle, "combined", cashReceived +(avgoQty*avgoFMV), "cashOnly", cashReceived))</f>
        <v>0</v>
      </c>
      <c r="AT29" s="345">
        <f t="shared" si="17"/>
        <v>0</v>
      </c>
      <c r="AU29" s="345" t="str">
        <f t="shared" si="18"/>
        <v/>
      </c>
      <c r="AV29" s="330">
        <f>LET(
proceedsStyle,Reference!$E$9,
proceeds,AS29,
gain,AW29,
numVmwShares,D29, 
vmwBasis, AD29, 
avgoQty,AI29, 
avgoFMV,Reference!$B$18, 
cashReceived,AA29, 
avgoTotalValue, avgoFMV*avgoQty, 
vmwTotalBasis, vmwBasis*numVmwShares,
alternateGainAmount,AJ29, 
basis1099B, AT29,
SWITCH(proceedsStyle,
  "cashOnly",
    proceeds - gain,
  "combined",
    basis1099B - IF(cashReceived&lt;alternateGainAmount,
      avgoTotalValue,
      vmwTotalBasis
  )
))</f>
        <v>0</v>
      </c>
      <c r="AW29" s="331">
        <f>LET(proceedsStyle,Reference!$E$9, proceeds,AS29, basis1099B, AT29, adjustment,AV29, SWITCH(proceedsStyle, "cashOnly", AM29, "combined", MAX(proceeds - basis1099B + adjustment, 0)))</f>
        <v>0</v>
      </c>
      <c r="AX29" s="332" t="str">
        <f t="shared" si="19"/>
        <v>n/a</v>
      </c>
      <c r="AY29" s="332" t="str">
        <f t="shared" si="20"/>
        <v>n/a</v>
      </c>
      <c r="AZ29" s="333">
        <f>LET(saleFMV,Reference!$B$10, postMergerBasis,AY29, avgoQty,AI29, lotFractionAmount,AK29, iferror((saleFMV - postMergerBasis) * (avgoQty - lotFractionAmount), 0))</f>
        <v>0</v>
      </c>
      <c r="BA29" s="334" t="b">
        <f>LET(grantDate,B29, postMergerSaleDate,Reference!$B$29, purchaseBeginDate,A29, AND(DATEDIF(grantDate,postMergerSaleDate,"Y")&gt;=1, DATEDIF(purchaseBeginDate, postMergerSaleDate, "Y")&gt;=2))</f>
        <v>1</v>
      </c>
      <c r="BB29" s="333">
        <f>LET(
vmwBasis,AD29,
numVmwShares,D29,
cashReceived,AA29,
gainRecognized,AM29,
pureAvgoBasis,IFERROR((vmwBasis - (cashReceived + gainRecognized)/numVmwShares),0),
isQualified,BA29,
saleFMV,Reference!$B$10,
actualPrice,L29,
purchaseDateFMV,F29,
grantDateFMV,E29,
gainFromSale,(saleFMV - pureAvgoBasis),
disqualifiedIncome,(purchaseDateFMV - actualPrice),
qualifiedIncome,MIN(
   gainFromSale,
   (0.15 * grantDateFMV)),
income,IF(isQualified,
   qualifiedIncome,
   disqualifiedIncome),
numVmwShares * income)</f>
        <v>0</v>
      </c>
      <c r="BC29" s="335">
        <f>LET(
avgoQty,AI29, 
purchaseDate,C29,
postMergerSaleDate,Reference!$B$29,
saleFMV,Reference!$B$10,
postMergerBasis,AY29, 
IF(DATEDIF(purchaseDate,postMergerSaleDate,"Y")&gt;=1,
  0,
  avgoQty * (saleFMV - postMergerBasis)
))</f>
        <v>0</v>
      </c>
      <c r="BD29" s="336">
        <f>LET(
avgoQty,AI29, 
purchaseDate,C29,
postMergerSaleDate,Reference!$B$29,
saleFMV,Reference!$B$10,
postMergerBasis,AY29, 
IFERROR(IF(DATEDIF(purchaseDate,postMergerSaleDate,"Y")&gt;=1,
  avgoQty * (saleFMV - postMergerBasis),
  0
),0))</f>
        <v>0</v>
      </c>
      <c r="BE29" s="337"/>
    </row>
    <row r="30">
      <c r="A30" s="305" t="str">
        <f t="shared" si="6"/>
        <v/>
      </c>
      <c r="B30" s="350"/>
      <c r="C30" s="351"/>
      <c r="D30" s="352"/>
      <c r="E30" s="309" t="str">
        <f t="array" ref="E30">IF(B30&lt;&gt;"", IFERROR(VLOOKUP(B30, SORT(PriceReference!$A$1:$B1006), 2, TRUE), "price unavailable"), "")</f>
        <v/>
      </c>
      <c r="F30" s="309" t="str">
        <f t="array" ref="F30">IF(C30&lt;&gt;"", IFERROR(VLOOKUP(C30, SORT(PriceReference!$A$1:$B1006), 2, TRUE), "price unavailable"), "")</f>
        <v/>
      </c>
      <c r="G30" s="122"/>
      <c r="H30" s="309">
        <f t="shared" si="7"/>
        <v>0</v>
      </c>
      <c r="I30" s="340" t="str">
        <f t="shared" si="21"/>
        <v/>
      </c>
      <c r="J30" s="309">
        <f t="shared" si="8"/>
        <v>0</v>
      </c>
      <c r="K30" s="309" t="str">
        <f t="shared" si="9"/>
        <v/>
      </c>
      <c r="L30" s="311">
        <f t="shared" si="10"/>
        <v>0</v>
      </c>
      <c r="M30" s="341"/>
      <c r="N30" s="348" t="b">
        <v>0</v>
      </c>
      <c r="O30" s="349"/>
      <c r="P30" s="315">
        <v>0.0</v>
      </c>
      <c r="Q30" s="315">
        <v>0.0</v>
      </c>
      <c r="R30" s="315">
        <v>0.0</v>
      </c>
      <c r="S30" s="315">
        <v>0.0</v>
      </c>
      <c r="T30" s="316">
        <v>0.0</v>
      </c>
      <c r="U30" s="317">
        <f t="shared" si="11"/>
        <v>0</v>
      </c>
      <c r="V30" s="317" t="str">
        <f>SWITCH(W30,"cash",Reference!$E$5,"shares",Reference!$E$6,"balance",Reference!$E$7,"pro-rata",Reference!$B$5)</f>
        <v>#DIV/0!</v>
      </c>
      <c r="W30" s="318" t="s">
        <v>207</v>
      </c>
      <c r="X30" s="319">
        <f>LET(numVmwShares,D30, cashRatio,Reference!$B$4, vmwFinalPrice,Reference!$B$3, numVmwShares * cashRatio * vmwFinalPrice)</f>
        <v>0</v>
      </c>
      <c r="Y30" s="319">
        <f>iferror(LET(numVmwShares,$D30, stockRatio,U30, vmwFinalPrice,Reference!$B$3, (1 - stockRatio) * vmwFinalPrice * numVmwShares),0)</f>
        <v>0</v>
      </c>
      <c r="Z30" s="319">
        <f>iferror(LET(numVmwShares,$D30, stockRatio,V30, vmwFinalPrice,Reference!$B$3, (1 - stockRatio) * vmwFinalPrice * numVmwShares),0)</f>
        <v>0</v>
      </c>
      <c r="AA30" s="319">
        <f>SWITCH(Reference!$E$4,"eTradeTransactionLog", X30, "eTradeHoldingRatio", X30, "eTradeLotQtyRatio",Y30, "manualLotRatio", Z30)</f>
        <v>0</v>
      </c>
      <c r="AB30" s="309">
        <f>LET(purchaseDate,C30, dateOfRecord,Reference!$B$26, returnOfCapital,Reference!$C$26, IF(purchaseDate &lt; dateOfRecord, returnOfCapital,0))</f>
        <v>10.18</v>
      </c>
      <c r="AC30" s="309">
        <f>LET(purchaseDate,C30, dateOfRecord,Reference!$B$27, returnOfCapital,Reference!$C$27, IF(purchaseDate &lt; dateOfRecord, returnOfCapital,0))</f>
        <v>16.58</v>
      </c>
      <c r="AD30" s="309">
        <f t="shared" si="12"/>
        <v>-26.76</v>
      </c>
      <c r="AE30" s="309">
        <f t="shared" si="13"/>
        <v>0</v>
      </c>
      <c r="AF30" s="320">
        <f>LET(numVmwShares,D30, stockRatio,Reference!$B$5, vmwToAvgoRatio,Reference!$B$6, numVmwShares * stockRatio * vmwToAvgoRatio)</f>
        <v>0</v>
      </c>
      <c r="AG30" s="320">
        <f>LET(numVmwShares,D30, stockRatio,U30, vmwToAvgoRatio,Reference!$B$6, numVmwShares * stockRatio * vmwToAvgoRatio)</f>
        <v>0</v>
      </c>
      <c r="AH30" s="320" t="str">
        <f>LET(numVmwShares,D30, stockRatio,V30, vmwToAvgoRatio,Reference!$B$6, numVmwShares * stockRatio * vmwToAvgoRatio)</f>
        <v>#DIV/0!</v>
      </c>
      <c r="AI30" s="320">
        <f>SWITCH(Reference!$E$4,"eTradeTransactionLog", AF30, "eTradeHoldingRatio", AF30, "eTradeLotQtyRatio",AG30, "manualLotRatio", AH30)</f>
        <v>0</v>
      </c>
      <c r="AJ30" s="321">
        <f>LET(numVmwShares,D30, vmwBasis,AD30, avgoQty,AI30, avgoFMV,Reference!$B$18, cashReceived,AA30, gain,cashReceived+(avgoQty*avgoFMV)-(numVmwShares*vmwBasis),
MAX(gain,0))</f>
        <v>0</v>
      </c>
      <c r="AK30" s="322">
        <f>LET(useForFraction,N30, fractionAmount,Summary!$C$41, esppFractionLots,$N$5, rsuFractionLots,RSU!J$5, IF(useForFraction, fractionAmount / (esppFractionLots+rsuFractionLots), 0))</f>
        <v>0</v>
      </c>
      <c r="AL30" s="323">
        <f>LET(useForFraction,N30, fractionSaleFMV,Reference!$B$23, postMergerBasis,AY30, lotFractionAmount,AK30, IF(useForFraction, (fractionSaleFMV - postMergerBasis)*lotFractionAmount, 0))</f>
        <v>0</v>
      </c>
      <c r="AM30" s="324">
        <f t="shared" si="14"/>
        <v>0</v>
      </c>
      <c r="AN30" s="325">
        <f>LET(
imputedIncome,BB30,
avgoQty,AI30, 
perAvgoIncome, iferror(imputedIncome/avgoQty,0),
purchaseDate,C30,
mergerDate,Reference!$B$28,
lotFractionAmount,AK30,
lotFractionGain,AL30,
mergerGain,AM30,
shortTermGain,IF(DATEDIF(purchaseDate,mergerDate,"Y")&gt;=1,
  0,
  lotFractionGain + mergerGain
),
incomeOnFraction,perAvgoIncome*lotFractionAmount, 
shortTermGain + incomeOnFraction + IF(avgoQty=0,imputedIncome-incomeOnFraction,0))</f>
        <v>0</v>
      </c>
      <c r="AO30" s="325">
        <f>LET(
purchaseDate,C30,
mergerDate,Reference!$B$28,
lotFractionGain,AL30,
mergerGain,AM30,
IF(DATEDIF(purchaseDate,mergerDate,"Y")&gt;=1,
  lotFractionGain+mergerGain,
  0
))</f>
        <v>0</v>
      </c>
      <c r="AP30" s="343" t="str">
        <f>IF(DATEDIF(L30,Reference!$B$28,"Y")&gt;=1,"Part II Box D","Part I Box A")</f>
        <v>Part II Box D</v>
      </c>
      <c r="AQ30" s="344" t="str">
        <f t="shared" si="15"/>
        <v/>
      </c>
      <c r="AR30" s="330">
        <f t="shared" si="16"/>
        <v>0</v>
      </c>
      <c r="AS30" s="330">
        <f>LET(
cashReceived,AA30, 
avgoQty,AI30, 
proceedsStyle,Reference!$E$9, 
avgoFMV,Reference!$B$18, 
SWITCH(proceedsStyle, "combined", cashReceived +(avgoQty*avgoFMV), "cashOnly", cashReceived))</f>
        <v>0</v>
      </c>
      <c r="AT30" s="345">
        <f t="shared" si="17"/>
        <v>0</v>
      </c>
      <c r="AU30" s="345" t="str">
        <f t="shared" si="18"/>
        <v/>
      </c>
      <c r="AV30" s="330">
        <f>LET(
proceedsStyle,Reference!$E$9,
proceeds,AS30,
gain,AW30,
numVmwShares,D30, 
vmwBasis, AD30, 
avgoQty,AI30, 
avgoFMV,Reference!$B$18, 
cashReceived,AA30, 
avgoTotalValue, avgoFMV*avgoQty, 
vmwTotalBasis, vmwBasis*numVmwShares,
alternateGainAmount,AJ30, 
basis1099B, AT30,
SWITCH(proceedsStyle,
  "cashOnly",
    proceeds - gain,
  "combined",
    basis1099B - IF(cashReceived&lt;alternateGainAmount,
      avgoTotalValue,
      vmwTotalBasis
  )
))</f>
        <v>0</v>
      </c>
      <c r="AW30" s="331">
        <f>LET(proceedsStyle,Reference!$E$9, proceeds,AS30, basis1099B, AT30, adjustment,AV30, SWITCH(proceedsStyle, "cashOnly", AM30, "combined", MAX(proceeds - basis1099B + adjustment, 0)))</f>
        <v>0</v>
      </c>
      <c r="AX30" s="332" t="str">
        <f t="shared" si="19"/>
        <v>n/a</v>
      </c>
      <c r="AY30" s="332" t="str">
        <f t="shared" si="20"/>
        <v>n/a</v>
      </c>
      <c r="AZ30" s="333">
        <f>LET(saleFMV,Reference!$B$10, postMergerBasis,AY30, avgoQty,AI30, lotFractionAmount,AK30, iferror((saleFMV - postMergerBasis) * (avgoQty - lotFractionAmount), 0))</f>
        <v>0</v>
      </c>
      <c r="BA30" s="334" t="b">
        <f>LET(grantDate,B30, postMergerSaleDate,Reference!$B$29, purchaseBeginDate,A30, AND(DATEDIF(grantDate,postMergerSaleDate,"Y")&gt;=1, DATEDIF(purchaseBeginDate, postMergerSaleDate, "Y")&gt;=2))</f>
        <v>1</v>
      </c>
      <c r="BB30" s="333">
        <f>LET(
vmwBasis,AD30,
numVmwShares,D30,
cashReceived,AA30,
gainRecognized,AM30,
pureAvgoBasis,IFERROR((vmwBasis - (cashReceived + gainRecognized)/numVmwShares),0),
isQualified,BA30,
saleFMV,Reference!$B$10,
actualPrice,L30,
purchaseDateFMV,F30,
grantDateFMV,E30,
gainFromSale,(saleFMV - pureAvgoBasis),
disqualifiedIncome,(purchaseDateFMV - actualPrice),
qualifiedIncome,MIN(
   gainFromSale,
   (0.15 * grantDateFMV)),
income,IF(isQualified,
   qualifiedIncome,
   disqualifiedIncome),
numVmwShares * income)</f>
        <v>0</v>
      </c>
      <c r="BC30" s="335">
        <f>LET(
avgoQty,AI30, 
purchaseDate,C30,
postMergerSaleDate,Reference!$B$29,
saleFMV,Reference!$B$10,
postMergerBasis,AY30, 
IF(DATEDIF(purchaseDate,postMergerSaleDate,"Y")&gt;=1,
  0,
  avgoQty * (saleFMV - postMergerBasis)
))</f>
        <v>0</v>
      </c>
      <c r="BD30" s="336">
        <f>LET(
avgoQty,AI30, 
purchaseDate,C30,
postMergerSaleDate,Reference!$B$29,
saleFMV,Reference!$B$10,
postMergerBasis,AY30, 
IFERROR(IF(DATEDIF(purchaseDate,postMergerSaleDate,"Y")&gt;=1,
  avgoQty * (saleFMV - postMergerBasis),
  0
),0))</f>
        <v>0</v>
      </c>
      <c r="BE30" s="337"/>
    </row>
    <row r="31">
      <c r="A31" s="305" t="str">
        <f t="shared" si="6"/>
        <v/>
      </c>
      <c r="B31" s="350"/>
      <c r="C31" s="351"/>
      <c r="D31" s="352"/>
      <c r="E31" s="309" t="str">
        <f t="array" ref="E31">IF(B31&lt;&gt;"", IFERROR(VLOOKUP(B31, SORT(PriceReference!$A$1:$B1006), 2, TRUE), "price unavailable"), "")</f>
        <v/>
      </c>
      <c r="F31" s="309" t="str">
        <f t="array" ref="F31">IF(C31&lt;&gt;"", IFERROR(VLOOKUP(C31, SORT(PriceReference!$A$1:$B1006), 2, TRUE), "price unavailable"), "")</f>
        <v/>
      </c>
      <c r="G31" s="122"/>
      <c r="H31" s="309">
        <f t="shared" si="7"/>
        <v>0</v>
      </c>
      <c r="I31" s="340" t="str">
        <f t="shared" si="21"/>
        <v/>
      </c>
      <c r="J31" s="309">
        <f t="shared" si="8"/>
        <v>0</v>
      </c>
      <c r="K31" s="309" t="str">
        <f t="shared" si="9"/>
        <v/>
      </c>
      <c r="L31" s="311">
        <f t="shared" si="10"/>
        <v>0</v>
      </c>
      <c r="M31" s="341"/>
      <c r="N31" s="348" t="b">
        <v>0</v>
      </c>
      <c r="O31" s="349"/>
      <c r="P31" s="315">
        <v>0.0</v>
      </c>
      <c r="Q31" s="315">
        <v>0.0</v>
      </c>
      <c r="R31" s="315">
        <v>0.0</v>
      </c>
      <c r="S31" s="315">
        <v>0.0</v>
      </c>
      <c r="T31" s="316">
        <v>0.0</v>
      </c>
      <c r="U31" s="317">
        <f t="shared" si="11"/>
        <v>0</v>
      </c>
      <c r="V31" s="317" t="str">
        <f>SWITCH(W31,"cash",Reference!$E$5,"shares",Reference!$E$6,"balance",Reference!$E$7,"pro-rata",Reference!$B$5)</f>
        <v>#DIV/0!</v>
      </c>
      <c r="W31" s="318" t="s">
        <v>207</v>
      </c>
      <c r="X31" s="319">
        <f>LET(numVmwShares,D31, cashRatio,Reference!$B$4, vmwFinalPrice,Reference!$B$3, numVmwShares * cashRatio * vmwFinalPrice)</f>
        <v>0</v>
      </c>
      <c r="Y31" s="319">
        <f>iferror(LET(numVmwShares,$D31, stockRatio,U31, vmwFinalPrice,Reference!$B$3, (1 - stockRatio) * vmwFinalPrice * numVmwShares),0)</f>
        <v>0</v>
      </c>
      <c r="Z31" s="319">
        <f>iferror(LET(numVmwShares,$D31, stockRatio,V31, vmwFinalPrice,Reference!$B$3, (1 - stockRatio) * vmwFinalPrice * numVmwShares),0)</f>
        <v>0</v>
      </c>
      <c r="AA31" s="319">
        <f>SWITCH(Reference!$E$4,"eTradeTransactionLog", X31, "eTradeHoldingRatio", X31, "eTradeLotQtyRatio",Y31, "manualLotRatio", Z31)</f>
        <v>0</v>
      </c>
      <c r="AB31" s="309">
        <f>LET(purchaseDate,C31, dateOfRecord,Reference!$B$26, returnOfCapital,Reference!$C$26, IF(purchaseDate &lt; dateOfRecord, returnOfCapital,0))</f>
        <v>10.18</v>
      </c>
      <c r="AC31" s="309">
        <f>LET(purchaseDate,C31, dateOfRecord,Reference!$B$27, returnOfCapital,Reference!$C$27, IF(purchaseDate &lt; dateOfRecord, returnOfCapital,0))</f>
        <v>16.58</v>
      </c>
      <c r="AD31" s="309">
        <f t="shared" si="12"/>
        <v>-26.76</v>
      </c>
      <c r="AE31" s="309">
        <f t="shared" si="13"/>
        <v>0</v>
      </c>
      <c r="AF31" s="320">
        <f>LET(numVmwShares,D31, stockRatio,Reference!$B$5, vmwToAvgoRatio,Reference!$B$6, numVmwShares * stockRatio * vmwToAvgoRatio)</f>
        <v>0</v>
      </c>
      <c r="AG31" s="320">
        <f>LET(numVmwShares,D31, stockRatio,U31, vmwToAvgoRatio,Reference!$B$6, numVmwShares * stockRatio * vmwToAvgoRatio)</f>
        <v>0</v>
      </c>
      <c r="AH31" s="320" t="str">
        <f>LET(numVmwShares,D31, stockRatio,V31, vmwToAvgoRatio,Reference!$B$6, numVmwShares * stockRatio * vmwToAvgoRatio)</f>
        <v>#DIV/0!</v>
      </c>
      <c r="AI31" s="320">
        <f>SWITCH(Reference!$E$4,"eTradeTransactionLog", AF31, "eTradeHoldingRatio", AF31, "eTradeLotQtyRatio",AG31, "manualLotRatio", AH31)</f>
        <v>0</v>
      </c>
      <c r="AJ31" s="321">
        <f>LET(numVmwShares,D31, vmwBasis,AD31, avgoQty,AI31, avgoFMV,Reference!$B$18, cashReceived,AA31, gain,cashReceived+(avgoQty*avgoFMV)-(numVmwShares*vmwBasis),
MAX(gain,0))</f>
        <v>0</v>
      </c>
      <c r="AK31" s="322">
        <f>LET(useForFraction,N31, fractionAmount,Summary!$C$41, esppFractionLots,$N$5, rsuFractionLots,RSU!J$5, IF(useForFraction, fractionAmount / (esppFractionLots+rsuFractionLots), 0))</f>
        <v>0</v>
      </c>
      <c r="AL31" s="323">
        <f>LET(useForFraction,N31, fractionSaleFMV,Reference!$B$23, postMergerBasis,AY31, lotFractionAmount,AK31, IF(useForFraction, (fractionSaleFMV - postMergerBasis)*lotFractionAmount, 0))</f>
        <v>0</v>
      </c>
      <c r="AM31" s="324">
        <f t="shared" si="14"/>
        <v>0</v>
      </c>
      <c r="AN31" s="325">
        <f>LET(
imputedIncome,BB31,
avgoQty,AI31, 
perAvgoIncome, iferror(imputedIncome/avgoQty,0),
purchaseDate,C31,
mergerDate,Reference!$B$28,
lotFractionAmount,AK31,
lotFractionGain,AL31,
mergerGain,AM31,
shortTermGain,IF(DATEDIF(purchaseDate,mergerDate,"Y")&gt;=1,
  0,
  lotFractionGain + mergerGain
),
incomeOnFraction,perAvgoIncome*lotFractionAmount, 
shortTermGain + incomeOnFraction + IF(avgoQty=0,imputedIncome-incomeOnFraction,0))</f>
        <v>0</v>
      </c>
      <c r="AO31" s="325">
        <f>LET(
purchaseDate,C31,
mergerDate,Reference!$B$28,
lotFractionGain,AL31,
mergerGain,AM31,
IF(DATEDIF(purchaseDate,mergerDate,"Y")&gt;=1,
  lotFractionGain+mergerGain,
  0
))</f>
        <v>0</v>
      </c>
      <c r="AP31" s="343" t="str">
        <f>IF(DATEDIF(L31,Reference!$B$28,"Y")&gt;=1,"Part II Box D","Part I Box A")</f>
        <v>Part II Box D</v>
      </c>
      <c r="AQ31" s="344" t="str">
        <f t="shared" si="15"/>
        <v/>
      </c>
      <c r="AR31" s="330">
        <f t="shared" si="16"/>
        <v>0</v>
      </c>
      <c r="AS31" s="330">
        <f>LET(
cashReceived,AA31, 
avgoQty,AI31, 
proceedsStyle,Reference!$E$9, 
avgoFMV,Reference!$B$18, 
SWITCH(proceedsStyle, "combined", cashReceived +(avgoQty*avgoFMV), "cashOnly", cashReceived))</f>
        <v>0</v>
      </c>
      <c r="AT31" s="345">
        <f t="shared" si="17"/>
        <v>0</v>
      </c>
      <c r="AU31" s="345" t="str">
        <f t="shared" si="18"/>
        <v/>
      </c>
      <c r="AV31" s="330">
        <f>LET(
proceedsStyle,Reference!$E$9,
proceeds,AS31,
gain,AW31,
numVmwShares,D31, 
vmwBasis, AD31, 
avgoQty,AI31, 
avgoFMV,Reference!$B$18, 
cashReceived,AA31, 
avgoTotalValue, avgoFMV*avgoQty, 
vmwTotalBasis, vmwBasis*numVmwShares,
alternateGainAmount,AJ31, 
basis1099B, AT31,
SWITCH(proceedsStyle,
  "cashOnly",
    proceeds - gain,
  "combined",
    basis1099B - IF(cashReceived&lt;alternateGainAmount,
      avgoTotalValue,
      vmwTotalBasis
  )
))</f>
        <v>0</v>
      </c>
      <c r="AW31" s="331">
        <f>LET(proceedsStyle,Reference!$E$9, proceeds,AS31, basis1099B, AT31, adjustment,AV31, SWITCH(proceedsStyle, "cashOnly", AM31, "combined", MAX(proceeds - basis1099B + adjustment, 0)))</f>
        <v>0</v>
      </c>
      <c r="AX31" s="332" t="str">
        <f t="shared" si="19"/>
        <v>n/a</v>
      </c>
      <c r="AY31" s="332" t="str">
        <f t="shared" si="20"/>
        <v>n/a</v>
      </c>
      <c r="AZ31" s="333">
        <f>LET(saleFMV,Reference!$B$10, postMergerBasis,AY31, avgoQty,AI31, lotFractionAmount,AK31, iferror((saleFMV - postMergerBasis) * (avgoQty - lotFractionAmount), 0))</f>
        <v>0</v>
      </c>
      <c r="BA31" s="334" t="b">
        <f>LET(grantDate,B31, postMergerSaleDate,Reference!$B$29, purchaseBeginDate,A31, AND(DATEDIF(grantDate,postMergerSaleDate,"Y")&gt;=1, DATEDIF(purchaseBeginDate, postMergerSaleDate, "Y")&gt;=2))</f>
        <v>1</v>
      </c>
      <c r="BB31" s="333">
        <f>LET(
vmwBasis,AD31,
numVmwShares,D31,
cashReceived,AA31,
gainRecognized,AM31,
pureAvgoBasis,IFERROR((vmwBasis - (cashReceived + gainRecognized)/numVmwShares),0),
isQualified,BA31,
saleFMV,Reference!$B$10,
actualPrice,L31,
purchaseDateFMV,F31,
grantDateFMV,E31,
gainFromSale,(saleFMV - pureAvgoBasis),
disqualifiedIncome,(purchaseDateFMV - actualPrice),
qualifiedIncome,MIN(
   gainFromSale,
   (0.15 * grantDateFMV)),
income,IF(isQualified,
   qualifiedIncome,
   disqualifiedIncome),
numVmwShares * income)</f>
        <v>0</v>
      </c>
      <c r="BC31" s="335">
        <f>LET(
avgoQty,AI31, 
purchaseDate,C31,
postMergerSaleDate,Reference!$B$29,
saleFMV,Reference!$B$10,
postMergerBasis,AY31, 
IF(DATEDIF(purchaseDate,postMergerSaleDate,"Y")&gt;=1,
  0,
  avgoQty * (saleFMV - postMergerBasis)
))</f>
        <v>0</v>
      </c>
      <c r="BD31" s="336">
        <f>LET(
avgoQty,AI31, 
purchaseDate,C31,
postMergerSaleDate,Reference!$B$29,
saleFMV,Reference!$B$10,
postMergerBasis,AY31, 
IFERROR(IF(DATEDIF(purchaseDate,postMergerSaleDate,"Y")&gt;=1,
  avgoQty * (saleFMV - postMergerBasis),
  0
),0))</f>
        <v>0</v>
      </c>
      <c r="BE31" s="337"/>
    </row>
    <row r="32">
      <c r="A32" s="305" t="str">
        <f t="shared" si="6"/>
        <v/>
      </c>
      <c r="B32" s="350"/>
      <c r="C32" s="351"/>
      <c r="D32" s="352"/>
      <c r="E32" s="309" t="str">
        <f t="array" ref="E32">IF(B32&lt;&gt;"", IFERROR(VLOOKUP(B32, SORT(PriceReference!$A$1:$B1006), 2, TRUE), "price unavailable"), "")</f>
        <v/>
      </c>
      <c r="F32" s="309" t="str">
        <f t="array" ref="F32">IF(C32&lt;&gt;"", IFERROR(VLOOKUP(C32, SORT(PriceReference!$A$1:$B1006), 2, TRUE), "price unavailable"), "")</f>
        <v/>
      </c>
      <c r="G32" s="122"/>
      <c r="H32" s="309">
        <f t="shared" si="7"/>
        <v>0</v>
      </c>
      <c r="I32" s="340" t="str">
        <f t="shared" si="21"/>
        <v/>
      </c>
      <c r="J32" s="309">
        <f t="shared" si="8"/>
        <v>0</v>
      </c>
      <c r="K32" s="309" t="str">
        <f t="shared" si="9"/>
        <v/>
      </c>
      <c r="L32" s="311">
        <f t="shared" si="10"/>
        <v>0</v>
      </c>
      <c r="M32" s="341"/>
      <c r="N32" s="348" t="b">
        <v>0</v>
      </c>
      <c r="O32" s="349"/>
      <c r="P32" s="315">
        <v>0.0</v>
      </c>
      <c r="Q32" s="315">
        <v>0.0</v>
      </c>
      <c r="R32" s="315">
        <v>0.0</v>
      </c>
      <c r="S32" s="315">
        <v>0.0</v>
      </c>
      <c r="T32" s="316">
        <v>0.0</v>
      </c>
      <c r="U32" s="317">
        <f t="shared" si="11"/>
        <v>0</v>
      </c>
      <c r="V32" s="317" t="str">
        <f>SWITCH(W32,"cash",Reference!$E$5,"shares",Reference!$E$6,"balance",Reference!$E$7,"pro-rata",Reference!$B$5)</f>
        <v>#DIV/0!</v>
      </c>
      <c r="W32" s="318" t="s">
        <v>207</v>
      </c>
      <c r="X32" s="319">
        <f>LET(numVmwShares,D32, cashRatio,Reference!$B$4, vmwFinalPrice,Reference!$B$3, numVmwShares * cashRatio * vmwFinalPrice)</f>
        <v>0</v>
      </c>
      <c r="Y32" s="319">
        <f>iferror(LET(numVmwShares,$D32, stockRatio,U32, vmwFinalPrice,Reference!$B$3, (1 - stockRatio) * vmwFinalPrice * numVmwShares),0)</f>
        <v>0</v>
      </c>
      <c r="Z32" s="319">
        <f>iferror(LET(numVmwShares,$D32, stockRatio,V32, vmwFinalPrice,Reference!$B$3, (1 - stockRatio) * vmwFinalPrice * numVmwShares),0)</f>
        <v>0</v>
      </c>
      <c r="AA32" s="319">
        <f>SWITCH(Reference!$E$4,"eTradeTransactionLog", X32, "eTradeHoldingRatio", X32, "eTradeLotQtyRatio",Y32, "manualLotRatio", Z32)</f>
        <v>0</v>
      </c>
      <c r="AB32" s="309">
        <f>LET(purchaseDate,C32, dateOfRecord,Reference!$B$26, returnOfCapital,Reference!$C$26, IF(purchaseDate &lt; dateOfRecord, returnOfCapital,0))</f>
        <v>10.18</v>
      </c>
      <c r="AC32" s="309">
        <f>LET(purchaseDate,C32, dateOfRecord,Reference!$B$27, returnOfCapital,Reference!$C$27, IF(purchaseDate &lt; dateOfRecord, returnOfCapital,0))</f>
        <v>16.58</v>
      </c>
      <c r="AD32" s="309">
        <f t="shared" si="12"/>
        <v>-26.76</v>
      </c>
      <c r="AE32" s="309">
        <f t="shared" si="13"/>
        <v>0</v>
      </c>
      <c r="AF32" s="320">
        <f>LET(numVmwShares,D32, stockRatio,Reference!$B$5, vmwToAvgoRatio,Reference!$B$6, numVmwShares * stockRatio * vmwToAvgoRatio)</f>
        <v>0</v>
      </c>
      <c r="AG32" s="320">
        <f>LET(numVmwShares,D32, stockRatio,U32, vmwToAvgoRatio,Reference!$B$6, numVmwShares * stockRatio * vmwToAvgoRatio)</f>
        <v>0</v>
      </c>
      <c r="AH32" s="320" t="str">
        <f>LET(numVmwShares,D32, stockRatio,V32, vmwToAvgoRatio,Reference!$B$6, numVmwShares * stockRatio * vmwToAvgoRatio)</f>
        <v>#DIV/0!</v>
      </c>
      <c r="AI32" s="320">
        <f>SWITCH(Reference!$E$4,"eTradeTransactionLog", AF32, "eTradeHoldingRatio", AF32, "eTradeLotQtyRatio",AG32, "manualLotRatio", AH32)</f>
        <v>0</v>
      </c>
      <c r="AJ32" s="321">
        <f>LET(numVmwShares,D32, vmwBasis,AD32, avgoQty,AI32, avgoFMV,Reference!$B$18, cashReceived,AA32, gain,cashReceived+(avgoQty*avgoFMV)-(numVmwShares*vmwBasis),
MAX(gain,0))</f>
        <v>0</v>
      </c>
      <c r="AK32" s="322">
        <f>LET(useForFraction,N32, fractionAmount,Summary!$C$41, esppFractionLots,$N$5, rsuFractionLots,RSU!J$5, IF(useForFraction, fractionAmount / (esppFractionLots+rsuFractionLots), 0))</f>
        <v>0</v>
      </c>
      <c r="AL32" s="323">
        <f>LET(useForFraction,N32, fractionSaleFMV,Reference!$B$23, postMergerBasis,AY32, lotFractionAmount,AK32, IF(useForFraction, (fractionSaleFMV - postMergerBasis)*lotFractionAmount, 0))</f>
        <v>0</v>
      </c>
      <c r="AM32" s="324">
        <f t="shared" si="14"/>
        <v>0</v>
      </c>
      <c r="AN32" s="325">
        <f>LET(
imputedIncome,BB32,
avgoQty,AI32, 
perAvgoIncome, iferror(imputedIncome/avgoQty,0),
purchaseDate,C32,
mergerDate,Reference!$B$28,
lotFractionAmount,AK32,
lotFractionGain,AL32,
mergerGain,AM32,
shortTermGain,IF(DATEDIF(purchaseDate,mergerDate,"Y")&gt;=1,
  0,
  lotFractionGain + mergerGain
),
incomeOnFraction,perAvgoIncome*lotFractionAmount, 
shortTermGain + incomeOnFraction + IF(avgoQty=0,imputedIncome-incomeOnFraction,0))</f>
        <v>0</v>
      </c>
      <c r="AO32" s="325">
        <f>LET(
purchaseDate,C32,
mergerDate,Reference!$B$28,
lotFractionGain,AL32,
mergerGain,AM32,
IF(DATEDIF(purchaseDate,mergerDate,"Y")&gt;=1,
  lotFractionGain+mergerGain,
  0
))</f>
        <v>0</v>
      </c>
      <c r="AP32" s="343" t="str">
        <f>IF(DATEDIF(L32,Reference!$B$28,"Y")&gt;=1,"Part II Box D","Part I Box A")</f>
        <v>Part II Box D</v>
      </c>
      <c r="AQ32" s="344" t="str">
        <f t="shared" si="15"/>
        <v/>
      </c>
      <c r="AR32" s="330">
        <f t="shared" si="16"/>
        <v>0</v>
      </c>
      <c r="AS32" s="330">
        <f>LET(
cashReceived,AA32, 
avgoQty,AI32, 
proceedsStyle,Reference!$E$9, 
avgoFMV,Reference!$B$18, 
SWITCH(proceedsStyle, "combined", cashReceived +(avgoQty*avgoFMV), "cashOnly", cashReceived))</f>
        <v>0</v>
      </c>
      <c r="AT32" s="345">
        <f t="shared" si="17"/>
        <v>0</v>
      </c>
      <c r="AU32" s="345" t="str">
        <f t="shared" si="18"/>
        <v/>
      </c>
      <c r="AV32" s="330">
        <f>LET(
proceedsStyle,Reference!$E$9,
proceeds,AS32,
gain,AW32,
numVmwShares,D32, 
vmwBasis, AD32, 
avgoQty,AI32, 
avgoFMV,Reference!$B$18, 
cashReceived,AA32, 
avgoTotalValue, avgoFMV*avgoQty, 
vmwTotalBasis, vmwBasis*numVmwShares,
alternateGainAmount,AJ32, 
basis1099B, AT32,
SWITCH(proceedsStyle,
  "cashOnly",
    proceeds - gain,
  "combined",
    basis1099B - IF(cashReceived&lt;alternateGainAmount,
      avgoTotalValue,
      vmwTotalBasis
  )
))</f>
        <v>0</v>
      </c>
      <c r="AW32" s="331">
        <f>LET(proceedsStyle,Reference!$E$9, proceeds,AS32, basis1099B, AT32, adjustment,AV32, SWITCH(proceedsStyle, "cashOnly", AM32, "combined", MAX(proceeds - basis1099B + adjustment, 0)))</f>
        <v>0</v>
      </c>
      <c r="AX32" s="332" t="str">
        <f t="shared" si="19"/>
        <v>n/a</v>
      </c>
      <c r="AY32" s="332" t="str">
        <f t="shared" si="20"/>
        <v>n/a</v>
      </c>
      <c r="AZ32" s="333">
        <f>LET(saleFMV,Reference!$B$10, postMergerBasis,AY32, avgoQty,AI32, lotFractionAmount,AK32, iferror((saleFMV - postMergerBasis) * (avgoQty - lotFractionAmount), 0))</f>
        <v>0</v>
      </c>
      <c r="BA32" s="334" t="b">
        <f>LET(grantDate,B32, postMergerSaleDate,Reference!$B$29, purchaseBeginDate,A32, AND(DATEDIF(grantDate,postMergerSaleDate,"Y")&gt;=1, DATEDIF(purchaseBeginDate, postMergerSaleDate, "Y")&gt;=2))</f>
        <v>1</v>
      </c>
      <c r="BB32" s="333">
        <f>LET(
vmwBasis,AD32,
numVmwShares,D32,
cashReceived,AA32,
gainRecognized,AM32,
pureAvgoBasis,IFERROR((vmwBasis - (cashReceived + gainRecognized)/numVmwShares),0),
isQualified,BA32,
saleFMV,Reference!$B$10,
actualPrice,L32,
purchaseDateFMV,F32,
grantDateFMV,E32,
gainFromSale,(saleFMV - pureAvgoBasis),
disqualifiedIncome,(purchaseDateFMV - actualPrice),
qualifiedIncome,MIN(
   gainFromSale,
   (0.15 * grantDateFMV)),
income,IF(isQualified,
   qualifiedIncome,
   disqualifiedIncome),
numVmwShares * income)</f>
        <v>0</v>
      </c>
      <c r="BC32" s="335">
        <f>LET(
avgoQty,AI32, 
purchaseDate,C32,
postMergerSaleDate,Reference!$B$29,
saleFMV,Reference!$B$10,
postMergerBasis,AY32, 
IF(DATEDIF(purchaseDate,postMergerSaleDate,"Y")&gt;=1,
  0,
  avgoQty * (saleFMV - postMergerBasis)
))</f>
        <v>0</v>
      </c>
      <c r="BD32" s="336">
        <f>LET(
avgoQty,AI32, 
purchaseDate,C32,
postMergerSaleDate,Reference!$B$29,
saleFMV,Reference!$B$10,
postMergerBasis,AY32, 
IFERROR(IF(DATEDIF(purchaseDate,postMergerSaleDate,"Y")&gt;=1,
  avgoQty * (saleFMV - postMergerBasis),
  0
),0))</f>
        <v>0</v>
      </c>
      <c r="BE32" s="337"/>
    </row>
    <row r="33">
      <c r="A33" s="305" t="str">
        <f t="shared" si="6"/>
        <v/>
      </c>
      <c r="B33" s="350"/>
      <c r="C33" s="351"/>
      <c r="D33" s="352"/>
      <c r="E33" s="309" t="str">
        <f t="array" ref="E33">IF(B33&lt;&gt;"", IFERROR(VLOOKUP(B33, SORT(PriceReference!$A$1:$B1006), 2, TRUE), "price unavailable"), "")</f>
        <v/>
      </c>
      <c r="F33" s="309" t="str">
        <f t="array" ref="F33">IF(C33&lt;&gt;"", IFERROR(VLOOKUP(C33, SORT(PriceReference!$A$1:$B1006), 2, TRUE), "price unavailable"), "")</f>
        <v/>
      </c>
      <c r="G33" s="122"/>
      <c r="H33" s="309">
        <f t="shared" si="7"/>
        <v>0</v>
      </c>
      <c r="I33" s="340" t="str">
        <f t="shared" si="21"/>
        <v/>
      </c>
      <c r="J33" s="309">
        <f t="shared" si="8"/>
        <v>0</v>
      </c>
      <c r="K33" s="309" t="str">
        <f t="shared" si="9"/>
        <v/>
      </c>
      <c r="L33" s="311">
        <f t="shared" si="10"/>
        <v>0</v>
      </c>
      <c r="M33" s="341"/>
      <c r="N33" s="348" t="b">
        <v>0</v>
      </c>
      <c r="O33" s="349"/>
      <c r="P33" s="315">
        <v>0.0</v>
      </c>
      <c r="Q33" s="315">
        <v>0.0</v>
      </c>
      <c r="R33" s="315">
        <v>0.0</v>
      </c>
      <c r="S33" s="315">
        <v>0.0</v>
      </c>
      <c r="T33" s="316">
        <v>0.0</v>
      </c>
      <c r="U33" s="317">
        <f t="shared" si="11"/>
        <v>0</v>
      </c>
      <c r="V33" s="317" t="str">
        <f>SWITCH(W33,"cash",Reference!$E$5,"shares",Reference!$E$6,"balance",Reference!$E$7,"pro-rata",Reference!$B$5)</f>
        <v>#DIV/0!</v>
      </c>
      <c r="W33" s="318" t="s">
        <v>207</v>
      </c>
      <c r="X33" s="319">
        <f>LET(numVmwShares,D33, cashRatio,Reference!$B$4, vmwFinalPrice,Reference!$B$3, numVmwShares * cashRatio * vmwFinalPrice)</f>
        <v>0</v>
      </c>
      <c r="Y33" s="319">
        <f>iferror(LET(numVmwShares,$D33, stockRatio,U33, vmwFinalPrice,Reference!$B$3, (1 - stockRatio) * vmwFinalPrice * numVmwShares),0)</f>
        <v>0</v>
      </c>
      <c r="Z33" s="319">
        <f>iferror(LET(numVmwShares,$D33, stockRatio,V33, vmwFinalPrice,Reference!$B$3, (1 - stockRatio) * vmwFinalPrice * numVmwShares),0)</f>
        <v>0</v>
      </c>
      <c r="AA33" s="319">
        <f>SWITCH(Reference!$E$4,"eTradeTransactionLog", X33, "eTradeHoldingRatio", X33, "eTradeLotQtyRatio",Y33, "manualLotRatio", Z33)</f>
        <v>0</v>
      </c>
      <c r="AB33" s="309">
        <f>LET(purchaseDate,C33, dateOfRecord,Reference!$B$26, returnOfCapital,Reference!$C$26, IF(purchaseDate &lt; dateOfRecord, returnOfCapital,0))</f>
        <v>10.18</v>
      </c>
      <c r="AC33" s="309">
        <f>LET(purchaseDate,C33, dateOfRecord,Reference!$B$27, returnOfCapital,Reference!$C$27, IF(purchaseDate &lt; dateOfRecord, returnOfCapital,0))</f>
        <v>16.58</v>
      </c>
      <c r="AD33" s="309">
        <f t="shared" si="12"/>
        <v>-26.76</v>
      </c>
      <c r="AE33" s="309">
        <f t="shared" si="13"/>
        <v>0</v>
      </c>
      <c r="AF33" s="320">
        <f>LET(numVmwShares,D33, stockRatio,Reference!$B$5, vmwToAvgoRatio,Reference!$B$6, numVmwShares * stockRatio * vmwToAvgoRatio)</f>
        <v>0</v>
      </c>
      <c r="AG33" s="320">
        <f>LET(numVmwShares,D33, stockRatio,U33, vmwToAvgoRatio,Reference!$B$6, numVmwShares * stockRatio * vmwToAvgoRatio)</f>
        <v>0</v>
      </c>
      <c r="AH33" s="320" t="str">
        <f>LET(numVmwShares,D33, stockRatio,V33, vmwToAvgoRatio,Reference!$B$6, numVmwShares * stockRatio * vmwToAvgoRatio)</f>
        <v>#DIV/0!</v>
      </c>
      <c r="AI33" s="320">
        <f>SWITCH(Reference!$E$4,"eTradeTransactionLog", AF33, "eTradeHoldingRatio", AF33, "eTradeLotQtyRatio",AG33, "manualLotRatio", AH33)</f>
        <v>0</v>
      </c>
      <c r="AJ33" s="321">
        <f>LET(numVmwShares,D33, vmwBasis,AD33, avgoQty,AI33, avgoFMV,Reference!$B$18, cashReceived,AA33, gain,cashReceived+(avgoQty*avgoFMV)-(numVmwShares*vmwBasis),
MAX(gain,0))</f>
        <v>0</v>
      </c>
      <c r="AK33" s="322">
        <f>LET(useForFraction,N33, fractionAmount,Summary!$C$41, esppFractionLots,$N$5, rsuFractionLots,RSU!J$5, IF(useForFraction, fractionAmount / (esppFractionLots+rsuFractionLots), 0))</f>
        <v>0</v>
      </c>
      <c r="AL33" s="323">
        <f>LET(useForFraction,N33, fractionSaleFMV,Reference!$B$23, postMergerBasis,AY33, lotFractionAmount,AK33, IF(useForFraction, (fractionSaleFMV - postMergerBasis)*lotFractionAmount, 0))</f>
        <v>0</v>
      </c>
      <c r="AM33" s="324">
        <f t="shared" si="14"/>
        <v>0</v>
      </c>
      <c r="AN33" s="325">
        <f>LET(
imputedIncome,BB33,
avgoQty,AI33, 
perAvgoIncome, iferror(imputedIncome/avgoQty,0),
purchaseDate,C33,
mergerDate,Reference!$B$28,
lotFractionAmount,AK33,
lotFractionGain,AL33,
mergerGain,AM33,
shortTermGain,IF(DATEDIF(purchaseDate,mergerDate,"Y")&gt;=1,
  0,
  lotFractionGain + mergerGain
),
incomeOnFraction,perAvgoIncome*lotFractionAmount, 
shortTermGain + incomeOnFraction + IF(avgoQty=0,imputedIncome-incomeOnFraction,0))</f>
        <v>0</v>
      </c>
      <c r="AO33" s="325">
        <f>LET(
purchaseDate,C33,
mergerDate,Reference!$B$28,
lotFractionGain,AL33,
mergerGain,AM33,
IF(DATEDIF(purchaseDate,mergerDate,"Y")&gt;=1,
  lotFractionGain+mergerGain,
  0
))</f>
        <v>0</v>
      </c>
      <c r="AP33" s="343" t="str">
        <f>IF(DATEDIF(L33,Reference!$B$28,"Y")&gt;=1,"Part II Box D","Part I Box A")</f>
        <v>Part II Box D</v>
      </c>
      <c r="AQ33" s="344" t="str">
        <f t="shared" si="15"/>
        <v/>
      </c>
      <c r="AR33" s="330">
        <f t="shared" si="16"/>
        <v>0</v>
      </c>
      <c r="AS33" s="330">
        <f>LET(
cashReceived,AA33, 
avgoQty,AI33, 
proceedsStyle,Reference!$E$9, 
avgoFMV,Reference!$B$18, 
SWITCH(proceedsStyle, "combined", cashReceived +(avgoQty*avgoFMV), "cashOnly", cashReceived))</f>
        <v>0</v>
      </c>
      <c r="AT33" s="345">
        <f t="shared" si="17"/>
        <v>0</v>
      </c>
      <c r="AU33" s="345" t="str">
        <f t="shared" si="18"/>
        <v/>
      </c>
      <c r="AV33" s="330">
        <f>LET(
proceedsStyle,Reference!$E$9,
proceeds,AS33,
gain,AW33,
numVmwShares,D33, 
vmwBasis, AD33, 
avgoQty,AI33, 
avgoFMV,Reference!$B$18, 
cashReceived,AA33, 
avgoTotalValue, avgoFMV*avgoQty, 
vmwTotalBasis, vmwBasis*numVmwShares,
alternateGainAmount,AJ33, 
basis1099B, AT33,
SWITCH(proceedsStyle,
  "cashOnly",
    proceeds - gain,
  "combined",
    basis1099B - IF(cashReceived&lt;alternateGainAmount,
      avgoTotalValue,
      vmwTotalBasis
  )
))</f>
        <v>0</v>
      </c>
      <c r="AW33" s="331">
        <f>LET(proceedsStyle,Reference!$E$9, proceeds,AS33, basis1099B, AT33, adjustment,AV33, SWITCH(proceedsStyle, "cashOnly", AM33, "combined", MAX(proceeds - basis1099B + adjustment, 0)))</f>
        <v>0</v>
      </c>
      <c r="AX33" s="332" t="str">
        <f t="shared" si="19"/>
        <v>n/a</v>
      </c>
      <c r="AY33" s="332" t="str">
        <f t="shared" si="20"/>
        <v>n/a</v>
      </c>
      <c r="AZ33" s="333">
        <f>LET(saleFMV,Reference!$B$10, postMergerBasis,AY33, avgoQty,AI33, lotFractionAmount,AK33, iferror((saleFMV - postMergerBasis) * (avgoQty - lotFractionAmount), 0))</f>
        <v>0</v>
      </c>
      <c r="BA33" s="334" t="b">
        <f>LET(grantDate,B33, postMergerSaleDate,Reference!$B$29, purchaseBeginDate,A33, AND(DATEDIF(grantDate,postMergerSaleDate,"Y")&gt;=1, DATEDIF(purchaseBeginDate, postMergerSaleDate, "Y")&gt;=2))</f>
        <v>1</v>
      </c>
      <c r="BB33" s="333">
        <f>LET(
vmwBasis,AD33,
numVmwShares,D33,
cashReceived,AA33,
gainRecognized,AM33,
pureAvgoBasis,IFERROR((vmwBasis - (cashReceived + gainRecognized)/numVmwShares),0),
isQualified,BA33,
saleFMV,Reference!$B$10,
actualPrice,L33,
purchaseDateFMV,F33,
grantDateFMV,E33,
gainFromSale,(saleFMV - pureAvgoBasis),
disqualifiedIncome,(purchaseDateFMV - actualPrice),
qualifiedIncome,MIN(
   gainFromSale,
   (0.15 * grantDateFMV)),
income,IF(isQualified,
   qualifiedIncome,
   disqualifiedIncome),
numVmwShares * income)</f>
        <v>0</v>
      </c>
      <c r="BC33" s="335">
        <f>LET(
avgoQty,AI33, 
purchaseDate,C33,
postMergerSaleDate,Reference!$B$29,
saleFMV,Reference!$B$10,
postMergerBasis,AY33, 
IF(DATEDIF(purchaseDate,postMergerSaleDate,"Y")&gt;=1,
  0,
  avgoQty * (saleFMV - postMergerBasis)
))</f>
        <v>0</v>
      </c>
      <c r="BD33" s="336">
        <f>LET(
avgoQty,AI33, 
purchaseDate,C33,
postMergerSaleDate,Reference!$B$29,
saleFMV,Reference!$B$10,
postMergerBasis,AY33, 
IFERROR(IF(DATEDIF(purchaseDate,postMergerSaleDate,"Y")&gt;=1,
  avgoQty * (saleFMV - postMergerBasis),
  0
),0))</f>
        <v>0</v>
      </c>
      <c r="BE33" s="337"/>
    </row>
    <row r="34">
      <c r="A34" s="305" t="str">
        <f t="shared" si="6"/>
        <v/>
      </c>
      <c r="B34" s="350"/>
      <c r="C34" s="351"/>
      <c r="D34" s="352"/>
      <c r="E34" s="309" t="str">
        <f t="array" ref="E34">IF(B34&lt;&gt;"", IFERROR(VLOOKUP(B34, SORT(PriceReference!$A$1:$B1006), 2, TRUE), "price unavailable"), "")</f>
        <v/>
      </c>
      <c r="F34" s="309" t="str">
        <f t="array" ref="F34">IF(C34&lt;&gt;"", IFERROR(VLOOKUP(C34, SORT(PriceReference!$A$1:$B1006), 2, TRUE), "price unavailable"), "")</f>
        <v/>
      </c>
      <c r="G34" s="122"/>
      <c r="H34" s="309">
        <f t="shared" si="7"/>
        <v>0</v>
      </c>
      <c r="I34" s="340" t="str">
        <f t="shared" si="21"/>
        <v/>
      </c>
      <c r="J34" s="309">
        <f t="shared" si="8"/>
        <v>0</v>
      </c>
      <c r="K34" s="309" t="str">
        <f t="shared" si="9"/>
        <v/>
      </c>
      <c r="L34" s="311">
        <f t="shared" si="10"/>
        <v>0</v>
      </c>
      <c r="M34" s="341"/>
      <c r="N34" s="348" t="b">
        <v>0</v>
      </c>
      <c r="O34" s="349"/>
      <c r="P34" s="315">
        <v>0.0</v>
      </c>
      <c r="Q34" s="315">
        <v>0.0</v>
      </c>
      <c r="R34" s="315">
        <v>0.0</v>
      </c>
      <c r="S34" s="315">
        <v>0.0</v>
      </c>
      <c r="T34" s="316">
        <v>0.0</v>
      </c>
      <c r="U34" s="317">
        <f t="shared" si="11"/>
        <v>0</v>
      </c>
      <c r="V34" s="317" t="str">
        <f>SWITCH(W34,"cash",Reference!$E$5,"shares",Reference!$E$6,"balance",Reference!$E$7,"pro-rata",Reference!$B$5)</f>
        <v>#DIV/0!</v>
      </c>
      <c r="W34" s="318" t="s">
        <v>207</v>
      </c>
      <c r="X34" s="319">
        <f>LET(numVmwShares,D34, cashRatio,Reference!$B$4, vmwFinalPrice,Reference!$B$3, numVmwShares * cashRatio * vmwFinalPrice)</f>
        <v>0</v>
      </c>
      <c r="Y34" s="319">
        <f>iferror(LET(numVmwShares,$D34, stockRatio,U34, vmwFinalPrice,Reference!$B$3, (1 - stockRatio) * vmwFinalPrice * numVmwShares),0)</f>
        <v>0</v>
      </c>
      <c r="Z34" s="319">
        <f>iferror(LET(numVmwShares,$D34, stockRatio,V34, vmwFinalPrice,Reference!$B$3, (1 - stockRatio) * vmwFinalPrice * numVmwShares),0)</f>
        <v>0</v>
      </c>
      <c r="AA34" s="319">
        <f>SWITCH(Reference!$E$4,"eTradeTransactionLog", X34, "eTradeHoldingRatio", X34, "eTradeLotQtyRatio",Y34, "manualLotRatio", Z34)</f>
        <v>0</v>
      </c>
      <c r="AB34" s="309">
        <f>LET(purchaseDate,C34, dateOfRecord,Reference!$B$26, returnOfCapital,Reference!$C$26, IF(purchaseDate &lt; dateOfRecord, returnOfCapital,0))</f>
        <v>10.18</v>
      </c>
      <c r="AC34" s="309">
        <f>LET(purchaseDate,C34, dateOfRecord,Reference!$B$27, returnOfCapital,Reference!$C$27, IF(purchaseDate &lt; dateOfRecord, returnOfCapital,0))</f>
        <v>16.58</v>
      </c>
      <c r="AD34" s="309">
        <f t="shared" si="12"/>
        <v>-26.76</v>
      </c>
      <c r="AE34" s="309">
        <f t="shared" si="13"/>
        <v>0</v>
      </c>
      <c r="AF34" s="320">
        <f>LET(numVmwShares,D34, stockRatio,Reference!$B$5, vmwToAvgoRatio,Reference!$B$6, numVmwShares * stockRatio * vmwToAvgoRatio)</f>
        <v>0</v>
      </c>
      <c r="AG34" s="320">
        <f>LET(numVmwShares,D34, stockRatio,U34, vmwToAvgoRatio,Reference!$B$6, numVmwShares * stockRatio * vmwToAvgoRatio)</f>
        <v>0</v>
      </c>
      <c r="AH34" s="320" t="str">
        <f>LET(numVmwShares,D34, stockRatio,V34, vmwToAvgoRatio,Reference!$B$6, numVmwShares * stockRatio * vmwToAvgoRatio)</f>
        <v>#DIV/0!</v>
      </c>
      <c r="AI34" s="320">
        <f>SWITCH(Reference!$E$4,"eTradeTransactionLog", AF34, "eTradeHoldingRatio", AF34, "eTradeLotQtyRatio",AG34, "manualLotRatio", AH34)</f>
        <v>0</v>
      </c>
      <c r="AJ34" s="321">
        <f>LET(numVmwShares,D34, vmwBasis,AD34, avgoQty,AI34, avgoFMV,Reference!$B$18, cashReceived,AA34, gain,cashReceived+(avgoQty*avgoFMV)-(numVmwShares*vmwBasis),
MAX(gain,0))</f>
        <v>0</v>
      </c>
      <c r="AK34" s="322">
        <f>LET(useForFraction,N34, fractionAmount,Summary!$C$41, esppFractionLots,$N$5, rsuFractionLots,RSU!J$5, IF(useForFraction, fractionAmount / (esppFractionLots+rsuFractionLots), 0))</f>
        <v>0</v>
      </c>
      <c r="AL34" s="323">
        <f>LET(useForFraction,N34, fractionSaleFMV,Reference!$B$23, postMergerBasis,AY34, lotFractionAmount,AK34, IF(useForFraction, (fractionSaleFMV - postMergerBasis)*lotFractionAmount, 0))</f>
        <v>0</v>
      </c>
      <c r="AM34" s="324">
        <f t="shared" si="14"/>
        <v>0</v>
      </c>
      <c r="AN34" s="325">
        <f>LET(
imputedIncome,BB34,
avgoQty,AI34, 
perAvgoIncome, iferror(imputedIncome/avgoQty,0),
purchaseDate,C34,
mergerDate,Reference!$B$28,
lotFractionAmount,AK34,
lotFractionGain,AL34,
mergerGain,AM34,
shortTermGain,IF(DATEDIF(purchaseDate,mergerDate,"Y")&gt;=1,
  0,
  lotFractionGain + mergerGain
),
incomeOnFraction,perAvgoIncome*lotFractionAmount, 
shortTermGain + incomeOnFraction + IF(avgoQty=0,imputedIncome-incomeOnFraction,0))</f>
        <v>0</v>
      </c>
      <c r="AO34" s="325">
        <f>LET(
purchaseDate,C34,
mergerDate,Reference!$B$28,
lotFractionGain,AL34,
mergerGain,AM34,
IF(DATEDIF(purchaseDate,mergerDate,"Y")&gt;=1,
  lotFractionGain+mergerGain,
  0
))</f>
        <v>0</v>
      </c>
      <c r="AP34" s="343" t="str">
        <f>IF(DATEDIF(L34,Reference!$B$28,"Y")&gt;=1,"Part II Box D","Part I Box A")</f>
        <v>Part II Box D</v>
      </c>
      <c r="AQ34" s="344" t="str">
        <f t="shared" si="15"/>
        <v/>
      </c>
      <c r="AR34" s="330">
        <f t="shared" si="16"/>
        <v>0</v>
      </c>
      <c r="AS34" s="330">
        <f>LET(
cashReceived,AA34, 
avgoQty,AI34, 
proceedsStyle,Reference!$E$9, 
avgoFMV,Reference!$B$18, 
SWITCH(proceedsStyle, "combined", cashReceived +(avgoQty*avgoFMV), "cashOnly", cashReceived))</f>
        <v>0</v>
      </c>
      <c r="AT34" s="345">
        <f t="shared" si="17"/>
        <v>0</v>
      </c>
      <c r="AU34" s="345" t="str">
        <f t="shared" si="18"/>
        <v/>
      </c>
      <c r="AV34" s="330">
        <f>LET(
proceedsStyle,Reference!$E$9,
proceeds,AS34,
gain,AW34,
numVmwShares,D34, 
vmwBasis, AD34, 
avgoQty,AI34, 
avgoFMV,Reference!$B$18, 
cashReceived,AA34, 
avgoTotalValue, avgoFMV*avgoQty, 
vmwTotalBasis, vmwBasis*numVmwShares,
alternateGainAmount,AJ34, 
basis1099B, AT34,
SWITCH(proceedsStyle,
  "cashOnly",
    proceeds - gain,
  "combined",
    basis1099B - IF(cashReceived&lt;alternateGainAmount,
      avgoTotalValue,
      vmwTotalBasis
  )
))</f>
        <v>0</v>
      </c>
      <c r="AW34" s="331">
        <f>LET(proceedsStyle,Reference!$E$9, proceeds,AS34, basis1099B, AT34, adjustment,AV34, SWITCH(proceedsStyle, "cashOnly", AM34, "combined", MAX(proceeds - basis1099B + adjustment, 0)))</f>
        <v>0</v>
      </c>
      <c r="AX34" s="332" t="str">
        <f t="shared" si="19"/>
        <v>n/a</v>
      </c>
      <c r="AY34" s="332" t="str">
        <f t="shared" si="20"/>
        <v>n/a</v>
      </c>
      <c r="AZ34" s="333">
        <f>LET(saleFMV,Reference!$B$10, postMergerBasis,AY34, avgoQty,AI34, lotFractionAmount,AK34, iferror((saleFMV - postMergerBasis) * (avgoQty - lotFractionAmount), 0))</f>
        <v>0</v>
      </c>
      <c r="BA34" s="334" t="b">
        <f>LET(grantDate,B34, postMergerSaleDate,Reference!$B$29, purchaseBeginDate,A34, AND(DATEDIF(grantDate,postMergerSaleDate,"Y")&gt;=1, DATEDIF(purchaseBeginDate, postMergerSaleDate, "Y")&gt;=2))</f>
        <v>1</v>
      </c>
      <c r="BB34" s="333">
        <f>LET(
vmwBasis,AD34,
numVmwShares,D34,
cashReceived,AA34,
gainRecognized,AM34,
pureAvgoBasis,IFERROR((vmwBasis - (cashReceived + gainRecognized)/numVmwShares),0),
isQualified,BA34,
saleFMV,Reference!$B$10,
actualPrice,L34,
purchaseDateFMV,F34,
grantDateFMV,E34,
gainFromSale,(saleFMV - pureAvgoBasis),
disqualifiedIncome,(purchaseDateFMV - actualPrice),
qualifiedIncome,MIN(
   gainFromSale,
   (0.15 * grantDateFMV)),
income,IF(isQualified,
   qualifiedIncome,
   disqualifiedIncome),
numVmwShares * income)</f>
        <v>0</v>
      </c>
      <c r="BC34" s="335">
        <f>LET(
avgoQty,AI34, 
purchaseDate,C34,
postMergerSaleDate,Reference!$B$29,
saleFMV,Reference!$B$10,
postMergerBasis,AY34, 
IF(DATEDIF(purchaseDate,postMergerSaleDate,"Y")&gt;=1,
  0,
  avgoQty * (saleFMV - postMergerBasis)
))</f>
        <v>0</v>
      </c>
      <c r="BD34" s="336">
        <f>LET(
avgoQty,AI34, 
purchaseDate,C34,
postMergerSaleDate,Reference!$B$29,
saleFMV,Reference!$B$10,
postMergerBasis,AY34, 
IFERROR(IF(DATEDIF(purchaseDate,postMergerSaleDate,"Y")&gt;=1,
  avgoQty * (saleFMV - postMergerBasis),
  0
),0))</f>
        <v>0</v>
      </c>
      <c r="BE34" s="337"/>
    </row>
    <row r="35">
      <c r="A35" s="305" t="str">
        <f t="shared" si="6"/>
        <v/>
      </c>
      <c r="B35" s="350"/>
      <c r="C35" s="351"/>
      <c r="D35" s="352"/>
      <c r="E35" s="309" t="str">
        <f t="array" ref="E35">IF(B35&lt;&gt;"", IFERROR(VLOOKUP(B35, SORT(PriceReference!$A$1:$B1006), 2, TRUE), "price unavailable"), "")</f>
        <v/>
      </c>
      <c r="F35" s="309" t="str">
        <f t="array" ref="F35">IF(C35&lt;&gt;"", IFERROR(VLOOKUP(C35, SORT(PriceReference!$A$1:$B1006), 2, TRUE), "price unavailable"), "")</f>
        <v/>
      </c>
      <c r="G35" s="122"/>
      <c r="H35" s="309">
        <f t="shared" si="7"/>
        <v>0</v>
      </c>
      <c r="I35" s="340" t="str">
        <f t="shared" si="21"/>
        <v/>
      </c>
      <c r="J35" s="309">
        <f t="shared" si="8"/>
        <v>0</v>
      </c>
      <c r="K35" s="309" t="str">
        <f t="shared" si="9"/>
        <v/>
      </c>
      <c r="L35" s="311">
        <f t="shared" si="10"/>
        <v>0</v>
      </c>
      <c r="M35" s="341"/>
      <c r="N35" s="348" t="b">
        <v>0</v>
      </c>
      <c r="O35" s="349"/>
      <c r="P35" s="315">
        <v>0.0</v>
      </c>
      <c r="Q35" s="315">
        <v>0.0</v>
      </c>
      <c r="R35" s="315">
        <v>0.0</v>
      </c>
      <c r="S35" s="315">
        <v>0.0</v>
      </c>
      <c r="T35" s="316">
        <v>0.0</v>
      </c>
      <c r="U35" s="317">
        <f t="shared" si="11"/>
        <v>0</v>
      </c>
      <c r="V35" s="317" t="str">
        <f>SWITCH(W35,"cash",Reference!$E$5,"shares",Reference!$E$6,"balance",Reference!$E$7,"pro-rata",Reference!$B$5)</f>
        <v>#DIV/0!</v>
      </c>
      <c r="W35" s="318" t="s">
        <v>207</v>
      </c>
      <c r="X35" s="319">
        <f>LET(numVmwShares,D35, cashRatio,Reference!$B$4, vmwFinalPrice,Reference!$B$3, numVmwShares * cashRatio * vmwFinalPrice)</f>
        <v>0</v>
      </c>
      <c r="Y35" s="319">
        <f>iferror(LET(numVmwShares,$D35, stockRatio,U35, vmwFinalPrice,Reference!$B$3, (1 - stockRatio) * vmwFinalPrice * numVmwShares),0)</f>
        <v>0</v>
      </c>
      <c r="Z35" s="319">
        <f>iferror(LET(numVmwShares,$D35, stockRatio,V35, vmwFinalPrice,Reference!$B$3, (1 - stockRatio) * vmwFinalPrice * numVmwShares),0)</f>
        <v>0</v>
      </c>
      <c r="AA35" s="319">
        <f>SWITCH(Reference!$E$4,"eTradeTransactionLog", X35, "eTradeHoldingRatio", X35, "eTradeLotQtyRatio",Y35, "manualLotRatio", Z35)</f>
        <v>0</v>
      </c>
      <c r="AB35" s="309">
        <f>LET(purchaseDate,C35, dateOfRecord,Reference!$B$26, returnOfCapital,Reference!$C$26, IF(purchaseDate &lt; dateOfRecord, returnOfCapital,0))</f>
        <v>10.18</v>
      </c>
      <c r="AC35" s="309">
        <f>LET(purchaseDate,C35, dateOfRecord,Reference!$B$27, returnOfCapital,Reference!$C$27, IF(purchaseDate &lt; dateOfRecord, returnOfCapital,0))</f>
        <v>16.58</v>
      </c>
      <c r="AD35" s="309">
        <f t="shared" si="12"/>
        <v>-26.76</v>
      </c>
      <c r="AE35" s="309">
        <f t="shared" si="13"/>
        <v>0</v>
      </c>
      <c r="AF35" s="320">
        <f>LET(numVmwShares,D35, stockRatio,Reference!$B$5, vmwToAvgoRatio,Reference!$B$6, numVmwShares * stockRatio * vmwToAvgoRatio)</f>
        <v>0</v>
      </c>
      <c r="AG35" s="320">
        <f>LET(numVmwShares,D35, stockRatio,U35, vmwToAvgoRatio,Reference!$B$6, numVmwShares * stockRatio * vmwToAvgoRatio)</f>
        <v>0</v>
      </c>
      <c r="AH35" s="320" t="str">
        <f>LET(numVmwShares,D35, stockRatio,V35, vmwToAvgoRatio,Reference!$B$6, numVmwShares * stockRatio * vmwToAvgoRatio)</f>
        <v>#DIV/0!</v>
      </c>
      <c r="AI35" s="320">
        <f>SWITCH(Reference!$E$4,"eTradeTransactionLog", AF35, "eTradeHoldingRatio", AF35, "eTradeLotQtyRatio",AG35, "manualLotRatio", AH35)</f>
        <v>0</v>
      </c>
      <c r="AJ35" s="321">
        <f>LET(numVmwShares,D35, vmwBasis,AD35, avgoQty,AI35, avgoFMV,Reference!$B$18, cashReceived,AA35, gain,cashReceived+(avgoQty*avgoFMV)-(numVmwShares*vmwBasis),
MAX(gain,0))</f>
        <v>0</v>
      </c>
      <c r="AK35" s="322">
        <f>LET(useForFraction,N35, fractionAmount,Summary!$C$41, esppFractionLots,$N$5, rsuFractionLots,RSU!J$5, IF(useForFraction, fractionAmount / (esppFractionLots+rsuFractionLots), 0))</f>
        <v>0</v>
      </c>
      <c r="AL35" s="323">
        <f>LET(useForFraction,N35, fractionSaleFMV,Reference!$B$23, postMergerBasis,AY35, lotFractionAmount,AK35, IF(useForFraction, (fractionSaleFMV - postMergerBasis)*lotFractionAmount, 0))</f>
        <v>0</v>
      </c>
      <c r="AM35" s="324">
        <f t="shared" si="14"/>
        <v>0</v>
      </c>
      <c r="AN35" s="325">
        <f>LET(
imputedIncome,BB35,
avgoQty,AI35, 
perAvgoIncome, iferror(imputedIncome/avgoQty,0),
purchaseDate,C35,
mergerDate,Reference!$B$28,
lotFractionAmount,AK35,
lotFractionGain,AL35,
mergerGain,AM35,
shortTermGain,IF(DATEDIF(purchaseDate,mergerDate,"Y")&gt;=1,
  0,
  lotFractionGain + mergerGain
),
incomeOnFraction,perAvgoIncome*lotFractionAmount, 
shortTermGain + incomeOnFraction + IF(avgoQty=0,imputedIncome-incomeOnFraction,0))</f>
        <v>0</v>
      </c>
      <c r="AO35" s="325">
        <f>LET(
purchaseDate,C35,
mergerDate,Reference!$B$28,
lotFractionGain,AL35,
mergerGain,AM35,
IF(DATEDIF(purchaseDate,mergerDate,"Y")&gt;=1,
  lotFractionGain+mergerGain,
  0
))</f>
        <v>0</v>
      </c>
      <c r="AP35" s="343" t="str">
        <f>IF(DATEDIF(L35,Reference!$B$28,"Y")&gt;=1,"Part II Box D","Part I Box A")</f>
        <v>Part II Box D</v>
      </c>
      <c r="AQ35" s="344" t="str">
        <f t="shared" si="15"/>
        <v/>
      </c>
      <c r="AR35" s="330">
        <f t="shared" si="16"/>
        <v>0</v>
      </c>
      <c r="AS35" s="330">
        <f>LET(
cashReceived,AA35, 
avgoQty,AI35, 
proceedsStyle,Reference!$E$9, 
avgoFMV,Reference!$B$18, 
SWITCH(proceedsStyle, "combined", cashReceived +(avgoQty*avgoFMV), "cashOnly", cashReceived))</f>
        <v>0</v>
      </c>
      <c r="AT35" s="345">
        <f t="shared" si="17"/>
        <v>0</v>
      </c>
      <c r="AU35" s="345" t="str">
        <f t="shared" si="18"/>
        <v/>
      </c>
      <c r="AV35" s="330">
        <f>LET(
proceedsStyle,Reference!$E$9,
proceeds,AS35,
gain,AW35,
numVmwShares,D35, 
vmwBasis, AD35, 
avgoQty,AI35, 
avgoFMV,Reference!$B$18, 
cashReceived,AA35, 
avgoTotalValue, avgoFMV*avgoQty, 
vmwTotalBasis, vmwBasis*numVmwShares,
alternateGainAmount,AJ35, 
basis1099B, AT35,
SWITCH(proceedsStyle,
  "cashOnly",
    proceeds - gain,
  "combined",
    basis1099B - IF(cashReceived&lt;alternateGainAmount,
      avgoTotalValue,
      vmwTotalBasis
  )
))</f>
        <v>0</v>
      </c>
      <c r="AW35" s="331">
        <f>LET(proceedsStyle,Reference!$E$9, proceeds,AS35, basis1099B, AT35, adjustment,AV35, SWITCH(proceedsStyle, "cashOnly", AM35, "combined", MAX(proceeds - basis1099B + adjustment, 0)))</f>
        <v>0</v>
      </c>
      <c r="AX35" s="332" t="str">
        <f t="shared" si="19"/>
        <v>n/a</v>
      </c>
      <c r="AY35" s="332" t="str">
        <f t="shared" si="20"/>
        <v>n/a</v>
      </c>
      <c r="AZ35" s="333">
        <f>LET(saleFMV,Reference!$B$10, postMergerBasis,AY35, avgoQty,AI35, lotFractionAmount,AK35, iferror((saleFMV - postMergerBasis) * (avgoQty - lotFractionAmount), 0))</f>
        <v>0</v>
      </c>
      <c r="BA35" s="334" t="b">
        <f>LET(grantDate,B35, postMergerSaleDate,Reference!$B$29, purchaseBeginDate,A35, AND(DATEDIF(grantDate,postMergerSaleDate,"Y")&gt;=1, DATEDIF(purchaseBeginDate, postMergerSaleDate, "Y")&gt;=2))</f>
        <v>1</v>
      </c>
      <c r="BB35" s="333">
        <f>LET(
vmwBasis,AD35,
numVmwShares,D35,
cashReceived,AA35,
gainRecognized,AM35,
pureAvgoBasis,IFERROR((vmwBasis - (cashReceived + gainRecognized)/numVmwShares),0),
isQualified,BA35,
saleFMV,Reference!$B$10,
actualPrice,L35,
purchaseDateFMV,F35,
grantDateFMV,E35,
gainFromSale,(saleFMV - pureAvgoBasis),
disqualifiedIncome,(purchaseDateFMV - actualPrice),
qualifiedIncome,MIN(
   gainFromSale,
   (0.15 * grantDateFMV)),
income,IF(isQualified,
   qualifiedIncome,
   disqualifiedIncome),
numVmwShares * income)</f>
        <v>0</v>
      </c>
      <c r="BC35" s="335">
        <f>LET(
avgoQty,AI35, 
purchaseDate,C35,
postMergerSaleDate,Reference!$B$29,
saleFMV,Reference!$B$10,
postMergerBasis,AY35, 
IF(DATEDIF(purchaseDate,postMergerSaleDate,"Y")&gt;=1,
  0,
  avgoQty * (saleFMV - postMergerBasis)
))</f>
        <v>0</v>
      </c>
      <c r="BD35" s="336">
        <f>LET(
avgoQty,AI35, 
purchaseDate,C35,
postMergerSaleDate,Reference!$B$29,
saleFMV,Reference!$B$10,
postMergerBasis,AY35, 
IFERROR(IF(DATEDIF(purchaseDate,postMergerSaleDate,"Y")&gt;=1,
  avgoQty * (saleFMV - postMergerBasis),
  0
),0))</f>
        <v>0</v>
      </c>
      <c r="BE35" s="337"/>
    </row>
  </sheetData>
  <mergeCells count="19">
    <mergeCell ref="A1:W1"/>
    <mergeCell ref="X1:BD1"/>
    <mergeCell ref="M2:N2"/>
    <mergeCell ref="U2:W2"/>
    <mergeCell ref="X2:AJ2"/>
    <mergeCell ref="AL2:AW2"/>
    <mergeCell ref="AY2:BD2"/>
    <mergeCell ref="AF3:AI3"/>
    <mergeCell ref="AL3:AM3"/>
    <mergeCell ref="AN3:AO3"/>
    <mergeCell ref="AP3:AW3"/>
    <mergeCell ref="AY3:BD3"/>
    <mergeCell ref="A2:L2"/>
    <mergeCell ref="B3:G3"/>
    <mergeCell ref="I3:L3"/>
    <mergeCell ref="O3:T3"/>
    <mergeCell ref="U3:W3"/>
    <mergeCell ref="X3:AA3"/>
    <mergeCell ref="AB3:AC3"/>
  </mergeCells>
  <conditionalFormatting sqref="M7:M35">
    <cfRule type="cellIs" dxfId="6" priority="1" operator="notEqual">
      <formula>ROUND(AF7,3)</formula>
    </cfRule>
  </conditionalFormatting>
  <conditionalFormatting sqref="AM7:AM35">
    <cfRule type="cellIs" dxfId="7" priority="2" operator="notEqual">
      <formula>AA7</formula>
    </cfRule>
  </conditionalFormatting>
  <conditionalFormatting sqref="AL7:AL35">
    <cfRule type="cellIs" dxfId="8" priority="3" operator="equal">
      <formula>0</formula>
    </cfRule>
  </conditionalFormatting>
  <conditionalFormatting sqref="AL7:AL35">
    <cfRule type="cellIs" dxfId="9" priority="4" operator="notEqual">
      <formula>0</formula>
    </cfRule>
  </conditionalFormatting>
  <conditionalFormatting sqref="O7:O35">
    <cfRule type="cellIs" dxfId="6" priority="5" operator="notEqual">
      <formula>"AA7"</formula>
    </cfRule>
  </conditionalFormatting>
  <dataValidations>
    <dataValidation type="decimal" operator="greaterThanOrEqual" allowBlank="1" showDropDown="1" showErrorMessage="1" sqref="D7:D35 G7:G35 M7:M35">
      <formula1>0.0</formula1>
    </dataValidation>
    <dataValidation type="list" allowBlank="1" showErrorMessage="1" sqref="W7:W35">
      <formula1>"balance,cash,shares,pro-rata"</formula1>
    </dataValidation>
  </dataValidations>
  <hyperlinks>
    <hyperlink r:id="rId2" location=":~:text=Attach%20a%20statement%20to%20your%20return%20explaining%20the%20adjustment%20that%20you%20made%20to%20the%20sales%20proceeds%20reported%20for%20that%20transaction." ref="AS6"/>
  </hyperlinks>
  <drawing r:id="rId3"/>
  <legacyDrawing r:id="rId4"/>
  <tableParts count="1">
    <tablePart r:id="rId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hidden="1" min="1" max="1" width="12.63"/>
    <col customWidth="1" hidden="1" min="2" max="2" width="9.5"/>
    <col customWidth="1" min="3" max="3" width="21.13"/>
    <col customWidth="1" min="4" max="4" width="14.75"/>
    <col customWidth="1" hidden="1" min="5" max="5" width="19.25"/>
    <col customWidth="1" hidden="1" min="6" max="6" width="24.75"/>
    <col customWidth="1" hidden="1" min="7" max="7" width="21.25"/>
    <col customWidth="1" hidden="1" min="8" max="8" width="15.63"/>
    <col customWidth="1" min="9" max="9" width="24.38"/>
    <col customWidth="1" min="10" max="10" width="12.25"/>
    <col customWidth="1" hidden="1" min="11" max="11" width="11.5"/>
    <col customWidth="1" hidden="1" min="12" max="12" width="15.5"/>
    <col customWidth="1" hidden="1" min="13" max="13" width="22.63"/>
    <col customWidth="1" hidden="1" min="14" max="14" width="24.88"/>
    <col customWidth="1" hidden="1" min="15" max="15" width="14.75"/>
    <col customWidth="1" hidden="1" min="16" max="17" width="15.5"/>
    <col customWidth="1" hidden="1" min="18" max="18" width="11.63"/>
    <col customWidth="1" min="19" max="19" width="14.38"/>
    <col customWidth="1" hidden="1" min="20" max="20" width="12.5"/>
    <col customWidth="1" hidden="1" min="21" max="21" width="17.38"/>
    <col customWidth="1" hidden="1" min="22" max="22" width="11.63"/>
    <col customWidth="1" hidden="1" min="23" max="23" width="11.38"/>
    <col customWidth="1" hidden="1" min="24" max="24" width="28.0"/>
    <col customWidth="1" hidden="1" min="25" max="25" width="23.38"/>
    <col customWidth="1" hidden="1" min="26" max="26" width="21.0"/>
    <col customWidth="1" hidden="1" min="27" max="31" width="18.88"/>
    <col customWidth="1" hidden="1" min="32" max="32" width="23.75"/>
    <col hidden="1" min="33" max="33" width="12.63"/>
    <col customWidth="1" min="36" max="36" width="19.63"/>
    <col customWidth="1" min="37" max="37" width="12.13"/>
    <col customWidth="1" min="38" max="38" width="15.0"/>
    <col customWidth="1" min="39" max="39" width="13.0"/>
    <col customWidth="1" min="40" max="40" width="13.88"/>
    <col customWidth="1" min="41" max="41" width="12.13"/>
    <col customWidth="1" min="42" max="42" width="13.25"/>
    <col customWidth="1" min="43" max="45" width="12.13"/>
    <col customWidth="1" min="46" max="46" width="19.75"/>
    <col customWidth="1" min="47" max="47" width="23.38"/>
    <col customWidth="1" min="48" max="48" width="18.75"/>
    <col customWidth="1" min="49" max="50" width="19.88"/>
  </cols>
  <sheetData>
    <row r="1">
      <c r="A1" s="353" t="s">
        <v>2</v>
      </c>
      <c r="T1" s="354" t="s">
        <v>140</v>
      </c>
      <c r="AW1" s="230"/>
      <c r="AX1" s="355"/>
    </row>
    <row r="2">
      <c r="A2" s="356" t="s">
        <v>208</v>
      </c>
      <c r="B2" s="184"/>
      <c r="C2" s="184"/>
      <c r="D2" s="184"/>
      <c r="E2" s="184"/>
      <c r="F2" s="184"/>
      <c r="G2" s="184"/>
      <c r="H2" s="185"/>
      <c r="I2" s="357" t="s">
        <v>142</v>
      </c>
      <c r="J2" s="184"/>
      <c r="K2" s="184"/>
      <c r="L2" s="184"/>
      <c r="M2" s="184"/>
      <c r="N2" s="184"/>
      <c r="O2" s="184"/>
      <c r="P2" s="185"/>
      <c r="Q2" s="236"/>
      <c r="R2" s="184"/>
      <c r="S2" s="185"/>
      <c r="T2" s="356" t="s">
        <v>143</v>
      </c>
      <c r="U2" s="184"/>
      <c r="V2" s="184"/>
      <c r="W2" s="184"/>
      <c r="X2" s="184"/>
      <c r="Y2" s="184"/>
      <c r="Z2" s="184"/>
      <c r="AA2" s="184"/>
      <c r="AB2" s="184"/>
      <c r="AC2" s="184"/>
      <c r="AD2" s="184"/>
      <c r="AE2" s="184"/>
      <c r="AF2" s="184"/>
      <c r="AG2" s="358"/>
      <c r="AH2" s="356" t="s">
        <v>144</v>
      </c>
      <c r="AI2" s="184"/>
      <c r="AJ2" s="184"/>
      <c r="AK2" s="184"/>
      <c r="AL2" s="184"/>
      <c r="AM2" s="184"/>
      <c r="AN2" s="184"/>
      <c r="AO2" s="184"/>
      <c r="AP2" s="184"/>
      <c r="AQ2" s="184"/>
      <c r="AR2" s="184"/>
      <c r="AS2" s="185"/>
      <c r="AT2" s="236" t="s">
        <v>145</v>
      </c>
      <c r="AU2" s="184"/>
      <c r="AV2" s="184"/>
      <c r="AW2" s="185"/>
      <c r="AX2" s="237"/>
    </row>
    <row r="3">
      <c r="A3" s="359"/>
      <c r="B3" s="360" t="s">
        <v>146</v>
      </c>
      <c r="F3" s="361" t="s">
        <v>209</v>
      </c>
      <c r="G3" s="362" t="s">
        <v>147</v>
      </c>
      <c r="H3" s="230"/>
      <c r="I3" s="363" t="s">
        <v>149</v>
      </c>
      <c r="K3" s="364" t="s">
        <v>150</v>
      </c>
      <c r="L3" s="243"/>
      <c r="M3" s="243"/>
      <c r="N3" s="243"/>
      <c r="O3" s="243"/>
      <c r="P3" s="244"/>
      <c r="Q3" s="364" t="s">
        <v>151</v>
      </c>
      <c r="R3" s="243"/>
      <c r="S3" s="244"/>
      <c r="T3" s="246" t="s">
        <v>152</v>
      </c>
      <c r="W3" s="230"/>
      <c r="X3" s="360" t="s">
        <v>153</v>
      </c>
      <c r="Y3" s="230"/>
      <c r="Z3" s="360" t="s">
        <v>210</v>
      </c>
      <c r="AB3" s="247" t="s">
        <v>89</v>
      </c>
      <c r="AE3" s="230"/>
      <c r="AF3" s="360" t="s">
        <v>155</v>
      </c>
      <c r="AG3" s="362"/>
      <c r="AH3" s="360" t="s">
        <v>156</v>
      </c>
      <c r="AI3" s="230"/>
      <c r="AJ3" s="360" t="s">
        <v>211</v>
      </c>
      <c r="AK3" s="230"/>
      <c r="AL3" s="137" t="s">
        <v>111</v>
      </c>
      <c r="AS3" s="230"/>
      <c r="AT3" s="248" t="s">
        <v>157</v>
      </c>
      <c r="AW3" s="230"/>
      <c r="AX3" s="248"/>
    </row>
    <row r="4">
      <c r="A4" s="365" t="s">
        <v>212</v>
      </c>
      <c r="B4" s="366" t="s">
        <v>213</v>
      </c>
      <c r="C4" s="366" t="s">
        <v>214</v>
      </c>
      <c r="D4" s="367" t="s">
        <v>215</v>
      </c>
      <c r="E4" s="261" t="s">
        <v>216</v>
      </c>
      <c r="F4" s="368" t="s">
        <v>217</v>
      </c>
      <c r="G4" s="369" t="s">
        <v>218</v>
      </c>
      <c r="H4" s="365" t="s">
        <v>219</v>
      </c>
      <c r="I4" s="370" t="s">
        <v>170</v>
      </c>
      <c r="J4" s="371" t="s">
        <v>171</v>
      </c>
      <c r="K4" s="372" t="s">
        <v>172</v>
      </c>
      <c r="L4" s="187" t="s">
        <v>173</v>
      </c>
      <c r="M4" s="187" t="s">
        <v>174</v>
      </c>
      <c r="N4" s="187" t="s">
        <v>175</v>
      </c>
      <c r="O4" s="187" t="s">
        <v>176</v>
      </c>
      <c r="P4" s="373" t="s">
        <v>177</v>
      </c>
      <c r="Q4" s="187" t="s">
        <v>178</v>
      </c>
      <c r="R4" s="187" t="s">
        <v>179</v>
      </c>
      <c r="S4" s="373" t="s">
        <v>180</v>
      </c>
      <c r="T4" s="253" t="s">
        <v>181</v>
      </c>
      <c r="U4" s="261" t="s">
        <v>182</v>
      </c>
      <c r="V4" s="261" t="s">
        <v>183</v>
      </c>
      <c r="W4" s="261" t="s">
        <v>184</v>
      </c>
      <c r="X4" s="367" t="s">
        <v>185</v>
      </c>
      <c r="Y4" s="365" t="s">
        <v>186</v>
      </c>
      <c r="Z4" s="261" t="s">
        <v>187</v>
      </c>
      <c r="AA4" s="261" t="s">
        <v>188</v>
      </c>
      <c r="AB4" s="263" t="s">
        <v>181</v>
      </c>
      <c r="AC4" s="253" t="s">
        <v>189</v>
      </c>
      <c r="AD4" s="253" t="s">
        <v>183</v>
      </c>
      <c r="AE4" s="262" t="s">
        <v>190</v>
      </c>
      <c r="AF4" s="367" t="s">
        <v>191</v>
      </c>
      <c r="AG4" s="374" t="s">
        <v>100</v>
      </c>
      <c r="AH4" s="375" t="s">
        <v>192</v>
      </c>
      <c r="AI4" s="365" t="s">
        <v>99</v>
      </c>
      <c r="AJ4" s="261" t="s">
        <v>193</v>
      </c>
      <c r="AK4" s="376" t="s">
        <v>194</v>
      </c>
      <c r="AL4" s="377" t="s">
        <v>195</v>
      </c>
      <c r="AM4" s="378" t="s">
        <v>196</v>
      </c>
      <c r="AN4" s="378" t="s">
        <v>197</v>
      </c>
      <c r="AO4" s="378" t="s">
        <v>112</v>
      </c>
      <c r="AP4" s="378" t="s">
        <v>113</v>
      </c>
      <c r="AQ4" s="378" t="s">
        <v>114</v>
      </c>
      <c r="AR4" s="378" t="s">
        <v>115</v>
      </c>
      <c r="AS4" s="379" t="s">
        <v>116</v>
      </c>
      <c r="AT4" s="380" t="s">
        <v>198</v>
      </c>
      <c r="AU4" s="380" t="s">
        <v>200</v>
      </c>
      <c r="AV4" s="270" t="s">
        <v>203</v>
      </c>
      <c r="AW4" s="371" t="s">
        <v>204</v>
      </c>
      <c r="AX4" s="381"/>
    </row>
    <row r="5">
      <c r="A5" s="382"/>
      <c r="B5" s="168"/>
      <c r="C5" s="168"/>
      <c r="D5" s="383">
        <f>SUM(D7:D1014)</f>
        <v>0</v>
      </c>
      <c r="E5" s="168"/>
      <c r="F5" s="168"/>
      <c r="G5" s="208">
        <f t="shared" ref="G5:I5" si="1">SUM(G7:G1014)</f>
        <v>0</v>
      </c>
      <c r="H5" s="384">
        <f t="shared" si="1"/>
        <v>0</v>
      </c>
      <c r="I5" s="385">
        <f t="shared" si="1"/>
        <v>0</v>
      </c>
      <c r="J5" s="168">
        <f>COUNTIF(J7:J1014, TRUE)</f>
        <v>0</v>
      </c>
      <c r="K5" s="168"/>
      <c r="L5" s="168"/>
      <c r="M5" s="168"/>
      <c r="N5" s="168"/>
      <c r="O5" s="168"/>
      <c r="P5" s="168"/>
      <c r="Q5" s="168"/>
      <c r="R5" s="168"/>
      <c r="S5" s="168"/>
      <c r="T5" s="386">
        <f t="shared" ref="T5:W5" si="2">SUM(T7:T1014)</f>
        <v>0</v>
      </c>
      <c r="U5" s="386">
        <f t="shared" si="2"/>
        <v>0</v>
      </c>
      <c r="V5" s="386">
        <f t="shared" si="2"/>
        <v>0</v>
      </c>
      <c r="W5" s="386">
        <f t="shared" si="2"/>
        <v>0</v>
      </c>
      <c r="X5" s="168"/>
      <c r="Y5" s="168"/>
      <c r="Z5" s="168"/>
      <c r="AA5" s="384">
        <f t="shared" ref="AA5:AK5" si="3">SUM(AA7:AA1014)</f>
        <v>0</v>
      </c>
      <c r="AB5" s="387">
        <f t="shared" si="3"/>
        <v>0</v>
      </c>
      <c r="AC5" s="387">
        <f t="shared" si="3"/>
        <v>0</v>
      </c>
      <c r="AD5" s="387" t="str">
        <f t="shared" si="3"/>
        <v>#DIV/0!</v>
      </c>
      <c r="AE5" s="387">
        <f t="shared" si="3"/>
        <v>0</v>
      </c>
      <c r="AF5" s="384">
        <f t="shared" si="3"/>
        <v>0</v>
      </c>
      <c r="AG5" s="388">
        <f t="shared" si="3"/>
        <v>0</v>
      </c>
      <c r="AH5" s="389">
        <f t="shared" si="3"/>
        <v>0</v>
      </c>
      <c r="AI5" s="384">
        <f t="shared" si="3"/>
        <v>0</v>
      </c>
      <c r="AJ5" s="390">
        <f t="shared" si="3"/>
        <v>0</v>
      </c>
      <c r="AK5" s="390">
        <f t="shared" si="3"/>
        <v>0</v>
      </c>
      <c r="AL5" s="391"/>
      <c r="AM5" s="283"/>
      <c r="AN5" s="283"/>
      <c r="AO5" s="284">
        <f t="shared" ref="AO5:AP5" si="4">SUM(AO7:AO1014)</f>
        <v>0</v>
      </c>
      <c r="AP5" s="384">
        <f t="shared" si="4"/>
        <v>0</v>
      </c>
      <c r="AQ5" s="392"/>
      <c r="AR5" s="393"/>
      <c r="AS5" s="394">
        <f>SUM(AS7:AS1014)</f>
        <v>0</v>
      </c>
      <c r="AT5" s="168"/>
      <c r="AU5" s="167">
        <f t="shared" ref="AU5:AW5" si="5">SUM(AU7:AU1014)</f>
        <v>0</v>
      </c>
      <c r="AV5" s="167">
        <f t="shared" si="5"/>
        <v>0</v>
      </c>
      <c r="AW5" s="167">
        <f t="shared" si="5"/>
        <v>0</v>
      </c>
      <c r="AX5" s="147"/>
    </row>
    <row r="6">
      <c r="A6" s="395"/>
      <c r="B6" s="289"/>
      <c r="C6" s="396" t="s">
        <v>205</v>
      </c>
      <c r="D6" s="397" t="s">
        <v>205</v>
      </c>
      <c r="E6" s="398"/>
      <c r="F6" s="397" t="s">
        <v>42</v>
      </c>
      <c r="G6" s="398"/>
      <c r="H6" s="398"/>
      <c r="I6" s="397" t="s">
        <v>42</v>
      </c>
      <c r="J6" s="399" t="s">
        <v>205</v>
      </c>
      <c r="K6" s="400"/>
      <c r="L6" s="400"/>
      <c r="M6" s="400"/>
      <c r="N6" s="400"/>
      <c r="O6" s="400"/>
      <c r="P6" s="400"/>
      <c r="Q6" s="400"/>
      <c r="R6" s="400"/>
      <c r="S6" s="401" t="s">
        <v>42</v>
      </c>
      <c r="T6" s="289"/>
      <c r="U6" s="289"/>
      <c r="V6" s="289"/>
      <c r="W6" s="289"/>
      <c r="X6" s="289"/>
      <c r="Y6" s="289"/>
      <c r="Z6" s="289"/>
      <c r="AA6" s="289"/>
      <c r="AB6" s="289"/>
      <c r="AC6" s="289"/>
      <c r="AD6" s="289"/>
      <c r="AE6" s="289"/>
      <c r="AF6" s="289"/>
      <c r="AG6" s="289"/>
      <c r="AH6" s="289"/>
      <c r="AI6" s="289"/>
      <c r="AJ6" s="289"/>
      <c r="AK6" s="289"/>
      <c r="AL6" s="402"/>
      <c r="AM6" s="300"/>
      <c r="AN6" s="300"/>
      <c r="AO6" s="42" t="s">
        <v>220</v>
      </c>
      <c r="AP6" s="403"/>
      <c r="AQ6" s="403"/>
      <c r="AR6" s="403"/>
      <c r="AS6" s="404"/>
      <c r="AT6" s="290"/>
      <c r="AU6" s="289"/>
      <c r="AV6" s="289"/>
      <c r="AW6" s="289"/>
      <c r="AX6" s="304"/>
    </row>
    <row r="7">
      <c r="A7" s="405"/>
      <c r="B7" s="406"/>
      <c r="C7" s="307"/>
      <c r="D7" s="308"/>
      <c r="E7" s="321" t="str">
        <f t="array" ref="E7">IF(C7&lt;&gt;"", IFERROR(VLOOKUP(C7, SORT(PriceReference!$A$1:$B1014), 2, TRUE), "price unavailable"), "")</f>
        <v/>
      </c>
      <c r="F7" s="407"/>
      <c r="G7" s="309">
        <f t="shared" ref="G7:G150" si="6">D7*E7</f>
        <v>0</v>
      </c>
      <c r="H7" s="321">
        <f t="shared" ref="H7:H150" si="7">F7*E7</f>
        <v>0</v>
      </c>
      <c r="I7" s="408"/>
      <c r="J7" s="348" t="b">
        <v>0</v>
      </c>
      <c r="K7" s="409"/>
      <c r="L7" s="315">
        <v>0.0</v>
      </c>
      <c r="M7" s="315">
        <v>0.0</v>
      </c>
      <c r="N7" s="315">
        <v>0.0</v>
      </c>
      <c r="O7" s="315">
        <v>0.0</v>
      </c>
      <c r="P7" s="315">
        <v>0.0</v>
      </c>
      <c r="Q7" s="317">
        <f t="shared" ref="Q7:Q150" si="8">iferror(I7/(0.252*D7),0)</f>
        <v>0</v>
      </c>
      <c r="R7" s="317" t="str">
        <f>SWITCH(S7,"cash",Reference!E$5,"shares",Reference!$E$6,"balance",Reference!$E$7,"pro-rata",Reference!$B$5)</f>
        <v>#DIV/0!</v>
      </c>
      <c r="S7" s="318" t="s">
        <v>207</v>
      </c>
      <c r="T7" s="319">
        <f>LET(numVmwShares,D7, cashRatio,Reference!$B$4, vmwFinalPrice,Reference!$B$3, numVmwShares * cashRatio * vmwFinalPrice)</f>
        <v>0</v>
      </c>
      <c r="U7" s="319">
        <f>iferror(LET(numVmwShares,$D7, stockRatio,Q7, vmwFinalPrice,Reference!$B$3, (1 - stockRatio) * vmwFinalPrice * numVmwShares),0)</f>
        <v>0</v>
      </c>
      <c r="V7" s="319">
        <f>iferror(LET(numVmwShares,$D7, stockRatio,R7, vmwFinalPrice,Reference!$B$3, (1 - stockRatio) * vmwFinalPrice * numVmwShares),0)</f>
        <v>0</v>
      </c>
      <c r="W7" s="319">
        <f>SWITCH(Reference!$E$4,"eTradeTransactionLog", T7, "eTradeHoldingRatio",T7, "eTradeLotQtyRatio",U7,"manualLotRatio",V7)</f>
        <v>0</v>
      </c>
      <c r="X7" s="309">
        <f>LET(purchaseDate,C7, dateOfRecord,Reference!$B$26, returnOfCapital,Reference!$C$26, IF(purchaseDate &lt; dateOfRecord, returnOfCapital,0))</f>
        <v>10.18</v>
      </c>
      <c r="Y7" s="309">
        <f>LET(purchaseDate,C7, dateOfRecord,Reference!$B$27, returnOfCapital,Reference!$C$27, IF(purchaseDate &lt; dateOfRecord, returnOfCapital,0))</f>
        <v>16.58</v>
      </c>
      <c r="Z7" s="309">
        <f t="shared" ref="Z7:Z150" si="9">LET(actualPrice,E7, firstReturnOfCapital,X7, secondReturnOfCapital,Y7, actualPrice - firstReturnOfCapital - secondReturnOfCapital)</f>
        <v>-26.76</v>
      </c>
      <c r="AA7" s="410">
        <f t="shared" ref="AA7:AA150" si="10">Z7*D7</f>
        <v>0</v>
      </c>
      <c r="AB7" s="320">
        <f>LET(numVmwShares,D7, stockRatio,Reference!$B$5, vmwToAvgoRatio,Reference!$B$6, numVmwShares * stockRatio * vmwToAvgoRatio)</f>
        <v>0</v>
      </c>
      <c r="AC7" s="320">
        <f>LET(numVmwShares,D7, stockRatio,Q7, vmwToAvgoRatio,Reference!$B$6, numVmwShares * stockRatio * vmwToAvgoRatio)</f>
        <v>0</v>
      </c>
      <c r="AD7" s="320" t="str">
        <f>LET(numVmwShares,D7, stockRatio,R7, vmwToAvgoRatio,Reference!$B$6, numVmwShares * stockRatio * vmwToAvgoRatio)</f>
        <v>#DIV/0!</v>
      </c>
      <c r="AE7" s="320">
        <f>SWITCH(Reference!$E$4, "eTradeTransactionLog", AB7, "eTradeHoldingRatio",AB7, "eTradeLotQtyRatio",AC7,"manualLotRatio",AD7)</f>
        <v>0</v>
      </c>
      <c r="AF7" s="321">
        <f>LET(numVmwShares,D7, vmwBasis,Z7, avgoQty,AE7, avgoFMV,Reference!$B$18, cashReceived,W7, gain,cashReceived+(avgoQty*avgoFMV)-(numVmwShares*vmwBasis),
MAX(gain,0))</f>
        <v>0</v>
      </c>
      <c r="AG7" s="322">
        <f>LET(useForFraction,J7, fractionAmount,Summary!$C$41, esppFractionLots,ESPP!$N$5, rsuFractionLots,RSU!J$5, IF(useForFraction, fractionAmount / (esppFractionLots+rsuFractionLots), 0))</f>
        <v>0</v>
      </c>
      <c r="AH7" s="411">
        <f>LET(useForFraction,J7, fractionSaleFMV,Reference!$B$23, postMergerBasis,AT7, lotFractionAmount,AG7, IF(useForFraction, (fractionSaleFMV - postMergerBasis)*lotFractionAmount, 0))</f>
        <v>0</v>
      </c>
      <c r="AI7" s="412">
        <f t="shared" ref="AI7:AI150" si="11">LET(cashReceived,W7, alternateGainAmount,AF7, MIN(cashReceived, alternateGainAmount))</f>
        <v>0</v>
      </c>
      <c r="AJ7" s="413">
        <f>LET(
purchaseDate,C7,
mergerDate,Reference!$B$28,
lotFractionGain,AH7,
mergerGain,AI7,
IF(DATEDIF(purchaseDate,mergerDate,"Y")&gt;=1,
  0,
  lotFractionGain + mergerGain
))</f>
        <v>0</v>
      </c>
      <c r="AK7" s="413">
        <f>LET(
purchaseDate,C7,
mergerDate,Reference!$B$28,
lotFractionGain,AH7,
mergerGain,AI7,
IF(DATEDIF(purchaseDate,mergerDate,"Y")&gt;=1,
  lotFractionGain+mergerGain,
  0
))</f>
        <v>0</v>
      </c>
      <c r="AL7" s="414" t="str">
        <f>IF(DATEDIF(C7,Reference!$B$28,"Y")&gt;=1,"Part II Box E","Part I Box B")</f>
        <v>Part II Box E</v>
      </c>
      <c r="AM7" s="344" t="str">
        <f t="shared" ref="AM7:AM150" si="12">C7</f>
        <v/>
      </c>
      <c r="AN7" s="330">
        <f t="shared" ref="AN7:AN150" si="13">T7</f>
        <v>0</v>
      </c>
      <c r="AO7" s="330">
        <f>LET(
cashReceived,W7, 
avgoQty,AE7, 
proceedsStyle,Reference!$E$9, 
avgoFMV,Reference!$B$18, 
SWITCH(proceedsStyle, "combined", cashReceived +(avgoQty*avgoFMV), "cashOnly", cashReceived))</f>
        <v>0</v>
      </c>
      <c r="AP7" s="345">
        <f>LET(
proceedsStyle,Reference!$E$9,
proceeds,AO7,
gain,AS7,
numVmwShares,D7, 
vmwBasis, Z7, 
avgoQty,AE7, 
avgoFMV,Reference!$B$18, 
cashReceived,W7, 
avgoTotalValue, avgoFMV*avgoQty, 
vmwTotalBasis, vmwBasis*numVmwShares,
alternateGainAmount,AF7, 
SWITCH(proceedsStyle,
  "cashOnly",
    proceeds - gain,
  "combined",
    IF(cashReceived&lt;alternateGainAmount,
      avgoTotalValue,
      vmwTotalBasis
    )
  )
)</f>
        <v>0</v>
      </c>
      <c r="AQ7" s="345" t="str">
        <f t="shared" ref="AQ7:AQ150" si="14">IF(AR7=0,,"B")</f>
        <v/>
      </c>
      <c r="AR7" s="345">
        <v>0.0</v>
      </c>
      <c r="AS7" s="331">
        <f>LET(
proceedsStyle,Reference!$E$9,
proceeds,AO7,
basis1099B,AP7,
adjustment,AR7,
mergerGain,AI7,
SWITCH(proceedsStyle,
  "cashOnly",
    mergerGain,
  "combined",
    MAX(proceeds - basis1099B + adjustment, 0)
))</f>
        <v>0</v>
      </c>
      <c r="AT7" s="415" t="str">
        <f t="shared" ref="AT7:AT150" si="15">LET(vmwBasis,Z7, numVmwShares,D7, cashReceived,W7, gainRecognized,AI7, avgoQty,AE7,IFERROR( ((vmwBasis*numVmwShares) - cashReceived + gainRecognized)/avgoQty, "n/a"))</f>
        <v>n/a</v>
      </c>
      <c r="AU7" s="333">
        <f>LET(saleFMV,Reference!$B$10, postMergerBasis,AT7, avgoQty,AE7, lotFractionAmount,AG7, iferror((saleFMV - postMergerBasis) * (avgoQty - lotFractionAmount), 0))</f>
        <v>0</v>
      </c>
      <c r="AV7" s="333">
        <f>LET(
avgoQty,AE7, 
purchaseDate,C7,
postMergerSaleDate,Reference!$B$29,
saleFMV,Reference!$B$10,
postMergerBasis,AT7, 
IFERROR(IF(DATEDIF(purchaseDate,postMergerSaleDate,"Y")&gt;=1,
  0,
  avgoQty * (saleFMV - postMergerBasis)
),0))</f>
        <v>0</v>
      </c>
      <c r="AW7" s="336">
        <f>LET(
avgoQty,AE7, 
purchaseDate,C7,
postMergerSaleDate,Reference!$B$29,
saleFMV,Reference!$B$10,
postMergerBasis,AT7, 
IFERROR(IF(DATEDIF(purchaseDate,postMergerSaleDate,"Y")&gt;=1,
  avgoQty * (saleFMV - postMergerBasis),
  0
),0))</f>
        <v>0</v>
      </c>
      <c r="AX7" s="337"/>
    </row>
    <row r="8">
      <c r="A8" s="405"/>
      <c r="B8" s="406"/>
      <c r="C8" s="307"/>
      <c r="D8" s="338"/>
      <c r="E8" s="321" t="str">
        <f t="array" ref="E8">IF(C8&lt;&gt;"", IFERROR(VLOOKUP(C8, SORT(PriceReference!$A$1:$B1014), 2, TRUE), "price unavailable"), "")</f>
        <v/>
      </c>
      <c r="F8" s="416"/>
      <c r="G8" s="309">
        <f t="shared" si="6"/>
        <v>0</v>
      </c>
      <c r="H8" s="321">
        <f t="shared" si="7"/>
        <v>0</v>
      </c>
      <c r="I8" s="417"/>
      <c r="J8" s="348" t="b">
        <v>0</v>
      </c>
      <c r="K8" s="409"/>
      <c r="L8" s="315">
        <v>0.0</v>
      </c>
      <c r="M8" s="315">
        <v>0.0</v>
      </c>
      <c r="N8" s="315">
        <v>0.0</v>
      </c>
      <c r="O8" s="315">
        <v>0.0</v>
      </c>
      <c r="P8" s="315">
        <v>0.0</v>
      </c>
      <c r="Q8" s="317">
        <f t="shared" si="8"/>
        <v>0</v>
      </c>
      <c r="R8" s="317" t="str">
        <f>SWITCH(S8,"cash",Reference!E$5,"shares",Reference!$E$6,"balance",Reference!$E$7,"pro-rata",Reference!$B$5)</f>
        <v>#DIV/0!</v>
      </c>
      <c r="S8" s="318" t="s">
        <v>207</v>
      </c>
      <c r="T8" s="319">
        <f>LET(numVmwShares,D8, cashRatio,Reference!$B$4, vmwFinalPrice,Reference!$B$3, numVmwShares * cashRatio * vmwFinalPrice)</f>
        <v>0</v>
      </c>
      <c r="U8" s="319">
        <f>iferror(LET(numVmwShares,$D8, stockRatio,Q8, vmwFinalPrice,Reference!$B$3, (1 - stockRatio) * vmwFinalPrice * numVmwShares),0)</f>
        <v>0</v>
      </c>
      <c r="V8" s="319">
        <f>iferror(LET(numVmwShares,$D8, stockRatio,R8, vmwFinalPrice,Reference!$B$3, (1 - stockRatio) * vmwFinalPrice * numVmwShares),0)</f>
        <v>0</v>
      </c>
      <c r="W8" s="319">
        <f>SWITCH(Reference!$E$4,"eTradeTransactionLog", T8, "eTradeHoldingRatio",T8, "eTradeLotQtyRatio",U8,"manualLotRatio",V8)</f>
        <v>0</v>
      </c>
      <c r="X8" s="309">
        <f>LET(purchaseDate,C8, dateOfRecord,Reference!$B$26, returnOfCapital,Reference!$C$26, IF(purchaseDate &lt; dateOfRecord, returnOfCapital,0))</f>
        <v>10.18</v>
      </c>
      <c r="Y8" s="309">
        <f>LET(purchaseDate,C8, dateOfRecord,Reference!$B$27, returnOfCapital,Reference!$C$27, IF(purchaseDate &lt; dateOfRecord, returnOfCapital,0))</f>
        <v>16.58</v>
      </c>
      <c r="Z8" s="309">
        <f t="shared" si="9"/>
        <v>-26.76</v>
      </c>
      <c r="AA8" s="410">
        <f t="shared" si="10"/>
        <v>0</v>
      </c>
      <c r="AB8" s="320">
        <f>LET(numVmwShares,D8, stockRatio,Reference!$B$5, vmwToAvgoRatio,Reference!$B$6, numVmwShares * stockRatio * vmwToAvgoRatio)</f>
        <v>0</v>
      </c>
      <c r="AC8" s="320">
        <f>LET(numVmwShares,D8, stockRatio,Q8, vmwToAvgoRatio,Reference!$B$6, numVmwShares * stockRatio * vmwToAvgoRatio)</f>
        <v>0</v>
      </c>
      <c r="AD8" s="320" t="str">
        <f>LET(numVmwShares,D8, stockRatio,R8, vmwToAvgoRatio,Reference!$B$6, numVmwShares * stockRatio * vmwToAvgoRatio)</f>
        <v>#DIV/0!</v>
      </c>
      <c r="AE8" s="320">
        <f>SWITCH(Reference!$E$4, "eTradeTransactionLog", AB8, "eTradeHoldingRatio",AB8, "eTradeLotQtyRatio",AC8,"manualLotRatio",AD8)</f>
        <v>0</v>
      </c>
      <c r="AF8" s="321">
        <f>LET(numVmwShares,D8, vmwBasis,Z8, avgoQty,AE8, avgoFMV,Reference!$B$18, cashReceived,W8, gain,cashReceived+(avgoQty*avgoFMV)-(numVmwShares*vmwBasis),
MAX(gain,0))</f>
        <v>0</v>
      </c>
      <c r="AG8" s="322">
        <f>LET(useForFraction,J8, fractionAmount,Summary!$C$41, esppFractionLots,ESPP!$N$5, rsuFractionLots,RSU!J$5, IF(useForFraction, fractionAmount / (esppFractionLots+rsuFractionLots), 0))</f>
        <v>0</v>
      </c>
      <c r="AH8" s="411">
        <f>LET(useForFraction,J8, fractionSaleFMV,Reference!$B$23, postMergerBasis,AT8, lotFractionAmount,AG8, IF(useForFraction, (fractionSaleFMV - postMergerBasis)*lotFractionAmount, 0))</f>
        <v>0</v>
      </c>
      <c r="AI8" s="412">
        <f t="shared" si="11"/>
        <v>0</v>
      </c>
      <c r="AJ8" s="413">
        <f>LET(
purchaseDate,C8,
mergerDate,Reference!$B$28,
lotFractionGain,AH8,
mergerGain,AI8,
IF(DATEDIF(purchaseDate,mergerDate,"Y")&gt;=1,
  0,
  lotFractionGain + mergerGain
))</f>
        <v>0</v>
      </c>
      <c r="AK8" s="413">
        <f>LET(
purchaseDate,C8,
mergerDate,Reference!$B$28,
lotFractionGain,AH8,
mergerGain,AI8,
IF(DATEDIF(purchaseDate,mergerDate,"Y")&gt;=1,
  lotFractionGain+mergerGain,
  0
))</f>
        <v>0</v>
      </c>
      <c r="AL8" s="414" t="str">
        <f>IF(DATEDIF(C8,Reference!$B$28,"Y")&gt;=1,"Part II Box E","Part I Box B")</f>
        <v>Part II Box E</v>
      </c>
      <c r="AM8" s="344" t="str">
        <f t="shared" si="12"/>
        <v/>
      </c>
      <c r="AN8" s="330">
        <f t="shared" si="13"/>
        <v>0</v>
      </c>
      <c r="AO8" s="330">
        <f>LET(
cashReceived,W8, 
avgoQty,AE8, 
proceedsStyle,Reference!$E$9, 
avgoFMV,Reference!$B$18, 
SWITCH(proceedsStyle, "combined", cashReceived +(avgoQty*avgoFMV), "cashOnly", cashReceived))</f>
        <v>0</v>
      </c>
      <c r="AP8" s="345">
        <f>LET(
proceedsStyle,Reference!$E$9,
proceeds,AO8,
gain,AS8,
numVmwShares,D8, 
vmwBasis, Z8, 
avgoQty,AE8, 
avgoFMV,Reference!$B$18, 
cashReceived,W8, 
avgoTotalValue, avgoFMV*avgoQty, 
vmwTotalBasis, vmwBasis*numVmwShares,
alternateGainAmount,AF8, 
SWITCH(proceedsStyle,
  "cashOnly",
    proceeds - gain,
  "combined",
    IF(cashReceived&lt;alternateGainAmount,
      avgoTotalValue,
      vmwTotalBasis
    )
  )
)</f>
        <v>0</v>
      </c>
      <c r="AQ8" s="345" t="str">
        <f t="shared" si="14"/>
        <v/>
      </c>
      <c r="AR8" s="345">
        <v>0.0</v>
      </c>
      <c r="AS8" s="331">
        <f>LET(
proceedsStyle,Reference!$E$9,
proceeds,AO8,
basis1099B,AP8,
adjustment,AR8,
mergerGain,AI8,
SWITCH(proceedsStyle,
  "cashOnly",
    mergerGain,
  "combined",
    MAX(proceeds - basis1099B + adjustment, 0)
))</f>
        <v>0</v>
      </c>
      <c r="AT8" s="415" t="str">
        <f t="shared" si="15"/>
        <v>n/a</v>
      </c>
      <c r="AU8" s="333">
        <f>LET(saleFMV,Reference!$B$10, postMergerBasis,AT8, avgoQty,AE8, lotFractionAmount,AG8, iferror((saleFMV - postMergerBasis) * (avgoQty - lotFractionAmount), 0))</f>
        <v>0</v>
      </c>
      <c r="AV8" s="333">
        <f>LET(
avgoQty,AE8, 
purchaseDate,C8,
postMergerSaleDate,Reference!$B$29,
saleFMV,Reference!$B$10,
postMergerBasis,AT8, 
IFERROR(IF(DATEDIF(purchaseDate,postMergerSaleDate,"Y")&gt;=1,
  0,
  avgoQty * (saleFMV - postMergerBasis)
),0))</f>
        <v>0</v>
      </c>
      <c r="AW8" s="336">
        <f>LET(
avgoQty,AE8, 
purchaseDate,C8,
postMergerSaleDate,Reference!$B$29,
saleFMV,Reference!$B$10,
postMergerBasis,AT8, 
IFERROR(IF(DATEDIF(purchaseDate,postMergerSaleDate,"Y")&gt;=1,
  avgoQty * (saleFMV - postMergerBasis),
  0
),0))</f>
        <v>0</v>
      </c>
      <c r="AX8" s="337"/>
    </row>
    <row r="9">
      <c r="A9" s="405"/>
      <c r="B9" s="406"/>
      <c r="C9" s="307"/>
      <c r="D9" s="338"/>
      <c r="E9" s="321" t="str">
        <f t="array" ref="E9">IF(C9&lt;&gt;"", IFERROR(VLOOKUP(C9, SORT(PriceReference!$A$1:$B1014), 2, TRUE), "price unavailable"), "")</f>
        <v/>
      </c>
      <c r="F9" s="416"/>
      <c r="G9" s="309">
        <f t="shared" si="6"/>
        <v>0</v>
      </c>
      <c r="H9" s="321">
        <f t="shared" si="7"/>
        <v>0</v>
      </c>
      <c r="I9" s="417"/>
      <c r="J9" s="418" t="b">
        <v>0</v>
      </c>
      <c r="K9" s="409"/>
      <c r="L9" s="315">
        <v>0.0</v>
      </c>
      <c r="M9" s="315">
        <v>0.0</v>
      </c>
      <c r="N9" s="315">
        <v>0.0</v>
      </c>
      <c r="O9" s="315">
        <v>0.0</v>
      </c>
      <c r="P9" s="315">
        <v>0.0</v>
      </c>
      <c r="Q9" s="317">
        <f t="shared" si="8"/>
        <v>0</v>
      </c>
      <c r="R9" s="317" t="str">
        <f>SWITCH(S9,"cash",Reference!E$5,"shares",Reference!$E$6,"balance",Reference!$E$7,"pro-rata",Reference!$B$5)</f>
        <v>#DIV/0!</v>
      </c>
      <c r="S9" s="318" t="s">
        <v>207</v>
      </c>
      <c r="T9" s="319">
        <f>LET(numVmwShares,D9, cashRatio,Reference!$B$4, vmwFinalPrice,Reference!$B$3, numVmwShares * cashRatio * vmwFinalPrice)</f>
        <v>0</v>
      </c>
      <c r="U9" s="319">
        <f>iferror(LET(numVmwShares,$D9, stockRatio,Q9, vmwFinalPrice,Reference!$B$3, (1 - stockRatio) * vmwFinalPrice * numVmwShares),0)</f>
        <v>0</v>
      </c>
      <c r="V9" s="319">
        <f>iferror(LET(numVmwShares,$D9, stockRatio,R9, vmwFinalPrice,Reference!$B$3, (1 - stockRatio) * vmwFinalPrice * numVmwShares),0)</f>
        <v>0</v>
      </c>
      <c r="W9" s="319">
        <f>SWITCH(Reference!$E$4,"eTradeTransactionLog", T9, "eTradeHoldingRatio",T9, "eTradeLotQtyRatio",U9,"manualLotRatio",V9)</f>
        <v>0</v>
      </c>
      <c r="X9" s="309">
        <f>LET(purchaseDate,C9, dateOfRecord,Reference!$B$26, returnOfCapital,Reference!$C$26, IF(purchaseDate &lt; dateOfRecord, returnOfCapital,0))</f>
        <v>10.18</v>
      </c>
      <c r="Y9" s="309">
        <f>LET(purchaseDate,C9, dateOfRecord,Reference!$B$27, returnOfCapital,Reference!$C$27, IF(purchaseDate &lt; dateOfRecord, returnOfCapital,0))</f>
        <v>16.58</v>
      </c>
      <c r="Z9" s="309">
        <f t="shared" si="9"/>
        <v>-26.76</v>
      </c>
      <c r="AA9" s="410">
        <f t="shared" si="10"/>
        <v>0</v>
      </c>
      <c r="AB9" s="320">
        <f>LET(numVmwShares,D9, stockRatio,Reference!$B$5, vmwToAvgoRatio,Reference!$B$6, numVmwShares * stockRatio * vmwToAvgoRatio)</f>
        <v>0</v>
      </c>
      <c r="AC9" s="320">
        <f>LET(numVmwShares,D9, stockRatio,Q9, vmwToAvgoRatio,Reference!$B$6, numVmwShares * stockRatio * vmwToAvgoRatio)</f>
        <v>0</v>
      </c>
      <c r="AD9" s="320" t="str">
        <f>LET(numVmwShares,D9, stockRatio,R9, vmwToAvgoRatio,Reference!$B$6, numVmwShares * stockRatio * vmwToAvgoRatio)</f>
        <v>#DIV/0!</v>
      </c>
      <c r="AE9" s="320">
        <f>SWITCH(Reference!$E$4, "eTradeTransactionLog", AB9, "eTradeHoldingRatio",AB9, "eTradeLotQtyRatio",AC9,"manualLotRatio",AD9)</f>
        <v>0</v>
      </c>
      <c r="AF9" s="321">
        <f>LET(numVmwShares,D9, vmwBasis,Z9, avgoQty,AE9, avgoFMV,Reference!$B$18, cashReceived,W9, gain,cashReceived+(avgoQty*avgoFMV)-(numVmwShares*vmwBasis),
MAX(gain,0))</f>
        <v>0</v>
      </c>
      <c r="AG9" s="322">
        <f>LET(useForFraction,J9, fractionAmount,Summary!$C$41, esppFractionLots,ESPP!$N$5, rsuFractionLots,RSU!J$5, IF(useForFraction, fractionAmount / (esppFractionLots+rsuFractionLots), 0))</f>
        <v>0</v>
      </c>
      <c r="AH9" s="411">
        <f>LET(useForFraction,J9, fractionSaleFMV,Reference!$B$23, postMergerBasis,AT9, lotFractionAmount,AG9, IF(useForFraction, (fractionSaleFMV - postMergerBasis)*lotFractionAmount, 0))</f>
        <v>0</v>
      </c>
      <c r="AI9" s="412">
        <f t="shared" si="11"/>
        <v>0</v>
      </c>
      <c r="AJ9" s="413">
        <f>LET(
purchaseDate,C9,
mergerDate,Reference!$B$28,
lotFractionGain,AH9,
mergerGain,AI9,
IF(DATEDIF(purchaseDate,mergerDate,"Y")&gt;=1,
  0,
  lotFractionGain + mergerGain
))</f>
        <v>0</v>
      </c>
      <c r="AK9" s="413">
        <f>LET(
purchaseDate,C9,
mergerDate,Reference!$B$28,
lotFractionGain,AH9,
mergerGain,AI9,
IF(DATEDIF(purchaseDate,mergerDate,"Y")&gt;=1,
  lotFractionGain+mergerGain,
  0
))</f>
        <v>0</v>
      </c>
      <c r="AL9" s="414" t="str">
        <f>IF(DATEDIF(C9,Reference!$B$28,"Y")&gt;=1,"Part II Box E","Part I Box B")</f>
        <v>Part II Box E</v>
      </c>
      <c r="AM9" s="344" t="str">
        <f t="shared" si="12"/>
        <v/>
      </c>
      <c r="AN9" s="330">
        <f t="shared" si="13"/>
        <v>0</v>
      </c>
      <c r="AO9" s="330">
        <f>LET(
cashReceived,W9, 
avgoQty,AE9, 
proceedsStyle,Reference!$E$9, 
avgoFMV,Reference!$B$18, 
SWITCH(proceedsStyle, "combined", cashReceived +(avgoQty*avgoFMV), "cashOnly", cashReceived))</f>
        <v>0</v>
      </c>
      <c r="AP9" s="345">
        <f>LET(
proceedsStyle,Reference!$E$9,
proceeds,AO9,
gain,AS9,
numVmwShares,D9, 
vmwBasis, Z9, 
avgoQty,AE9, 
avgoFMV,Reference!$B$18, 
cashReceived,W9, 
avgoTotalValue, avgoFMV*avgoQty, 
vmwTotalBasis, vmwBasis*numVmwShares,
alternateGainAmount,AF9, 
SWITCH(proceedsStyle,
  "cashOnly",
    proceeds - gain,
  "combined",
    IF(cashReceived&lt;alternateGainAmount,
      avgoTotalValue,
      vmwTotalBasis
    )
  )
)</f>
        <v>0</v>
      </c>
      <c r="AQ9" s="345" t="str">
        <f t="shared" si="14"/>
        <v/>
      </c>
      <c r="AR9" s="345">
        <v>0.0</v>
      </c>
      <c r="AS9" s="331">
        <f>LET(
proceedsStyle,Reference!$E$9,
proceeds,AO9,
basis1099B,AP9,
adjustment,AR9,
mergerGain,AI9,
SWITCH(proceedsStyle,
  "cashOnly",
    mergerGain,
  "combined",
    MAX(proceeds - basis1099B + adjustment, 0)
))</f>
        <v>0</v>
      </c>
      <c r="AT9" s="415" t="str">
        <f t="shared" si="15"/>
        <v>n/a</v>
      </c>
      <c r="AU9" s="333">
        <f>LET(saleFMV,Reference!$B$10, postMergerBasis,AT9, avgoQty,AE9, lotFractionAmount,AG9, iferror((saleFMV - postMergerBasis) * (avgoQty - lotFractionAmount), 0))</f>
        <v>0</v>
      </c>
      <c r="AV9" s="333">
        <f>LET(
avgoQty,AE9, 
purchaseDate,C9,
postMergerSaleDate,Reference!$B$29,
saleFMV,Reference!$B$10,
postMergerBasis,AT9, 
IFERROR(IF(DATEDIF(purchaseDate,postMergerSaleDate,"Y")&gt;=1,
  0,
  avgoQty * (saleFMV - postMergerBasis)
),0))</f>
        <v>0</v>
      </c>
      <c r="AW9" s="336">
        <f>LET(
avgoQty,AE9, 
purchaseDate,C9,
postMergerSaleDate,Reference!$B$29,
saleFMV,Reference!$B$10,
postMergerBasis,AT9, 
IFERROR(IF(DATEDIF(purchaseDate,postMergerSaleDate,"Y")&gt;=1,
  avgoQty * (saleFMV - postMergerBasis),
  0
),0))</f>
        <v>0</v>
      </c>
      <c r="AX9" s="337"/>
    </row>
    <row r="10">
      <c r="A10" s="405"/>
      <c r="B10" s="406"/>
      <c r="C10" s="307"/>
      <c r="D10" s="338"/>
      <c r="E10" s="321" t="str">
        <f t="array" ref="E10">IF(C10&lt;&gt;"", IFERROR(VLOOKUP(C10, SORT(PriceReference!$A$1:$B1014), 2, TRUE), "price unavailable"), "")</f>
        <v/>
      </c>
      <c r="F10" s="416"/>
      <c r="G10" s="309">
        <f t="shared" si="6"/>
        <v>0</v>
      </c>
      <c r="H10" s="321">
        <f t="shared" si="7"/>
        <v>0</v>
      </c>
      <c r="I10" s="419"/>
      <c r="J10" s="348" t="b">
        <v>0</v>
      </c>
      <c r="K10" s="409"/>
      <c r="L10" s="315">
        <v>0.0</v>
      </c>
      <c r="M10" s="315">
        <v>0.0</v>
      </c>
      <c r="N10" s="315">
        <v>0.0</v>
      </c>
      <c r="O10" s="315">
        <v>0.0</v>
      </c>
      <c r="P10" s="315">
        <v>0.0</v>
      </c>
      <c r="Q10" s="317">
        <f t="shared" si="8"/>
        <v>0</v>
      </c>
      <c r="R10" s="317" t="str">
        <f>SWITCH(S10,"cash",Reference!E$5,"shares",Reference!$E$6,"balance",Reference!$E$7,"pro-rata",Reference!$B$5)</f>
        <v>#DIV/0!</v>
      </c>
      <c r="S10" s="318" t="s">
        <v>207</v>
      </c>
      <c r="T10" s="319">
        <f>LET(numVmwShares,D10, cashRatio,Reference!$B$4, vmwFinalPrice,Reference!$B$3, numVmwShares * cashRatio * vmwFinalPrice)</f>
        <v>0</v>
      </c>
      <c r="U10" s="319">
        <f>iferror(LET(numVmwShares,$D10, stockRatio,Q10, vmwFinalPrice,Reference!$B$3, (1 - stockRatio) * vmwFinalPrice * numVmwShares),0)</f>
        <v>0</v>
      </c>
      <c r="V10" s="319">
        <f>iferror(LET(numVmwShares,$D10, stockRatio,R10, vmwFinalPrice,Reference!$B$3, (1 - stockRatio) * vmwFinalPrice * numVmwShares),0)</f>
        <v>0</v>
      </c>
      <c r="W10" s="319">
        <f>SWITCH(Reference!$E$4,"eTradeTransactionLog", T10, "eTradeHoldingRatio",T10, "eTradeLotQtyRatio",U10,"manualLotRatio",V10)</f>
        <v>0</v>
      </c>
      <c r="X10" s="309">
        <f>LET(purchaseDate,C10, dateOfRecord,Reference!$B$26, returnOfCapital,Reference!$C$26, IF(purchaseDate &lt; dateOfRecord, returnOfCapital,0))</f>
        <v>10.18</v>
      </c>
      <c r="Y10" s="309">
        <f>LET(purchaseDate,C10, dateOfRecord,Reference!$B$27, returnOfCapital,Reference!$C$27, IF(purchaseDate &lt; dateOfRecord, returnOfCapital,0))</f>
        <v>16.58</v>
      </c>
      <c r="Z10" s="309">
        <f t="shared" si="9"/>
        <v>-26.76</v>
      </c>
      <c r="AA10" s="410">
        <f t="shared" si="10"/>
        <v>0</v>
      </c>
      <c r="AB10" s="320">
        <f>LET(numVmwShares,D10, stockRatio,Reference!$B$5, vmwToAvgoRatio,Reference!$B$6, numVmwShares * stockRatio * vmwToAvgoRatio)</f>
        <v>0</v>
      </c>
      <c r="AC10" s="320">
        <f>LET(numVmwShares,D10, stockRatio,Q10, vmwToAvgoRatio,Reference!$B$6, numVmwShares * stockRatio * vmwToAvgoRatio)</f>
        <v>0</v>
      </c>
      <c r="AD10" s="320" t="str">
        <f>LET(numVmwShares,D10, stockRatio,R10, vmwToAvgoRatio,Reference!$B$6, numVmwShares * stockRatio * vmwToAvgoRatio)</f>
        <v>#DIV/0!</v>
      </c>
      <c r="AE10" s="320">
        <f>SWITCH(Reference!$E$4, "eTradeTransactionLog", AB10, "eTradeHoldingRatio",AB10, "eTradeLotQtyRatio",AC10,"manualLotRatio",AD10)</f>
        <v>0</v>
      </c>
      <c r="AF10" s="321">
        <f>LET(numVmwShares,D10, vmwBasis,Z10, avgoQty,AE10, avgoFMV,Reference!$B$18, cashReceived,W10, gain,cashReceived+(avgoQty*avgoFMV)-(numVmwShares*vmwBasis),
MAX(gain,0))</f>
        <v>0</v>
      </c>
      <c r="AG10" s="322">
        <f>LET(useForFraction,J10, fractionAmount,Summary!$C$41, esppFractionLots,ESPP!$N$5, rsuFractionLots,RSU!J$5, IF(useForFraction, fractionAmount / (esppFractionLots+rsuFractionLots), 0))</f>
        <v>0</v>
      </c>
      <c r="AH10" s="411">
        <f>LET(useForFraction,J10, fractionSaleFMV,Reference!$B$23, postMergerBasis,AT10, lotFractionAmount,AG10, IF(useForFraction, (fractionSaleFMV - postMergerBasis)*lotFractionAmount, 0))</f>
        <v>0</v>
      </c>
      <c r="AI10" s="412">
        <f t="shared" si="11"/>
        <v>0</v>
      </c>
      <c r="AJ10" s="413">
        <f>LET(
purchaseDate,C10,
mergerDate,Reference!$B$28,
lotFractionGain,AH10,
mergerGain,AI10,
IF(DATEDIF(purchaseDate,mergerDate,"Y")&gt;=1,
  0,
  lotFractionGain + mergerGain
))</f>
        <v>0</v>
      </c>
      <c r="AK10" s="413">
        <f>LET(
purchaseDate,C10,
mergerDate,Reference!$B$28,
lotFractionGain,AH10,
mergerGain,AI10,
IF(DATEDIF(purchaseDate,mergerDate,"Y")&gt;=1,
  lotFractionGain+mergerGain,
  0
))</f>
        <v>0</v>
      </c>
      <c r="AL10" s="414" t="str">
        <f>IF(DATEDIF(C10,Reference!$B$28,"Y")&gt;=1,"Part II Box E","Part I Box B")</f>
        <v>Part II Box E</v>
      </c>
      <c r="AM10" s="344" t="str">
        <f t="shared" si="12"/>
        <v/>
      </c>
      <c r="AN10" s="330">
        <f t="shared" si="13"/>
        <v>0</v>
      </c>
      <c r="AO10" s="330">
        <f>LET(
cashReceived,W10, 
avgoQty,AE10, 
proceedsStyle,Reference!$E$9, 
avgoFMV,Reference!$B$18, 
SWITCH(proceedsStyle, "combined", cashReceived +(avgoQty*avgoFMV), "cashOnly", cashReceived))</f>
        <v>0</v>
      </c>
      <c r="AP10" s="345">
        <f>LET(
proceedsStyle,Reference!$E$9,
proceeds,AO10,
gain,AS10,
numVmwShares,D10, 
vmwBasis, Z10, 
avgoQty,AE10, 
avgoFMV,Reference!$B$18, 
cashReceived,W10, 
avgoTotalValue, avgoFMV*avgoQty, 
vmwTotalBasis, vmwBasis*numVmwShares,
alternateGainAmount,AF10, 
SWITCH(proceedsStyle,
  "cashOnly",
    proceeds - gain,
  "combined",
    IF(cashReceived&lt;alternateGainAmount,
      avgoTotalValue,
      vmwTotalBasis
    )
  )
)</f>
        <v>0</v>
      </c>
      <c r="AQ10" s="345" t="str">
        <f t="shared" si="14"/>
        <v/>
      </c>
      <c r="AR10" s="345">
        <v>0.0</v>
      </c>
      <c r="AS10" s="331">
        <f>LET(
proceedsStyle,Reference!$E$9,
proceeds,AO10,
basis1099B,AP10,
adjustment,AR10,
mergerGain,AI10,
SWITCH(proceedsStyle,
  "cashOnly",
    mergerGain,
  "combined",
    MAX(proceeds - basis1099B + adjustment, 0)
))</f>
        <v>0</v>
      </c>
      <c r="AT10" s="415" t="str">
        <f t="shared" si="15"/>
        <v>n/a</v>
      </c>
      <c r="AU10" s="333">
        <f>LET(saleFMV,Reference!$B$10, postMergerBasis,AT10, avgoQty,AE10, lotFractionAmount,AG10, iferror((saleFMV - postMergerBasis) * (avgoQty - lotFractionAmount), 0))</f>
        <v>0</v>
      </c>
      <c r="AV10" s="333">
        <f>LET(
avgoQty,AE10, 
purchaseDate,C10,
postMergerSaleDate,Reference!$B$29,
saleFMV,Reference!$B$10,
postMergerBasis,AT10, 
IFERROR(IF(DATEDIF(purchaseDate,postMergerSaleDate,"Y")&gt;=1,
  0,
  avgoQty * (saleFMV - postMergerBasis)
),0))</f>
        <v>0</v>
      </c>
      <c r="AW10" s="336">
        <f>LET(
avgoQty,AE10, 
purchaseDate,C10,
postMergerSaleDate,Reference!$B$29,
saleFMV,Reference!$B$10,
postMergerBasis,AT10, 
IFERROR(IF(DATEDIF(purchaseDate,postMergerSaleDate,"Y")&gt;=1,
  avgoQty * (saleFMV - postMergerBasis),
  0
),0))</f>
        <v>0</v>
      </c>
      <c r="AX10" s="337"/>
    </row>
    <row r="11">
      <c r="A11" s="405"/>
      <c r="B11" s="406"/>
      <c r="C11" s="307"/>
      <c r="D11" s="338"/>
      <c r="E11" s="321" t="str">
        <f t="array" ref="E11">IF(C11&lt;&gt;"", IFERROR(VLOOKUP(C11, SORT(PriceReference!$A$1:$B1014), 2, TRUE), "price unavailable"), "")</f>
        <v/>
      </c>
      <c r="F11" s="416"/>
      <c r="G11" s="309">
        <f t="shared" si="6"/>
        <v>0</v>
      </c>
      <c r="H11" s="321">
        <f t="shared" si="7"/>
        <v>0</v>
      </c>
      <c r="I11" s="417"/>
      <c r="J11" s="348" t="b">
        <v>0</v>
      </c>
      <c r="K11" s="409"/>
      <c r="L11" s="315">
        <v>0.0</v>
      </c>
      <c r="M11" s="315">
        <v>0.0</v>
      </c>
      <c r="N11" s="315">
        <v>0.0</v>
      </c>
      <c r="O11" s="315">
        <v>0.0</v>
      </c>
      <c r="P11" s="315">
        <v>0.0</v>
      </c>
      <c r="Q11" s="317">
        <f t="shared" si="8"/>
        <v>0</v>
      </c>
      <c r="R11" s="317" t="str">
        <f>SWITCH(S11,"cash",Reference!E$5,"shares",Reference!$E$6,"balance",Reference!$E$7,"pro-rata",Reference!$B$5)</f>
        <v>#DIV/0!</v>
      </c>
      <c r="S11" s="318" t="s">
        <v>207</v>
      </c>
      <c r="T11" s="319">
        <f>LET(numVmwShares,D11, cashRatio,Reference!$B$4, vmwFinalPrice,Reference!$B$3, numVmwShares * cashRatio * vmwFinalPrice)</f>
        <v>0</v>
      </c>
      <c r="U11" s="319">
        <f>iferror(LET(numVmwShares,$D11, stockRatio,Q11, vmwFinalPrice,Reference!$B$3, (1 - stockRatio) * vmwFinalPrice * numVmwShares),0)</f>
        <v>0</v>
      </c>
      <c r="V11" s="319">
        <f>iferror(LET(numVmwShares,$D11, stockRatio,R11, vmwFinalPrice,Reference!$B$3, (1 - stockRatio) * vmwFinalPrice * numVmwShares),0)</f>
        <v>0</v>
      </c>
      <c r="W11" s="319">
        <f>SWITCH(Reference!$E$4,"eTradeTransactionLog", T11, "eTradeHoldingRatio",T11, "eTradeLotQtyRatio",U11,"manualLotRatio",V11)</f>
        <v>0</v>
      </c>
      <c r="X11" s="309">
        <f>LET(purchaseDate,C11, dateOfRecord,Reference!$B$26, returnOfCapital,Reference!$C$26, IF(purchaseDate &lt; dateOfRecord, returnOfCapital,0))</f>
        <v>10.18</v>
      </c>
      <c r="Y11" s="309">
        <f>LET(purchaseDate,C11, dateOfRecord,Reference!$B$27, returnOfCapital,Reference!$C$27, IF(purchaseDate &lt; dateOfRecord, returnOfCapital,0))</f>
        <v>16.58</v>
      </c>
      <c r="Z11" s="309">
        <f t="shared" si="9"/>
        <v>-26.76</v>
      </c>
      <c r="AA11" s="410">
        <f t="shared" si="10"/>
        <v>0</v>
      </c>
      <c r="AB11" s="320">
        <f>LET(numVmwShares,D11, stockRatio,Reference!$B$5, vmwToAvgoRatio,Reference!$B$6, numVmwShares * stockRatio * vmwToAvgoRatio)</f>
        <v>0</v>
      </c>
      <c r="AC11" s="320">
        <f>LET(numVmwShares,D11, stockRatio,Q11, vmwToAvgoRatio,Reference!$B$6, numVmwShares * stockRatio * vmwToAvgoRatio)</f>
        <v>0</v>
      </c>
      <c r="AD11" s="320" t="str">
        <f>LET(numVmwShares,D11, stockRatio,R11, vmwToAvgoRatio,Reference!$B$6, numVmwShares * stockRatio * vmwToAvgoRatio)</f>
        <v>#DIV/0!</v>
      </c>
      <c r="AE11" s="320">
        <f>SWITCH(Reference!$E$4, "eTradeTransactionLog", AB11, "eTradeHoldingRatio",AB11, "eTradeLotQtyRatio",AC11,"manualLotRatio",AD11)</f>
        <v>0</v>
      </c>
      <c r="AF11" s="321">
        <f>LET(numVmwShares,D11, vmwBasis,Z11, avgoQty,AE11, avgoFMV,Reference!$B$18, cashReceived,W11, gain,cashReceived+(avgoQty*avgoFMV)-(numVmwShares*vmwBasis),
MAX(gain,0))</f>
        <v>0</v>
      </c>
      <c r="AG11" s="322">
        <f>LET(useForFraction,J11, fractionAmount,Summary!$C$41, esppFractionLots,ESPP!$N$5, rsuFractionLots,RSU!J$5, IF(useForFraction, fractionAmount / (esppFractionLots+rsuFractionLots), 0))</f>
        <v>0</v>
      </c>
      <c r="AH11" s="411">
        <f>LET(useForFraction,J11, fractionSaleFMV,Reference!$B$23, postMergerBasis,AT11, lotFractionAmount,AG11, IF(useForFraction, (fractionSaleFMV - postMergerBasis)*lotFractionAmount, 0))</f>
        <v>0</v>
      </c>
      <c r="AI11" s="412">
        <f t="shared" si="11"/>
        <v>0</v>
      </c>
      <c r="AJ11" s="413">
        <f>LET(
purchaseDate,C11,
mergerDate,Reference!$B$28,
lotFractionGain,AH11,
mergerGain,AI11,
IF(DATEDIF(purchaseDate,mergerDate,"Y")&gt;=1,
  0,
  lotFractionGain + mergerGain
))</f>
        <v>0</v>
      </c>
      <c r="AK11" s="413">
        <f>LET(
purchaseDate,C11,
mergerDate,Reference!$B$28,
lotFractionGain,AH11,
mergerGain,AI11,
IF(DATEDIF(purchaseDate,mergerDate,"Y")&gt;=1,
  lotFractionGain+mergerGain,
  0
))</f>
        <v>0</v>
      </c>
      <c r="AL11" s="414" t="str">
        <f>IF(DATEDIF(C11,Reference!$B$28,"Y")&gt;=1,"Part II Box E","Part I Box B")</f>
        <v>Part II Box E</v>
      </c>
      <c r="AM11" s="344" t="str">
        <f t="shared" si="12"/>
        <v/>
      </c>
      <c r="AN11" s="330">
        <f t="shared" si="13"/>
        <v>0</v>
      </c>
      <c r="AO11" s="330">
        <f>LET(
cashReceived,W11, 
avgoQty,AE11, 
proceedsStyle,Reference!$E$9, 
avgoFMV,Reference!$B$18, 
SWITCH(proceedsStyle, "combined", cashReceived +(avgoQty*avgoFMV), "cashOnly", cashReceived))</f>
        <v>0</v>
      </c>
      <c r="AP11" s="345">
        <f>LET(
proceedsStyle,Reference!$E$9,
proceeds,AO11,
gain,AS11,
numVmwShares,D11, 
vmwBasis, Z11, 
avgoQty,AE11, 
avgoFMV,Reference!$B$18, 
cashReceived,W11, 
avgoTotalValue, avgoFMV*avgoQty, 
vmwTotalBasis, vmwBasis*numVmwShares,
alternateGainAmount,AF11, 
SWITCH(proceedsStyle,
  "cashOnly",
    proceeds - gain,
  "combined",
    IF(cashReceived&lt;alternateGainAmount,
      avgoTotalValue,
      vmwTotalBasis
    )
  )
)</f>
        <v>0</v>
      </c>
      <c r="AQ11" s="345" t="str">
        <f t="shared" si="14"/>
        <v/>
      </c>
      <c r="AR11" s="345">
        <v>0.0</v>
      </c>
      <c r="AS11" s="331">
        <f>LET(
proceedsStyle,Reference!$E$9,
proceeds,AO11,
basis1099B,AP11,
adjustment,AR11,
mergerGain,AI11,
SWITCH(proceedsStyle,
  "cashOnly",
    mergerGain,
  "combined",
    MAX(proceeds - basis1099B + adjustment, 0)
))</f>
        <v>0</v>
      </c>
      <c r="AT11" s="415" t="str">
        <f t="shared" si="15"/>
        <v>n/a</v>
      </c>
      <c r="AU11" s="333">
        <f>LET(saleFMV,Reference!$B$10, postMergerBasis,AT11, avgoQty,AE11, lotFractionAmount,AG11, iferror((saleFMV - postMergerBasis) * (avgoQty - lotFractionAmount), 0))</f>
        <v>0</v>
      </c>
      <c r="AV11" s="333">
        <f>LET(
avgoQty,AE11, 
purchaseDate,C11,
postMergerSaleDate,Reference!$B$29,
saleFMV,Reference!$B$10,
postMergerBasis,AT11, 
IFERROR(IF(DATEDIF(purchaseDate,postMergerSaleDate,"Y")&gt;=1,
  0,
  avgoQty * (saleFMV - postMergerBasis)
),0))</f>
        <v>0</v>
      </c>
      <c r="AW11" s="336">
        <f>LET(
avgoQty,AE11, 
purchaseDate,C11,
postMergerSaleDate,Reference!$B$29,
saleFMV,Reference!$B$10,
postMergerBasis,AT11, 
IFERROR(IF(DATEDIF(purchaseDate,postMergerSaleDate,"Y")&gt;=1,
  avgoQty * (saleFMV - postMergerBasis),
  0
),0))</f>
        <v>0</v>
      </c>
      <c r="AX11" s="337"/>
    </row>
    <row r="12">
      <c r="A12" s="405"/>
      <c r="B12" s="406"/>
      <c r="C12" s="307"/>
      <c r="D12" s="338"/>
      <c r="E12" s="321" t="str">
        <f t="array" ref="E12">IF(C12&lt;&gt;"", IFERROR(VLOOKUP(C12, SORT(PriceReference!$A$1:$B1014), 2, TRUE), "price unavailable"), "")</f>
        <v/>
      </c>
      <c r="F12" s="416"/>
      <c r="G12" s="309">
        <f t="shared" si="6"/>
        <v>0</v>
      </c>
      <c r="H12" s="321">
        <f t="shared" si="7"/>
        <v>0</v>
      </c>
      <c r="I12" s="417"/>
      <c r="J12" s="348" t="b">
        <v>0</v>
      </c>
      <c r="K12" s="409"/>
      <c r="L12" s="315">
        <v>0.0</v>
      </c>
      <c r="M12" s="315">
        <v>0.0</v>
      </c>
      <c r="N12" s="315">
        <v>0.0</v>
      </c>
      <c r="O12" s="315">
        <v>0.0</v>
      </c>
      <c r="P12" s="315">
        <v>0.0</v>
      </c>
      <c r="Q12" s="317">
        <f t="shared" si="8"/>
        <v>0</v>
      </c>
      <c r="R12" s="317" t="str">
        <f>SWITCH(S12,"cash",Reference!E$5,"shares",Reference!$E$6,"balance",Reference!$E$7,"pro-rata",Reference!$B$5)</f>
        <v>#DIV/0!</v>
      </c>
      <c r="S12" s="318" t="s">
        <v>207</v>
      </c>
      <c r="T12" s="319">
        <f>LET(numVmwShares,D12, cashRatio,Reference!$B$4, vmwFinalPrice,Reference!$B$3, numVmwShares * cashRatio * vmwFinalPrice)</f>
        <v>0</v>
      </c>
      <c r="U12" s="319">
        <f>iferror(LET(numVmwShares,$D12, stockRatio,Q12, vmwFinalPrice,Reference!$B$3, (1 - stockRatio) * vmwFinalPrice * numVmwShares),0)</f>
        <v>0</v>
      </c>
      <c r="V12" s="319">
        <f>iferror(LET(numVmwShares,$D12, stockRatio,R12, vmwFinalPrice,Reference!$B$3, (1 - stockRatio) * vmwFinalPrice * numVmwShares),0)</f>
        <v>0</v>
      </c>
      <c r="W12" s="319">
        <f>SWITCH(Reference!$E$4,"eTradeTransactionLog", T12, "eTradeHoldingRatio",T12, "eTradeLotQtyRatio",U12,"manualLotRatio",V12)</f>
        <v>0</v>
      </c>
      <c r="X12" s="309">
        <f>LET(purchaseDate,C12, dateOfRecord,Reference!$B$26, returnOfCapital,Reference!$C$26, IF(purchaseDate &lt; dateOfRecord, returnOfCapital,0))</f>
        <v>10.18</v>
      </c>
      <c r="Y12" s="309">
        <f>LET(purchaseDate,C12, dateOfRecord,Reference!$B$27, returnOfCapital,Reference!$C$27, IF(purchaseDate &lt; dateOfRecord, returnOfCapital,0))</f>
        <v>16.58</v>
      </c>
      <c r="Z12" s="309">
        <f t="shared" si="9"/>
        <v>-26.76</v>
      </c>
      <c r="AA12" s="410">
        <f t="shared" si="10"/>
        <v>0</v>
      </c>
      <c r="AB12" s="320">
        <f>LET(numVmwShares,D12, stockRatio,Reference!$B$5, vmwToAvgoRatio,Reference!$B$6, numVmwShares * stockRatio * vmwToAvgoRatio)</f>
        <v>0</v>
      </c>
      <c r="AC12" s="320">
        <f>LET(numVmwShares,D12, stockRatio,Q12, vmwToAvgoRatio,Reference!$B$6, numVmwShares * stockRatio * vmwToAvgoRatio)</f>
        <v>0</v>
      </c>
      <c r="AD12" s="320" t="str">
        <f>LET(numVmwShares,D12, stockRatio,R12, vmwToAvgoRatio,Reference!$B$6, numVmwShares * stockRatio * vmwToAvgoRatio)</f>
        <v>#DIV/0!</v>
      </c>
      <c r="AE12" s="320">
        <f>SWITCH(Reference!$E$4, "eTradeTransactionLog", AB12, "eTradeHoldingRatio",AB12, "eTradeLotQtyRatio",AC12,"manualLotRatio",AD12)</f>
        <v>0</v>
      </c>
      <c r="AF12" s="321">
        <f>LET(numVmwShares,D12, vmwBasis,Z12, avgoQty,AE12, avgoFMV,Reference!$B$18, cashReceived,W12, gain,cashReceived+(avgoQty*avgoFMV)-(numVmwShares*vmwBasis),
MAX(gain,0))</f>
        <v>0</v>
      </c>
      <c r="AG12" s="322">
        <f>LET(useForFraction,J12, fractionAmount,Summary!$C$41, esppFractionLots,ESPP!$N$5, rsuFractionLots,RSU!J$5, IF(useForFraction, fractionAmount / (esppFractionLots+rsuFractionLots), 0))</f>
        <v>0</v>
      </c>
      <c r="AH12" s="411">
        <f>LET(useForFraction,J12, fractionSaleFMV,Reference!$B$23, postMergerBasis,AT12, lotFractionAmount,AG12, IF(useForFraction, (fractionSaleFMV - postMergerBasis)*lotFractionAmount, 0))</f>
        <v>0</v>
      </c>
      <c r="AI12" s="412">
        <f t="shared" si="11"/>
        <v>0</v>
      </c>
      <c r="AJ12" s="413">
        <f>LET(
purchaseDate,C12,
mergerDate,Reference!$B$28,
lotFractionGain,AH12,
mergerGain,AI12,
IF(DATEDIF(purchaseDate,mergerDate,"Y")&gt;=1,
  0,
  lotFractionGain + mergerGain
))</f>
        <v>0</v>
      </c>
      <c r="AK12" s="413">
        <f>LET(
purchaseDate,C12,
mergerDate,Reference!$B$28,
lotFractionGain,AH12,
mergerGain,AI12,
IF(DATEDIF(purchaseDate,mergerDate,"Y")&gt;=1,
  lotFractionGain+mergerGain,
  0
))</f>
        <v>0</v>
      </c>
      <c r="AL12" s="414" t="str">
        <f>IF(DATEDIF(C12,Reference!$B$28,"Y")&gt;=1,"Part II Box E","Part I Box B")</f>
        <v>Part II Box E</v>
      </c>
      <c r="AM12" s="344" t="str">
        <f t="shared" si="12"/>
        <v/>
      </c>
      <c r="AN12" s="330">
        <f t="shared" si="13"/>
        <v>0</v>
      </c>
      <c r="AO12" s="330">
        <f>LET(
cashReceived,W12, 
avgoQty,AE12, 
proceedsStyle,Reference!$E$9, 
avgoFMV,Reference!$B$18, 
SWITCH(proceedsStyle, "combined", cashReceived +(avgoQty*avgoFMV), "cashOnly", cashReceived))</f>
        <v>0</v>
      </c>
      <c r="AP12" s="345">
        <f>LET(
proceedsStyle,Reference!$E$9,
proceeds,AO12,
gain,AS12,
numVmwShares,D12, 
vmwBasis, Z12, 
avgoQty,AE12, 
avgoFMV,Reference!$B$18, 
cashReceived,W12, 
avgoTotalValue, avgoFMV*avgoQty, 
vmwTotalBasis, vmwBasis*numVmwShares,
alternateGainAmount,AF12, 
SWITCH(proceedsStyle,
  "cashOnly",
    proceeds - gain,
  "combined",
    IF(cashReceived&lt;alternateGainAmount,
      avgoTotalValue,
      vmwTotalBasis
    )
  )
)</f>
        <v>0</v>
      </c>
      <c r="AQ12" s="345" t="str">
        <f t="shared" si="14"/>
        <v/>
      </c>
      <c r="AR12" s="345">
        <v>0.0</v>
      </c>
      <c r="AS12" s="331">
        <f>LET(
proceedsStyle,Reference!$E$9,
proceeds,AO12,
basis1099B,AP12,
adjustment,AR12,
mergerGain,AI12,
SWITCH(proceedsStyle,
  "cashOnly",
    mergerGain,
  "combined",
    MAX(proceeds - basis1099B + adjustment, 0)
))</f>
        <v>0</v>
      </c>
      <c r="AT12" s="415" t="str">
        <f t="shared" si="15"/>
        <v>n/a</v>
      </c>
      <c r="AU12" s="333">
        <f>LET(saleFMV,Reference!$B$10, postMergerBasis,AT12, avgoQty,AE12, lotFractionAmount,AG12, iferror((saleFMV - postMergerBasis) * (avgoQty - lotFractionAmount), 0))</f>
        <v>0</v>
      </c>
      <c r="AV12" s="333">
        <f>LET(
avgoQty,AE12, 
purchaseDate,C12,
postMergerSaleDate,Reference!$B$29,
saleFMV,Reference!$B$10,
postMergerBasis,AT12, 
IFERROR(IF(DATEDIF(purchaseDate,postMergerSaleDate,"Y")&gt;=1,
  0,
  avgoQty * (saleFMV - postMergerBasis)
),0))</f>
        <v>0</v>
      </c>
      <c r="AW12" s="336">
        <f>LET(
avgoQty,AE12, 
purchaseDate,C12,
postMergerSaleDate,Reference!$B$29,
saleFMV,Reference!$B$10,
postMergerBasis,AT12, 
IFERROR(IF(DATEDIF(purchaseDate,postMergerSaleDate,"Y")&gt;=1,
  avgoQty * (saleFMV - postMergerBasis),
  0
),0))</f>
        <v>0</v>
      </c>
      <c r="AX12" s="337"/>
    </row>
    <row r="13">
      <c r="A13" s="405"/>
      <c r="B13" s="406"/>
      <c r="C13" s="307"/>
      <c r="D13" s="338"/>
      <c r="E13" s="321" t="str">
        <f t="array" ref="E13">IF(C13&lt;&gt;"", IFERROR(VLOOKUP(C13, SORT(PriceReference!$A$1:$B1014), 2, TRUE), "price unavailable"), "")</f>
        <v/>
      </c>
      <c r="F13" s="416"/>
      <c r="G13" s="309">
        <f t="shared" si="6"/>
        <v>0</v>
      </c>
      <c r="H13" s="321">
        <f t="shared" si="7"/>
        <v>0</v>
      </c>
      <c r="I13" s="417"/>
      <c r="J13" s="348" t="b">
        <v>0</v>
      </c>
      <c r="K13" s="409"/>
      <c r="L13" s="315">
        <v>0.0</v>
      </c>
      <c r="M13" s="315">
        <v>0.0</v>
      </c>
      <c r="N13" s="315">
        <v>0.0</v>
      </c>
      <c r="O13" s="315">
        <v>0.0</v>
      </c>
      <c r="P13" s="315">
        <v>0.0</v>
      </c>
      <c r="Q13" s="317">
        <f t="shared" si="8"/>
        <v>0</v>
      </c>
      <c r="R13" s="317" t="str">
        <f>SWITCH(S13,"cash",Reference!E$5,"shares",Reference!$E$6,"balance",Reference!$E$7,"pro-rata",Reference!$B$5)</f>
        <v>#DIV/0!</v>
      </c>
      <c r="S13" s="318" t="s">
        <v>207</v>
      </c>
      <c r="T13" s="319">
        <f>LET(numVmwShares,D13, cashRatio,Reference!$B$4, vmwFinalPrice,Reference!$B$3, numVmwShares * cashRatio * vmwFinalPrice)</f>
        <v>0</v>
      </c>
      <c r="U13" s="319">
        <f>iferror(LET(numVmwShares,$D13, stockRatio,Q13, vmwFinalPrice,Reference!$B$3, (1 - stockRatio) * vmwFinalPrice * numVmwShares),0)</f>
        <v>0</v>
      </c>
      <c r="V13" s="319">
        <f>iferror(LET(numVmwShares,$D13, stockRatio,R13, vmwFinalPrice,Reference!$B$3, (1 - stockRatio) * vmwFinalPrice * numVmwShares),0)</f>
        <v>0</v>
      </c>
      <c r="W13" s="319">
        <f>SWITCH(Reference!$E$4,"eTradeTransactionLog", T13, "eTradeHoldingRatio",T13, "eTradeLotQtyRatio",U13,"manualLotRatio",V13)</f>
        <v>0</v>
      </c>
      <c r="X13" s="309">
        <f>LET(purchaseDate,C13, dateOfRecord,Reference!$B$26, returnOfCapital,Reference!$C$26, IF(purchaseDate &lt; dateOfRecord, returnOfCapital,0))</f>
        <v>10.18</v>
      </c>
      <c r="Y13" s="309">
        <f>LET(purchaseDate,C13, dateOfRecord,Reference!$B$27, returnOfCapital,Reference!$C$27, IF(purchaseDate &lt; dateOfRecord, returnOfCapital,0))</f>
        <v>16.58</v>
      </c>
      <c r="Z13" s="309">
        <f t="shared" si="9"/>
        <v>-26.76</v>
      </c>
      <c r="AA13" s="410">
        <f t="shared" si="10"/>
        <v>0</v>
      </c>
      <c r="AB13" s="320">
        <f>LET(numVmwShares,D13, stockRatio,Reference!$B$5, vmwToAvgoRatio,Reference!$B$6, numVmwShares * stockRatio * vmwToAvgoRatio)</f>
        <v>0</v>
      </c>
      <c r="AC13" s="320">
        <f>LET(numVmwShares,D13, stockRatio,Q13, vmwToAvgoRatio,Reference!$B$6, numVmwShares * stockRatio * vmwToAvgoRatio)</f>
        <v>0</v>
      </c>
      <c r="AD13" s="320" t="str">
        <f>LET(numVmwShares,D13, stockRatio,R13, vmwToAvgoRatio,Reference!$B$6, numVmwShares * stockRatio * vmwToAvgoRatio)</f>
        <v>#DIV/0!</v>
      </c>
      <c r="AE13" s="320">
        <f>SWITCH(Reference!$E$4, "eTradeTransactionLog", AB13, "eTradeHoldingRatio",AB13, "eTradeLotQtyRatio",AC13,"manualLotRatio",AD13)</f>
        <v>0</v>
      </c>
      <c r="AF13" s="321">
        <f>LET(numVmwShares,D13, vmwBasis,Z13, avgoQty,AE13, avgoFMV,Reference!$B$18, cashReceived,W13, gain,cashReceived+(avgoQty*avgoFMV)-(numVmwShares*vmwBasis),
MAX(gain,0))</f>
        <v>0</v>
      </c>
      <c r="AG13" s="322">
        <f>LET(useForFraction,J13, fractionAmount,Summary!$C$41, esppFractionLots,ESPP!$N$5, rsuFractionLots,RSU!J$5, IF(useForFraction, fractionAmount / (esppFractionLots+rsuFractionLots), 0))</f>
        <v>0</v>
      </c>
      <c r="AH13" s="411">
        <f>LET(useForFraction,J13, fractionSaleFMV,Reference!$B$23, postMergerBasis,AT13, lotFractionAmount,AG13, IF(useForFraction, (fractionSaleFMV - postMergerBasis)*lotFractionAmount, 0))</f>
        <v>0</v>
      </c>
      <c r="AI13" s="412">
        <f t="shared" si="11"/>
        <v>0</v>
      </c>
      <c r="AJ13" s="413">
        <f>LET(
purchaseDate,C13,
mergerDate,Reference!$B$28,
lotFractionGain,AH13,
mergerGain,AI13,
IF(DATEDIF(purchaseDate,mergerDate,"Y")&gt;=1,
  0,
  lotFractionGain + mergerGain
))</f>
        <v>0</v>
      </c>
      <c r="AK13" s="413">
        <f>LET(
purchaseDate,C13,
mergerDate,Reference!$B$28,
lotFractionGain,AH13,
mergerGain,AI13,
IF(DATEDIF(purchaseDate,mergerDate,"Y")&gt;=1,
  lotFractionGain+mergerGain,
  0
))</f>
        <v>0</v>
      </c>
      <c r="AL13" s="414" t="str">
        <f>IF(DATEDIF(C13,Reference!$B$28,"Y")&gt;=1,"Part II Box E","Part I Box B")</f>
        <v>Part II Box E</v>
      </c>
      <c r="AM13" s="344" t="str">
        <f t="shared" si="12"/>
        <v/>
      </c>
      <c r="AN13" s="330">
        <f t="shared" si="13"/>
        <v>0</v>
      </c>
      <c r="AO13" s="330">
        <f>LET(
cashReceived,W13, 
avgoQty,AE13, 
proceedsStyle,Reference!$E$9, 
avgoFMV,Reference!$B$18, 
SWITCH(proceedsStyle, "combined", cashReceived +(avgoQty*avgoFMV), "cashOnly", cashReceived))</f>
        <v>0</v>
      </c>
      <c r="AP13" s="345">
        <f>LET(
proceedsStyle,Reference!$E$9,
proceeds,AO13,
gain,AS13,
numVmwShares,D13, 
vmwBasis, Z13, 
avgoQty,AE13, 
avgoFMV,Reference!$B$18, 
cashReceived,W13, 
avgoTotalValue, avgoFMV*avgoQty, 
vmwTotalBasis, vmwBasis*numVmwShares,
alternateGainAmount,AF13, 
SWITCH(proceedsStyle,
  "cashOnly",
    proceeds - gain,
  "combined",
    IF(cashReceived&lt;alternateGainAmount,
      avgoTotalValue,
      vmwTotalBasis
    )
  )
)</f>
        <v>0</v>
      </c>
      <c r="AQ13" s="345" t="str">
        <f t="shared" si="14"/>
        <v/>
      </c>
      <c r="AR13" s="345">
        <v>0.0</v>
      </c>
      <c r="AS13" s="331">
        <f>LET(
proceedsStyle,Reference!$E$9,
proceeds,AO13,
basis1099B,AP13,
adjustment,AR13,
mergerGain,AI13,
SWITCH(proceedsStyle,
  "cashOnly",
    mergerGain,
  "combined",
    MAX(proceeds - basis1099B + adjustment, 0)
))</f>
        <v>0</v>
      </c>
      <c r="AT13" s="415" t="str">
        <f t="shared" si="15"/>
        <v>n/a</v>
      </c>
      <c r="AU13" s="333">
        <f>LET(saleFMV,Reference!$B$10, postMergerBasis,AT13, avgoQty,AE13, lotFractionAmount,AG13, iferror((saleFMV - postMergerBasis) * (avgoQty - lotFractionAmount), 0))</f>
        <v>0</v>
      </c>
      <c r="AV13" s="333">
        <f>LET(
avgoQty,AE13, 
purchaseDate,C13,
postMergerSaleDate,Reference!$B$29,
saleFMV,Reference!$B$10,
postMergerBasis,AT13, 
IFERROR(IF(DATEDIF(purchaseDate,postMergerSaleDate,"Y")&gt;=1,
  0,
  avgoQty * (saleFMV - postMergerBasis)
),0))</f>
        <v>0</v>
      </c>
      <c r="AW13" s="336">
        <f>LET(
avgoQty,AE13, 
purchaseDate,C13,
postMergerSaleDate,Reference!$B$29,
saleFMV,Reference!$B$10,
postMergerBasis,AT13, 
IFERROR(IF(DATEDIF(purchaseDate,postMergerSaleDate,"Y")&gt;=1,
  avgoQty * (saleFMV - postMergerBasis),
  0
),0))</f>
        <v>0</v>
      </c>
      <c r="AX13" s="337"/>
    </row>
    <row r="14">
      <c r="A14" s="405"/>
      <c r="B14" s="406"/>
      <c r="C14" s="307"/>
      <c r="D14" s="338"/>
      <c r="E14" s="321" t="str">
        <f t="array" ref="E14">IF(C14&lt;&gt;"", IFERROR(VLOOKUP(C14, SORT(PriceReference!$A$1:$B1014), 2, TRUE), "price unavailable"), "")</f>
        <v/>
      </c>
      <c r="F14" s="416"/>
      <c r="G14" s="309">
        <f t="shared" si="6"/>
        <v>0</v>
      </c>
      <c r="H14" s="321">
        <f t="shared" si="7"/>
        <v>0</v>
      </c>
      <c r="I14" s="417"/>
      <c r="J14" s="348" t="b">
        <v>0</v>
      </c>
      <c r="K14" s="409"/>
      <c r="L14" s="315">
        <v>0.0</v>
      </c>
      <c r="M14" s="315">
        <v>0.0</v>
      </c>
      <c r="N14" s="315">
        <v>0.0</v>
      </c>
      <c r="O14" s="315">
        <v>0.0</v>
      </c>
      <c r="P14" s="315">
        <v>0.0</v>
      </c>
      <c r="Q14" s="317">
        <f t="shared" si="8"/>
        <v>0</v>
      </c>
      <c r="R14" s="317" t="str">
        <f>SWITCH(S14,"cash",Reference!E$5,"shares",Reference!$E$6,"balance",Reference!$E$7,"pro-rata",Reference!$B$5)</f>
        <v>#DIV/0!</v>
      </c>
      <c r="S14" s="318" t="s">
        <v>207</v>
      </c>
      <c r="T14" s="319">
        <f>LET(numVmwShares,D14, cashRatio,Reference!$B$4, vmwFinalPrice,Reference!$B$3, numVmwShares * cashRatio * vmwFinalPrice)</f>
        <v>0</v>
      </c>
      <c r="U14" s="319">
        <f>iferror(LET(numVmwShares,$D14, stockRatio,Q14, vmwFinalPrice,Reference!$B$3, (1 - stockRatio) * vmwFinalPrice * numVmwShares),0)</f>
        <v>0</v>
      </c>
      <c r="V14" s="319">
        <f>iferror(LET(numVmwShares,$D14, stockRatio,R14, vmwFinalPrice,Reference!$B$3, (1 - stockRatio) * vmwFinalPrice * numVmwShares),0)</f>
        <v>0</v>
      </c>
      <c r="W14" s="319">
        <f>SWITCH(Reference!$E$4,"eTradeTransactionLog", T14, "eTradeHoldingRatio",T14, "eTradeLotQtyRatio",U14,"manualLotRatio",V14)</f>
        <v>0</v>
      </c>
      <c r="X14" s="309">
        <f>LET(purchaseDate,C14, dateOfRecord,Reference!$B$26, returnOfCapital,Reference!$C$26, IF(purchaseDate &lt; dateOfRecord, returnOfCapital,0))</f>
        <v>10.18</v>
      </c>
      <c r="Y14" s="309">
        <f>LET(purchaseDate,C14, dateOfRecord,Reference!$B$27, returnOfCapital,Reference!$C$27, IF(purchaseDate &lt; dateOfRecord, returnOfCapital,0))</f>
        <v>16.58</v>
      </c>
      <c r="Z14" s="309">
        <f t="shared" si="9"/>
        <v>-26.76</v>
      </c>
      <c r="AA14" s="410">
        <f t="shared" si="10"/>
        <v>0</v>
      </c>
      <c r="AB14" s="320">
        <f>LET(numVmwShares,D14, stockRatio,Reference!$B$5, vmwToAvgoRatio,Reference!$B$6, numVmwShares * stockRatio * vmwToAvgoRatio)</f>
        <v>0</v>
      </c>
      <c r="AC14" s="320">
        <f>LET(numVmwShares,D14, stockRatio,Q14, vmwToAvgoRatio,Reference!$B$6, numVmwShares * stockRatio * vmwToAvgoRatio)</f>
        <v>0</v>
      </c>
      <c r="AD14" s="320" t="str">
        <f>LET(numVmwShares,D14, stockRatio,R14, vmwToAvgoRatio,Reference!$B$6, numVmwShares * stockRatio * vmwToAvgoRatio)</f>
        <v>#DIV/0!</v>
      </c>
      <c r="AE14" s="320">
        <f>SWITCH(Reference!$E$4, "eTradeTransactionLog", AB14, "eTradeHoldingRatio",AB14, "eTradeLotQtyRatio",AC14,"manualLotRatio",AD14)</f>
        <v>0</v>
      </c>
      <c r="AF14" s="321">
        <f>LET(numVmwShares,D14, vmwBasis,Z14, avgoQty,AE14, avgoFMV,Reference!$B$18, cashReceived,W14, gain,cashReceived+(avgoQty*avgoFMV)-(numVmwShares*vmwBasis),
MAX(gain,0))</f>
        <v>0</v>
      </c>
      <c r="AG14" s="322">
        <f>LET(useForFraction,J14, fractionAmount,Summary!$C$41, esppFractionLots,ESPP!$N$5, rsuFractionLots,RSU!J$5, IF(useForFraction, fractionAmount / (esppFractionLots+rsuFractionLots), 0))</f>
        <v>0</v>
      </c>
      <c r="AH14" s="411">
        <f>LET(useForFraction,J14, fractionSaleFMV,Reference!$B$23, postMergerBasis,AT14, lotFractionAmount,AG14, IF(useForFraction, (fractionSaleFMV - postMergerBasis)*lotFractionAmount, 0))</f>
        <v>0</v>
      </c>
      <c r="AI14" s="412">
        <f t="shared" si="11"/>
        <v>0</v>
      </c>
      <c r="AJ14" s="413">
        <f>LET(
purchaseDate,C14,
mergerDate,Reference!$B$28,
lotFractionGain,AH14,
mergerGain,AI14,
IF(DATEDIF(purchaseDate,mergerDate,"Y")&gt;=1,
  0,
  lotFractionGain + mergerGain
))</f>
        <v>0</v>
      </c>
      <c r="AK14" s="413">
        <f>LET(
purchaseDate,C14,
mergerDate,Reference!$B$28,
lotFractionGain,AH14,
mergerGain,AI14,
IF(DATEDIF(purchaseDate,mergerDate,"Y")&gt;=1,
  lotFractionGain+mergerGain,
  0
))</f>
        <v>0</v>
      </c>
      <c r="AL14" s="414" t="str">
        <f>IF(DATEDIF(C14,Reference!$B$28,"Y")&gt;=1,"Part II Box E","Part I Box B")</f>
        <v>Part II Box E</v>
      </c>
      <c r="AM14" s="344" t="str">
        <f t="shared" si="12"/>
        <v/>
      </c>
      <c r="AN14" s="330">
        <f t="shared" si="13"/>
        <v>0</v>
      </c>
      <c r="AO14" s="330">
        <f>LET(
cashReceived,W14, 
avgoQty,AE14, 
proceedsStyle,Reference!$E$9, 
avgoFMV,Reference!$B$18, 
SWITCH(proceedsStyle, "combined", cashReceived +(avgoQty*avgoFMV), "cashOnly", cashReceived))</f>
        <v>0</v>
      </c>
      <c r="AP14" s="345">
        <f>LET(
proceedsStyle,Reference!$E$9,
proceeds,AO14,
gain,AS14,
numVmwShares,D14, 
vmwBasis, Z14, 
avgoQty,AE14, 
avgoFMV,Reference!$B$18, 
cashReceived,W14, 
avgoTotalValue, avgoFMV*avgoQty, 
vmwTotalBasis, vmwBasis*numVmwShares,
alternateGainAmount,AF14, 
SWITCH(proceedsStyle,
  "cashOnly",
    proceeds - gain,
  "combined",
    IF(cashReceived&lt;alternateGainAmount,
      avgoTotalValue,
      vmwTotalBasis
    )
  )
)</f>
        <v>0</v>
      </c>
      <c r="AQ14" s="345" t="str">
        <f t="shared" si="14"/>
        <v/>
      </c>
      <c r="AR14" s="345">
        <v>0.0</v>
      </c>
      <c r="AS14" s="331">
        <f>LET(
proceedsStyle,Reference!$E$9,
proceeds,AO14,
basis1099B,AP14,
adjustment,AR14,
mergerGain,AI14,
SWITCH(proceedsStyle,
  "cashOnly",
    mergerGain,
  "combined",
    MAX(proceeds - basis1099B + adjustment, 0)
))</f>
        <v>0</v>
      </c>
      <c r="AT14" s="415" t="str">
        <f t="shared" si="15"/>
        <v>n/a</v>
      </c>
      <c r="AU14" s="333">
        <f>LET(saleFMV,Reference!$B$10, postMergerBasis,AT14, avgoQty,AE14, lotFractionAmount,AG14, iferror((saleFMV - postMergerBasis) * (avgoQty - lotFractionAmount), 0))</f>
        <v>0</v>
      </c>
      <c r="AV14" s="333">
        <f>LET(
avgoQty,AE14, 
purchaseDate,C14,
postMergerSaleDate,Reference!$B$29,
saleFMV,Reference!$B$10,
postMergerBasis,AT14, 
IFERROR(IF(DATEDIF(purchaseDate,postMergerSaleDate,"Y")&gt;=1,
  0,
  avgoQty * (saleFMV - postMergerBasis)
),0))</f>
        <v>0</v>
      </c>
      <c r="AW14" s="336">
        <f>LET(
avgoQty,AE14, 
purchaseDate,C14,
postMergerSaleDate,Reference!$B$29,
saleFMV,Reference!$B$10,
postMergerBasis,AT14, 
IFERROR(IF(DATEDIF(purchaseDate,postMergerSaleDate,"Y")&gt;=1,
  avgoQty * (saleFMV - postMergerBasis),
  0
),0))</f>
        <v>0</v>
      </c>
      <c r="AX14" s="337"/>
    </row>
    <row r="15">
      <c r="A15" s="405"/>
      <c r="B15" s="406"/>
      <c r="C15" s="307"/>
      <c r="D15" s="338"/>
      <c r="E15" s="321" t="str">
        <f t="array" ref="E15">IF(C15&lt;&gt;"", IFERROR(VLOOKUP(C15, SORT(PriceReference!$A$1:$B1014), 2, TRUE), "price unavailable"), "")</f>
        <v/>
      </c>
      <c r="F15" s="416"/>
      <c r="G15" s="309">
        <f t="shared" si="6"/>
        <v>0</v>
      </c>
      <c r="H15" s="321">
        <f t="shared" si="7"/>
        <v>0</v>
      </c>
      <c r="I15" s="417"/>
      <c r="J15" s="348" t="b">
        <v>0</v>
      </c>
      <c r="K15" s="409"/>
      <c r="L15" s="315">
        <v>0.0</v>
      </c>
      <c r="M15" s="315">
        <v>0.0</v>
      </c>
      <c r="N15" s="315">
        <v>0.0</v>
      </c>
      <c r="O15" s="315">
        <v>0.0</v>
      </c>
      <c r="P15" s="315">
        <v>0.0</v>
      </c>
      <c r="Q15" s="317">
        <f t="shared" si="8"/>
        <v>0</v>
      </c>
      <c r="R15" s="317" t="str">
        <f>SWITCH(S15,"cash",Reference!E$5,"shares",Reference!$E$6,"balance",Reference!$E$7,"pro-rata",Reference!$B$5)</f>
        <v>#DIV/0!</v>
      </c>
      <c r="S15" s="318" t="s">
        <v>207</v>
      </c>
      <c r="T15" s="319">
        <f>LET(numVmwShares,D15, cashRatio,Reference!$B$4, vmwFinalPrice,Reference!$B$3, numVmwShares * cashRatio * vmwFinalPrice)</f>
        <v>0</v>
      </c>
      <c r="U15" s="319">
        <f>iferror(LET(numVmwShares,$D15, stockRatio,Q15, vmwFinalPrice,Reference!$B$3, (1 - stockRatio) * vmwFinalPrice * numVmwShares),0)</f>
        <v>0</v>
      </c>
      <c r="V15" s="319">
        <f>iferror(LET(numVmwShares,$D15, stockRatio,R15, vmwFinalPrice,Reference!$B$3, (1 - stockRatio) * vmwFinalPrice * numVmwShares),0)</f>
        <v>0</v>
      </c>
      <c r="W15" s="319">
        <f>SWITCH(Reference!$E$4,"eTradeTransactionLog", T15, "eTradeHoldingRatio",T15, "eTradeLotQtyRatio",U15,"manualLotRatio",V15)</f>
        <v>0</v>
      </c>
      <c r="X15" s="309">
        <f>LET(purchaseDate,C15, dateOfRecord,Reference!$B$26, returnOfCapital,Reference!$C$26, IF(purchaseDate &lt; dateOfRecord, returnOfCapital,0))</f>
        <v>10.18</v>
      </c>
      <c r="Y15" s="309">
        <f>LET(purchaseDate,C15, dateOfRecord,Reference!$B$27, returnOfCapital,Reference!$C$27, IF(purchaseDate &lt; dateOfRecord, returnOfCapital,0))</f>
        <v>16.58</v>
      </c>
      <c r="Z15" s="309">
        <f t="shared" si="9"/>
        <v>-26.76</v>
      </c>
      <c r="AA15" s="410">
        <f t="shared" si="10"/>
        <v>0</v>
      </c>
      <c r="AB15" s="320">
        <f>LET(numVmwShares,D15, stockRatio,Reference!$B$5, vmwToAvgoRatio,Reference!$B$6, numVmwShares * stockRatio * vmwToAvgoRatio)</f>
        <v>0</v>
      </c>
      <c r="AC15" s="320">
        <f>LET(numVmwShares,D15, stockRatio,Q15, vmwToAvgoRatio,Reference!$B$6, numVmwShares * stockRatio * vmwToAvgoRatio)</f>
        <v>0</v>
      </c>
      <c r="AD15" s="320" t="str">
        <f>LET(numVmwShares,D15, stockRatio,R15, vmwToAvgoRatio,Reference!$B$6, numVmwShares * stockRatio * vmwToAvgoRatio)</f>
        <v>#DIV/0!</v>
      </c>
      <c r="AE15" s="320">
        <f>SWITCH(Reference!$E$4, "eTradeTransactionLog", AB15, "eTradeHoldingRatio",AB15, "eTradeLotQtyRatio",AC15,"manualLotRatio",AD15)</f>
        <v>0</v>
      </c>
      <c r="AF15" s="321">
        <f>LET(numVmwShares,D15, vmwBasis,Z15, avgoQty,AE15, avgoFMV,Reference!$B$18, cashReceived,W15, gain,cashReceived+(avgoQty*avgoFMV)-(numVmwShares*vmwBasis),
MAX(gain,0))</f>
        <v>0</v>
      </c>
      <c r="AG15" s="322">
        <f>LET(useForFraction,J15, fractionAmount,Summary!$C$41, esppFractionLots,ESPP!$N$5, rsuFractionLots,RSU!J$5, IF(useForFraction, fractionAmount / (esppFractionLots+rsuFractionLots), 0))</f>
        <v>0</v>
      </c>
      <c r="AH15" s="411">
        <f>LET(useForFraction,J15, fractionSaleFMV,Reference!$B$23, postMergerBasis,AT15, lotFractionAmount,AG15, IF(useForFraction, (fractionSaleFMV - postMergerBasis)*lotFractionAmount, 0))</f>
        <v>0</v>
      </c>
      <c r="AI15" s="412">
        <f t="shared" si="11"/>
        <v>0</v>
      </c>
      <c r="AJ15" s="413">
        <f>LET(
purchaseDate,C15,
mergerDate,Reference!$B$28,
lotFractionGain,AH15,
mergerGain,AI15,
IF(DATEDIF(purchaseDate,mergerDate,"Y")&gt;=1,
  0,
  lotFractionGain + mergerGain
))</f>
        <v>0</v>
      </c>
      <c r="AK15" s="413">
        <f>LET(
purchaseDate,C15,
mergerDate,Reference!$B$28,
lotFractionGain,AH15,
mergerGain,AI15,
IF(DATEDIF(purchaseDate,mergerDate,"Y")&gt;=1,
  lotFractionGain+mergerGain,
  0
))</f>
        <v>0</v>
      </c>
      <c r="AL15" s="414" t="str">
        <f>IF(DATEDIF(C15,Reference!$B$28,"Y")&gt;=1,"Part II Box E","Part I Box B")</f>
        <v>Part II Box E</v>
      </c>
      <c r="AM15" s="344" t="str">
        <f t="shared" si="12"/>
        <v/>
      </c>
      <c r="AN15" s="330">
        <f t="shared" si="13"/>
        <v>0</v>
      </c>
      <c r="AO15" s="330">
        <f>LET(
cashReceived,W15, 
avgoQty,AE15, 
proceedsStyle,Reference!$E$9, 
avgoFMV,Reference!$B$18, 
SWITCH(proceedsStyle, "combined", cashReceived +(avgoQty*avgoFMV), "cashOnly", cashReceived))</f>
        <v>0</v>
      </c>
      <c r="AP15" s="345">
        <f>LET(
proceedsStyle,Reference!$E$9,
proceeds,AO15,
gain,AS15,
numVmwShares,D15, 
vmwBasis, Z15, 
avgoQty,AE15, 
avgoFMV,Reference!$B$18, 
cashReceived,W15, 
avgoTotalValue, avgoFMV*avgoQty, 
vmwTotalBasis, vmwBasis*numVmwShares,
alternateGainAmount,AF15, 
SWITCH(proceedsStyle,
  "cashOnly",
    proceeds - gain,
  "combined",
    IF(cashReceived&lt;alternateGainAmount,
      avgoTotalValue,
      vmwTotalBasis
    )
  )
)</f>
        <v>0</v>
      </c>
      <c r="AQ15" s="345" t="str">
        <f t="shared" si="14"/>
        <v/>
      </c>
      <c r="AR15" s="345">
        <v>0.0</v>
      </c>
      <c r="AS15" s="331">
        <f>LET(
proceedsStyle,Reference!$E$9,
proceeds,AO15,
basis1099B,AP15,
adjustment,AR15,
mergerGain,AI15,
SWITCH(proceedsStyle,
  "cashOnly",
    mergerGain,
  "combined",
    MAX(proceeds - basis1099B + adjustment, 0)
))</f>
        <v>0</v>
      </c>
      <c r="AT15" s="415" t="str">
        <f t="shared" si="15"/>
        <v>n/a</v>
      </c>
      <c r="AU15" s="333">
        <f>LET(saleFMV,Reference!$B$10, postMergerBasis,AT15, avgoQty,AE15, lotFractionAmount,AG15, iferror((saleFMV - postMergerBasis) * (avgoQty - lotFractionAmount), 0))</f>
        <v>0</v>
      </c>
      <c r="AV15" s="333">
        <f>LET(
avgoQty,AE15, 
purchaseDate,C15,
postMergerSaleDate,Reference!$B$29,
saleFMV,Reference!$B$10,
postMergerBasis,AT15, 
IFERROR(IF(DATEDIF(purchaseDate,postMergerSaleDate,"Y")&gt;=1,
  0,
  avgoQty * (saleFMV - postMergerBasis)
),0))</f>
        <v>0</v>
      </c>
      <c r="AW15" s="336">
        <f>LET(
avgoQty,AE15, 
purchaseDate,C15,
postMergerSaleDate,Reference!$B$29,
saleFMV,Reference!$B$10,
postMergerBasis,AT15, 
IFERROR(IF(DATEDIF(purchaseDate,postMergerSaleDate,"Y")&gt;=1,
  avgoQty * (saleFMV - postMergerBasis),
  0
),0))</f>
        <v>0</v>
      </c>
      <c r="AX15" s="337"/>
    </row>
    <row r="16">
      <c r="A16" s="405"/>
      <c r="B16" s="406"/>
      <c r="C16" s="307"/>
      <c r="D16" s="338"/>
      <c r="E16" s="321" t="str">
        <f t="array" ref="E16">IF(C16&lt;&gt;"", IFERROR(VLOOKUP(C16, SORT(PriceReference!$A$1:$B1014), 2, TRUE), "price unavailable"), "")</f>
        <v/>
      </c>
      <c r="F16" s="416"/>
      <c r="G16" s="309">
        <f t="shared" si="6"/>
        <v>0</v>
      </c>
      <c r="H16" s="321">
        <f t="shared" si="7"/>
        <v>0</v>
      </c>
      <c r="I16" s="417"/>
      <c r="J16" s="348" t="b">
        <v>0</v>
      </c>
      <c r="K16" s="409"/>
      <c r="L16" s="315">
        <v>0.0</v>
      </c>
      <c r="M16" s="315">
        <v>0.0</v>
      </c>
      <c r="N16" s="315">
        <v>0.0</v>
      </c>
      <c r="O16" s="315">
        <v>0.0</v>
      </c>
      <c r="P16" s="315">
        <v>0.0</v>
      </c>
      <c r="Q16" s="317">
        <f t="shared" si="8"/>
        <v>0</v>
      </c>
      <c r="R16" s="317" t="str">
        <f>SWITCH(S16,"cash",Reference!E$5,"shares",Reference!$E$6,"balance",Reference!$E$7,"pro-rata",Reference!$B$5)</f>
        <v>#DIV/0!</v>
      </c>
      <c r="S16" s="318" t="s">
        <v>207</v>
      </c>
      <c r="T16" s="319">
        <f>LET(numVmwShares,D16, cashRatio,Reference!$B$4, vmwFinalPrice,Reference!$B$3, numVmwShares * cashRatio * vmwFinalPrice)</f>
        <v>0</v>
      </c>
      <c r="U16" s="319">
        <f>iferror(LET(numVmwShares,$D16, stockRatio,Q16, vmwFinalPrice,Reference!$B$3, (1 - stockRatio) * vmwFinalPrice * numVmwShares),0)</f>
        <v>0</v>
      </c>
      <c r="V16" s="319">
        <f>iferror(LET(numVmwShares,$D16, stockRatio,R16, vmwFinalPrice,Reference!$B$3, (1 - stockRatio) * vmwFinalPrice * numVmwShares),0)</f>
        <v>0</v>
      </c>
      <c r="W16" s="319">
        <f>SWITCH(Reference!$E$4,"eTradeTransactionLog", T16, "eTradeHoldingRatio",T16, "eTradeLotQtyRatio",U16,"manualLotRatio",V16)</f>
        <v>0</v>
      </c>
      <c r="X16" s="309">
        <f>LET(purchaseDate,C16, dateOfRecord,Reference!$B$26, returnOfCapital,Reference!$C$26, IF(purchaseDate &lt; dateOfRecord, returnOfCapital,0))</f>
        <v>10.18</v>
      </c>
      <c r="Y16" s="309">
        <f>LET(purchaseDate,C16, dateOfRecord,Reference!$B$27, returnOfCapital,Reference!$C$27, IF(purchaseDate &lt; dateOfRecord, returnOfCapital,0))</f>
        <v>16.58</v>
      </c>
      <c r="Z16" s="309">
        <f t="shared" si="9"/>
        <v>-26.76</v>
      </c>
      <c r="AA16" s="410">
        <f t="shared" si="10"/>
        <v>0</v>
      </c>
      <c r="AB16" s="320">
        <f>LET(numVmwShares,D16, stockRatio,Reference!$B$5, vmwToAvgoRatio,Reference!$B$6, numVmwShares * stockRatio * vmwToAvgoRatio)</f>
        <v>0</v>
      </c>
      <c r="AC16" s="320">
        <f>LET(numVmwShares,D16, stockRatio,Q16, vmwToAvgoRatio,Reference!$B$6, numVmwShares * stockRatio * vmwToAvgoRatio)</f>
        <v>0</v>
      </c>
      <c r="AD16" s="320" t="str">
        <f>LET(numVmwShares,D16, stockRatio,R16, vmwToAvgoRatio,Reference!$B$6, numVmwShares * stockRatio * vmwToAvgoRatio)</f>
        <v>#DIV/0!</v>
      </c>
      <c r="AE16" s="320">
        <f>SWITCH(Reference!$E$4, "eTradeTransactionLog", AB16, "eTradeHoldingRatio",AB16, "eTradeLotQtyRatio",AC16,"manualLotRatio",AD16)</f>
        <v>0</v>
      </c>
      <c r="AF16" s="321">
        <f>LET(numVmwShares,D16, vmwBasis,Z16, avgoQty,AE16, avgoFMV,Reference!$B$18, cashReceived,W16, gain,cashReceived+(avgoQty*avgoFMV)-(numVmwShares*vmwBasis),
MAX(gain,0))</f>
        <v>0</v>
      </c>
      <c r="AG16" s="322">
        <f>LET(useForFraction,J16, fractionAmount,Summary!$C$41, esppFractionLots,ESPP!$N$5, rsuFractionLots,RSU!J$5, IF(useForFraction, fractionAmount / (esppFractionLots+rsuFractionLots), 0))</f>
        <v>0</v>
      </c>
      <c r="AH16" s="411">
        <f>LET(useForFraction,J16, fractionSaleFMV,Reference!$B$23, postMergerBasis,AT16, lotFractionAmount,AG16, IF(useForFraction, (fractionSaleFMV - postMergerBasis)*lotFractionAmount, 0))</f>
        <v>0</v>
      </c>
      <c r="AI16" s="412">
        <f t="shared" si="11"/>
        <v>0</v>
      </c>
      <c r="AJ16" s="413">
        <f>LET(
purchaseDate,C16,
mergerDate,Reference!$B$28,
lotFractionGain,AH16,
mergerGain,AI16,
IF(DATEDIF(purchaseDate,mergerDate,"Y")&gt;=1,
  0,
  lotFractionGain + mergerGain
))</f>
        <v>0</v>
      </c>
      <c r="AK16" s="413">
        <f>LET(
purchaseDate,C16,
mergerDate,Reference!$B$28,
lotFractionGain,AH16,
mergerGain,AI16,
IF(DATEDIF(purchaseDate,mergerDate,"Y")&gt;=1,
  lotFractionGain+mergerGain,
  0
))</f>
        <v>0</v>
      </c>
      <c r="AL16" s="414" t="str">
        <f>IF(DATEDIF(C16,Reference!$B$28,"Y")&gt;=1,"Part II Box E","Part I Box B")</f>
        <v>Part II Box E</v>
      </c>
      <c r="AM16" s="344" t="str">
        <f t="shared" si="12"/>
        <v/>
      </c>
      <c r="AN16" s="330">
        <f t="shared" si="13"/>
        <v>0</v>
      </c>
      <c r="AO16" s="330">
        <f>LET(
cashReceived,W16, 
avgoQty,AE16, 
proceedsStyle,Reference!$E$9, 
avgoFMV,Reference!$B$18, 
SWITCH(proceedsStyle, "combined", cashReceived +(avgoQty*avgoFMV), "cashOnly", cashReceived))</f>
        <v>0</v>
      </c>
      <c r="AP16" s="345">
        <f>LET(
proceedsStyle,Reference!$E$9,
proceeds,AO16,
gain,AS16,
numVmwShares,D16, 
vmwBasis, Z16, 
avgoQty,AE16, 
avgoFMV,Reference!$B$18, 
cashReceived,W16, 
avgoTotalValue, avgoFMV*avgoQty, 
vmwTotalBasis, vmwBasis*numVmwShares,
alternateGainAmount,AF16, 
SWITCH(proceedsStyle,
  "cashOnly",
    proceeds - gain,
  "combined",
    IF(cashReceived&lt;alternateGainAmount,
      avgoTotalValue,
      vmwTotalBasis
    )
  )
)</f>
        <v>0</v>
      </c>
      <c r="AQ16" s="345" t="str">
        <f t="shared" si="14"/>
        <v/>
      </c>
      <c r="AR16" s="345">
        <v>0.0</v>
      </c>
      <c r="AS16" s="331">
        <f>LET(
proceedsStyle,Reference!$E$9,
proceeds,AO16,
basis1099B,AP16,
adjustment,AR16,
mergerGain,AI16,
SWITCH(proceedsStyle,
  "cashOnly",
    mergerGain,
  "combined",
    MAX(proceeds - basis1099B + adjustment, 0)
))</f>
        <v>0</v>
      </c>
      <c r="AT16" s="415" t="str">
        <f t="shared" si="15"/>
        <v>n/a</v>
      </c>
      <c r="AU16" s="333">
        <f>LET(saleFMV,Reference!$B$10, postMergerBasis,AT16, avgoQty,AE16, lotFractionAmount,AG16, iferror((saleFMV - postMergerBasis) * (avgoQty - lotFractionAmount), 0))</f>
        <v>0</v>
      </c>
      <c r="AV16" s="333">
        <f>LET(
avgoQty,AE16, 
purchaseDate,C16,
postMergerSaleDate,Reference!$B$29,
saleFMV,Reference!$B$10,
postMergerBasis,AT16, 
IFERROR(IF(DATEDIF(purchaseDate,postMergerSaleDate,"Y")&gt;=1,
  0,
  avgoQty * (saleFMV - postMergerBasis)
),0))</f>
        <v>0</v>
      </c>
      <c r="AW16" s="336">
        <f>LET(
avgoQty,AE16, 
purchaseDate,C16,
postMergerSaleDate,Reference!$B$29,
saleFMV,Reference!$B$10,
postMergerBasis,AT16, 
IFERROR(IF(DATEDIF(purchaseDate,postMergerSaleDate,"Y")&gt;=1,
  avgoQty * (saleFMV - postMergerBasis),
  0
),0))</f>
        <v>0</v>
      </c>
      <c r="AX16" s="337"/>
    </row>
    <row r="17">
      <c r="A17" s="405"/>
      <c r="B17" s="406"/>
      <c r="C17" s="307"/>
      <c r="D17" s="338"/>
      <c r="E17" s="321" t="str">
        <f t="array" ref="E17">IF(C17&lt;&gt;"", IFERROR(VLOOKUP(C17, SORT(PriceReference!$A$1:$B1014), 2, TRUE), "price unavailable"), "")</f>
        <v/>
      </c>
      <c r="F17" s="416"/>
      <c r="G17" s="309">
        <f t="shared" si="6"/>
        <v>0</v>
      </c>
      <c r="H17" s="321">
        <f t="shared" si="7"/>
        <v>0</v>
      </c>
      <c r="I17" s="417"/>
      <c r="J17" s="348" t="b">
        <v>0</v>
      </c>
      <c r="K17" s="409"/>
      <c r="L17" s="315">
        <v>0.0</v>
      </c>
      <c r="M17" s="315">
        <v>0.0</v>
      </c>
      <c r="N17" s="315">
        <v>0.0</v>
      </c>
      <c r="O17" s="315">
        <v>0.0</v>
      </c>
      <c r="P17" s="315">
        <v>0.0</v>
      </c>
      <c r="Q17" s="317">
        <f t="shared" si="8"/>
        <v>0</v>
      </c>
      <c r="R17" s="317" t="str">
        <f>SWITCH(S17,"cash",Reference!E$5,"shares",Reference!$E$6,"balance",Reference!$E$7,"pro-rata",Reference!$B$5)</f>
        <v>#DIV/0!</v>
      </c>
      <c r="S17" s="318" t="s">
        <v>207</v>
      </c>
      <c r="T17" s="319">
        <f>LET(numVmwShares,D17, cashRatio,Reference!$B$4, vmwFinalPrice,Reference!$B$3, numVmwShares * cashRatio * vmwFinalPrice)</f>
        <v>0</v>
      </c>
      <c r="U17" s="319">
        <f>iferror(LET(numVmwShares,$D17, stockRatio,Q17, vmwFinalPrice,Reference!$B$3, (1 - stockRatio) * vmwFinalPrice * numVmwShares),0)</f>
        <v>0</v>
      </c>
      <c r="V17" s="319">
        <f>iferror(LET(numVmwShares,$D17, stockRatio,R17, vmwFinalPrice,Reference!$B$3, (1 - stockRatio) * vmwFinalPrice * numVmwShares),0)</f>
        <v>0</v>
      </c>
      <c r="W17" s="319">
        <f>SWITCH(Reference!$E$4,"eTradeTransactionLog", T17, "eTradeHoldingRatio",T17, "eTradeLotQtyRatio",U17,"manualLotRatio",V17)</f>
        <v>0</v>
      </c>
      <c r="X17" s="309">
        <f>LET(purchaseDate,C17, dateOfRecord,Reference!$B$26, returnOfCapital,Reference!$C$26, IF(purchaseDate &lt; dateOfRecord, returnOfCapital,0))</f>
        <v>10.18</v>
      </c>
      <c r="Y17" s="309">
        <f>LET(purchaseDate,C17, dateOfRecord,Reference!$B$27, returnOfCapital,Reference!$C$27, IF(purchaseDate &lt; dateOfRecord, returnOfCapital,0))</f>
        <v>16.58</v>
      </c>
      <c r="Z17" s="309">
        <f t="shared" si="9"/>
        <v>-26.76</v>
      </c>
      <c r="AA17" s="410">
        <f t="shared" si="10"/>
        <v>0</v>
      </c>
      <c r="AB17" s="320">
        <f>LET(numVmwShares,D17, stockRatio,Reference!$B$5, vmwToAvgoRatio,Reference!$B$6, numVmwShares * stockRatio * vmwToAvgoRatio)</f>
        <v>0</v>
      </c>
      <c r="AC17" s="320">
        <f>LET(numVmwShares,D17, stockRatio,Q17, vmwToAvgoRatio,Reference!$B$6, numVmwShares * stockRatio * vmwToAvgoRatio)</f>
        <v>0</v>
      </c>
      <c r="AD17" s="320" t="str">
        <f>LET(numVmwShares,D17, stockRatio,R17, vmwToAvgoRatio,Reference!$B$6, numVmwShares * stockRatio * vmwToAvgoRatio)</f>
        <v>#DIV/0!</v>
      </c>
      <c r="AE17" s="320">
        <f>SWITCH(Reference!$E$4, "eTradeTransactionLog", AB17, "eTradeHoldingRatio",AB17, "eTradeLotQtyRatio",AC17,"manualLotRatio",AD17)</f>
        <v>0</v>
      </c>
      <c r="AF17" s="321">
        <f>LET(numVmwShares,D17, vmwBasis,Z17, avgoQty,AE17, avgoFMV,Reference!$B$18, cashReceived,W17, gain,cashReceived+(avgoQty*avgoFMV)-(numVmwShares*vmwBasis),
MAX(gain,0))</f>
        <v>0</v>
      </c>
      <c r="AG17" s="322">
        <f>LET(useForFraction,J17, fractionAmount,Summary!$C$41, esppFractionLots,ESPP!$N$5, rsuFractionLots,RSU!J$5, IF(useForFraction, fractionAmount / (esppFractionLots+rsuFractionLots), 0))</f>
        <v>0</v>
      </c>
      <c r="AH17" s="411">
        <f>LET(useForFraction,J17, fractionSaleFMV,Reference!$B$23, postMergerBasis,AT17, lotFractionAmount,AG17, IF(useForFraction, (fractionSaleFMV - postMergerBasis)*lotFractionAmount, 0))</f>
        <v>0</v>
      </c>
      <c r="AI17" s="412">
        <f t="shared" si="11"/>
        <v>0</v>
      </c>
      <c r="AJ17" s="413">
        <f>LET(
purchaseDate,C17,
mergerDate,Reference!$B$28,
lotFractionGain,AH17,
mergerGain,AI17,
IF(DATEDIF(purchaseDate,mergerDate,"Y")&gt;=1,
  0,
  lotFractionGain + mergerGain
))</f>
        <v>0</v>
      </c>
      <c r="AK17" s="413">
        <f>LET(
purchaseDate,C17,
mergerDate,Reference!$B$28,
lotFractionGain,AH17,
mergerGain,AI17,
IF(DATEDIF(purchaseDate,mergerDate,"Y")&gt;=1,
  lotFractionGain+mergerGain,
  0
))</f>
        <v>0</v>
      </c>
      <c r="AL17" s="414" t="str">
        <f>IF(DATEDIF(C17,Reference!$B$28,"Y")&gt;=1,"Part II Box E","Part I Box B")</f>
        <v>Part II Box E</v>
      </c>
      <c r="AM17" s="344" t="str">
        <f t="shared" si="12"/>
        <v/>
      </c>
      <c r="AN17" s="330">
        <f t="shared" si="13"/>
        <v>0</v>
      </c>
      <c r="AO17" s="330">
        <f>LET(
cashReceived,W17, 
avgoQty,AE17, 
proceedsStyle,Reference!$E$9, 
avgoFMV,Reference!$B$18, 
SWITCH(proceedsStyle, "combined", cashReceived +(avgoQty*avgoFMV), "cashOnly", cashReceived))</f>
        <v>0</v>
      </c>
      <c r="AP17" s="345">
        <f>LET(
proceedsStyle,Reference!$E$9,
proceeds,AO17,
gain,AS17,
numVmwShares,D17, 
vmwBasis, Z17, 
avgoQty,AE17, 
avgoFMV,Reference!$B$18, 
cashReceived,W17, 
avgoTotalValue, avgoFMV*avgoQty, 
vmwTotalBasis, vmwBasis*numVmwShares,
alternateGainAmount,AF17, 
SWITCH(proceedsStyle,
  "cashOnly",
    proceeds - gain,
  "combined",
    IF(cashReceived&lt;alternateGainAmount,
      avgoTotalValue,
      vmwTotalBasis
    )
  )
)</f>
        <v>0</v>
      </c>
      <c r="AQ17" s="345" t="str">
        <f t="shared" si="14"/>
        <v/>
      </c>
      <c r="AR17" s="345">
        <v>0.0</v>
      </c>
      <c r="AS17" s="331">
        <f>LET(
proceedsStyle,Reference!$E$9,
proceeds,AO17,
basis1099B,AP17,
adjustment,AR17,
mergerGain,AI17,
SWITCH(proceedsStyle,
  "cashOnly",
    mergerGain,
  "combined",
    MAX(proceeds - basis1099B + adjustment, 0)
))</f>
        <v>0</v>
      </c>
      <c r="AT17" s="415" t="str">
        <f t="shared" si="15"/>
        <v>n/a</v>
      </c>
      <c r="AU17" s="333">
        <f>LET(saleFMV,Reference!$B$10, postMergerBasis,AT17, avgoQty,AE17, lotFractionAmount,AG17, iferror((saleFMV - postMergerBasis) * (avgoQty - lotFractionAmount), 0))</f>
        <v>0</v>
      </c>
      <c r="AV17" s="333">
        <f>LET(
avgoQty,AE17, 
purchaseDate,C17,
postMergerSaleDate,Reference!$B$29,
saleFMV,Reference!$B$10,
postMergerBasis,AT17, 
IFERROR(IF(DATEDIF(purchaseDate,postMergerSaleDate,"Y")&gt;=1,
  0,
  avgoQty * (saleFMV - postMergerBasis)
),0))</f>
        <v>0</v>
      </c>
      <c r="AW17" s="336">
        <f>LET(
avgoQty,AE17, 
purchaseDate,C17,
postMergerSaleDate,Reference!$B$29,
saleFMV,Reference!$B$10,
postMergerBasis,AT17, 
IFERROR(IF(DATEDIF(purchaseDate,postMergerSaleDate,"Y")&gt;=1,
  avgoQty * (saleFMV - postMergerBasis),
  0
),0))</f>
        <v>0</v>
      </c>
      <c r="AX17" s="337"/>
    </row>
    <row r="18">
      <c r="A18" s="405"/>
      <c r="B18" s="406"/>
      <c r="C18" s="307"/>
      <c r="D18" s="338"/>
      <c r="E18" s="321" t="str">
        <f t="array" ref="E18">IF(C18&lt;&gt;"", IFERROR(VLOOKUP(C18, SORT(PriceReference!$A$1:$B1014), 2, TRUE), "price unavailable"), "")</f>
        <v/>
      </c>
      <c r="F18" s="416"/>
      <c r="G18" s="309">
        <f t="shared" si="6"/>
        <v>0</v>
      </c>
      <c r="H18" s="321">
        <f t="shared" si="7"/>
        <v>0</v>
      </c>
      <c r="I18" s="417"/>
      <c r="J18" s="348" t="b">
        <v>0</v>
      </c>
      <c r="K18" s="409"/>
      <c r="L18" s="315">
        <v>0.0</v>
      </c>
      <c r="M18" s="315">
        <v>0.0</v>
      </c>
      <c r="N18" s="315">
        <v>0.0</v>
      </c>
      <c r="O18" s="315">
        <v>0.0</v>
      </c>
      <c r="P18" s="315">
        <v>0.0</v>
      </c>
      <c r="Q18" s="317">
        <f t="shared" si="8"/>
        <v>0</v>
      </c>
      <c r="R18" s="317" t="str">
        <f>SWITCH(S18,"cash",Reference!E$5,"shares",Reference!$E$6,"balance",Reference!$E$7,"pro-rata",Reference!$B$5)</f>
        <v>#DIV/0!</v>
      </c>
      <c r="S18" s="318" t="s">
        <v>207</v>
      </c>
      <c r="T18" s="319">
        <f>LET(numVmwShares,D18, cashRatio,Reference!$B$4, vmwFinalPrice,Reference!$B$3, numVmwShares * cashRatio * vmwFinalPrice)</f>
        <v>0</v>
      </c>
      <c r="U18" s="319">
        <f>iferror(LET(numVmwShares,$D18, stockRatio,Q18, vmwFinalPrice,Reference!$B$3, (1 - stockRatio) * vmwFinalPrice * numVmwShares),0)</f>
        <v>0</v>
      </c>
      <c r="V18" s="319">
        <f>iferror(LET(numVmwShares,$D18, stockRatio,R18, vmwFinalPrice,Reference!$B$3, (1 - stockRatio) * vmwFinalPrice * numVmwShares),0)</f>
        <v>0</v>
      </c>
      <c r="W18" s="319">
        <f>SWITCH(Reference!$E$4,"eTradeTransactionLog", T18, "eTradeHoldingRatio",T18, "eTradeLotQtyRatio",U18,"manualLotRatio",V18)</f>
        <v>0</v>
      </c>
      <c r="X18" s="309">
        <f>LET(purchaseDate,C18, dateOfRecord,Reference!$B$26, returnOfCapital,Reference!$C$26, IF(purchaseDate &lt; dateOfRecord, returnOfCapital,0))</f>
        <v>10.18</v>
      </c>
      <c r="Y18" s="309">
        <f>LET(purchaseDate,C18, dateOfRecord,Reference!$B$27, returnOfCapital,Reference!$C$27, IF(purchaseDate &lt; dateOfRecord, returnOfCapital,0))</f>
        <v>16.58</v>
      </c>
      <c r="Z18" s="309">
        <f t="shared" si="9"/>
        <v>-26.76</v>
      </c>
      <c r="AA18" s="410">
        <f t="shared" si="10"/>
        <v>0</v>
      </c>
      <c r="AB18" s="320">
        <f>LET(numVmwShares,D18, stockRatio,Reference!$B$5, vmwToAvgoRatio,Reference!$B$6, numVmwShares * stockRatio * vmwToAvgoRatio)</f>
        <v>0</v>
      </c>
      <c r="AC18" s="320">
        <f>LET(numVmwShares,D18, stockRatio,Q18, vmwToAvgoRatio,Reference!$B$6, numVmwShares * stockRatio * vmwToAvgoRatio)</f>
        <v>0</v>
      </c>
      <c r="AD18" s="320" t="str">
        <f>LET(numVmwShares,D18, stockRatio,R18, vmwToAvgoRatio,Reference!$B$6, numVmwShares * stockRatio * vmwToAvgoRatio)</f>
        <v>#DIV/0!</v>
      </c>
      <c r="AE18" s="320">
        <f>SWITCH(Reference!$E$4, "eTradeTransactionLog", AB18, "eTradeHoldingRatio",AB18, "eTradeLotQtyRatio",AC18,"manualLotRatio",AD18)</f>
        <v>0</v>
      </c>
      <c r="AF18" s="321">
        <f>LET(numVmwShares,D18, vmwBasis,Z18, avgoQty,AE18, avgoFMV,Reference!$B$18, cashReceived,W18, gain,cashReceived+(avgoQty*avgoFMV)-(numVmwShares*vmwBasis),
MAX(gain,0))</f>
        <v>0</v>
      </c>
      <c r="AG18" s="322">
        <f>LET(useForFraction,J18, fractionAmount,Summary!$C$41, esppFractionLots,ESPP!$N$5, rsuFractionLots,RSU!J$5, IF(useForFraction, fractionAmount / (esppFractionLots+rsuFractionLots), 0))</f>
        <v>0</v>
      </c>
      <c r="AH18" s="411">
        <f>LET(useForFraction,J18, fractionSaleFMV,Reference!$B$23, postMergerBasis,AT18, lotFractionAmount,AG18, IF(useForFraction, (fractionSaleFMV - postMergerBasis)*lotFractionAmount, 0))</f>
        <v>0</v>
      </c>
      <c r="AI18" s="412">
        <f t="shared" si="11"/>
        <v>0</v>
      </c>
      <c r="AJ18" s="413">
        <f>LET(
purchaseDate,C18,
mergerDate,Reference!$B$28,
lotFractionGain,AH18,
mergerGain,AI18,
IF(DATEDIF(purchaseDate,mergerDate,"Y")&gt;=1,
  0,
  lotFractionGain + mergerGain
))</f>
        <v>0</v>
      </c>
      <c r="AK18" s="413">
        <f>LET(
purchaseDate,C18,
mergerDate,Reference!$B$28,
lotFractionGain,AH18,
mergerGain,AI18,
IF(DATEDIF(purchaseDate,mergerDate,"Y")&gt;=1,
  lotFractionGain+mergerGain,
  0
))</f>
        <v>0</v>
      </c>
      <c r="AL18" s="414" t="str">
        <f>IF(DATEDIF(C18,Reference!$B$28,"Y")&gt;=1,"Part II Box E","Part I Box B")</f>
        <v>Part II Box E</v>
      </c>
      <c r="AM18" s="344" t="str">
        <f t="shared" si="12"/>
        <v/>
      </c>
      <c r="AN18" s="330">
        <f t="shared" si="13"/>
        <v>0</v>
      </c>
      <c r="AO18" s="330">
        <f>LET(
cashReceived,W18, 
avgoQty,AE18, 
proceedsStyle,Reference!$E$9, 
avgoFMV,Reference!$B$18, 
SWITCH(proceedsStyle, "combined", cashReceived +(avgoQty*avgoFMV), "cashOnly", cashReceived))</f>
        <v>0</v>
      </c>
      <c r="AP18" s="345">
        <f>LET(
proceedsStyle,Reference!$E$9,
proceeds,AO18,
gain,AS18,
numVmwShares,D18, 
vmwBasis, Z18, 
avgoQty,AE18, 
avgoFMV,Reference!$B$18, 
cashReceived,W18, 
avgoTotalValue, avgoFMV*avgoQty, 
vmwTotalBasis, vmwBasis*numVmwShares,
alternateGainAmount,AF18, 
SWITCH(proceedsStyle,
  "cashOnly",
    proceeds - gain,
  "combined",
    IF(cashReceived&lt;alternateGainAmount,
      avgoTotalValue,
      vmwTotalBasis
    )
  )
)</f>
        <v>0</v>
      </c>
      <c r="AQ18" s="345" t="str">
        <f t="shared" si="14"/>
        <v/>
      </c>
      <c r="AR18" s="345">
        <v>0.0</v>
      </c>
      <c r="AS18" s="331">
        <f>LET(
proceedsStyle,Reference!$E$9,
proceeds,AO18,
basis1099B,AP18,
adjustment,AR18,
mergerGain,AI18,
SWITCH(proceedsStyle,
  "cashOnly",
    mergerGain,
  "combined",
    MAX(proceeds - basis1099B + adjustment, 0)
))</f>
        <v>0</v>
      </c>
      <c r="AT18" s="415" t="str">
        <f t="shared" si="15"/>
        <v>n/a</v>
      </c>
      <c r="AU18" s="333">
        <f>LET(saleFMV,Reference!$B$10, postMergerBasis,AT18, avgoQty,AE18, lotFractionAmount,AG18, iferror((saleFMV - postMergerBasis) * (avgoQty - lotFractionAmount), 0))</f>
        <v>0</v>
      </c>
      <c r="AV18" s="333">
        <f>LET(
avgoQty,AE18, 
purchaseDate,C18,
postMergerSaleDate,Reference!$B$29,
saleFMV,Reference!$B$10,
postMergerBasis,AT18, 
IFERROR(IF(DATEDIF(purchaseDate,postMergerSaleDate,"Y")&gt;=1,
  0,
  avgoQty * (saleFMV - postMergerBasis)
),0))</f>
        <v>0</v>
      </c>
      <c r="AW18" s="336">
        <f>LET(
avgoQty,AE18, 
purchaseDate,C18,
postMergerSaleDate,Reference!$B$29,
saleFMV,Reference!$B$10,
postMergerBasis,AT18, 
IFERROR(IF(DATEDIF(purchaseDate,postMergerSaleDate,"Y")&gt;=1,
  avgoQty * (saleFMV - postMergerBasis),
  0
),0))</f>
        <v>0</v>
      </c>
      <c r="AX18" s="337"/>
    </row>
    <row r="19">
      <c r="A19" s="405"/>
      <c r="B19" s="406"/>
      <c r="C19" s="307"/>
      <c r="D19" s="338"/>
      <c r="E19" s="321" t="str">
        <f t="array" ref="E19">IF(C19&lt;&gt;"", IFERROR(VLOOKUP(C19, SORT(PriceReference!$A$1:$B1014), 2, TRUE), "price unavailable"), "")</f>
        <v/>
      </c>
      <c r="F19" s="416"/>
      <c r="G19" s="309">
        <f t="shared" si="6"/>
        <v>0</v>
      </c>
      <c r="H19" s="321">
        <f t="shared" si="7"/>
        <v>0</v>
      </c>
      <c r="I19" s="417"/>
      <c r="J19" s="348" t="b">
        <v>0</v>
      </c>
      <c r="K19" s="409"/>
      <c r="L19" s="315">
        <v>0.0</v>
      </c>
      <c r="M19" s="315">
        <v>0.0</v>
      </c>
      <c r="N19" s="315">
        <v>0.0</v>
      </c>
      <c r="O19" s="315">
        <v>0.0</v>
      </c>
      <c r="P19" s="315">
        <v>0.0</v>
      </c>
      <c r="Q19" s="317">
        <f t="shared" si="8"/>
        <v>0</v>
      </c>
      <c r="R19" s="317" t="str">
        <f>SWITCH(S19,"cash",Reference!E$5,"shares",Reference!$E$6,"balance",Reference!$E$7,"pro-rata",Reference!$B$5)</f>
        <v>#DIV/0!</v>
      </c>
      <c r="S19" s="318" t="s">
        <v>207</v>
      </c>
      <c r="T19" s="319">
        <f>LET(numVmwShares,D19, cashRatio,Reference!$B$4, vmwFinalPrice,Reference!$B$3, numVmwShares * cashRatio * vmwFinalPrice)</f>
        <v>0</v>
      </c>
      <c r="U19" s="319">
        <f>iferror(LET(numVmwShares,$D19, stockRatio,Q19, vmwFinalPrice,Reference!$B$3, (1 - stockRatio) * vmwFinalPrice * numVmwShares),0)</f>
        <v>0</v>
      </c>
      <c r="V19" s="319">
        <f>iferror(LET(numVmwShares,$D19, stockRatio,R19, vmwFinalPrice,Reference!$B$3, (1 - stockRatio) * vmwFinalPrice * numVmwShares),0)</f>
        <v>0</v>
      </c>
      <c r="W19" s="319">
        <f>SWITCH(Reference!$E$4,"eTradeTransactionLog", T19, "eTradeHoldingRatio",T19, "eTradeLotQtyRatio",U19,"manualLotRatio",V19)</f>
        <v>0</v>
      </c>
      <c r="X19" s="309">
        <f>LET(purchaseDate,C19, dateOfRecord,Reference!$B$26, returnOfCapital,Reference!$C$26, IF(purchaseDate &lt; dateOfRecord, returnOfCapital,0))</f>
        <v>10.18</v>
      </c>
      <c r="Y19" s="309">
        <f>LET(purchaseDate,C19, dateOfRecord,Reference!$B$27, returnOfCapital,Reference!$C$27, IF(purchaseDate &lt; dateOfRecord, returnOfCapital,0))</f>
        <v>16.58</v>
      </c>
      <c r="Z19" s="309">
        <f t="shared" si="9"/>
        <v>-26.76</v>
      </c>
      <c r="AA19" s="410">
        <f t="shared" si="10"/>
        <v>0</v>
      </c>
      <c r="AB19" s="320">
        <f>LET(numVmwShares,D19, stockRatio,Reference!$B$5, vmwToAvgoRatio,Reference!$B$6, numVmwShares * stockRatio * vmwToAvgoRatio)</f>
        <v>0</v>
      </c>
      <c r="AC19" s="320">
        <f>LET(numVmwShares,D19, stockRatio,Q19, vmwToAvgoRatio,Reference!$B$6, numVmwShares * stockRatio * vmwToAvgoRatio)</f>
        <v>0</v>
      </c>
      <c r="AD19" s="320" t="str">
        <f>LET(numVmwShares,D19, stockRatio,R19, vmwToAvgoRatio,Reference!$B$6, numVmwShares * stockRatio * vmwToAvgoRatio)</f>
        <v>#DIV/0!</v>
      </c>
      <c r="AE19" s="320">
        <f>SWITCH(Reference!$E$4, "eTradeTransactionLog", AB19, "eTradeHoldingRatio",AB19, "eTradeLotQtyRatio",AC19,"manualLotRatio",AD19)</f>
        <v>0</v>
      </c>
      <c r="AF19" s="321">
        <f>LET(numVmwShares,D19, vmwBasis,Z19, avgoQty,AE19, avgoFMV,Reference!$B$18, cashReceived,W19, gain,cashReceived+(avgoQty*avgoFMV)-(numVmwShares*vmwBasis),
MAX(gain,0))</f>
        <v>0</v>
      </c>
      <c r="AG19" s="322">
        <f>LET(useForFraction,J19, fractionAmount,Summary!$C$41, esppFractionLots,ESPP!$N$5, rsuFractionLots,RSU!J$5, IF(useForFraction, fractionAmount / (esppFractionLots+rsuFractionLots), 0))</f>
        <v>0</v>
      </c>
      <c r="AH19" s="411">
        <f>LET(useForFraction,J19, fractionSaleFMV,Reference!$B$23, postMergerBasis,AT19, lotFractionAmount,AG19, IF(useForFraction, (fractionSaleFMV - postMergerBasis)*lotFractionAmount, 0))</f>
        <v>0</v>
      </c>
      <c r="AI19" s="412">
        <f t="shared" si="11"/>
        <v>0</v>
      </c>
      <c r="AJ19" s="413">
        <f>LET(
purchaseDate,C19,
mergerDate,Reference!$B$28,
lotFractionGain,AH19,
mergerGain,AI19,
IF(DATEDIF(purchaseDate,mergerDate,"Y")&gt;=1,
  0,
  lotFractionGain + mergerGain
))</f>
        <v>0</v>
      </c>
      <c r="AK19" s="413">
        <f>LET(
purchaseDate,C19,
mergerDate,Reference!$B$28,
lotFractionGain,AH19,
mergerGain,AI19,
IF(DATEDIF(purchaseDate,mergerDate,"Y")&gt;=1,
  lotFractionGain+mergerGain,
  0
))</f>
        <v>0</v>
      </c>
      <c r="AL19" s="414" t="str">
        <f>IF(DATEDIF(C19,Reference!$B$28,"Y")&gt;=1,"Part II Box E","Part I Box B")</f>
        <v>Part II Box E</v>
      </c>
      <c r="AM19" s="344" t="str">
        <f t="shared" si="12"/>
        <v/>
      </c>
      <c r="AN19" s="330">
        <f t="shared" si="13"/>
        <v>0</v>
      </c>
      <c r="AO19" s="330">
        <f>LET(
cashReceived,W19, 
avgoQty,AE19, 
proceedsStyle,Reference!$E$9, 
avgoFMV,Reference!$B$18, 
SWITCH(proceedsStyle, "combined", cashReceived +(avgoQty*avgoFMV), "cashOnly", cashReceived))</f>
        <v>0</v>
      </c>
      <c r="AP19" s="345">
        <f>LET(
proceedsStyle,Reference!$E$9,
proceeds,AO19,
gain,AS19,
numVmwShares,D19, 
vmwBasis, Z19, 
avgoQty,AE19, 
avgoFMV,Reference!$B$18, 
cashReceived,W19, 
avgoTotalValue, avgoFMV*avgoQty, 
vmwTotalBasis, vmwBasis*numVmwShares,
alternateGainAmount,AF19, 
SWITCH(proceedsStyle,
  "cashOnly",
    proceeds - gain,
  "combined",
    IF(cashReceived&lt;alternateGainAmount,
      avgoTotalValue,
      vmwTotalBasis
    )
  )
)</f>
        <v>0</v>
      </c>
      <c r="AQ19" s="345" t="str">
        <f t="shared" si="14"/>
        <v/>
      </c>
      <c r="AR19" s="345">
        <v>0.0</v>
      </c>
      <c r="AS19" s="331">
        <f>LET(
proceedsStyle,Reference!$E$9,
proceeds,AO19,
basis1099B,AP19,
adjustment,AR19,
mergerGain,AI19,
SWITCH(proceedsStyle,
  "cashOnly",
    mergerGain,
  "combined",
    MAX(proceeds - basis1099B + adjustment, 0)
))</f>
        <v>0</v>
      </c>
      <c r="AT19" s="415" t="str">
        <f t="shared" si="15"/>
        <v>n/a</v>
      </c>
      <c r="AU19" s="333">
        <f>LET(saleFMV,Reference!$B$10, postMergerBasis,AT19, avgoQty,AE19, lotFractionAmount,AG19, iferror((saleFMV - postMergerBasis) * (avgoQty - lotFractionAmount), 0))</f>
        <v>0</v>
      </c>
      <c r="AV19" s="333">
        <f>LET(
avgoQty,AE19, 
purchaseDate,C19,
postMergerSaleDate,Reference!$B$29,
saleFMV,Reference!$B$10,
postMergerBasis,AT19, 
IFERROR(IF(DATEDIF(purchaseDate,postMergerSaleDate,"Y")&gt;=1,
  0,
  avgoQty * (saleFMV - postMergerBasis)
),0))</f>
        <v>0</v>
      </c>
      <c r="AW19" s="336">
        <f>LET(
avgoQty,AE19, 
purchaseDate,C19,
postMergerSaleDate,Reference!$B$29,
saleFMV,Reference!$B$10,
postMergerBasis,AT19, 
IFERROR(IF(DATEDIF(purchaseDate,postMergerSaleDate,"Y")&gt;=1,
  avgoQty * (saleFMV - postMergerBasis),
  0
),0))</f>
        <v>0</v>
      </c>
      <c r="AX19" s="337"/>
    </row>
    <row r="20">
      <c r="A20" s="405"/>
      <c r="B20" s="406"/>
      <c r="C20" s="307"/>
      <c r="D20" s="338"/>
      <c r="E20" s="321" t="str">
        <f t="array" ref="E20">IF(C20&lt;&gt;"", IFERROR(VLOOKUP(C20, SORT(PriceReference!$A$1:$B1014), 2, TRUE), "price unavailable"), "")</f>
        <v/>
      </c>
      <c r="F20" s="416"/>
      <c r="G20" s="309">
        <f t="shared" si="6"/>
        <v>0</v>
      </c>
      <c r="H20" s="321">
        <f t="shared" si="7"/>
        <v>0</v>
      </c>
      <c r="I20" s="417"/>
      <c r="J20" s="348" t="b">
        <v>0</v>
      </c>
      <c r="K20" s="409"/>
      <c r="L20" s="315">
        <v>0.0</v>
      </c>
      <c r="M20" s="315">
        <v>0.0</v>
      </c>
      <c r="N20" s="315">
        <v>0.0</v>
      </c>
      <c r="O20" s="315">
        <v>0.0</v>
      </c>
      <c r="P20" s="315">
        <v>0.0</v>
      </c>
      <c r="Q20" s="317">
        <f t="shared" si="8"/>
        <v>0</v>
      </c>
      <c r="R20" s="317" t="str">
        <f>SWITCH(S20,"cash",Reference!E$5,"shares",Reference!$E$6,"balance",Reference!$E$7,"pro-rata",Reference!$B$5)</f>
        <v>#DIV/0!</v>
      </c>
      <c r="S20" s="318" t="s">
        <v>207</v>
      </c>
      <c r="T20" s="319">
        <f>LET(numVmwShares,D20, cashRatio,Reference!$B$4, vmwFinalPrice,Reference!$B$3, numVmwShares * cashRatio * vmwFinalPrice)</f>
        <v>0</v>
      </c>
      <c r="U20" s="319">
        <f>iferror(LET(numVmwShares,$D20, stockRatio,Q20, vmwFinalPrice,Reference!$B$3, (1 - stockRatio) * vmwFinalPrice * numVmwShares),0)</f>
        <v>0</v>
      </c>
      <c r="V20" s="319">
        <f>iferror(LET(numVmwShares,$D20, stockRatio,R20, vmwFinalPrice,Reference!$B$3, (1 - stockRatio) * vmwFinalPrice * numVmwShares),0)</f>
        <v>0</v>
      </c>
      <c r="W20" s="319">
        <f>SWITCH(Reference!$E$4,"eTradeTransactionLog", T20, "eTradeHoldingRatio",T20, "eTradeLotQtyRatio",U20,"manualLotRatio",V20)</f>
        <v>0</v>
      </c>
      <c r="X20" s="309">
        <f>LET(purchaseDate,C20, dateOfRecord,Reference!$B$26, returnOfCapital,Reference!$C$26, IF(purchaseDate &lt; dateOfRecord, returnOfCapital,0))</f>
        <v>10.18</v>
      </c>
      <c r="Y20" s="309">
        <f>LET(purchaseDate,C20, dateOfRecord,Reference!$B$27, returnOfCapital,Reference!$C$27, IF(purchaseDate &lt; dateOfRecord, returnOfCapital,0))</f>
        <v>16.58</v>
      </c>
      <c r="Z20" s="309">
        <f t="shared" si="9"/>
        <v>-26.76</v>
      </c>
      <c r="AA20" s="410">
        <f t="shared" si="10"/>
        <v>0</v>
      </c>
      <c r="AB20" s="320">
        <f>LET(numVmwShares,D20, stockRatio,Reference!$B$5, vmwToAvgoRatio,Reference!$B$6, numVmwShares * stockRatio * vmwToAvgoRatio)</f>
        <v>0</v>
      </c>
      <c r="AC20" s="320">
        <f>LET(numVmwShares,D20, stockRatio,Q20, vmwToAvgoRatio,Reference!$B$6, numVmwShares * stockRatio * vmwToAvgoRatio)</f>
        <v>0</v>
      </c>
      <c r="AD20" s="320" t="str">
        <f>LET(numVmwShares,D20, stockRatio,R20, vmwToAvgoRatio,Reference!$B$6, numVmwShares * stockRatio * vmwToAvgoRatio)</f>
        <v>#DIV/0!</v>
      </c>
      <c r="AE20" s="320">
        <f>SWITCH(Reference!$E$4, "eTradeTransactionLog", AB20, "eTradeHoldingRatio",AB20, "eTradeLotQtyRatio",AC20,"manualLotRatio",AD20)</f>
        <v>0</v>
      </c>
      <c r="AF20" s="321">
        <f>LET(numVmwShares,D20, vmwBasis,Z20, avgoQty,AE20, avgoFMV,Reference!$B$18, cashReceived,W20, gain,cashReceived+(avgoQty*avgoFMV)-(numVmwShares*vmwBasis),
MAX(gain,0))</f>
        <v>0</v>
      </c>
      <c r="AG20" s="322">
        <f>LET(useForFraction,J20, fractionAmount,Summary!$C$41, esppFractionLots,ESPP!$N$5, rsuFractionLots,RSU!J$5, IF(useForFraction, fractionAmount / (esppFractionLots+rsuFractionLots), 0))</f>
        <v>0</v>
      </c>
      <c r="AH20" s="411">
        <f>LET(useForFraction,J20, fractionSaleFMV,Reference!$B$23, postMergerBasis,AT20, lotFractionAmount,AG20, IF(useForFraction, (fractionSaleFMV - postMergerBasis)*lotFractionAmount, 0))</f>
        <v>0</v>
      </c>
      <c r="AI20" s="412">
        <f t="shared" si="11"/>
        <v>0</v>
      </c>
      <c r="AJ20" s="413">
        <f>LET(
purchaseDate,C20,
mergerDate,Reference!$B$28,
lotFractionGain,AH20,
mergerGain,AI20,
IF(DATEDIF(purchaseDate,mergerDate,"Y")&gt;=1,
  0,
  lotFractionGain + mergerGain
))</f>
        <v>0</v>
      </c>
      <c r="AK20" s="413">
        <f>LET(
purchaseDate,C20,
mergerDate,Reference!$B$28,
lotFractionGain,AH20,
mergerGain,AI20,
IF(DATEDIF(purchaseDate,mergerDate,"Y")&gt;=1,
  lotFractionGain+mergerGain,
  0
))</f>
        <v>0</v>
      </c>
      <c r="AL20" s="414" t="str">
        <f>IF(DATEDIF(C20,Reference!$B$28,"Y")&gt;=1,"Part II Box E","Part I Box B")</f>
        <v>Part II Box E</v>
      </c>
      <c r="AM20" s="344" t="str">
        <f t="shared" si="12"/>
        <v/>
      </c>
      <c r="AN20" s="330">
        <f t="shared" si="13"/>
        <v>0</v>
      </c>
      <c r="AO20" s="330">
        <f>LET(
cashReceived,W20, 
avgoQty,AE20, 
proceedsStyle,Reference!$E$9, 
avgoFMV,Reference!$B$18, 
SWITCH(proceedsStyle, "combined", cashReceived +(avgoQty*avgoFMV), "cashOnly", cashReceived))</f>
        <v>0</v>
      </c>
      <c r="AP20" s="345">
        <f>LET(
proceedsStyle,Reference!$E$9,
proceeds,AO20,
gain,AS20,
numVmwShares,D20, 
vmwBasis, Z20, 
avgoQty,AE20, 
avgoFMV,Reference!$B$18, 
cashReceived,W20, 
avgoTotalValue, avgoFMV*avgoQty, 
vmwTotalBasis, vmwBasis*numVmwShares,
alternateGainAmount,AF20, 
SWITCH(proceedsStyle,
  "cashOnly",
    proceeds - gain,
  "combined",
    IF(cashReceived&lt;alternateGainAmount,
      avgoTotalValue,
      vmwTotalBasis
    )
  )
)</f>
        <v>0</v>
      </c>
      <c r="AQ20" s="345" t="str">
        <f t="shared" si="14"/>
        <v/>
      </c>
      <c r="AR20" s="345">
        <v>0.0</v>
      </c>
      <c r="AS20" s="331">
        <f>LET(
proceedsStyle,Reference!$E$9,
proceeds,AO20,
basis1099B,AP20,
adjustment,AR20,
mergerGain,AI20,
SWITCH(proceedsStyle,
  "cashOnly",
    mergerGain,
  "combined",
    MAX(proceeds - basis1099B + adjustment, 0)
))</f>
        <v>0</v>
      </c>
      <c r="AT20" s="415" t="str">
        <f t="shared" si="15"/>
        <v>n/a</v>
      </c>
      <c r="AU20" s="333">
        <f>LET(saleFMV,Reference!$B$10, postMergerBasis,AT20, avgoQty,AE20, lotFractionAmount,AG20, iferror((saleFMV - postMergerBasis) * (avgoQty - lotFractionAmount), 0))</f>
        <v>0</v>
      </c>
      <c r="AV20" s="333">
        <f>LET(
avgoQty,AE20, 
purchaseDate,C20,
postMergerSaleDate,Reference!$B$29,
saleFMV,Reference!$B$10,
postMergerBasis,AT20, 
IFERROR(IF(DATEDIF(purchaseDate,postMergerSaleDate,"Y")&gt;=1,
  0,
  avgoQty * (saleFMV - postMergerBasis)
),0))</f>
        <v>0</v>
      </c>
      <c r="AW20" s="336">
        <f>LET(
avgoQty,AE20, 
purchaseDate,C20,
postMergerSaleDate,Reference!$B$29,
saleFMV,Reference!$B$10,
postMergerBasis,AT20, 
IFERROR(IF(DATEDIF(purchaseDate,postMergerSaleDate,"Y")&gt;=1,
  avgoQty * (saleFMV - postMergerBasis),
  0
),0))</f>
        <v>0</v>
      </c>
      <c r="AX20" s="337"/>
    </row>
    <row r="21">
      <c r="A21" s="405"/>
      <c r="B21" s="406"/>
      <c r="C21" s="307"/>
      <c r="D21" s="338"/>
      <c r="E21" s="321" t="str">
        <f t="array" ref="E21">IF(C21&lt;&gt;"", IFERROR(VLOOKUP(C21, SORT(PriceReference!$A$1:$B1014), 2, TRUE), "price unavailable"), "")</f>
        <v/>
      </c>
      <c r="F21" s="416"/>
      <c r="G21" s="309">
        <f t="shared" si="6"/>
        <v>0</v>
      </c>
      <c r="H21" s="321">
        <f t="shared" si="7"/>
        <v>0</v>
      </c>
      <c r="I21" s="417"/>
      <c r="J21" s="348" t="b">
        <v>0</v>
      </c>
      <c r="K21" s="409"/>
      <c r="L21" s="315">
        <v>0.0</v>
      </c>
      <c r="M21" s="315">
        <v>0.0</v>
      </c>
      <c r="N21" s="315">
        <v>0.0</v>
      </c>
      <c r="O21" s="315">
        <v>0.0</v>
      </c>
      <c r="P21" s="315">
        <v>0.0</v>
      </c>
      <c r="Q21" s="317">
        <f t="shared" si="8"/>
        <v>0</v>
      </c>
      <c r="R21" s="317" t="str">
        <f>SWITCH(S21,"cash",Reference!E$5,"shares",Reference!$E$6,"balance",Reference!$E$7,"pro-rata",Reference!$B$5)</f>
        <v>#DIV/0!</v>
      </c>
      <c r="S21" s="318" t="s">
        <v>207</v>
      </c>
      <c r="T21" s="319">
        <f>LET(numVmwShares,D21, cashRatio,Reference!$B$4, vmwFinalPrice,Reference!$B$3, numVmwShares * cashRatio * vmwFinalPrice)</f>
        <v>0</v>
      </c>
      <c r="U21" s="319">
        <f>iferror(LET(numVmwShares,$D21, stockRatio,Q21, vmwFinalPrice,Reference!$B$3, (1 - stockRatio) * vmwFinalPrice * numVmwShares),0)</f>
        <v>0</v>
      </c>
      <c r="V21" s="319">
        <f>iferror(LET(numVmwShares,$D21, stockRatio,R21, vmwFinalPrice,Reference!$B$3, (1 - stockRatio) * vmwFinalPrice * numVmwShares),0)</f>
        <v>0</v>
      </c>
      <c r="W21" s="319">
        <f>SWITCH(Reference!$E$4,"eTradeTransactionLog", T21, "eTradeHoldingRatio",T21, "eTradeLotQtyRatio",U21,"manualLotRatio",V21)</f>
        <v>0</v>
      </c>
      <c r="X21" s="309">
        <f>LET(purchaseDate,C21, dateOfRecord,Reference!$B$26, returnOfCapital,Reference!$C$26, IF(purchaseDate &lt; dateOfRecord, returnOfCapital,0))</f>
        <v>10.18</v>
      </c>
      <c r="Y21" s="309">
        <f>LET(purchaseDate,C21, dateOfRecord,Reference!$B$27, returnOfCapital,Reference!$C$27, IF(purchaseDate &lt; dateOfRecord, returnOfCapital,0))</f>
        <v>16.58</v>
      </c>
      <c r="Z21" s="309">
        <f t="shared" si="9"/>
        <v>-26.76</v>
      </c>
      <c r="AA21" s="410">
        <f t="shared" si="10"/>
        <v>0</v>
      </c>
      <c r="AB21" s="320">
        <f>LET(numVmwShares,D21, stockRatio,Reference!$B$5, vmwToAvgoRatio,Reference!$B$6, numVmwShares * stockRatio * vmwToAvgoRatio)</f>
        <v>0</v>
      </c>
      <c r="AC21" s="320">
        <f>LET(numVmwShares,D21, stockRatio,Q21, vmwToAvgoRatio,Reference!$B$6, numVmwShares * stockRatio * vmwToAvgoRatio)</f>
        <v>0</v>
      </c>
      <c r="AD21" s="320" t="str">
        <f>LET(numVmwShares,D21, stockRatio,R21, vmwToAvgoRatio,Reference!$B$6, numVmwShares * stockRatio * vmwToAvgoRatio)</f>
        <v>#DIV/0!</v>
      </c>
      <c r="AE21" s="320">
        <f>SWITCH(Reference!$E$4, "eTradeTransactionLog", AB21, "eTradeHoldingRatio",AB21, "eTradeLotQtyRatio",AC21,"manualLotRatio",AD21)</f>
        <v>0</v>
      </c>
      <c r="AF21" s="321">
        <f>LET(numVmwShares,D21, vmwBasis,Z21, avgoQty,AE21, avgoFMV,Reference!$B$18, cashReceived,W21, gain,cashReceived+(avgoQty*avgoFMV)-(numVmwShares*vmwBasis),
MAX(gain,0))</f>
        <v>0</v>
      </c>
      <c r="AG21" s="322">
        <f>LET(useForFraction,J21, fractionAmount,Summary!$C$41, esppFractionLots,ESPP!$N$5, rsuFractionLots,RSU!J$5, IF(useForFraction, fractionAmount / (esppFractionLots+rsuFractionLots), 0))</f>
        <v>0</v>
      </c>
      <c r="AH21" s="411">
        <f>LET(useForFraction,J21, fractionSaleFMV,Reference!$B$23, postMergerBasis,AT21, lotFractionAmount,AG21, IF(useForFraction, (fractionSaleFMV - postMergerBasis)*lotFractionAmount, 0))</f>
        <v>0</v>
      </c>
      <c r="AI21" s="412">
        <f t="shared" si="11"/>
        <v>0</v>
      </c>
      <c r="AJ21" s="413">
        <f>LET(
purchaseDate,C21,
mergerDate,Reference!$B$28,
lotFractionGain,AH21,
mergerGain,AI21,
IF(DATEDIF(purchaseDate,mergerDate,"Y")&gt;=1,
  0,
  lotFractionGain + mergerGain
))</f>
        <v>0</v>
      </c>
      <c r="AK21" s="413">
        <f>LET(
purchaseDate,C21,
mergerDate,Reference!$B$28,
lotFractionGain,AH21,
mergerGain,AI21,
IF(DATEDIF(purchaseDate,mergerDate,"Y")&gt;=1,
  lotFractionGain+mergerGain,
  0
))</f>
        <v>0</v>
      </c>
      <c r="AL21" s="414" t="str">
        <f>IF(DATEDIF(C21,Reference!$B$28,"Y")&gt;=1,"Part II Box E","Part I Box B")</f>
        <v>Part II Box E</v>
      </c>
      <c r="AM21" s="344" t="str">
        <f t="shared" si="12"/>
        <v/>
      </c>
      <c r="AN21" s="330">
        <f t="shared" si="13"/>
        <v>0</v>
      </c>
      <c r="AO21" s="330">
        <f>LET(
cashReceived,W21, 
avgoQty,AE21, 
proceedsStyle,Reference!$E$9, 
avgoFMV,Reference!$B$18, 
SWITCH(proceedsStyle, "combined", cashReceived +(avgoQty*avgoFMV), "cashOnly", cashReceived))</f>
        <v>0</v>
      </c>
      <c r="AP21" s="345">
        <f>LET(
proceedsStyle,Reference!$E$9,
proceeds,AO21,
gain,AS21,
numVmwShares,D21, 
vmwBasis, Z21, 
avgoQty,AE21, 
avgoFMV,Reference!$B$18, 
cashReceived,W21, 
avgoTotalValue, avgoFMV*avgoQty, 
vmwTotalBasis, vmwBasis*numVmwShares,
alternateGainAmount,AF21, 
SWITCH(proceedsStyle,
  "cashOnly",
    proceeds - gain,
  "combined",
    IF(cashReceived&lt;alternateGainAmount,
      avgoTotalValue,
      vmwTotalBasis
    )
  )
)</f>
        <v>0</v>
      </c>
      <c r="AQ21" s="345" t="str">
        <f t="shared" si="14"/>
        <v/>
      </c>
      <c r="AR21" s="345">
        <v>0.0</v>
      </c>
      <c r="AS21" s="331">
        <f>LET(
proceedsStyle,Reference!$E$9,
proceeds,AO21,
basis1099B,AP21,
adjustment,AR21,
mergerGain,AI21,
SWITCH(proceedsStyle,
  "cashOnly",
    mergerGain,
  "combined",
    MAX(proceeds - basis1099B + adjustment, 0)
))</f>
        <v>0</v>
      </c>
      <c r="AT21" s="415" t="str">
        <f t="shared" si="15"/>
        <v>n/a</v>
      </c>
      <c r="AU21" s="333">
        <f>LET(saleFMV,Reference!$B$10, postMergerBasis,AT21, avgoQty,AE21, lotFractionAmount,AG21, iferror((saleFMV - postMergerBasis) * (avgoQty - lotFractionAmount), 0))</f>
        <v>0</v>
      </c>
      <c r="AV21" s="333">
        <f>LET(
avgoQty,AE21, 
purchaseDate,C21,
postMergerSaleDate,Reference!$B$29,
saleFMV,Reference!$B$10,
postMergerBasis,AT21, 
IFERROR(IF(DATEDIF(purchaseDate,postMergerSaleDate,"Y")&gt;=1,
  0,
  avgoQty * (saleFMV - postMergerBasis)
),0))</f>
        <v>0</v>
      </c>
      <c r="AW21" s="336">
        <f>LET(
avgoQty,AE21, 
purchaseDate,C21,
postMergerSaleDate,Reference!$B$29,
saleFMV,Reference!$B$10,
postMergerBasis,AT21, 
IFERROR(IF(DATEDIF(purchaseDate,postMergerSaleDate,"Y")&gt;=1,
  avgoQty * (saleFMV - postMergerBasis),
  0
),0))</f>
        <v>0</v>
      </c>
      <c r="AX21" s="337"/>
    </row>
    <row r="22">
      <c r="A22" s="405"/>
      <c r="B22" s="406"/>
      <c r="C22" s="307"/>
      <c r="D22" s="338"/>
      <c r="E22" s="321" t="str">
        <f t="array" ref="E22">IF(C22&lt;&gt;"", IFERROR(VLOOKUP(C22, SORT(PriceReference!$A$1:$B1014), 2, TRUE), "price unavailable"), "")</f>
        <v/>
      </c>
      <c r="F22" s="416"/>
      <c r="G22" s="309">
        <f t="shared" si="6"/>
        <v>0</v>
      </c>
      <c r="H22" s="321">
        <f t="shared" si="7"/>
        <v>0</v>
      </c>
      <c r="I22" s="419"/>
      <c r="J22" s="348" t="b">
        <v>0</v>
      </c>
      <c r="K22" s="409"/>
      <c r="L22" s="315">
        <v>0.0</v>
      </c>
      <c r="M22" s="315">
        <v>0.0</v>
      </c>
      <c r="N22" s="315">
        <v>0.0</v>
      </c>
      <c r="O22" s="315">
        <v>0.0</v>
      </c>
      <c r="P22" s="315">
        <v>0.0</v>
      </c>
      <c r="Q22" s="317">
        <f t="shared" si="8"/>
        <v>0</v>
      </c>
      <c r="R22" s="317" t="str">
        <f>SWITCH(S22,"cash",Reference!E$5,"shares",Reference!$E$6,"balance",Reference!$E$7,"pro-rata",Reference!$B$5)</f>
        <v>#DIV/0!</v>
      </c>
      <c r="S22" s="318" t="s">
        <v>207</v>
      </c>
      <c r="T22" s="319">
        <f>LET(numVmwShares,D22, cashRatio,Reference!$B$4, vmwFinalPrice,Reference!$B$3, numVmwShares * cashRatio * vmwFinalPrice)</f>
        <v>0</v>
      </c>
      <c r="U22" s="319">
        <f>iferror(LET(numVmwShares,$D22, stockRatio,Q22, vmwFinalPrice,Reference!$B$3, (1 - stockRatio) * vmwFinalPrice * numVmwShares),0)</f>
        <v>0</v>
      </c>
      <c r="V22" s="319">
        <f>iferror(LET(numVmwShares,$D22, stockRatio,R22, vmwFinalPrice,Reference!$B$3, (1 - stockRatio) * vmwFinalPrice * numVmwShares),0)</f>
        <v>0</v>
      </c>
      <c r="W22" s="319">
        <f>SWITCH(Reference!$E$4,"eTradeTransactionLog", T22, "eTradeHoldingRatio",T22, "eTradeLotQtyRatio",U22,"manualLotRatio",V22)</f>
        <v>0</v>
      </c>
      <c r="X22" s="309">
        <f>LET(purchaseDate,C22, dateOfRecord,Reference!$B$26, returnOfCapital,Reference!$C$26, IF(purchaseDate &lt; dateOfRecord, returnOfCapital,0))</f>
        <v>10.18</v>
      </c>
      <c r="Y22" s="309">
        <f>LET(purchaseDate,C22, dateOfRecord,Reference!$B$27, returnOfCapital,Reference!$C$27, IF(purchaseDate &lt; dateOfRecord, returnOfCapital,0))</f>
        <v>16.58</v>
      </c>
      <c r="Z22" s="309">
        <f t="shared" si="9"/>
        <v>-26.76</v>
      </c>
      <c r="AA22" s="410">
        <f t="shared" si="10"/>
        <v>0</v>
      </c>
      <c r="AB22" s="320">
        <f>LET(numVmwShares,D22, stockRatio,Reference!$B$5, vmwToAvgoRatio,Reference!$B$6, numVmwShares * stockRatio * vmwToAvgoRatio)</f>
        <v>0</v>
      </c>
      <c r="AC22" s="320">
        <f>LET(numVmwShares,D22, stockRatio,Q22, vmwToAvgoRatio,Reference!$B$6, numVmwShares * stockRatio * vmwToAvgoRatio)</f>
        <v>0</v>
      </c>
      <c r="AD22" s="320" t="str">
        <f>LET(numVmwShares,D22, stockRatio,R22, vmwToAvgoRatio,Reference!$B$6, numVmwShares * stockRatio * vmwToAvgoRatio)</f>
        <v>#DIV/0!</v>
      </c>
      <c r="AE22" s="320">
        <f>SWITCH(Reference!$E$4, "eTradeTransactionLog", AB22, "eTradeHoldingRatio",AB22, "eTradeLotQtyRatio",AC22,"manualLotRatio",AD22)</f>
        <v>0</v>
      </c>
      <c r="AF22" s="321">
        <f>LET(numVmwShares,D22, vmwBasis,Z22, avgoQty,AE22, avgoFMV,Reference!$B$18, cashReceived,W22, gain,cashReceived+(avgoQty*avgoFMV)-(numVmwShares*vmwBasis),
MAX(gain,0))</f>
        <v>0</v>
      </c>
      <c r="AG22" s="322">
        <f>LET(useForFraction,J22, fractionAmount,Summary!$C$41, esppFractionLots,ESPP!$N$5, rsuFractionLots,RSU!J$5, IF(useForFraction, fractionAmount / (esppFractionLots+rsuFractionLots), 0))</f>
        <v>0</v>
      </c>
      <c r="AH22" s="411">
        <f>LET(useForFraction,J22, fractionSaleFMV,Reference!$B$23, postMergerBasis,AT22, lotFractionAmount,AG22, IF(useForFraction, (fractionSaleFMV - postMergerBasis)*lotFractionAmount, 0))</f>
        <v>0</v>
      </c>
      <c r="AI22" s="412">
        <f t="shared" si="11"/>
        <v>0</v>
      </c>
      <c r="AJ22" s="413">
        <f>LET(
purchaseDate,C22,
mergerDate,Reference!$B$28,
lotFractionGain,AH22,
mergerGain,AI22,
IF(DATEDIF(purchaseDate,mergerDate,"Y")&gt;=1,
  0,
  lotFractionGain + mergerGain
))</f>
        <v>0</v>
      </c>
      <c r="AK22" s="413">
        <f>LET(
purchaseDate,C22,
mergerDate,Reference!$B$28,
lotFractionGain,AH22,
mergerGain,AI22,
IF(DATEDIF(purchaseDate,mergerDate,"Y")&gt;=1,
  lotFractionGain+mergerGain,
  0
))</f>
        <v>0</v>
      </c>
      <c r="AL22" s="414" t="str">
        <f>IF(DATEDIF(C22,Reference!$B$28,"Y")&gt;=1,"Part II Box E","Part I Box B")</f>
        <v>Part II Box E</v>
      </c>
      <c r="AM22" s="344" t="str">
        <f t="shared" si="12"/>
        <v/>
      </c>
      <c r="AN22" s="330">
        <f t="shared" si="13"/>
        <v>0</v>
      </c>
      <c r="AO22" s="330">
        <f>LET(
cashReceived,W22, 
avgoQty,AE22, 
proceedsStyle,Reference!$E$9, 
avgoFMV,Reference!$B$18, 
SWITCH(proceedsStyle, "combined", cashReceived +(avgoQty*avgoFMV), "cashOnly", cashReceived))</f>
        <v>0</v>
      </c>
      <c r="AP22" s="345">
        <f>LET(
proceedsStyle,Reference!$E$9,
proceeds,AO22,
gain,AS22,
numVmwShares,D22, 
vmwBasis, Z22, 
avgoQty,AE22, 
avgoFMV,Reference!$B$18, 
cashReceived,W22, 
avgoTotalValue, avgoFMV*avgoQty, 
vmwTotalBasis, vmwBasis*numVmwShares,
alternateGainAmount,AF22, 
SWITCH(proceedsStyle,
  "cashOnly",
    proceeds - gain,
  "combined",
    IF(cashReceived&lt;alternateGainAmount,
      avgoTotalValue,
      vmwTotalBasis
    )
  )
)</f>
        <v>0</v>
      </c>
      <c r="AQ22" s="345" t="str">
        <f t="shared" si="14"/>
        <v/>
      </c>
      <c r="AR22" s="345">
        <v>0.0</v>
      </c>
      <c r="AS22" s="331">
        <f>LET(
proceedsStyle,Reference!$E$9,
proceeds,AO22,
basis1099B,AP22,
adjustment,AR22,
mergerGain,AI22,
SWITCH(proceedsStyle,
  "cashOnly",
    mergerGain,
  "combined",
    MAX(proceeds - basis1099B + adjustment, 0)
))</f>
        <v>0</v>
      </c>
      <c r="AT22" s="415" t="str">
        <f t="shared" si="15"/>
        <v>n/a</v>
      </c>
      <c r="AU22" s="333">
        <f>LET(saleFMV,Reference!$B$10, postMergerBasis,AT22, avgoQty,AE22, lotFractionAmount,AG22, iferror((saleFMV - postMergerBasis) * (avgoQty - lotFractionAmount), 0))</f>
        <v>0</v>
      </c>
      <c r="AV22" s="333">
        <f>LET(
avgoQty,AE22, 
purchaseDate,C22,
postMergerSaleDate,Reference!$B$29,
saleFMV,Reference!$B$10,
postMergerBasis,AT22, 
IFERROR(IF(DATEDIF(purchaseDate,postMergerSaleDate,"Y")&gt;=1,
  0,
  avgoQty * (saleFMV - postMergerBasis)
),0))</f>
        <v>0</v>
      </c>
      <c r="AW22" s="336">
        <f>LET(
avgoQty,AE22, 
purchaseDate,C22,
postMergerSaleDate,Reference!$B$29,
saleFMV,Reference!$B$10,
postMergerBasis,AT22, 
IFERROR(IF(DATEDIF(purchaseDate,postMergerSaleDate,"Y")&gt;=1,
  avgoQty * (saleFMV - postMergerBasis),
  0
),0))</f>
        <v>0</v>
      </c>
      <c r="AX22" s="337"/>
    </row>
    <row r="23">
      <c r="A23" s="405"/>
      <c r="B23" s="406"/>
      <c r="C23" s="307"/>
      <c r="D23" s="338"/>
      <c r="E23" s="321" t="str">
        <f t="array" ref="E23">IF(C23&lt;&gt;"", IFERROR(VLOOKUP(C23, SORT(PriceReference!$A$1:$B1014), 2, TRUE), "price unavailable"), "")</f>
        <v/>
      </c>
      <c r="F23" s="416"/>
      <c r="G23" s="309">
        <f t="shared" si="6"/>
        <v>0</v>
      </c>
      <c r="H23" s="321">
        <f t="shared" si="7"/>
        <v>0</v>
      </c>
      <c r="I23" s="417"/>
      <c r="J23" s="348" t="b">
        <v>0</v>
      </c>
      <c r="K23" s="409"/>
      <c r="L23" s="315">
        <v>0.0</v>
      </c>
      <c r="M23" s="315">
        <v>0.0</v>
      </c>
      <c r="N23" s="315">
        <v>0.0</v>
      </c>
      <c r="O23" s="315">
        <v>0.0</v>
      </c>
      <c r="P23" s="315">
        <v>0.0</v>
      </c>
      <c r="Q23" s="317">
        <f t="shared" si="8"/>
        <v>0</v>
      </c>
      <c r="R23" s="317" t="str">
        <f>SWITCH(S23,"cash",Reference!E$5,"shares",Reference!$E$6,"balance",Reference!$E$7,"pro-rata",Reference!$B$5)</f>
        <v>#DIV/0!</v>
      </c>
      <c r="S23" s="318" t="s">
        <v>207</v>
      </c>
      <c r="T23" s="319">
        <f>LET(numVmwShares,D23, cashRatio,Reference!$B$4, vmwFinalPrice,Reference!$B$3, numVmwShares * cashRatio * vmwFinalPrice)</f>
        <v>0</v>
      </c>
      <c r="U23" s="319">
        <f>iferror(LET(numVmwShares,$D23, stockRatio,Q23, vmwFinalPrice,Reference!$B$3, (1 - stockRatio) * vmwFinalPrice * numVmwShares),0)</f>
        <v>0</v>
      </c>
      <c r="V23" s="319">
        <f>iferror(LET(numVmwShares,$D23, stockRatio,R23, vmwFinalPrice,Reference!$B$3, (1 - stockRatio) * vmwFinalPrice * numVmwShares),0)</f>
        <v>0</v>
      </c>
      <c r="W23" s="319">
        <f>SWITCH(Reference!$E$4,"eTradeTransactionLog", T23, "eTradeHoldingRatio",T23, "eTradeLotQtyRatio",U23,"manualLotRatio",V23)</f>
        <v>0</v>
      </c>
      <c r="X23" s="309">
        <f>LET(purchaseDate,C23, dateOfRecord,Reference!$B$26, returnOfCapital,Reference!$C$26, IF(purchaseDate &lt; dateOfRecord, returnOfCapital,0))</f>
        <v>10.18</v>
      </c>
      <c r="Y23" s="309">
        <f>LET(purchaseDate,C23, dateOfRecord,Reference!$B$27, returnOfCapital,Reference!$C$27, IF(purchaseDate &lt; dateOfRecord, returnOfCapital,0))</f>
        <v>16.58</v>
      </c>
      <c r="Z23" s="309">
        <f t="shared" si="9"/>
        <v>-26.76</v>
      </c>
      <c r="AA23" s="410">
        <f t="shared" si="10"/>
        <v>0</v>
      </c>
      <c r="AB23" s="320">
        <f>LET(numVmwShares,D23, stockRatio,Reference!$B$5, vmwToAvgoRatio,Reference!$B$6, numVmwShares * stockRatio * vmwToAvgoRatio)</f>
        <v>0</v>
      </c>
      <c r="AC23" s="320">
        <f>LET(numVmwShares,D23, stockRatio,Q23, vmwToAvgoRatio,Reference!$B$6, numVmwShares * stockRatio * vmwToAvgoRatio)</f>
        <v>0</v>
      </c>
      <c r="AD23" s="320" t="str">
        <f>LET(numVmwShares,D23, stockRatio,R23, vmwToAvgoRatio,Reference!$B$6, numVmwShares * stockRatio * vmwToAvgoRatio)</f>
        <v>#DIV/0!</v>
      </c>
      <c r="AE23" s="320">
        <f>SWITCH(Reference!$E$4, "eTradeTransactionLog", AB23, "eTradeHoldingRatio",AB23, "eTradeLotQtyRatio",AC23,"manualLotRatio",AD23)</f>
        <v>0</v>
      </c>
      <c r="AF23" s="321">
        <f>LET(numVmwShares,D23, vmwBasis,Z23, avgoQty,AE23, avgoFMV,Reference!$B$18, cashReceived,W23, gain,cashReceived+(avgoQty*avgoFMV)-(numVmwShares*vmwBasis),
MAX(gain,0))</f>
        <v>0</v>
      </c>
      <c r="AG23" s="322">
        <f>LET(useForFraction,J23, fractionAmount,Summary!$C$41, esppFractionLots,ESPP!$N$5, rsuFractionLots,RSU!J$5, IF(useForFraction, fractionAmount / (esppFractionLots+rsuFractionLots), 0))</f>
        <v>0</v>
      </c>
      <c r="AH23" s="411">
        <f>LET(useForFraction,J23, fractionSaleFMV,Reference!$B$23, postMergerBasis,AT23, lotFractionAmount,AG23, IF(useForFraction, (fractionSaleFMV - postMergerBasis)*lotFractionAmount, 0))</f>
        <v>0</v>
      </c>
      <c r="AI23" s="412">
        <f t="shared" si="11"/>
        <v>0</v>
      </c>
      <c r="AJ23" s="413">
        <f>LET(
purchaseDate,C23,
mergerDate,Reference!$B$28,
lotFractionGain,AH23,
mergerGain,AI23,
IF(DATEDIF(purchaseDate,mergerDate,"Y")&gt;=1,
  0,
  lotFractionGain + mergerGain
))</f>
        <v>0</v>
      </c>
      <c r="AK23" s="413">
        <f>LET(
purchaseDate,C23,
mergerDate,Reference!$B$28,
lotFractionGain,AH23,
mergerGain,AI23,
IF(DATEDIF(purchaseDate,mergerDate,"Y")&gt;=1,
  lotFractionGain+mergerGain,
  0
))</f>
        <v>0</v>
      </c>
      <c r="AL23" s="414" t="str">
        <f>IF(DATEDIF(C23,Reference!$B$28,"Y")&gt;=1,"Part II Box E","Part I Box B")</f>
        <v>Part II Box E</v>
      </c>
      <c r="AM23" s="344" t="str">
        <f t="shared" si="12"/>
        <v/>
      </c>
      <c r="AN23" s="330">
        <f t="shared" si="13"/>
        <v>0</v>
      </c>
      <c r="AO23" s="330">
        <f>LET(
cashReceived,W23, 
avgoQty,AE23, 
proceedsStyle,Reference!$E$9, 
avgoFMV,Reference!$B$18, 
SWITCH(proceedsStyle, "combined", cashReceived +(avgoQty*avgoFMV), "cashOnly", cashReceived))</f>
        <v>0</v>
      </c>
      <c r="AP23" s="345">
        <f>LET(
proceedsStyle,Reference!$E$9,
proceeds,AO23,
gain,AS23,
numVmwShares,D23, 
vmwBasis, Z23, 
avgoQty,AE23, 
avgoFMV,Reference!$B$18, 
cashReceived,W23, 
avgoTotalValue, avgoFMV*avgoQty, 
vmwTotalBasis, vmwBasis*numVmwShares,
alternateGainAmount,AF23, 
SWITCH(proceedsStyle,
  "cashOnly",
    proceeds - gain,
  "combined",
    IF(cashReceived&lt;alternateGainAmount,
      avgoTotalValue,
      vmwTotalBasis
    )
  )
)</f>
        <v>0</v>
      </c>
      <c r="AQ23" s="345" t="str">
        <f t="shared" si="14"/>
        <v/>
      </c>
      <c r="AR23" s="345">
        <v>0.0</v>
      </c>
      <c r="AS23" s="331">
        <f>LET(
proceedsStyle,Reference!$E$9,
proceeds,AO23,
basis1099B,AP23,
adjustment,AR23,
mergerGain,AI23,
SWITCH(proceedsStyle,
  "cashOnly",
    mergerGain,
  "combined",
    MAX(proceeds - basis1099B + adjustment, 0)
))</f>
        <v>0</v>
      </c>
      <c r="AT23" s="415" t="str">
        <f t="shared" si="15"/>
        <v>n/a</v>
      </c>
      <c r="AU23" s="333">
        <f>LET(saleFMV,Reference!$B$10, postMergerBasis,AT23, avgoQty,AE23, lotFractionAmount,AG23, iferror((saleFMV - postMergerBasis) * (avgoQty - lotFractionAmount), 0))</f>
        <v>0</v>
      </c>
      <c r="AV23" s="333">
        <f>LET(
avgoQty,AE23, 
purchaseDate,C23,
postMergerSaleDate,Reference!$B$29,
saleFMV,Reference!$B$10,
postMergerBasis,AT23, 
IFERROR(IF(DATEDIF(purchaseDate,postMergerSaleDate,"Y")&gt;=1,
  0,
  avgoQty * (saleFMV - postMergerBasis)
),0))</f>
        <v>0</v>
      </c>
      <c r="AW23" s="336">
        <f>LET(
avgoQty,AE23, 
purchaseDate,C23,
postMergerSaleDate,Reference!$B$29,
saleFMV,Reference!$B$10,
postMergerBasis,AT23, 
IFERROR(IF(DATEDIF(purchaseDate,postMergerSaleDate,"Y")&gt;=1,
  avgoQty * (saleFMV - postMergerBasis),
  0
),0))</f>
        <v>0</v>
      </c>
      <c r="AX23" s="337"/>
    </row>
    <row r="24">
      <c r="A24" s="405"/>
      <c r="B24" s="406"/>
      <c r="C24" s="307"/>
      <c r="D24" s="338"/>
      <c r="E24" s="321" t="str">
        <f t="array" ref="E24">IF(C24&lt;&gt;"", IFERROR(VLOOKUP(C24, SORT(PriceReference!$A$1:$B1014), 2, TRUE), "price unavailable"), "")</f>
        <v/>
      </c>
      <c r="F24" s="416"/>
      <c r="G24" s="309">
        <f t="shared" si="6"/>
        <v>0</v>
      </c>
      <c r="H24" s="321">
        <f t="shared" si="7"/>
        <v>0</v>
      </c>
      <c r="I24" s="417"/>
      <c r="J24" s="348" t="b">
        <v>0</v>
      </c>
      <c r="K24" s="409"/>
      <c r="L24" s="315">
        <v>0.0</v>
      </c>
      <c r="M24" s="315">
        <v>0.0</v>
      </c>
      <c r="N24" s="315">
        <v>0.0</v>
      </c>
      <c r="O24" s="315">
        <v>0.0</v>
      </c>
      <c r="P24" s="315">
        <v>0.0</v>
      </c>
      <c r="Q24" s="317">
        <f t="shared" si="8"/>
        <v>0</v>
      </c>
      <c r="R24" s="317" t="str">
        <f>SWITCH(S24,"cash",Reference!E$5,"shares",Reference!$E$6,"balance",Reference!$E$7,"pro-rata",Reference!$B$5)</f>
        <v>#DIV/0!</v>
      </c>
      <c r="S24" s="318" t="s">
        <v>207</v>
      </c>
      <c r="T24" s="319">
        <f>LET(numVmwShares,D24, cashRatio,Reference!$B$4, vmwFinalPrice,Reference!$B$3, numVmwShares * cashRatio * vmwFinalPrice)</f>
        <v>0</v>
      </c>
      <c r="U24" s="319">
        <f>iferror(LET(numVmwShares,$D24, stockRatio,Q24, vmwFinalPrice,Reference!$B$3, (1 - stockRatio) * vmwFinalPrice * numVmwShares),0)</f>
        <v>0</v>
      </c>
      <c r="V24" s="319">
        <f>iferror(LET(numVmwShares,$D24, stockRatio,R24, vmwFinalPrice,Reference!$B$3, (1 - stockRatio) * vmwFinalPrice * numVmwShares),0)</f>
        <v>0</v>
      </c>
      <c r="W24" s="319">
        <f>SWITCH(Reference!$E$4,"eTradeTransactionLog", T24, "eTradeHoldingRatio",T24, "eTradeLotQtyRatio",U24,"manualLotRatio",V24)</f>
        <v>0</v>
      </c>
      <c r="X24" s="309">
        <f>LET(purchaseDate,C24, dateOfRecord,Reference!$B$26, returnOfCapital,Reference!$C$26, IF(purchaseDate &lt; dateOfRecord, returnOfCapital,0))</f>
        <v>10.18</v>
      </c>
      <c r="Y24" s="309">
        <f>LET(purchaseDate,C24, dateOfRecord,Reference!$B$27, returnOfCapital,Reference!$C$27, IF(purchaseDate &lt; dateOfRecord, returnOfCapital,0))</f>
        <v>16.58</v>
      </c>
      <c r="Z24" s="309">
        <f t="shared" si="9"/>
        <v>-26.76</v>
      </c>
      <c r="AA24" s="410">
        <f t="shared" si="10"/>
        <v>0</v>
      </c>
      <c r="AB24" s="320">
        <f>LET(numVmwShares,D24, stockRatio,Reference!$B$5, vmwToAvgoRatio,Reference!$B$6, numVmwShares * stockRatio * vmwToAvgoRatio)</f>
        <v>0</v>
      </c>
      <c r="AC24" s="320">
        <f>LET(numVmwShares,D24, stockRatio,Q24, vmwToAvgoRatio,Reference!$B$6, numVmwShares * stockRatio * vmwToAvgoRatio)</f>
        <v>0</v>
      </c>
      <c r="AD24" s="320" t="str">
        <f>LET(numVmwShares,D24, stockRatio,R24, vmwToAvgoRatio,Reference!$B$6, numVmwShares * stockRatio * vmwToAvgoRatio)</f>
        <v>#DIV/0!</v>
      </c>
      <c r="AE24" s="320">
        <f>SWITCH(Reference!$E$4, "eTradeTransactionLog", AB24, "eTradeHoldingRatio",AB24, "eTradeLotQtyRatio",AC24,"manualLotRatio",AD24)</f>
        <v>0</v>
      </c>
      <c r="AF24" s="321">
        <f>LET(numVmwShares,D24, vmwBasis,Z24, avgoQty,AE24, avgoFMV,Reference!$B$18, cashReceived,W24, gain,cashReceived+(avgoQty*avgoFMV)-(numVmwShares*vmwBasis),
MAX(gain,0))</f>
        <v>0</v>
      </c>
      <c r="AG24" s="322">
        <f>LET(useForFraction,J24, fractionAmount,Summary!$C$41, esppFractionLots,ESPP!$N$5, rsuFractionLots,RSU!J$5, IF(useForFraction, fractionAmount / (esppFractionLots+rsuFractionLots), 0))</f>
        <v>0</v>
      </c>
      <c r="AH24" s="411">
        <f>LET(useForFraction,J24, fractionSaleFMV,Reference!$B$23, postMergerBasis,AT24, lotFractionAmount,AG24, IF(useForFraction, (fractionSaleFMV - postMergerBasis)*lotFractionAmount, 0))</f>
        <v>0</v>
      </c>
      <c r="AI24" s="412">
        <f t="shared" si="11"/>
        <v>0</v>
      </c>
      <c r="AJ24" s="413">
        <f>LET(
purchaseDate,C24,
mergerDate,Reference!$B$28,
lotFractionGain,AH24,
mergerGain,AI24,
IF(DATEDIF(purchaseDate,mergerDate,"Y")&gt;=1,
  0,
  lotFractionGain + mergerGain
))</f>
        <v>0</v>
      </c>
      <c r="AK24" s="413">
        <f>LET(
purchaseDate,C24,
mergerDate,Reference!$B$28,
lotFractionGain,AH24,
mergerGain,AI24,
IF(DATEDIF(purchaseDate,mergerDate,"Y")&gt;=1,
  lotFractionGain+mergerGain,
  0
))</f>
        <v>0</v>
      </c>
      <c r="AL24" s="414" t="str">
        <f>IF(DATEDIF(C24,Reference!$B$28,"Y")&gt;=1,"Part II Box E","Part I Box B")</f>
        <v>Part II Box E</v>
      </c>
      <c r="AM24" s="344" t="str">
        <f t="shared" si="12"/>
        <v/>
      </c>
      <c r="AN24" s="330">
        <f t="shared" si="13"/>
        <v>0</v>
      </c>
      <c r="AO24" s="330">
        <f>LET(
cashReceived,W24, 
avgoQty,AE24, 
proceedsStyle,Reference!$E$9, 
avgoFMV,Reference!$B$18, 
SWITCH(proceedsStyle, "combined", cashReceived +(avgoQty*avgoFMV), "cashOnly", cashReceived))</f>
        <v>0</v>
      </c>
      <c r="AP24" s="345">
        <f>LET(
proceedsStyle,Reference!$E$9,
proceeds,AO24,
gain,AS24,
numVmwShares,D24, 
vmwBasis, Z24, 
avgoQty,AE24, 
avgoFMV,Reference!$B$18, 
cashReceived,W24, 
avgoTotalValue, avgoFMV*avgoQty, 
vmwTotalBasis, vmwBasis*numVmwShares,
alternateGainAmount,AF24, 
SWITCH(proceedsStyle,
  "cashOnly",
    proceeds - gain,
  "combined",
    IF(cashReceived&lt;alternateGainAmount,
      avgoTotalValue,
      vmwTotalBasis
    )
  )
)</f>
        <v>0</v>
      </c>
      <c r="AQ24" s="345" t="str">
        <f t="shared" si="14"/>
        <v/>
      </c>
      <c r="AR24" s="345">
        <v>0.0</v>
      </c>
      <c r="AS24" s="331">
        <f>LET(
proceedsStyle,Reference!$E$9,
proceeds,AO24,
basis1099B,AP24,
adjustment,AR24,
mergerGain,AI24,
SWITCH(proceedsStyle,
  "cashOnly",
    mergerGain,
  "combined",
    MAX(proceeds - basis1099B + adjustment, 0)
))</f>
        <v>0</v>
      </c>
      <c r="AT24" s="415" t="str">
        <f t="shared" si="15"/>
        <v>n/a</v>
      </c>
      <c r="AU24" s="333">
        <f>LET(saleFMV,Reference!$B$10, postMergerBasis,AT24, avgoQty,AE24, lotFractionAmount,AG24, iferror((saleFMV - postMergerBasis) * (avgoQty - lotFractionAmount), 0))</f>
        <v>0</v>
      </c>
      <c r="AV24" s="333">
        <f>LET(
avgoQty,AE24, 
purchaseDate,C24,
postMergerSaleDate,Reference!$B$29,
saleFMV,Reference!$B$10,
postMergerBasis,AT24, 
IFERROR(IF(DATEDIF(purchaseDate,postMergerSaleDate,"Y")&gt;=1,
  0,
  avgoQty * (saleFMV - postMergerBasis)
),0))</f>
        <v>0</v>
      </c>
      <c r="AW24" s="336">
        <f>LET(
avgoQty,AE24, 
purchaseDate,C24,
postMergerSaleDate,Reference!$B$29,
saleFMV,Reference!$B$10,
postMergerBasis,AT24, 
IFERROR(IF(DATEDIF(purchaseDate,postMergerSaleDate,"Y")&gt;=1,
  avgoQty * (saleFMV - postMergerBasis),
  0
),0))</f>
        <v>0</v>
      </c>
      <c r="AX24" s="337"/>
    </row>
    <row r="25">
      <c r="A25" s="405"/>
      <c r="B25" s="406"/>
      <c r="C25" s="307"/>
      <c r="D25" s="338"/>
      <c r="E25" s="321" t="str">
        <f t="array" ref="E25">IF(C25&lt;&gt;"", IFERROR(VLOOKUP(C25, SORT(PriceReference!$A$1:$B1014), 2, TRUE), "price unavailable"), "")</f>
        <v/>
      </c>
      <c r="F25" s="416"/>
      <c r="G25" s="309">
        <f t="shared" si="6"/>
        <v>0</v>
      </c>
      <c r="H25" s="321">
        <f t="shared" si="7"/>
        <v>0</v>
      </c>
      <c r="I25" s="419"/>
      <c r="J25" s="348" t="b">
        <v>0</v>
      </c>
      <c r="K25" s="409"/>
      <c r="L25" s="315">
        <v>0.0</v>
      </c>
      <c r="M25" s="315">
        <v>0.0</v>
      </c>
      <c r="N25" s="315">
        <v>0.0</v>
      </c>
      <c r="O25" s="315">
        <v>0.0</v>
      </c>
      <c r="P25" s="315">
        <v>0.0</v>
      </c>
      <c r="Q25" s="317">
        <f t="shared" si="8"/>
        <v>0</v>
      </c>
      <c r="R25" s="317" t="str">
        <f>SWITCH(S25,"cash",Reference!E$5,"shares",Reference!$E$6,"balance",Reference!$E$7,"pro-rata",Reference!$B$5)</f>
        <v>#DIV/0!</v>
      </c>
      <c r="S25" s="318" t="s">
        <v>207</v>
      </c>
      <c r="T25" s="319">
        <f>LET(numVmwShares,D25, cashRatio,Reference!$B$4, vmwFinalPrice,Reference!$B$3, numVmwShares * cashRatio * vmwFinalPrice)</f>
        <v>0</v>
      </c>
      <c r="U25" s="319">
        <f>iferror(LET(numVmwShares,$D25, stockRatio,Q25, vmwFinalPrice,Reference!$B$3, (1 - stockRatio) * vmwFinalPrice * numVmwShares),0)</f>
        <v>0</v>
      </c>
      <c r="V25" s="319">
        <f>iferror(LET(numVmwShares,$D25, stockRatio,R25, vmwFinalPrice,Reference!$B$3, (1 - stockRatio) * vmwFinalPrice * numVmwShares),0)</f>
        <v>0</v>
      </c>
      <c r="W25" s="319">
        <f>SWITCH(Reference!$E$4,"eTradeTransactionLog", T25, "eTradeHoldingRatio",T25, "eTradeLotQtyRatio",U25,"manualLotRatio",V25)</f>
        <v>0</v>
      </c>
      <c r="X25" s="309">
        <f>LET(purchaseDate,C25, dateOfRecord,Reference!$B$26, returnOfCapital,Reference!$C$26, IF(purchaseDate &lt; dateOfRecord, returnOfCapital,0))</f>
        <v>10.18</v>
      </c>
      <c r="Y25" s="309">
        <f>LET(purchaseDate,C25, dateOfRecord,Reference!$B$27, returnOfCapital,Reference!$C$27, IF(purchaseDate &lt; dateOfRecord, returnOfCapital,0))</f>
        <v>16.58</v>
      </c>
      <c r="Z25" s="309">
        <f t="shared" si="9"/>
        <v>-26.76</v>
      </c>
      <c r="AA25" s="410">
        <f t="shared" si="10"/>
        <v>0</v>
      </c>
      <c r="AB25" s="320">
        <f>LET(numVmwShares,D25, stockRatio,Reference!$B$5, vmwToAvgoRatio,Reference!$B$6, numVmwShares * stockRatio * vmwToAvgoRatio)</f>
        <v>0</v>
      </c>
      <c r="AC25" s="320">
        <f>LET(numVmwShares,D25, stockRatio,Q25, vmwToAvgoRatio,Reference!$B$6, numVmwShares * stockRatio * vmwToAvgoRatio)</f>
        <v>0</v>
      </c>
      <c r="AD25" s="320" t="str">
        <f>LET(numVmwShares,D25, stockRatio,R25, vmwToAvgoRatio,Reference!$B$6, numVmwShares * stockRatio * vmwToAvgoRatio)</f>
        <v>#DIV/0!</v>
      </c>
      <c r="AE25" s="320">
        <f>SWITCH(Reference!$E$4, "eTradeTransactionLog", AB25, "eTradeHoldingRatio",AB25, "eTradeLotQtyRatio",AC25,"manualLotRatio",AD25)</f>
        <v>0</v>
      </c>
      <c r="AF25" s="321">
        <f>LET(numVmwShares,D25, vmwBasis,Z25, avgoQty,AE25, avgoFMV,Reference!$B$18, cashReceived,W25, gain,cashReceived+(avgoQty*avgoFMV)-(numVmwShares*vmwBasis),
MAX(gain,0))</f>
        <v>0</v>
      </c>
      <c r="AG25" s="322">
        <f>LET(useForFraction,J25, fractionAmount,Summary!$C$41, esppFractionLots,ESPP!$N$5, rsuFractionLots,RSU!J$5, IF(useForFraction, fractionAmount / (esppFractionLots+rsuFractionLots), 0))</f>
        <v>0</v>
      </c>
      <c r="AH25" s="411">
        <f>LET(useForFraction,J25, fractionSaleFMV,Reference!$B$23, postMergerBasis,AT25, lotFractionAmount,AG25, IF(useForFraction, (fractionSaleFMV - postMergerBasis)*lotFractionAmount, 0))</f>
        <v>0</v>
      </c>
      <c r="AI25" s="412">
        <f t="shared" si="11"/>
        <v>0</v>
      </c>
      <c r="AJ25" s="413">
        <f>LET(
purchaseDate,C25,
mergerDate,Reference!$B$28,
lotFractionGain,AH25,
mergerGain,AI25,
IF(DATEDIF(purchaseDate,mergerDate,"Y")&gt;=1,
  0,
  lotFractionGain + mergerGain
))</f>
        <v>0</v>
      </c>
      <c r="AK25" s="413">
        <f>LET(
purchaseDate,C25,
mergerDate,Reference!$B$28,
lotFractionGain,AH25,
mergerGain,AI25,
IF(DATEDIF(purchaseDate,mergerDate,"Y")&gt;=1,
  lotFractionGain+mergerGain,
  0
))</f>
        <v>0</v>
      </c>
      <c r="AL25" s="414" t="str">
        <f>IF(DATEDIF(C25,Reference!$B$28,"Y")&gt;=1,"Part II Box E","Part I Box B")</f>
        <v>Part II Box E</v>
      </c>
      <c r="AM25" s="344" t="str">
        <f t="shared" si="12"/>
        <v/>
      </c>
      <c r="AN25" s="330">
        <f t="shared" si="13"/>
        <v>0</v>
      </c>
      <c r="AO25" s="330">
        <f>LET(
cashReceived,W25, 
avgoQty,AE25, 
proceedsStyle,Reference!$E$9, 
avgoFMV,Reference!$B$18, 
SWITCH(proceedsStyle, "combined", cashReceived +(avgoQty*avgoFMV), "cashOnly", cashReceived))</f>
        <v>0</v>
      </c>
      <c r="AP25" s="345">
        <f>LET(
proceedsStyle,Reference!$E$9,
proceeds,AO25,
gain,AS25,
numVmwShares,D25, 
vmwBasis, Z25, 
avgoQty,AE25, 
avgoFMV,Reference!$B$18, 
cashReceived,W25, 
avgoTotalValue, avgoFMV*avgoQty, 
vmwTotalBasis, vmwBasis*numVmwShares,
alternateGainAmount,AF25, 
SWITCH(proceedsStyle,
  "cashOnly",
    proceeds - gain,
  "combined",
    IF(cashReceived&lt;alternateGainAmount,
      avgoTotalValue,
      vmwTotalBasis
    )
  )
)</f>
        <v>0</v>
      </c>
      <c r="AQ25" s="345" t="str">
        <f t="shared" si="14"/>
        <v/>
      </c>
      <c r="AR25" s="345">
        <v>0.0</v>
      </c>
      <c r="AS25" s="331">
        <f>LET(
proceedsStyle,Reference!$E$9,
proceeds,AO25,
basis1099B,AP25,
adjustment,AR25,
mergerGain,AI25,
SWITCH(proceedsStyle,
  "cashOnly",
    mergerGain,
  "combined",
    MAX(proceeds - basis1099B + adjustment, 0)
))</f>
        <v>0</v>
      </c>
      <c r="AT25" s="415" t="str">
        <f t="shared" si="15"/>
        <v>n/a</v>
      </c>
      <c r="AU25" s="333">
        <f>LET(saleFMV,Reference!$B$10, postMergerBasis,AT25, avgoQty,AE25, lotFractionAmount,AG25, iferror((saleFMV - postMergerBasis) * (avgoQty - lotFractionAmount), 0))</f>
        <v>0</v>
      </c>
      <c r="AV25" s="333">
        <f>LET(
avgoQty,AE25, 
purchaseDate,C25,
postMergerSaleDate,Reference!$B$29,
saleFMV,Reference!$B$10,
postMergerBasis,AT25, 
IFERROR(IF(DATEDIF(purchaseDate,postMergerSaleDate,"Y")&gt;=1,
  0,
  avgoQty * (saleFMV - postMergerBasis)
),0))</f>
        <v>0</v>
      </c>
      <c r="AW25" s="336">
        <f>LET(
avgoQty,AE25, 
purchaseDate,C25,
postMergerSaleDate,Reference!$B$29,
saleFMV,Reference!$B$10,
postMergerBasis,AT25, 
IFERROR(IF(DATEDIF(purchaseDate,postMergerSaleDate,"Y")&gt;=1,
  avgoQty * (saleFMV - postMergerBasis),
  0
),0))</f>
        <v>0</v>
      </c>
      <c r="AX25" s="337"/>
    </row>
    <row r="26">
      <c r="A26" s="405"/>
      <c r="B26" s="406"/>
      <c r="C26" s="307"/>
      <c r="D26" s="338"/>
      <c r="E26" s="321" t="str">
        <f t="array" ref="E26">IF(C26&lt;&gt;"", IFERROR(VLOOKUP(C26, SORT(PriceReference!$A$1:$B1014), 2, TRUE), "price unavailable"), "")</f>
        <v/>
      </c>
      <c r="F26" s="416"/>
      <c r="G26" s="309">
        <f t="shared" si="6"/>
        <v>0</v>
      </c>
      <c r="H26" s="321">
        <f t="shared" si="7"/>
        <v>0</v>
      </c>
      <c r="I26" s="417"/>
      <c r="J26" s="348" t="b">
        <v>0</v>
      </c>
      <c r="K26" s="409"/>
      <c r="L26" s="315">
        <v>0.0</v>
      </c>
      <c r="M26" s="315">
        <v>0.0</v>
      </c>
      <c r="N26" s="315">
        <v>0.0</v>
      </c>
      <c r="O26" s="315">
        <v>0.0</v>
      </c>
      <c r="P26" s="315">
        <v>0.0</v>
      </c>
      <c r="Q26" s="317">
        <f t="shared" si="8"/>
        <v>0</v>
      </c>
      <c r="R26" s="317" t="str">
        <f>SWITCH(S26,"cash",Reference!E$5,"shares",Reference!$E$6,"balance",Reference!$E$7,"pro-rata",Reference!$B$5)</f>
        <v>#DIV/0!</v>
      </c>
      <c r="S26" s="318" t="s">
        <v>207</v>
      </c>
      <c r="T26" s="319">
        <f>LET(numVmwShares,D26, cashRatio,Reference!$B$4, vmwFinalPrice,Reference!$B$3, numVmwShares * cashRatio * vmwFinalPrice)</f>
        <v>0</v>
      </c>
      <c r="U26" s="319">
        <f>iferror(LET(numVmwShares,$D26, stockRatio,Q26, vmwFinalPrice,Reference!$B$3, (1 - stockRatio) * vmwFinalPrice * numVmwShares),0)</f>
        <v>0</v>
      </c>
      <c r="V26" s="319">
        <f>iferror(LET(numVmwShares,$D26, stockRatio,R26, vmwFinalPrice,Reference!$B$3, (1 - stockRatio) * vmwFinalPrice * numVmwShares),0)</f>
        <v>0</v>
      </c>
      <c r="W26" s="319">
        <f>SWITCH(Reference!$E$4,"eTradeTransactionLog", T26, "eTradeHoldingRatio",T26, "eTradeLotQtyRatio",U26,"manualLotRatio",V26)</f>
        <v>0</v>
      </c>
      <c r="X26" s="309">
        <f>LET(purchaseDate,C26, dateOfRecord,Reference!$B$26, returnOfCapital,Reference!$C$26, IF(purchaseDate &lt; dateOfRecord, returnOfCapital,0))</f>
        <v>10.18</v>
      </c>
      <c r="Y26" s="309">
        <f>LET(purchaseDate,C26, dateOfRecord,Reference!$B$27, returnOfCapital,Reference!$C$27, IF(purchaseDate &lt; dateOfRecord, returnOfCapital,0))</f>
        <v>16.58</v>
      </c>
      <c r="Z26" s="309">
        <f t="shared" si="9"/>
        <v>-26.76</v>
      </c>
      <c r="AA26" s="410">
        <f t="shared" si="10"/>
        <v>0</v>
      </c>
      <c r="AB26" s="320">
        <f>LET(numVmwShares,D26, stockRatio,Reference!$B$5, vmwToAvgoRatio,Reference!$B$6, numVmwShares * stockRatio * vmwToAvgoRatio)</f>
        <v>0</v>
      </c>
      <c r="AC26" s="320">
        <f>LET(numVmwShares,D26, stockRatio,Q26, vmwToAvgoRatio,Reference!$B$6, numVmwShares * stockRatio * vmwToAvgoRatio)</f>
        <v>0</v>
      </c>
      <c r="AD26" s="320" t="str">
        <f>LET(numVmwShares,D26, stockRatio,R26, vmwToAvgoRatio,Reference!$B$6, numVmwShares * stockRatio * vmwToAvgoRatio)</f>
        <v>#DIV/0!</v>
      </c>
      <c r="AE26" s="320">
        <f>SWITCH(Reference!$E$4, "eTradeTransactionLog", AB26, "eTradeHoldingRatio",AB26, "eTradeLotQtyRatio",AC26,"manualLotRatio",AD26)</f>
        <v>0</v>
      </c>
      <c r="AF26" s="321">
        <f>LET(numVmwShares,D26, vmwBasis,Z26, avgoQty,AE26, avgoFMV,Reference!$B$18, cashReceived,W26, gain,cashReceived+(avgoQty*avgoFMV)-(numVmwShares*vmwBasis),
MAX(gain,0))</f>
        <v>0</v>
      </c>
      <c r="AG26" s="322">
        <f>LET(useForFraction,J26, fractionAmount,Summary!$C$41, esppFractionLots,ESPP!$N$5, rsuFractionLots,RSU!J$5, IF(useForFraction, fractionAmount / (esppFractionLots+rsuFractionLots), 0))</f>
        <v>0</v>
      </c>
      <c r="AH26" s="411">
        <f>LET(useForFraction,J26, fractionSaleFMV,Reference!$B$23, postMergerBasis,AT26, lotFractionAmount,AG26, IF(useForFraction, (fractionSaleFMV - postMergerBasis)*lotFractionAmount, 0))</f>
        <v>0</v>
      </c>
      <c r="AI26" s="412">
        <f t="shared" si="11"/>
        <v>0</v>
      </c>
      <c r="AJ26" s="413">
        <f>LET(
purchaseDate,C26,
mergerDate,Reference!$B$28,
lotFractionGain,AH26,
mergerGain,AI26,
IF(DATEDIF(purchaseDate,mergerDate,"Y")&gt;=1,
  0,
  lotFractionGain + mergerGain
))</f>
        <v>0</v>
      </c>
      <c r="AK26" s="413">
        <f>LET(
purchaseDate,C26,
mergerDate,Reference!$B$28,
lotFractionGain,AH26,
mergerGain,AI26,
IF(DATEDIF(purchaseDate,mergerDate,"Y")&gt;=1,
  lotFractionGain+mergerGain,
  0
))</f>
        <v>0</v>
      </c>
      <c r="AL26" s="414" t="str">
        <f>IF(DATEDIF(C26,Reference!$B$28,"Y")&gt;=1,"Part II Box E","Part I Box B")</f>
        <v>Part II Box E</v>
      </c>
      <c r="AM26" s="344" t="str">
        <f t="shared" si="12"/>
        <v/>
      </c>
      <c r="AN26" s="330">
        <f t="shared" si="13"/>
        <v>0</v>
      </c>
      <c r="AO26" s="330">
        <f>LET(
cashReceived,W26, 
avgoQty,AE26, 
proceedsStyle,Reference!$E$9, 
avgoFMV,Reference!$B$18, 
SWITCH(proceedsStyle, "combined", cashReceived +(avgoQty*avgoFMV), "cashOnly", cashReceived))</f>
        <v>0</v>
      </c>
      <c r="AP26" s="345">
        <f>LET(
proceedsStyle,Reference!$E$9,
proceeds,AO26,
gain,AS26,
numVmwShares,D26, 
vmwBasis, Z26, 
avgoQty,AE26, 
avgoFMV,Reference!$B$18, 
cashReceived,W26, 
avgoTotalValue, avgoFMV*avgoQty, 
vmwTotalBasis, vmwBasis*numVmwShares,
alternateGainAmount,AF26, 
SWITCH(proceedsStyle,
  "cashOnly",
    proceeds - gain,
  "combined",
    IF(cashReceived&lt;alternateGainAmount,
      avgoTotalValue,
      vmwTotalBasis
    )
  )
)</f>
        <v>0</v>
      </c>
      <c r="AQ26" s="345" t="str">
        <f t="shared" si="14"/>
        <v/>
      </c>
      <c r="AR26" s="345">
        <v>0.0</v>
      </c>
      <c r="AS26" s="331">
        <f>LET(
proceedsStyle,Reference!$E$9,
proceeds,AO26,
basis1099B,AP26,
adjustment,AR26,
mergerGain,AI26,
SWITCH(proceedsStyle,
  "cashOnly",
    mergerGain,
  "combined",
    MAX(proceeds - basis1099B + adjustment, 0)
))</f>
        <v>0</v>
      </c>
      <c r="AT26" s="415" t="str">
        <f t="shared" si="15"/>
        <v>n/a</v>
      </c>
      <c r="AU26" s="333">
        <f>LET(saleFMV,Reference!$B$10, postMergerBasis,AT26, avgoQty,AE26, lotFractionAmount,AG26, iferror((saleFMV - postMergerBasis) * (avgoQty - lotFractionAmount), 0))</f>
        <v>0</v>
      </c>
      <c r="AV26" s="333">
        <f>LET(
avgoQty,AE26, 
purchaseDate,C26,
postMergerSaleDate,Reference!$B$29,
saleFMV,Reference!$B$10,
postMergerBasis,AT26, 
IFERROR(IF(DATEDIF(purchaseDate,postMergerSaleDate,"Y")&gt;=1,
  0,
  avgoQty * (saleFMV - postMergerBasis)
),0))</f>
        <v>0</v>
      </c>
      <c r="AW26" s="336">
        <f>LET(
avgoQty,AE26, 
purchaseDate,C26,
postMergerSaleDate,Reference!$B$29,
saleFMV,Reference!$B$10,
postMergerBasis,AT26, 
IFERROR(IF(DATEDIF(purchaseDate,postMergerSaleDate,"Y")&gt;=1,
  avgoQty * (saleFMV - postMergerBasis),
  0
),0))</f>
        <v>0</v>
      </c>
      <c r="AX26" s="337"/>
    </row>
    <row r="27">
      <c r="A27" s="405"/>
      <c r="B27" s="406"/>
      <c r="C27" s="307"/>
      <c r="D27" s="338"/>
      <c r="E27" s="321" t="str">
        <f t="array" ref="E27">IF(C27&lt;&gt;"", IFERROR(VLOOKUP(C27, SORT(PriceReference!$A$1:$B1014), 2, TRUE), "price unavailable"), "")</f>
        <v/>
      </c>
      <c r="F27" s="416"/>
      <c r="G27" s="309">
        <f t="shared" si="6"/>
        <v>0</v>
      </c>
      <c r="H27" s="321">
        <f t="shared" si="7"/>
        <v>0</v>
      </c>
      <c r="I27" s="417"/>
      <c r="J27" s="348" t="b">
        <v>0</v>
      </c>
      <c r="K27" s="409"/>
      <c r="L27" s="315">
        <v>0.0</v>
      </c>
      <c r="M27" s="315">
        <v>0.0</v>
      </c>
      <c r="N27" s="315">
        <v>0.0</v>
      </c>
      <c r="O27" s="315">
        <v>0.0</v>
      </c>
      <c r="P27" s="315">
        <v>0.0</v>
      </c>
      <c r="Q27" s="317">
        <f t="shared" si="8"/>
        <v>0</v>
      </c>
      <c r="R27" s="317" t="str">
        <f>SWITCH(S27,"cash",Reference!E$5,"shares",Reference!$E$6,"balance",Reference!$E$7,"pro-rata",Reference!$B$5)</f>
        <v>#DIV/0!</v>
      </c>
      <c r="S27" s="318" t="s">
        <v>207</v>
      </c>
      <c r="T27" s="319">
        <f>LET(numVmwShares,D27, cashRatio,Reference!$B$4, vmwFinalPrice,Reference!$B$3, numVmwShares * cashRatio * vmwFinalPrice)</f>
        <v>0</v>
      </c>
      <c r="U27" s="319">
        <f>iferror(LET(numVmwShares,$D27, stockRatio,Q27, vmwFinalPrice,Reference!$B$3, (1 - stockRatio) * vmwFinalPrice * numVmwShares),0)</f>
        <v>0</v>
      </c>
      <c r="V27" s="319">
        <f>iferror(LET(numVmwShares,$D27, stockRatio,R27, vmwFinalPrice,Reference!$B$3, (1 - stockRatio) * vmwFinalPrice * numVmwShares),0)</f>
        <v>0</v>
      </c>
      <c r="W27" s="319">
        <f>SWITCH(Reference!$E$4,"eTradeTransactionLog", T27, "eTradeHoldingRatio",T27, "eTradeLotQtyRatio",U27,"manualLotRatio",V27)</f>
        <v>0</v>
      </c>
      <c r="X27" s="309">
        <f>LET(purchaseDate,C27, dateOfRecord,Reference!$B$26, returnOfCapital,Reference!$C$26, IF(purchaseDate &lt; dateOfRecord, returnOfCapital,0))</f>
        <v>10.18</v>
      </c>
      <c r="Y27" s="309">
        <f>LET(purchaseDate,C27, dateOfRecord,Reference!$B$27, returnOfCapital,Reference!$C$27, IF(purchaseDate &lt; dateOfRecord, returnOfCapital,0))</f>
        <v>16.58</v>
      </c>
      <c r="Z27" s="309">
        <f t="shared" si="9"/>
        <v>-26.76</v>
      </c>
      <c r="AA27" s="410">
        <f t="shared" si="10"/>
        <v>0</v>
      </c>
      <c r="AB27" s="320">
        <f>LET(numVmwShares,D27, stockRatio,Reference!$B$5, vmwToAvgoRatio,Reference!$B$6, numVmwShares * stockRatio * vmwToAvgoRatio)</f>
        <v>0</v>
      </c>
      <c r="AC27" s="320">
        <f>LET(numVmwShares,D27, stockRatio,Q27, vmwToAvgoRatio,Reference!$B$6, numVmwShares * stockRatio * vmwToAvgoRatio)</f>
        <v>0</v>
      </c>
      <c r="AD27" s="320" t="str">
        <f>LET(numVmwShares,D27, stockRatio,R27, vmwToAvgoRatio,Reference!$B$6, numVmwShares * stockRatio * vmwToAvgoRatio)</f>
        <v>#DIV/0!</v>
      </c>
      <c r="AE27" s="320">
        <f>SWITCH(Reference!$E$4, "eTradeTransactionLog", AB27, "eTradeHoldingRatio",AB27, "eTradeLotQtyRatio",AC27,"manualLotRatio",AD27)</f>
        <v>0</v>
      </c>
      <c r="AF27" s="321">
        <f>LET(numVmwShares,D27, vmwBasis,Z27, avgoQty,AE27, avgoFMV,Reference!$B$18, cashReceived,W27, gain,cashReceived+(avgoQty*avgoFMV)-(numVmwShares*vmwBasis),
MAX(gain,0))</f>
        <v>0</v>
      </c>
      <c r="AG27" s="322">
        <f>LET(useForFraction,J27, fractionAmount,Summary!$C$41, esppFractionLots,ESPP!$N$5, rsuFractionLots,RSU!J$5, IF(useForFraction, fractionAmount / (esppFractionLots+rsuFractionLots), 0))</f>
        <v>0</v>
      </c>
      <c r="AH27" s="411">
        <f>LET(useForFraction,J27, fractionSaleFMV,Reference!$B$23, postMergerBasis,AT27, lotFractionAmount,AG27, IF(useForFraction, (fractionSaleFMV - postMergerBasis)*lotFractionAmount, 0))</f>
        <v>0</v>
      </c>
      <c r="AI27" s="412">
        <f t="shared" si="11"/>
        <v>0</v>
      </c>
      <c r="AJ27" s="413">
        <f>LET(
purchaseDate,C27,
mergerDate,Reference!$B$28,
lotFractionGain,AH27,
mergerGain,AI27,
IF(DATEDIF(purchaseDate,mergerDate,"Y")&gt;=1,
  0,
  lotFractionGain + mergerGain
))</f>
        <v>0</v>
      </c>
      <c r="AK27" s="413">
        <f>LET(
purchaseDate,C27,
mergerDate,Reference!$B$28,
lotFractionGain,AH27,
mergerGain,AI27,
IF(DATEDIF(purchaseDate,mergerDate,"Y")&gt;=1,
  lotFractionGain+mergerGain,
  0
))</f>
        <v>0</v>
      </c>
      <c r="AL27" s="414" t="str">
        <f>IF(DATEDIF(C27,Reference!$B$28,"Y")&gt;=1,"Part II Box E","Part I Box B")</f>
        <v>Part II Box E</v>
      </c>
      <c r="AM27" s="344" t="str">
        <f t="shared" si="12"/>
        <v/>
      </c>
      <c r="AN27" s="330">
        <f t="shared" si="13"/>
        <v>0</v>
      </c>
      <c r="AO27" s="330">
        <f>LET(
cashReceived,W27, 
avgoQty,AE27, 
proceedsStyle,Reference!$E$9, 
avgoFMV,Reference!$B$18, 
SWITCH(proceedsStyle, "combined", cashReceived +(avgoQty*avgoFMV), "cashOnly", cashReceived))</f>
        <v>0</v>
      </c>
      <c r="AP27" s="345">
        <f>LET(
proceedsStyle,Reference!$E$9,
proceeds,AO27,
gain,AS27,
numVmwShares,D27, 
vmwBasis, Z27, 
avgoQty,AE27, 
avgoFMV,Reference!$B$18, 
cashReceived,W27, 
avgoTotalValue, avgoFMV*avgoQty, 
vmwTotalBasis, vmwBasis*numVmwShares,
alternateGainAmount,AF27, 
SWITCH(proceedsStyle,
  "cashOnly",
    proceeds - gain,
  "combined",
    IF(cashReceived&lt;alternateGainAmount,
      avgoTotalValue,
      vmwTotalBasis
    )
  )
)</f>
        <v>0</v>
      </c>
      <c r="AQ27" s="345" t="str">
        <f t="shared" si="14"/>
        <v/>
      </c>
      <c r="AR27" s="345">
        <v>0.0</v>
      </c>
      <c r="AS27" s="331">
        <f>LET(
proceedsStyle,Reference!$E$9,
proceeds,AO27,
basis1099B,AP27,
adjustment,AR27,
mergerGain,AI27,
SWITCH(proceedsStyle,
  "cashOnly",
    mergerGain,
  "combined",
    MAX(proceeds - basis1099B + adjustment, 0)
))</f>
        <v>0</v>
      </c>
      <c r="AT27" s="415" t="str">
        <f t="shared" si="15"/>
        <v>n/a</v>
      </c>
      <c r="AU27" s="333">
        <f>LET(saleFMV,Reference!$B$10, postMergerBasis,AT27, avgoQty,AE27, lotFractionAmount,AG27, iferror((saleFMV - postMergerBasis) * (avgoQty - lotFractionAmount), 0))</f>
        <v>0</v>
      </c>
      <c r="AV27" s="333">
        <f>LET(
avgoQty,AE27, 
purchaseDate,C27,
postMergerSaleDate,Reference!$B$29,
saleFMV,Reference!$B$10,
postMergerBasis,AT27, 
IFERROR(IF(DATEDIF(purchaseDate,postMergerSaleDate,"Y")&gt;=1,
  0,
  avgoQty * (saleFMV - postMergerBasis)
),0))</f>
        <v>0</v>
      </c>
      <c r="AW27" s="336">
        <f>LET(
avgoQty,AE27, 
purchaseDate,C27,
postMergerSaleDate,Reference!$B$29,
saleFMV,Reference!$B$10,
postMergerBasis,AT27, 
IFERROR(IF(DATEDIF(purchaseDate,postMergerSaleDate,"Y")&gt;=1,
  avgoQty * (saleFMV - postMergerBasis),
  0
),0))</f>
        <v>0</v>
      </c>
      <c r="AX27" s="337"/>
    </row>
    <row r="28">
      <c r="A28" s="405"/>
      <c r="B28" s="406"/>
      <c r="C28" s="307"/>
      <c r="D28" s="338"/>
      <c r="E28" s="321" t="str">
        <f t="array" ref="E28">IF(C28&lt;&gt;"", IFERROR(VLOOKUP(C28, SORT(PriceReference!$A$1:$B1014), 2, TRUE), "price unavailable"), "")</f>
        <v/>
      </c>
      <c r="F28" s="416"/>
      <c r="G28" s="309">
        <f t="shared" si="6"/>
        <v>0</v>
      </c>
      <c r="H28" s="321">
        <f t="shared" si="7"/>
        <v>0</v>
      </c>
      <c r="I28" s="419"/>
      <c r="J28" s="348" t="b">
        <v>0</v>
      </c>
      <c r="K28" s="409"/>
      <c r="L28" s="315">
        <v>0.0</v>
      </c>
      <c r="M28" s="315">
        <v>0.0</v>
      </c>
      <c r="N28" s="315">
        <v>0.0</v>
      </c>
      <c r="O28" s="315">
        <v>0.0</v>
      </c>
      <c r="P28" s="315">
        <v>0.0</v>
      </c>
      <c r="Q28" s="317">
        <f t="shared" si="8"/>
        <v>0</v>
      </c>
      <c r="R28" s="317" t="str">
        <f>SWITCH(S28,"cash",Reference!E$5,"shares",Reference!$E$6,"balance",Reference!$E$7,"pro-rata",Reference!$B$5)</f>
        <v>#DIV/0!</v>
      </c>
      <c r="S28" s="318" t="s">
        <v>207</v>
      </c>
      <c r="T28" s="319">
        <f>LET(numVmwShares,D28, cashRatio,Reference!$B$4, vmwFinalPrice,Reference!$B$3, numVmwShares * cashRatio * vmwFinalPrice)</f>
        <v>0</v>
      </c>
      <c r="U28" s="319">
        <f>iferror(LET(numVmwShares,$D28, stockRatio,Q28, vmwFinalPrice,Reference!$B$3, (1 - stockRatio) * vmwFinalPrice * numVmwShares),0)</f>
        <v>0</v>
      </c>
      <c r="V28" s="319">
        <f>iferror(LET(numVmwShares,$D28, stockRatio,R28, vmwFinalPrice,Reference!$B$3, (1 - stockRatio) * vmwFinalPrice * numVmwShares),0)</f>
        <v>0</v>
      </c>
      <c r="W28" s="319">
        <f>SWITCH(Reference!$E$4,"eTradeTransactionLog", T28, "eTradeHoldingRatio",T28, "eTradeLotQtyRatio",U28,"manualLotRatio",V28)</f>
        <v>0</v>
      </c>
      <c r="X28" s="309">
        <f>LET(purchaseDate,C28, dateOfRecord,Reference!$B$26, returnOfCapital,Reference!$C$26, IF(purchaseDate &lt; dateOfRecord, returnOfCapital,0))</f>
        <v>10.18</v>
      </c>
      <c r="Y28" s="309">
        <f>LET(purchaseDate,C28, dateOfRecord,Reference!$B$27, returnOfCapital,Reference!$C$27, IF(purchaseDate &lt; dateOfRecord, returnOfCapital,0))</f>
        <v>16.58</v>
      </c>
      <c r="Z28" s="309">
        <f t="shared" si="9"/>
        <v>-26.76</v>
      </c>
      <c r="AA28" s="410">
        <f t="shared" si="10"/>
        <v>0</v>
      </c>
      <c r="AB28" s="320">
        <f>LET(numVmwShares,D28, stockRatio,Reference!$B$5, vmwToAvgoRatio,Reference!$B$6, numVmwShares * stockRatio * vmwToAvgoRatio)</f>
        <v>0</v>
      </c>
      <c r="AC28" s="320">
        <f>LET(numVmwShares,D28, stockRatio,Q28, vmwToAvgoRatio,Reference!$B$6, numVmwShares * stockRatio * vmwToAvgoRatio)</f>
        <v>0</v>
      </c>
      <c r="AD28" s="320" t="str">
        <f>LET(numVmwShares,D28, stockRatio,R28, vmwToAvgoRatio,Reference!$B$6, numVmwShares * stockRatio * vmwToAvgoRatio)</f>
        <v>#DIV/0!</v>
      </c>
      <c r="AE28" s="320">
        <f>SWITCH(Reference!$E$4, "eTradeTransactionLog", AB28, "eTradeHoldingRatio",AB28, "eTradeLotQtyRatio",AC28,"manualLotRatio",AD28)</f>
        <v>0</v>
      </c>
      <c r="AF28" s="321">
        <f>LET(numVmwShares,D28, vmwBasis,Z28, avgoQty,AE28, avgoFMV,Reference!$B$18, cashReceived,W28, gain,cashReceived+(avgoQty*avgoFMV)-(numVmwShares*vmwBasis),
MAX(gain,0))</f>
        <v>0</v>
      </c>
      <c r="AG28" s="322">
        <f>LET(useForFraction,J28, fractionAmount,Summary!$C$41, esppFractionLots,ESPP!$N$5, rsuFractionLots,RSU!J$5, IF(useForFraction, fractionAmount / (esppFractionLots+rsuFractionLots), 0))</f>
        <v>0</v>
      </c>
      <c r="AH28" s="411">
        <f>LET(useForFraction,J28, fractionSaleFMV,Reference!$B$23, postMergerBasis,AT28, lotFractionAmount,AG28, IF(useForFraction, (fractionSaleFMV - postMergerBasis)*lotFractionAmount, 0))</f>
        <v>0</v>
      </c>
      <c r="AI28" s="412">
        <f t="shared" si="11"/>
        <v>0</v>
      </c>
      <c r="AJ28" s="413">
        <f>LET(
purchaseDate,C28,
mergerDate,Reference!$B$28,
lotFractionGain,AH28,
mergerGain,AI28,
IF(DATEDIF(purchaseDate,mergerDate,"Y")&gt;=1,
  0,
  lotFractionGain + mergerGain
))</f>
        <v>0</v>
      </c>
      <c r="AK28" s="413">
        <f>LET(
purchaseDate,C28,
mergerDate,Reference!$B$28,
lotFractionGain,AH28,
mergerGain,AI28,
IF(DATEDIF(purchaseDate,mergerDate,"Y")&gt;=1,
  lotFractionGain+mergerGain,
  0
))</f>
        <v>0</v>
      </c>
      <c r="AL28" s="414" t="str">
        <f>IF(DATEDIF(C28,Reference!$B$28,"Y")&gt;=1,"Part II Box E","Part I Box B")</f>
        <v>Part II Box E</v>
      </c>
      <c r="AM28" s="344" t="str">
        <f t="shared" si="12"/>
        <v/>
      </c>
      <c r="AN28" s="330">
        <f t="shared" si="13"/>
        <v>0</v>
      </c>
      <c r="AO28" s="330">
        <f>LET(
cashReceived,W28, 
avgoQty,AE28, 
proceedsStyle,Reference!$E$9, 
avgoFMV,Reference!$B$18, 
SWITCH(proceedsStyle, "combined", cashReceived +(avgoQty*avgoFMV), "cashOnly", cashReceived))</f>
        <v>0</v>
      </c>
      <c r="AP28" s="345">
        <f>LET(
proceedsStyle,Reference!$E$9,
proceeds,AO28,
gain,AS28,
numVmwShares,D28, 
vmwBasis, Z28, 
avgoQty,AE28, 
avgoFMV,Reference!$B$18, 
cashReceived,W28, 
avgoTotalValue, avgoFMV*avgoQty, 
vmwTotalBasis, vmwBasis*numVmwShares,
alternateGainAmount,AF28, 
SWITCH(proceedsStyle,
  "cashOnly",
    proceeds - gain,
  "combined",
    IF(cashReceived&lt;alternateGainAmount,
      avgoTotalValue,
      vmwTotalBasis
    )
  )
)</f>
        <v>0</v>
      </c>
      <c r="AQ28" s="345" t="str">
        <f t="shared" si="14"/>
        <v/>
      </c>
      <c r="AR28" s="345">
        <v>0.0</v>
      </c>
      <c r="AS28" s="331">
        <f>LET(
proceedsStyle,Reference!$E$9,
proceeds,AO28,
basis1099B,AP28,
adjustment,AR28,
mergerGain,AI28,
SWITCH(proceedsStyle,
  "cashOnly",
    mergerGain,
  "combined",
    MAX(proceeds - basis1099B + adjustment, 0)
))</f>
        <v>0</v>
      </c>
      <c r="AT28" s="415" t="str">
        <f t="shared" si="15"/>
        <v>n/a</v>
      </c>
      <c r="AU28" s="333">
        <f>LET(saleFMV,Reference!$B$10, postMergerBasis,AT28, avgoQty,AE28, lotFractionAmount,AG28, iferror((saleFMV - postMergerBasis) * (avgoQty - lotFractionAmount), 0))</f>
        <v>0</v>
      </c>
      <c r="AV28" s="333">
        <f>LET(
avgoQty,AE28, 
purchaseDate,C28,
postMergerSaleDate,Reference!$B$29,
saleFMV,Reference!$B$10,
postMergerBasis,AT28, 
IFERROR(IF(DATEDIF(purchaseDate,postMergerSaleDate,"Y")&gt;=1,
  0,
  avgoQty * (saleFMV - postMergerBasis)
),0))</f>
        <v>0</v>
      </c>
      <c r="AW28" s="336">
        <f>LET(
avgoQty,AE28, 
purchaseDate,C28,
postMergerSaleDate,Reference!$B$29,
saleFMV,Reference!$B$10,
postMergerBasis,AT28, 
IFERROR(IF(DATEDIF(purchaseDate,postMergerSaleDate,"Y")&gt;=1,
  avgoQty * (saleFMV - postMergerBasis),
  0
),0))</f>
        <v>0</v>
      </c>
      <c r="AX28" s="337"/>
    </row>
    <row r="29">
      <c r="A29" s="405"/>
      <c r="B29" s="406"/>
      <c r="C29" s="307"/>
      <c r="D29" s="338"/>
      <c r="E29" s="321" t="str">
        <f t="array" ref="E29">IF(C29&lt;&gt;"", IFERROR(VLOOKUP(C29, SORT(PriceReference!$A$1:$B1014), 2, TRUE), "price unavailable"), "")</f>
        <v/>
      </c>
      <c r="F29" s="416"/>
      <c r="G29" s="309">
        <f t="shared" si="6"/>
        <v>0</v>
      </c>
      <c r="H29" s="321">
        <f t="shared" si="7"/>
        <v>0</v>
      </c>
      <c r="I29" s="417"/>
      <c r="J29" s="348" t="b">
        <v>0</v>
      </c>
      <c r="K29" s="409"/>
      <c r="L29" s="315">
        <v>0.0</v>
      </c>
      <c r="M29" s="315">
        <v>0.0</v>
      </c>
      <c r="N29" s="315">
        <v>0.0</v>
      </c>
      <c r="O29" s="315">
        <v>0.0</v>
      </c>
      <c r="P29" s="315">
        <v>0.0</v>
      </c>
      <c r="Q29" s="317">
        <f t="shared" si="8"/>
        <v>0</v>
      </c>
      <c r="R29" s="317" t="str">
        <f>SWITCH(S29,"cash",Reference!E$5,"shares",Reference!$E$6,"balance",Reference!$E$7,"pro-rata",Reference!$B$5)</f>
        <v>#DIV/0!</v>
      </c>
      <c r="S29" s="318" t="s">
        <v>207</v>
      </c>
      <c r="T29" s="319">
        <f>LET(numVmwShares,D29, cashRatio,Reference!$B$4, vmwFinalPrice,Reference!$B$3, numVmwShares * cashRatio * vmwFinalPrice)</f>
        <v>0</v>
      </c>
      <c r="U29" s="319">
        <f>iferror(LET(numVmwShares,$D29, stockRatio,Q29, vmwFinalPrice,Reference!$B$3, (1 - stockRatio) * vmwFinalPrice * numVmwShares),0)</f>
        <v>0</v>
      </c>
      <c r="V29" s="319">
        <f>iferror(LET(numVmwShares,$D29, stockRatio,R29, vmwFinalPrice,Reference!$B$3, (1 - stockRatio) * vmwFinalPrice * numVmwShares),0)</f>
        <v>0</v>
      </c>
      <c r="W29" s="319">
        <f>SWITCH(Reference!$E$4,"eTradeTransactionLog", T29, "eTradeHoldingRatio",T29, "eTradeLotQtyRatio",U29,"manualLotRatio",V29)</f>
        <v>0</v>
      </c>
      <c r="X29" s="309">
        <f>LET(purchaseDate,C29, dateOfRecord,Reference!$B$26, returnOfCapital,Reference!$C$26, IF(purchaseDate &lt; dateOfRecord, returnOfCapital,0))</f>
        <v>10.18</v>
      </c>
      <c r="Y29" s="309">
        <f>LET(purchaseDate,C29, dateOfRecord,Reference!$B$27, returnOfCapital,Reference!$C$27, IF(purchaseDate &lt; dateOfRecord, returnOfCapital,0))</f>
        <v>16.58</v>
      </c>
      <c r="Z29" s="309">
        <f t="shared" si="9"/>
        <v>-26.76</v>
      </c>
      <c r="AA29" s="410">
        <f t="shared" si="10"/>
        <v>0</v>
      </c>
      <c r="AB29" s="320">
        <f>LET(numVmwShares,D29, stockRatio,Reference!$B$5, vmwToAvgoRatio,Reference!$B$6, numVmwShares * stockRatio * vmwToAvgoRatio)</f>
        <v>0</v>
      </c>
      <c r="AC29" s="320">
        <f>LET(numVmwShares,D29, stockRatio,Q29, vmwToAvgoRatio,Reference!$B$6, numVmwShares * stockRatio * vmwToAvgoRatio)</f>
        <v>0</v>
      </c>
      <c r="AD29" s="320" t="str">
        <f>LET(numVmwShares,D29, stockRatio,R29, vmwToAvgoRatio,Reference!$B$6, numVmwShares * stockRatio * vmwToAvgoRatio)</f>
        <v>#DIV/0!</v>
      </c>
      <c r="AE29" s="320">
        <f>SWITCH(Reference!$E$4, "eTradeTransactionLog", AB29, "eTradeHoldingRatio",AB29, "eTradeLotQtyRatio",AC29,"manualLotRatio",AD29)</f>
        <v>0</v>
      </c>
      <c r="AF29" s="321">
        <f>LET(numVmwShares,D29, vmwBasis,Z29, avgoQty,AE29, avgoFMV,Reference!$B$18, cashReceived,W29, gain,cashReceived+(avgoQty*avgoFMV)-(numVmwShares*vmwBasis),
MAX(gain,0))</f>
        <v>0</v>
      </c>
      <c r="AG29" s="322">
        <f>LET(useForFraction,J29, fractionAmount,Summary!$C$41, esppFractionLots,ESPP!$N$5, rsuFractionLots,RSU!J$5, IF(useForFraction, fractionAmount / (esppFractionLots+rsuFractionLots), 0))</f>
        <v>0</v>
      </c>
      <c r="AH29" s="411">
        <f>LET(useForFraction,J29, fractionSaleFMV,Reference!$B$23, postMergerBasis,AT29, lotFractionAmount,AG29, IF(useForFraction, (fractionSaleFMV - postMergerBasis)*lotFractionAmount, 0))</f>
        <v>0</v>
      </c>
      <c r="AI29" s="412">
        <f t="shared" si="11"/>
        <v>0</v>
      </c>
      <c r="AJ29" s="413">
        <f>LET(
purchaseDate,C29,
mergerDate,Reference!$B$28,
lotFractionGain,AH29,
mergerGain,AI29,
IF(DATEDIF(purchaseDate,mergerDate,"Y")&gt;=1,
  0,
  lotFractionGain + mergerGain
))</f>
        <v>0</v>
      </c>
      <c r="AK29" s="413">
        <f>LET(
purchaseDate,C29,
mergerDate,Reference!$B$28,
lotFractionGain,AH29,
mergerGain,AI29,
IF(DATEDIF(purchaseDate,mergerDate,"Y")&gt;=1,
  lotFractionGain+mergerGain,
  0
))</f>
        <v>0</v>
      </c>
      <c r="AL29" s="414" t="str">
        <f>IF(DATEDIF(C29,Reference!$B$28,"Y")&gt;=1,"Part II Box E","Part I Box B")</f>
        <v>Part II Box E</v>
      </c>
      <c r="AM29" s="344" t="str">
        <f t="shared" si="12"/>
        <v/>
      </c>
      <c r="AN29" s="330">
        <f t="shared" si="13"/>
        <v>0</v>
      </c>
      <c r="AO29" s="330">
        <f>LET(
cashReceived,W29, 
avgoQty,AE29, 
proceedsStyle,Reference!$E$9, 
avgoFMV,Reference!$B$18, 
SWITCH(proceedsStyle, "combined", cashReceived +(avgoQty*avgoFMV), "cashOnly", cashReceived))</f>
        <v>0</v>
      </c>
      <c r="AP29" s="345">
        <f>LET(
proceedsStyle,Reference!$E$9,
proceeds,AO29,
gain,AS29,
numVmwShares,D29, 
vmwBasis, Z29, 
avgoQty,AE29, 
avgoFMV,Reference!$B$18, 
cashReceived,W29, 
avgoTotalValue, avgoFMV*avgoQty, 
vmwTotalBasis, vmwBasis*numVmwShares,
alternateGainAmount,AF29, 
SWITCH(proceedsStyle,
  "cashOnly",
    proceeds - gain,
  "combined",
    IF(cashReceived&lt;alternateGainAmount,
      avgoTotalValue,
      vmwTotalBasis
    )
  )
)</f>
        <v>0</v>
      </c>
      <c r="AQ29" s="345" t="str">
        <f t="shared" si="14"/>
        <v/>
      </c>
      <c r="AR29" s="345">
        <v>0.0</v>
      </c>
      <c r="AS29" s="331">
        <f>LET(
proceedsStyle,Reference!$E$9,
proceeds,AO29,
basis1099B,AP29,
adjustment,AR29,
mergerGain,AI29,
SWITCH(proceedsStyle,
  "cashOnly",
    mergerGain,
  "combined",
    MAX(proceeds - basis1099B + adjustment, 0)
))</f>
        <v>0</v>
      </c>
      <c r="AT29" s="415" t="str">
        <f t="shared" si="15"/>
        <v>n/a</v>
      </c>
      <c r="AU29" s="333">
        <f>LET(saleFMV,Reference!$B$10, postMergerBasis,AT29, avgoQty,AE29, lotFractionAmount,AG29, iferror((saleFMV - postMergerBasis) * (avgoQty - lotFractionAmount), 0))</f>
        <v>0</v>
      </c>
      <c r="AV29" s="333">
        <f>LET(
avgoQty,AE29, 
purchaseDate,C29,
postMergerSaleDate,Reference!$B$29,
saleFMV,Reference!$B$10,
postMergerBasis,AT29, 
IFERROR(IF(DATEDIF(purchaseDate,postMergerSaleDate,"Y")&gt;=1,
  0,
  avgoQty * (saleFMV - postMergerBasis)
),0))</f>
        <v>0</v>
      </c>
      <c r="AW29" s="336">
        <f>LET(
avgoQty,AE29, 
purchaseDate,C29,
postMergerSaleDate,Reference!$B$29,
saleFMV,Reference!$B$10,
postMergerBasis,AT29, 
IFERROR(IF(DATEDIF(purchaseDate,postMergerSaleDate,"Y")&gt;=1,
  avgoQty * (saleFMV - postMergerBasis),
  0
),0))</f>
        <v>0</v>
      </c>
      <c r="AX29" s="337"/>
    </row>
    <row r="30">
      <c r="A30" s="405"/>
      <c r="B30" s="406"/>
      <c r="C30" s="307"/>
      <c r="D30" s="338"/>
      <c r="E30" s="321" t="str">
        <f t="array" ref="E30">IF(C30&lt;&gt;"", IFERROR(VLOOKUP(C30, SORT(PriceReference!$A$1:$B1014), 2, TRUE), "price unavailable"), "")</f>
        <v/>
      </c>
      <c r="F30" s="416"/>
      <c r="G30" s="309">
        <f t="shared" si="6"/>
        <v>0</v>
      </c>
      <c r="H30" s="321">
        <f t="shared" si="7"/>
        <v>0</v>
      </c>
      <c r="I30" s="419"/>
      <c r="J30" s="348" t="b">
        <v>0</v>
      </c>
      <c r="K30" s="409"/>
      <c r="L30" s="315">
        <v>0.0</v>
      </c>
      <c r="M30" s="315">
        <v>0.0</v>
      </c>
      <c r="N30" s="315">
        <v>0.0</v>
      </c>
      <c r="O30" s="315">
        <v>0.0</v>
      </c>
      <c r="P30" s="315">
        <v>0.0</v>
      </c>
      <c r="Q30" s="317">
        <f t="shared" si="8"/>
        <v>0</v>
      </c>
      <c r="R30" s="317" t="str">
        <f>SWITCH(S30,"cash",Reference!E$5,"shares",Reference!$E$6,"balance",Reference!$E$7,"pro-rata",Reference!$B$5)</f>
        <v>#DIV/0!</v>
      </c>
      <c r="S30" s="318" t="s">
        <v>207</v>
      </c>
      <c r="T30" s="319">
        <f>LET(numVmwShares,D30, cashRatio,Reference!$B$4, vmwFinalPrice,Reference!$B$3, numVmwShares * cashRatio * vmwFinalPrice)</f>
        <v>0</v>
      </c>
      <c r="U30" s="319">
        <f>iferror(LET(numVmwShares,$D30, stockRatio,Q30, vmwFinalPrice,Reference!$B$3, (1 - stockRatio) * vmwFinalPrice * numVmwShares),0)</f>
        <v>0</v>
      </c>
      <c r="V30" s="319">
        <f>iferror(LET(numVmwShares,$D30, stockRatio,R30, vmwFinalPrice,Reference!$B$3, (1 - stockRatio) * vmwFinalPrice * numVmwShares),0)</f>
        <v>0</v>
      </c>
      <c r="W30" s="319">
        <f>SWITCH(Reference!$E$4,"eTradeTransactionLog", T30, "eTradeHoldingRatio",T30, "eTradeLotQtyRatio",U30,"manualLotRatio",V30)</f>
        <v>0</v>
      </c>
      <c r="X30" s="309">
        <f>LET(purchaseDate,C30, dateOfRecord,Reference!$B$26, returnOfCapital,Reference!$C$26, IF(purchaseDate &lt; dateOfRecord, returnOfCapital,0))</f>
        <v>10.18</v>
      </c>
      <c r="Y30" s="309">
        <f>LET(purchaseDate,C30, dateOfRecord,Reference!$B$27, returnOfCapital,Reference!$C$27, IF(purchaseDate &lt; dateOfRecord, returnOfCapital,0))</f>
        <v>16.58</v>
      </c>
      <c r="Z30" s="309">
        <f t="shared" si="9"/>
        <v>-26.76</v>
      </c>
      <c r="AA30" s="410">
        <f t="shared" si="10"/>
        <v>0</v>
      </c>
      <c r="AB30" s="320">
        <f>LET(numVmwShares,D30, stockRatio,Reference!$B$5, vmwToAvgoRatio,Reference!$B$6, numVmwShares * stockRatio * vmwToAvgoRatio)</f>
        <v>0</v>
      </c>
      <c r="AC30" s="320">
        <f>LET(numVmwShares,D30, stockRatio,Q30, vmwToAvgoRatio,Reference!$B$6, numVmwShares * stockRatio * vmwToAvgoRatio)</f>
        <v>0</v>
      </c>
      <c r="AD30" s="320" t="str">
        <f>LET(numVmwShares,D30, stockRatio,R30, vmwToAvgoRatio,Reference!$B$6, numVmwShares * stockRatio * vmwToAvgoRatio)</f>
        <v>#DIV/0!</v>
      </c>
      <c r="AE30" s="320">
        <f>SWITCH(Reference!$E$4, "eTradeTransactionLog", AB30, "eTradeHoldingRatio",AB30, "eTradeLotQtyRatio",AC30,"manualLotRatio",AD30)</f>
        <v>0</v>
      </c>
      <c r="AF30" s="321">
        <f>LET(numVmwShares,D30, vmwBasis,Z30, avgoQty,AE30, avgoFMV,Reference!$B$18, cashReceived,W30, gain,cashReceived+(avgoQty*avgoFMV)-(numVmwShares*vmwBasis),
MAX(gain,0))</f>
        <v>0</v>
      </c>
      <c r="AG30" s="322">
        <f>LET(useForFraction,J30, fractionAmount,Summary!$C$41, esppFractionLots,ESPP!$N$5, rsuFractionLots,RSU!J$5, IF(useForFraction, fractionAmount / (esppFractionLots+rsuFractionLots), 0))</f>
        <v>0</v>
      </c>
      <c r="AH30" s="411">
        <f>LET(useForFraction,J30, fractionSaleFMV,Reference!$B$23, postMergerBasis,AT30, lotFractionAmount,AG30, IF(useForFraction, (fractionSaleFMV - postMergerBasis)*lotFractionAmount, 0))</f>
        <v>0</v>
      </c>
      <c r="AI30" s="412">
        <f t="shared" si="11"/>
        <v>0</v>
      </c>
      <c r="AJ30" s="413">
        <f>LET(
purchaseDate,C30,
mergerDate,Reference!$B$28,
lotFractionGain,AH30,
mergerGain,AI30,
IF(DATEDIF(purchaseDate,mergerDate,"Y")&gt;=1,
  0,
  lotFractionGain + mergerGain
))</f>
        <v>0</v>
      </c>
      <c r="AK30" s="413">
        <f>LET(
purchaseDate,C30,
mergerDate,Reference!$B$28,
lotFractionGain,AH30,
mergerGain,AI30,
IF(DATEDIF(purchaseDate,mergerDate,"Y")&gt;=1,
  lotFractionGain+mergerGain,
  0
))</f>
        <v>0</v>
      </c>
      <c r="AL30" s="414" t="str">
        <f>IF(DATEDIF(C30,Reference!$B$28,"Y")&gt;=1,"Part II Box E","Part I Box B")</f>
        <v>Part II Box E</v>
      </c>
      <c r="AM30" s="344" t="str">
        <f t="shared" si="12"/>
        <v/>
      </c>
      <c r="AN30" s="330">
        <f t="shared" si="13"/>
        <v>0</v>
      </c>
      <c r="AO30" s="330">
        <f>LET(
cashReceived,W30, 
avgoQty,AE30, 
proceedsStyle,Reference!$E$9, 
avgoFMV,Reference!$B$18, 
SWITCH(proceedsStyle, "combined", cashReceived +(avgoQty*avgoFMV), "cashOnly", cashReceived))</f>
        <v>0</v>
      </c>
      <c r="AP30" s="345">
        <f>LET(
proceedsStyle,Reference!$E$9,
proceeds,AO30,
gain,AS30,
numVmwShares,D30, 
vmwBasis, Z30, 
avgoQty,AE30, 
avgoFMV,Reference!$B$18, 
cashReceived,W30, 
avgoTotalValue, avgoFMV*avgoQty, 
vmwTotalBasis, vmwBasis*numVmwShares,
alternateGainAmount,AF30, 
SWITCH(proceedsStyle,
  "cashOnly",
    proceeds - gain,
  "combined",
    IF(cashReceived&lt;alternateGainAmount,
      avgoTotalValue,
      vmwTotalBasis
    )
  )
)</f>
        <v>0</v>
      </c>
      <c r="AQ30" s="345" t="str">
        <f t="shared" si="14"/>
        <v/>
      </c>
      <c r="AR30" s="345">
        <v>0.0</v>
      </c>
      <c r="AS30" s="331">
        <f>LET(
proceedsStyle,Reference!$E$9,
proceeds,AO30,
basis1099B,AP30,
adjustment,AR30,
mergerGain,AI30,
SWITCH(proceedsStyle,
  "cashOnly",
    mergerGain,
  "combined",
    MAX(proceeds - basis1099B + adjustment, 0)
))</f>
        <v>0</v>
      </c>
      <c r="AT30" s="415" t="str">
        <f t="shared" si="15"/>
        <v>n/a</v>
      </c>
      <c r="AU30" s="333">
        <f>LET(saleFMV,Reference!$B$10, postMergerBasis,AT30, avgoQty,AE30, lotFractionAmount,AG30, iferror((saleFMV - postMergerBasis) * (avgoQty - lotFractionAmount), 0))</f>
        <v>0</v>
      </c>
      <c r="AV30" s="333">
        <f>LET(
avgoQty,AE30, 
purchaseDate,C30,
postMergerSaleDate,Reference!$B$29,
saleFMV,Reference!$B$10,
postMergerBasis,AT30, 
IFERROR(IF(DATEDIF(purchaseDate,postMergerSaleDate,"Y")&gt;=1,
  0,
  avgoQty * (saleFMV - postMergerBasis)
),0))</f>
        <v>0</v>
      </c>
      <c r="AW30" s="336">
        <f>LET(
avgoQty,AE30, 
purchaseDate,C30,
postMergerSaleDate,Reference!$B$29,
saleFMV,Reference!$B$10,
postMergerBasis,AT30, 
IFERROR(IF(DATEDIF(purchaseDate,postMergerSaleDate,"Y")&gt;=1,
  avgoQty * (saleFMV - postMergerBasis),
  0
),0))</f>
        <v>0</v>
      </c>
      <c r="AX30" s="337"/>
    </row>
    <row r="31">
      <c r="A31" s="405"/>
      <c r="B31" s="406"/>
      <c r="C31" s="307"/>
      <c r="D31" s="338"/>
      <c r="E31" s="321" t="str">
        <f t="array" ref="E31">IF(C31&lt;&gt;"", IFERROR(VLOOKUP(C31, SORT(PriceReference!$A$1:$B1014), 2, TRUE), "price unavailable"), "")</f>
        <v/>
      </c>
      <c r="F31" s="416"/>
      <c r="G31" s="309">
        <f t="shared" si="6"/>
        <v>0</v>
      </c>
      <c r="H31" s="321">
        <f t="shared" si="7"/>
        <v>0</v>
      </c>
      <c r="I31" s="417"/>
      <c r="J31" s="348" t="b">
        <v>0</v>
      </c>
      <c r="K31" s="409"/>
      <c r="L31" s="315">
        <v>0.0</v>
      </c>
      <c r="M31" s="315">
        <v>0.0</v>
      </c>
      <c r="N31" s="315">
        <v>0.0</v>
      </c>
      <c r="O31" s="315">
        <v>0.0</v>
      </c>
      <c r="P31" s="315">
        <v>0.0</v>
      </c>
      <c r="Q31" s="317">
        <f t="shared" si="8"/>
        <v>0</v>
      </c>
      <c r="R31" s="317" t="str">
        <f>SWITCH(S31,"cash",Reference!E$5,"shares",Reference!$E$6,"balance",Reference!$E$7,"pro-rata",Reference!$B$5)</f>
        <v>#DIV/0!</v>
      </c>
      <c r="S31" s="318" t="s">
        <v>207</v>
      </c>
      <c r="T31" s="319">
        <f>LET(numVmwShares,D31, cashRatio,Reference!$B$4, vmwFinalPrice,Reference!$B$3, numVmwShares * cashRatio * vmwFinalPrice)</f>
        <v>0</v>
      </c>
      <c r="U31" s="319">
        <f>iferror(LET(numVmwShares,$D31, stockRatio,Q31, vmwFinalPrice,Reference!$B$3, (1 - stockRatio) * vmwFinalPrice * numVmwShares),0)</f>
        <v>0</v>
      </c>
      <c r="V31" s="319">
        <f>iferror(LET(numVmwShares,$D31, stockRatio,R31, vmwFinalPrice,Reference!$B$3, (1 - stockRatio) * vmwFinalPrice * numVmwShares),0)</f>
        <v>0</v>
      </c>
      <c r="W31" s="319">
        <f>SWITCH(Reference!$E$4,"eTradeTransactionLog", T31, "eTradeHoldingRatio",T31, "eTradeLotQtyRatio",U31,"manualLotRatio",V31)</f>
        <v>0</v>
      </c>
      <c r="X31" s="309">
        <f>LET(purchaseDate,C31, dateOfRecord,Reference!$B$26, returnOfCapital,Reference!$C$26, IF(purchaseDate &lt; dateOfRecord, returnOfCapital,0))</f>
        <v>10.18</v>
      </c>
      <c r="Y31" s="309">
        <f>LET(purchaseDate,C31, dateOfRecord,Reference!$B$27, returnOfCapital,Reference!$C$27, IF(purchaseDate &lt; dateOfRecord, returnOfCapital,0))</f>
        <v>16.58</v>
      </c>
      <c r="Z31" s="309">
        <f t="shared" si="9"/>
        <v>-26.76</v>
      </c>
      <c r="AA31" s="410">
        <f t="shared" si="10"/>
        <v>0</v>
      </c>
      <c r="AB31" s="320">
        <f>LET(numVmwShares,D31, stockRatio,Reference!$B$5, vmwToAvgoRatio,Reference!$B$6, numVmwShares * stockRatio * vmwToAvgoRatio)</f>
        <v>0</v>
      </c>
      <c r="AC31" s="320">
        <f>LET(numVmwShares,D31, stockRatio,Q31, vmwToAvgoRatio,Reference!$B$6, numVmwShares * stockRatio * vmwToAvgoRatio)</f>
        <v>0</v>
      </c>
      <c r="AD31" s="320" t="str">
        <f>LET(numVmwShares,D31, stockRatio,R31, vmwToAvgoRatio,Reference!$B$6, numVmwShares * stockRatio * vmwToAvgoRatio)</f>
        <v>#DIV/0!</v>
      </c>
      <c r="AE31" s="320">
        <f>SWITCH(Reference!$E$4, "eTradeTransactionLog", AB31, "eTradeHoldingRatio",AB31, "eTradeLotQtyRatio",AC31,"manualLotRatio",AD31)</f>
        <v>0</v>
      </c>
      <c r="AF31" s="321">
        <f>LET(numVmwShares,D31, vmwBasis,Z31, avgoQty,AE31, avgoFMV,Reference!$B$18, cashReceived,W31, gain,cashReceived+(avgoQty*avgoFMV)-(numVmwShares*vmwBasis),
MAX(gain,0))</f>
        <v>0</v>
      </c>
      <c r="AG31" s="322">
        <f>LET(useForFraction,J31, fractionAmount,Summary!$C$41, esppFractionLots,ESPP!$N$5, rsuFractionLots,RSU!J$5, IF(useForFraction, fractionAmount / (esppFractionLots+rsuFractionLots), 0))</f>
        <v>0</v>
      </c>
      <c r="AH31" s="411">
        <f>LET(useForFraction,J31, fractionSaleFMV,Reference!$B$23, postMergerBasis,AT31, lotFractionAmount,AG31, IF(useForFraction, (fractionSaleFMV - postMergerBasis)*lotFractionAmount, 0))</f>
        <v>0</v>
      </c>
      <c r="AI31" s="412">
        <f t="shared" si="11"/>
        <v>0</v>
      </c>
      <c r="AJ31" s="413">
        <f>LET(
purchaseDate,C31,
mergerDate,Reference!$B$28,
lotFractionGain,AH31,
mergerGain,AI31,
IF(DATEDIF(purchaseDate,mergerDate,"Y")&gt;=1,
  0,
  lotFractionGain + mergerGain
))</f>
        <v>0</v>
      </c>
      <c r="AK31" s="413">
        <f>LET(
purchaseDate,C31,
mergerDate,Reference!$B$28,
lotFractionGain,AH31,
mergerGain,AI31,
IF(DATEDIF(purchaseDate,mergerDate,"Y")&gt;=1,
  lotFractionGain+mergerGain,
  0
))</f>
        <v>0</v>
      </c>
      <c r="AL31" s="414" t="str">
        <f>IF(DATEDIF(C31,Reference!$B$28,"Y")&gt;=1,"Part II Box E","Part I Box B")</f>
        <v>Part II Box E</v>
      </c>
      <c r="AM31" s="344" t="str">
        <f t="shared" si="12"/>
        <v/>
      </c>
      <c r="AN31" s="330">
        <f t="shared" si="13"/>
        <v>0</v>
      </c>
      <c r="AO31" s="330">
        <f>LET(
cashReceived,W31, 
avgoQty,AE31, 
proceedsStyle,Reference!$E$9, 
avgoFMV,Reference!$B$18, 
SWITCH(proceedsStyle, "combined", cashReceived +(avgoQty*avgoFMV), "cashOnly", cashReceived))</f>
        <v>0</v>
      </c>
      <c r="AP31" s="345">
        <f>LET(
proceedsStyle,Reference!$E$9,
proceeds,AO31,
gain,AS31,
numVmwShares,D31, 
vmwBasis, Z31, 
avgoQty,AE31, 
avgoFMV,Reference!$B$18, 
cashReceived,W31, 
avgoTotalValue, avgoFMV*avgoQty, 
vmwTotalBasis, vmwBasis*numVmwShares,
alternateGainAmount,AF31, 
SWITCH(proceedsStyle,
  "cashOnly",
    proceeds - gain,
  "combined",
    IF(cashReceived&lt;alternateGainAmount,
      avgoTotalValue,
      vmwTotalBasis
    )
  )
)</f>
        <v>0</v>
      </c>
      <c r="AQ31" s="345" t="str">
        <f t="shared" si="14"/>
        <v/>
      </c>
      <c r="AR31" s="345">
        <v>0.0</v>
      </c>
      <c r="AS31" s="331">
        <f>LET(
proceedsStyle,Reference!$E$9,
proceeds,AO31,
basis1099B,AP31,
adjustment,AR31,
mergerGain,AI31,
SWITCH(proceedsStyle,
  "cashOnly",
    mergerGain,
  "combined",
    MAX(proceeds - basis1099B + adjustment, 0)
))</f>
        <v>0</v>
      </c>
      <c r="AT31" s="415" t="str">
        <f t="shared" si="15"/>
        <v>n/a</v>
      </c>
      <c r="AU31" s="333">
        <f>LET(saleFMV,Reference!$B$10, postMergerBasis,AT31, avgoQty,AE31, lotFractionAmount,AG31, iferror((saleFMV - postMergerBasis) * (avgoQty - lotFractionAmount), 0))</f>
        <v>0</v>
      </c>
      <c r="AV31" s="333">
        <f>LET(
avgoQty,AE31, 
purchaseDate,C31,
postMergerSaleDate,Reference!$B$29,
saleFMV,Reference!$B$10,
postMergerBasis,AT31, 
IFERROR(IF(DATEDIF(purchaseDate,postMergerSaleDate,"Y")&gt;=1,
  0,
  avgoQty * (saleFMV - postMergerBasis)
),0))</f>
        <v>0</v>
      </c>
      <c r="AW31" s="336">
        <f>LET(
avgoQty,AE31, 
purchaseDate,C31,
postMergerSaleDate,Reference!$B$29,
saleFMV,Reference!$B$10,
postMergerBasis,AT31, 
IFERROR(IF(DATEDIF(purchaseDate,postMergerSaleDate,"Y")&gt;=1,
  avgoQty * (saleFMV - postMergerBasis),
  0
),0))</f>
        <v>0</v>
      </c>
      <c r="AX31" s="337"/>
    </row>
    <row r="32">
      <c r="A32" s="405"/>
      <c r="B32" s="406"/>
      <c r="C32" s="307"/>
      <c r="D32" s="338"/>
      <c r="E32" s="321" t="str">
        <f t="array" ref="E32">IF(C32&lt;&gt;"", IFERROR(VLOOKUP(C32, SORT(PriceReference!$A$1:$B1014), 2, TRUE), "price unavailable"), "")</f>
        <v/>
      </c>
      <c r="F32" s="416"/>
      <c r="G32" s="309">
        <f t="shared" si="6"/>
        <v>0</v>
      </c>
      <c r="H32" s="321">
        <f t="shared" si="7"/>
        <v>0</v>
      </c>
      <c r="I32" s="417"/>
      <c r="J32" s="348" t="b">
        <v>0</v>
      </c>
      <c r="K32" s="409"/>
      <c r="L32" s="315">
        <v>0.0</v>
      </c>
      <c r="M32" s="315">
        <v>0.0</v>
      </c>
      <c r="N32" s="315">
        <v>0.0</v>
      </c>
      <c r="O32" s="315">
        <v>0.0</v>
      </c>
      <c r="P32" s="315">
        <v>0.0</v>
      </c>
      <c r="Q32" s="317">
        <f t="shared" si="8"/>
        <v>0</v>
      </c>
      <c r="R32" s="317" t="str">
        <f>SWITCH(S32,"cash",Reference!E$5,"shares",Reference!$E$6,"balance",Reference!$E$7,"pro-rata",Reference!$B$5)</f>
        <v>#DIV/0!</v>
      </c>
      <c r="S32" s="318" t="s">
        <v>207</v>
      </c>
      <c r="T32" s="319">
        <f>LET(numVmwShares,D32, cashRatio,Reference!$B$4, vmwFinalPrice,Reference!$B$3, numVmwShares * cashRatio * vmwFinalPrice)</f>
        <v>0</v>
      </c>
      <c r="U32" s="319">
        <f>iferror(LET(numVmwShares,$D32, stockRatio,Q32, vmwFinalPrice,Reference!$B$3, (1 - stockRatio) * vmwFinalPrice * numVmwShares),0)</f>
        <v>0</v>
      </c>
      <c r="V32" s="319">
        <f>iferror(LET(numVmwShares,$D32, stockRatio,R32, vmwFinalPrice,Reference!$B$3, (1 - stockRatio) * vmwFinalPrice * numVmwShares),0)</f>
        <v>0</v>
      </c>
      <c r="W32" s="319">
        <f>SWITCH(Reference!$E$4,"eTradeTransactionLog", T32, "eTradeHoldingRatio",T32, "eTradeLotQtyRatio",U32,"manualLotRatio",V32)</f>
        <v>0</v>
      </c>
      <c r="X32" s="309">
        <f>LET(purchaseDate,C32, dateOfRecord,Reference!$B$26, returnOfCapital,Reference!$C$26, IF(purchaseDate &lt; dateOfRecord, returnOfCapital,0))</f>
        <v>10.18</v>
      </c>
      <c r="Y32" s="309">
        <f>LET(purchaseDate,C32, dateOfRecord,Reference!$B$27, returnOfCapital,Reference!$C$27, IF(purchaseDate &lt; dateOfRecord, returnOfCapital,0))</f>
        <v>16.58</v>
      </c>
      <c r="Z32" s="309">
        <f t="shared" si="9"/>
        <v>-26.76</v>
      </c>
      <c r="AA32" s="410">
        <f t="shared" si="10"/>
        <v>0</v>
      </c>
      <c r="AB32" s="320">
        <f>LET(numVmwShares,D32, stockRatio,Reference!$B$5, vmwToAvgoRatio,Reference!$B$6, numVmwShares * stockRatio * vmwToAvgoRatio)</f>
        <v>0</v>
      </c>
      <c r="AC32" s="320">
        <f>LET(numVmwShares,D32, stockRatio,Q32, vmwToAvgoRatio,Reference!$B$6, numVmwShares * stockRatio * vmwToAvgoRatio)</f>
        <v>0</v>
      </c>
      <c r="AD32" s="320" t="str">
        <f>LET(numVmwShares,D32, stockRatio,R32, vmwToAvgoRatio,Reference!$B$6, numVmwShares * stockRatio * vmwToAvgoRatio)</f>
        <v>#DIV/0!</v>
      </c>
      <c r="AE32" s="320">
        <f>SWITCH(Reference!$E$4, "eTradeTransactionLog", AB32, "eTradeHoldingRatio",AB32, "eTradeLotQtyRatio",AC32,"manualLotRatio",AD32)</f>
        <v>0</v>
      </c>
      <c r="AF32" s="321">
        <f>LET(numVmwShares,D32, vmwBasis,Z32, avgoQty,AE32, avgoFMV,Reference!$B$18, cashReceived,W32, gain,cashReceived+(avgoQty*avgoFMV)-(numVmwShares*vmwBasis),
MAX(gain,0))</f>
        <v>0</v>
      </c>
      <c r="AG32" s="322">
        <f>LET(useForFraction,J32, fractionAmount,Summary!$C$41, esppFractionLots,ESPP!$N$5, rsuFractionLots,RSU!J$5, IF(useForFraction, fractionAmount / (esppFractionLots+rsuFractionLots), 0))</f>
        <v>0</v>
      </c>
      <c r="AH32" s="411">
        <f>LET(useForFraction,J32, fractionSaleFMV,Reference!$B$23, postMergerBasis,AT32, lotFractionAmount,AG32, IF(useForFraction, (fractionSaleFMV - postMergerBasis)*lotFractionAmount, 0))</f>
        <v>0</v>
      </c>
      <c r="AI32" s="412">
        <f t="shared" si="11"/>
        <v>0</v>
      </c>
      <c r="AJ32" s="413">
        <f>LET(
purchaseDate,C32,
mergerDate,Reference!$B$28,
lotFractionGain,AH32,
mergerGain,AI32,
IF(DATEDIF(purchaseDate,mergerDate,"Y")&gt;=1,
  0,
  lotFractionGain + mergerGain
))</f>
        <v>0</v>
      </c>
      <c r="AK32" s="413">
        <f>LET(
purchaseDate,C32,
mergerDate,Reference!$B$28,
lotFractionGain,AH32,
mergerGain,AI32,
IF(DATEDIF(purchaseDate,mergerDate,"Y")&gt;=1,
  lotFractionGain+mergerGain,
  0
))</f>
        <v>0</v>
      </c>
      <c r="AL32" s="414" t="str">
        <f>IF(DATEDIF(C32,Reference!$B$28,"Y")&gt;=1,"Part II Box E","Part I Box B")</f>
        <v>Part II Box E</v>
      </c>
      <c r="AM32" s="344" t="str">
        <f t="shared" si="12"/>
        <v/>
      </c>
      <c r="AN32" s="330">
        <f t="shared" si="13"/>
        <v>0</v>
      </c>
      <c r="AO32" s="330">
        <f>LET(
cashReceived,W32, 
avgoQty,AE32, 
proceedsStyle,Reference!$E$9, 
avgoFMV,Reference!$B$18, 
SWITCH(proceedsStyle, "combined", cashReceived +(avgoQty*avgoFMV), "cashOnly", cashReceived))</f>
        <v>0</v>
      </c>
      <c r="AP32" s="345">
        <f>LET(
proceedsStyle,Reference!$E$9,
proceeds,AO32,
gain,AS32,
numVmwShares,D32, 
vmwBasis, Z32, 
avgoQty,AE32, 
avgoFMV,Reference!$B$18, 
cashReceived,W32, 
avgoTotalValue, avgoFMV*avgoQty, 
vmwTotalBasis, vmwBasis*numVmwShares,
alternateGainAmount,AF32, 
SWITCH(proceedsStyle,
  "cashOnly",
    proceeds - gain,
  "combined",
    IF(cashReceived&lt;alternateGainAmount,
      avgoTotalValue,
      vmwTotalBasis
    )
  )
)</f>
        <v>0</v>
      </c>
      <c r="AQ32" s="345" t="str">
        <f t="shared" si="14"/>
        <v/>
      </c>
      <c r="AR32" s="345">
        <v>0.0</v>
      </c>
      <c r="AS32" s="331">
        <f>LET(
proceedsStyle,Reference!$E$9,
proceeds,AO32,
basis1099B,AP32,
adjustment,AR32,
mergerGain,AI32,
SWITCH(proceedsStyle,
  "cashOnly",
    mergerGain,
  "combined",
    MAX(proceeds - basis1099B + adjustment, 0)
))</f>
        <v>0</v>
      </c>
      <c r="AT32" s="415" t="str">
        <f t="shared" si="15"/>
        <v>n/a</v>
      </c>
      <c r="AU32" s="333">
        <f>LET(saleFMV,Reference!$B$10, postMergerBasis,AT32, avgoQty,AE32, lotFractionAmount,AG32, iferror((saleFMV - postMergerBasis) * (avgoQty - lotFractionAmount), 0))</f>
        <v>0</v>
      </c>
      <c r="AV32" s="333">
        <f>LET(
avgoQty,AE32, 
purchaseDate,C32,
postMergerSaleDate,Reference!$B$29,
saleFMV,Reference!$B$10,
postMergerBasis,AT32, 
IFERROR(IF(DATEDIF(purchaseDate,postMergerSaleDate,"Y")&gt;=1,
  0,
  avgoQty * (saleFMV - postMergerBasis)
),0))</f>
        <v>0</v>
      </c>
      <c r="AW32" s="336">
        <f>LET(
avgoQty,AE32, 
purchaseDate,C32,
postMergerSaleDate,Reference!$B$29,
saleFMV,Reference!$B$10,
postMergerBasis,AT32, 
IFERROR(IF(DATEDIF(purchaseDate,postMergerSaleDate,"Y")&gt;=1,
  avgoQty * (saleFMV - postMergerBasis),
  0
),0))</f>
        <v>0</v>
      </c>
      <c r="AX32" s="337"/>
    </row>
    <row r="33">
      <c r="A33" s="405"/>
      <c r="B33" s="406"/>
      <c r="C33" s="307"/>
      <c r="D33" s="338"/>
      <c r="E33" s="321" t="str">
        <f t="array" ref="E33">IF(C33&lt;&gt;"", IFERROR(VLOOKUP(C33, SORT(PriceReference!$A$1:$B1014), 2, TRUE), "price unavailable"), "")</f>
        <v/>
      </c>
      <c r="F33" s="416"/>
      <c r="G33" s="309">
        <f t="shared" si="6"/>
        <v>0</v>
      </c>
      <c r="H33" s="321">
        <f t="shared" si="7"/>
        <v>0</v>
      </c>
      <c r="I33" s="417"/>
      <c r="J33" s="348" t="b">
        <v>0</v>
      </c>
      <c r="K33" s="409"/>
      <c r="L33" s="315">
        <v>0.0</v>
      </c>
      <c r="M33" s="315">
        <v>0.0</v>
      </c>
      <c r="N33" s="315">
        <v>0.0</v>
      </c>
      <c r="O33" s="315">
        <v>0.0</v>
      </c>
      <c r="P33" s="315">
        <v>0.0</v>
      </c>
      <c r="Q33" s="317">
        <f t="shared" si="8"/>
        <v>0</v>
      </c>
      <c r="R33" s="317" t="str">
        <f>SWITCH(S33,"cash",Reference!E$5,"shares",Reference!$E$6,"balance",Reference!$E$7,"pro-rata",Reference!$B$5)</f>
        <v>#DIV/0!</v>
      </c>
      <c r="S33" s="318" t="s">
        <v>207</v>
      </c>
      <c r="T33" s="319">
        <f>LET(numVmwShares,D33, cashRatio,Reference!$B$4, vmwFinalPrice,Reference!$B$3, numVmwShares * cashRatio * vmwFinalPrice)</f>
        <v>0</v>
      </c>
      <c r="U33" s="319">
        <f>iferror(LET(numVmwShares,$D33, stockRatio,Q33, vmwFinalPrice,Reference!$B$3, (1 - stockRatio) * vmwFinalPrice * numVmwShares),0)</f>
        <v>0</v>
      </c>
      <c r="V33" s="319">
        <f>iferror(LET(numVmwShares,$D33, stockRatio,R33, vmwFinalPrice,Reference!$B$3, (1 - stockRatio) * vmwFinalPrice * numVmwShares),0)</f>
        <v>0</v>
      </c>
      <c r="W33" s="319">
        <f>SWITCH(Reference!$E$4,"eTradeTransactionLog", T33, "eTradeHoldingRatio",T33, "eTradeLotQtyRatio",U33,"manualLotRatio",V33)</f>
        <v>0</v>
      </c>
      <c r="X33" s="309">
        <f>LET(purchaseDate,C33, dateOfRecord,Reference!$B$26, returnOfCapital,Reference!$C$26, IF(purchaseDate &lt; dateOfRecord, returnOfCapital,0))</f>
        <v>10.18</v>
      </c>
      <c r="Y33" s="309">
        <f>LET(purchaseDate,C33, dateOfRecord,Reference!$B$27, returnOfCapital,Reference!$C$27, IF(purchaseDate &lt; dateOfRecord, returnOfCapital,0))</f>
        <v>16.58</v>
      </c>
      <c r="Z33" s="309">
        <f t="shared" si="9"/>
        <v>-26.76</v>
      </c>
      <c r="AA33" s="410">
        <f t="shared" si="10"/>
        <v>0</v>
      </c>
      <c r="AB33" s="320">
        <f>LET(numVmwShares,D33, stockRatio,Reference!$B$5, vmwToAvgoRatio,Reference!$B$6, numVmwShares * stockRatio * vmwToAvgoRatio)</f>
        <v>0</v>
      </c>
      <c r="AC33" s="320">
        <f>LET(numVmwShares,D33, stockRatio,Q33, vmwToAvgoRatio,Reference!$B$6, numVmwShares * stockRatio * vmwToAvgoRatio)</f>
        <v>0</v>
      </c>
      <c r="AD33" s="320" t="str">
        <f>LET(numVmwShares,D33, stockRatio,R33, vmwToAvgoRatio,Reference!$B$6, numVmwShares * stockRatio * vmwToAvgoRatio)</f>
        <v>#DIV/0!</v>
      </c>
      <c r="AE33" s="320">
        <f>SWITCH(Reference!$E$4, "eTradeTransactionLog", AB33, "eTradeHoldingRatio",AB33, "eTradeLotQtyRatio",AC33,"manualLotRatio",AD33)</f>
        <v>0</v>
      </c>
      <c r="AF33" s="321">
        <f>LET(numVmwShares,D33, vmwBasis,Z33, avgoQty,AE33, avgoFMV,Reference!$B$18, cashReceived,W33, gain,cashReceived+(avgoQty*avgoFMV)-(numVmwShares*vmwBasis),
MAX(gain,0))</f>
        <v>0</v>
      </c>
      <c r="AG33" s="322">
        <f>LET(useForFraction,J33, fractionAmount,Summary!$C$41, esppFractionLots,ESPP!$N$5, rsuFractionLots,RSU!J$5, IF(useForFraction, fractionAmount / (esppFractionLots+rsuFractionLots), 0))</f>
        <v>0</v>
      </c>
      <c r="AH33" s="411">
        <f>LET(useForFraction,J33, fractionSaleFMV,Reference!$B$23, postMergerBasis,AT33, lotFractionAmount,AG33, IF(useForFraction, (fractionSaleFMV - postMergerBasis)*lotFractionAmount, 0))</f>
        <v>0</v>
      </c>
      <c r="AI33" s="412">
        <f t="shared" si="11"/>
        <v>0</v>
      </c>
      <c r="AJ33" s="413">
        <f>LET(
purchaseDate,C33,
mergerDate,Reference!$B$28,
lotFractionGain,AH33,
mergerGain,AI33,
IF(DATEDIF(purchaseDate,mergerDate,"Y")&gt;=1,
  0,
  lotFractionGain + mergerGain
))</f>
        <v>0</v>
      </c>
      <c r="AK33" s="413">
        <f>LET(
purchaseDate,C33,
mergerDate,Reference!$B$28,
lotFractionGain,AH33,
mergerGain,AI33,
IF(DATEDIF(purchaseDate,mergerDate,"Y")&gt;=1,
  lotFractionGain+mergerGain,
  0
))</f>
        <v>0</v>
      </c>
      <c r="AL33" s="414" t="str">
        <f>IF(DATEDIF(C33,Reference!$B$28,"Y")&gt;=1,"Part II Box E","Part I Box B")</f>
        <v>Part II Box E</v>
      </c>
      <c r="AM33" s="344" t="str">
        <f t="shared" si="12"/>
        <v/>
      </c>
      <c r="AN33" s="330">
        <f t="shared" si="13"/>
        <v>0</v>
      </c>
      <c r="AO33" s="330">
        <f>LET(
cashReceived,W33, 
avgoQty,AE33, 
proceedsStyle,Reference!$E$9, 
avgoFMV,Reference!$B$18, 
SWITCH(proceedsStyle, "combined", cashReceived +(avgoQty*avgoFMV), "cashOnly", cashReceived))</f>
        <v>0</v>
      </c>
      <c r="AP33" s="345">
        <f>LET(
proceedsStyle,Reference!$E$9,
proceeds,AO33,
gain,AS33,
numVmwShares,D33, 
vmwBasis, Z33, 
avgoQty,AE33, 
avgoFMV,Reference!$B$18, 
cashReceived,W33, 
avgoTotalValue, avgoFMV*avgoQty, 
vmwTotalBasis, vmwBasis*numVmwShares,
alternateGainAmount,AF33, 
SWITCH(proceedsStyle,
  "cashOnly",
    proceeds - gain,
  "combined",
    IF(cashReceived&lt;alternateGainAmount,
      avgoTotalValue,
      vmwTotalBasis
    )
  )
)</f>
        <v>0</v>
      </c>
      <c r="AQ33" s="345" t="str">
        <f t="shared" si="14"/>
        <v/>
      </c>
      <c r="AR33" s="345">
        <v>0.0</v>
      </c>
      <c r="AS33" s="331">
        <f>LET(
proceedsStyle,Reference!$E$9,
proceeds,AO33,
basis1099B,AP33,
adjustment,AR33,
mergerGain,AI33,
SWITCH(proceedsStyle,
  "cashOnly",
    mergerGain,
  "combined",
    MAX(proceeds - basis1099B + adjustment, 0)
))</f>
        <v>0</v>
      </c>
      <c r="AT33" s="415" t="str">
        <f t="shared" si="15"/>
        <v>n/a</v>
      </c>
      <c r="AU33" s="333">
        <f>LET(saleFMV,Reference!$B$10, postMergerBasis,AT33, avgoQty,AE33, lotFractionAmount,AG33, iferror((saleFMV - postMergerBasis) * (avgoQty - lotFractionAmount), 0))</f>
        <v>0</v>
      </c>
      <c r="AV33" s="333">
        <f>LET(
avgoQty,AE33, 
purchaseDate,C33,
postMergerSaleDate,Reference!$B$29,
saleFMV,Reference!$B$10,
postMergerBasis,AT33, 
IFERROR(IF(DATEDIF(purchaseDate,postMergerSaleDate,"Y")&gt;=1,
  0,
  avgoQty * (saleFMV - postMergerBasis)
),0))</f>
        <v>0</v>
      </c>
      <c r="AW33" s="336">
        <f>LET(
avgoQty,AE33, 
purchaseDate,C33,
postMergerSaleDate,Reference!$B$29,
saleFMV,Reference!$B$10,
postMergerBasis,AT33, 
IFERROR(IF(DATEDIF(purchaseDate,postMergerSaleDate,"Y")&gt;=1,
  avgoQty * (saleFMV - postMergerBasis),
  0
),0))</f>
        <v>0</v>
      </c>
      <c r="AX33" s="337"/>
    </row>
    <row r="34">
      <c r="A34" s="405"/>
      <c r="B34" s="406"/>
      <c r="C34" s="307"/>
      <c r="D34" s="338"/>
      <c r="E34" s="321" t="str">
        <f t="array" ref="E34">IF(C34&lt;&gt;"", IFERROR(VLOOKUP(C34, SORT(PriceReference!$A$1:$B1014), 2, TRUE), "price unavailable"), "")</f>
        <v/>
      </c>
      <c r="F34" s="416"/>
      <c r="G34" s="309">
        <f t="shared" si="6"/>
        <v>0</v>
      </c>
      <c r="H34" s="321">
        <f t="shared" si="7"/>
        <v>0</v>
      </c>
      <c r="I34" s="417"/>
      <c r="J34" s="348" t="b">
        <v>0</v>
      </c>
      <c r="K34" s="409"/>
      <c r="L34" s="315">
        <v>0.0</v>
      </c>
      <c r="M34" s="315">
        <v>0.0</v>
      </c>
      <c r="N34" s="315">
        <v>0.0</v>
      </c>
      <c r="O34" s="315">
        <v>0.0</v>
      </c>
      <c r="P34" s="315">
        <v>0.0</v>
      </c>
      <c r="Q34" s="317">
        <f t="shared" si="8"/>
        <v>0</v>
      </c>
      <c r="R34" s="317" t="str">
        <f>SWITCH(S34,"cash",Reference!E$5,"shares",Reference!$E$6,"balance",Reference!$E$7,"pro-rata",Reference!$B$5)</f>
        <v>#DIV/0!</v>
      </c>
      <c r="S34" s="318" t="s">
        <v>207</v>
      </c>
      <c r="T34" s="319">
        <f>LET(numVmwShares,D34, cashRatio,Reference!$B$4, vmwFinalPrice,Reference!$B$3, numVmwShares * cashRatio * vmwFinalPrice)</f>
        <v>0</v>
      </c>
      <c r="U34" s="319">
        <f>iferror(LET(numVmwShares,$D34, stockRatio,Q34, vmwFinalPrice,Reference!$B$3, (1 - stockRatio) * vmwFinalPrice * numVmwShares),0)</f>
        <v>0</v>
      </c>
      <c r="V34" s="319">
        <f>iferror(LET(numVmwShares,$D34, stockRatio,R34, vmwFinalPrice,Reference!$B$3, (1 - stockRatio) * vmwFinalPrice * numVmwShares),0)</f>
        <v>0</v>
      </c>
      <c r="W34" s="319">
        <f>SWITCH(Reference!$E$4,"eTradeTransactionLog", T34, "eTradeHoldingRatio",T34, "eTradeLotQtyRatio",U34,"manualLotRatio",V34)</f>
        <v>0</v>
      </c>
      <c r="X34" s="309">
        <f>LET(purchaseDate,C34, dateOfRecord,Reference!$B$26, returnOfCapital,Reference!$C$26, IF(purchaseDate &lt; dateOfRecord, returnOfCapital,0))</f>
        <v>10.18</v>
      </c>
      <c r="Y34" s="309">
        <f>LET(purchaseDate,C34, dateOfRecord,Reference!$B$27, returnOfCapital,Reference!$C$27, IF(purchaseDate &lt; dateOfRecord, returnOfCapital,0))</f>
        <v>16.58</v>
      </c>
      <c r="Z34" s="309">
        <f t="shared" si="9"/>
        <v>-26.76</v>
      </c>
      <c r="AA34" s="410">
        <f t="shared" si="10"/>
        <v>0</v>
      </c>
      <c r="AB34" s="320">
        <f>LET(numVmwShares,D34, stockRatio,Reference!$B$5, vmwToAvgoRatio,Reference!$B$6, numVmwShares * stockRatio * vmwToAvgoRatio)</f>
        <v>0</v>
      </c>
      <c r="AC34" s="320">
        <f>LET(numVmwShares,D34, stockRatio,Q34, vmwToAvgoRatio,Reference!$B$6, numVmwShares * stockRatio * vmwToAvgoRatio)</f>
        <v>0</v>
      </c>
      <c r="AD34" s="320" t="str">
        <f>LET(numVmwShares,D34, stockRatio,R34, vmwToAvgoRatio,Reference!$B$6, numVmwShares * stockRatio * vmwToAvgoRatio)</f>
        <v>#DIV/0!</v>
      </c>
      <c r="AE34" s="320">
        <f>SWITCH(Reference!$E$4, "eTradeTransactionLog", AB34, "eTradeHoldingRatio",AB34, "eTradeLotQtyRatio",AC34,"manualLotRatio",AD34)</f>
        <v>0</v>
      </c>
      <c r="AF34" s="321">
        <f>LET(numVmwShares,D34, vmwBasis,Z34, avgoQty,AE34, avgoFMV,Reference!$B$18, cashReceived,W34, gain,cashReceived+(avgoQty*avgoFMV)-(numVmwShares*vmwBasis),
MAX(gain,0))</f>
        <v>0</v>
      </c>
      <c r="AG34" s="322">
        <f>LET(useForFraction,J34, fractionAmount,Summary!$C$41, esppFractionLots,ESPP!$N$5, rsuFractionLots,RSU!J$5, IF(useForFraction, fractionAmount / (esppFractionLots+rsuFractionLots), 0))</f>
        <v>0</v>
      </c>
      <c r="AH34" s="411">
        <f>LET(useForFraction,J34, fractionSaleFMV,Reference!$B$23, postMergerBasis,AT34, lotFractionAmount,AG34, IF(useForFraction, (fractionSaleFMV - postMergerBasis)*lotFractionAmount, 0))</f>
        <v>0</v>
      </c>
      <c r="AI34" s="412">
        <f t="shared" si="11"/>
        <v>0</v>
      </c>
      <c r="AJ34" s="413">
        <f>LET(
purchaseDate,C34,
mergerDate,Reference!$B$28,
lotFractionGain,AH34,
mergerGain,AI34,
IF(DATEDIF(purchaseDate,mergerDate,"Y")&gt;=1,
  0,
  lotFractionGain + mergerGain
))</f>
        <v>0</v>
      </c>
      <c r="AK34" s="413">
        <f>LET(
purchaseDate,C34,
mergerDate,Reference!$B$28,
lotFractionGain,AH34,
mergerGain,AI34,
IF(DATEDIF(purchaseDate,mergerDate,"Y")&gt;=1,
  lotFractionGain+mergerGain,
  0
))</f>
        <v>0</v>
      </c>
      <c r="AL34" s="414" t="str">
        <f>IF(DATEDIF(C34,Reference!$B$28,"Y")&gt;=1,"Part II Box E","Part I Box B")</f>
        <v>Part II Box E</v>
      </c>
      <c r="AM34" s="344" t="str">
        <f t="shared" si="12"/>
        <v/>
      </c>
      <c r="AN34" s="330">
        <f t="shared" si="13"/>
        <v>0</v>
      </c>
      <c r="AO34" s="330">
        <f>LET(
cashReceived,W34, 
avgoQty,AE34, 
proceedsStyle,Reference!$E$9, 
avgoFMV,Reference!$B$18, 
SWITCH(proceedsStyle, "combined", cashReceived +(avgoQty*avgoFMV), "cashOnly", cashReceived))</f>
        <v>0</v>
      </c>
      <c r="AP34" s="345">
        <f>LET(
proceedsStyle,Reference!$E$9,
proceeds,AO34,
gain,AS34,
numVmwShares,D34, 
vmwBasis, Z34, 
avgoQty,AE34, 
avgoFMV,Reference!$B$18, 
cashReceived,W34, 
avgoTotalValue, avgoFMV*avgoQty, 
vmwTotalBasis, vmwBasis*numVmwShares,
alternateGainAmount,AF34, 
SWITCH(proceedsStyle,
  "cashOnly",
    proceeds - gain,
  "combined",
    IF(cashReceived&lt;alternateGainAmount,
      avgoTotalValue,
      vmwTotalBasis
    )
  )
)</f>
        <v>0</v>
      </c>
      <c r="AQ34" s="345" t="str">
        <f t="shared" si="14"/>
        <v/>
      </c>
      <c r="AR34" s="345">
        <v>0.0</v>
      </c>
      <c r="AS34" s="331">
        <f>LET(
proceedsStyle,Reference!$E$9,
proceeds,AO34,
basis1099B,AP34,
adjustment,AR34,
mergerGain,AI34,
SWITCH(proceedsStyle,
  "cashOnly",
    mergerGain,
  "combined",
    MAX(proceeds - basis1099B + adjustment, 0)
))</f>
        <v>0</v>
      </c>
      <c r="AT34" s="415" t="str">
        <f t="shared" si="15"/>
        <v>n/a</v>
      </c>
      <c r="AU34" s="333">
        <f>LET(saleFMV,Reference!$B$10, postMergerBasis,AT34, avgoQty,AE34, lotFractionAmount,AG34, iferror((saleFMV - postMergerBasis) * (avgoQty - lotFractionAmount), 0))</f>
        <v>0</v>
      </c>
      <c r="AV34" s="333">
        <f>LET(
avgoQty,AE34, 
purchaseDate,C34,
postMergerSaleDate,Reference!$B$29,
saleFMV,Reference!$B$10,
postMergerBasis,AT34, 
IFERROR(IF(DATEDIF(purchaseDate,postMergerSaleDate,"Y")&gt;=1,
  0,
  avgoQty * (saleFMV - postMergerBasis)
),0))</f>
        <v>0</v>
      </c>
      <c r="AW34" s="336">
        <f>LET(
avgoQty,AE34, 
purchaseDate,C34,
postMergerSaleDate,Reference!$B$29,
saleFMV,Reference!$B$10,
postMergerBasis,AT34, 
IFERROR(IF(DATEDIF(purchaseDate,postMergerSaleDate,"Y")&gt;=1,
  avgoQty * (saleFMV - postMergerBasis),
  0
),0))</f>
        <v>0</v>
      </c>
      <c r="AX34" s="337"/>
    </row>
    <row r="35">
      <c r="A35" s="405"/>
      <c r="B35" s="406"/>
      <c r="C35" s="307"/>
      <c r="D35" s="338"/>
      <c r="E35" s="321" t="str">
        <f t="array" ref="E35">IF(C35&lt;&gt;"", IFERROR(VLOOKUP(C35, SORT(PriceReference!$A$1:$B1014), 2, TRUE), "price unavailable"), "")</f>
        <v/>
      </c>
      <c r="F35" s="416"/>
      <c r="G35" s="309">
        <f t="shared" si="6"/>
        <v>0</v>
      </c>
      <c r="H35" s="321">
        <f t="shared" si="7"/>
        <v>0</v>
      </c>
      <c r="I35" s="417"/>
      <c r="J35" s="348" t="b">
        <v>0</v>
      </c>
      <c r="K35" s="409"/>
      <c r="L35" s="315">
        <v>0.0</v>
      </c>
      <c r="M35" s="315">
        <v>0.0</v>
      </c>
      <c r="N35" s="315">
        <v>0.0</v>
      </c>
      <c r="O35" s="315">
        <v>0.0</v>
      </c>
      <c r="P35" s="315">
        <v>0.0</v>
      </c>
      <c r="Q35" s="317">
        <f t="shared" si="8"/>
        <v>0</v>
      </c>
      <c r="R35" s="317" t="str">
        <f>SWITCH(S35,"cash",Reference!E$5,"shares",Reference!$E$6,"balance",Reference!$E$7,"pro-rata",Reference!$B$5)</f>
        <v>#DIV/0!</v>
      </c>
      <c r="S35" s="318" t="s">
        <v>207</v>
      </c>
      <c r="T35" s="319">
        <f>LET(numVmwShares,D35, cashRatio,Reference!$B$4, vmwFinalPrice,Reference!$B$3, numVmwShares * cashRatio * vmwFinalPrice)</f>
        <v>0</v>
      </c>
      <c r="U35" s="319">
        <f>iferror(LET(numVmwShares,$D35, stockRatio,Q35, vmwFinalPrice,Reference!$B$3, (1 - stockRatio) * vmwFinalPrice * numVmwShares),0)</f>
        <v>0</v>
      </c>
      <c r="V35" s="319">
        <f>iferror(LET(numVmwShares,$D35, stockRatio,R35, vmwFinalPrice,Reference!$B$3, (1 - stockRatio) * vmwFinalPrice * numVmwShares),0)</f>
        <v>0</v>
      </c>
      <c r="W35" s="319">
        <f>SWITCH(Reference!$E$4,"eTradeTransactionLog", T35, "eTradeHoldingRatio",T35, "eTradeLotQtyRatio",U35,"manualLotRatio",V35)</f>
        <v>0</v>
      </c>
      <c r="X35" s="309">
        <f>LET(purchaseDate,C35, dateOfRecord,Reference!$B$26, returnOfCapital,Reference!$C$26, IF(purchaseDate &lt; dateOfRecord, returnOfCapital,0))</f>
        <v>10.18</v>
      </c>
      <c r="Y35" s="309">
        <f>LET(purchaseDate,C35, dateOfRecord,Reference!$B$27, returnOfCapital,Reference!$C$27, IF(purchaseDate &lt; dateOfRecord, returnOfCapital,0))</f>
        <v>16.58</v>
      </c>
      <c r="Z35" s="309">
        <f t="shared" si="9"/>
        <v>-26.76</v>
      </c>
      <c r="AA35" s="410">
        <f t="shared" si="10"/>
        <v>0</v>
      </c>
      <c r="AB35" s="320">
        <f>LET(numVmwShares,D35, stockRatio,Reference!$B$5, vmwToAvgoRatio,Reference!$B$6, numVmwShares * stockRatio * vmwToAvgoRatio)</f>
        <v>0</v>
      </c>
      <c r="AC35" s="320">
        <f>LET(numVmwShares,D35, stockRatio,Q35, vmwToAvgoRatio,Reference!$B$6, numVmwShares * stockRatio * vmwToAvgoRatio)</f>
        <v>0</v>
      </c>
      <c r="AD35" s="320" t="str">
        <f>LET(numVmwShares,D35, stockRatio,R35, vmwToAvgoRatio,Reference!$B$6, numVmwShares * stockRatio * vmwToAvgoRatio)</f>
        <v>#DIV/0!</v>
      </c>
      <c r="AE35" s="320">
        <f>SWITCH(Reference!$E$4, "eTradeTransactionLog", AB35, "eTradeHoldingRatio",AB35, "eTradeLotQtyRatio",AC35,"manualLotRatio",AD35)</f>
        <v>0</v>
      </c>
      <c r="AF35" s="321">
        <f>LET(numVmwShares,D35, vmwBasis,Z35, avgoQty,AE35, avgoFMV,Reference!$B$18, cashReceived,W35, gain,cashReceived+(avgoQty*avgoFMV)-(numVmwShares*vmwBasis),
MAX(gain,0))</f>
        <v>0</v>
      </c>
      <c r="AG35" s="322">
        <f>LET(useForFraction,J35, fractionAmount,Summary!$C$41, esppFractionLots,ESPP!$N$5, rsuFractionLots,RSU!J$5, IF(useForFraction, fractionAmount / (esppFractionLots+rsuFractionLots), 0))</f>
        <v>0</v>
      </c>
      <c r="AH35" s="411">
        <f>LET(useForFraction,J35, fractionSaleFMV,Reference!$B$23, postMergerBasis,AT35, lotFractionAmount,AG35, IF(useForFraction, (fractionSaleFMV - postMergerBasis)*lotFractionAmount, 0))</f>
        <v>0</v>
      </c>
      <c r="AI35" s="412">
        <f t="shared" si="11"/>
        <v>0</v>
      </c>
      <c r="AJ35" s="413">
        <f>LET(
purchaseDate,C35,
mergerDate,Reference!$B$28,
lotFractionGain,AH35,
mergerGain,AI35,
IF(DATEDIF(purchaseDate,mergerDate,"Y")&gt;=1,
  0,
  lotFractionGain + mergerGain
))</f>
        <v>0</v>
      </c>
      <c r="AK35" s="413">
        <f>LET(
purchaseDate,C35,
mergerDate,Reference!$B$28,
lotFractionGain,AH35,
mergerGain,AI35,
IF(DATEDIF(purchaseDate,mergerDate,"Y")&gt;=1,
  lotFractionGain+mergerGain,
  0
))</f>
        <v>0</v>
      </c>
      <c r="AL35" s="414" t="str">
        <f>IF(DATEDIF(C35,Reference!$B$28,"Y")&gt;=1,"Part II Box E","Part I Box B")</f>
        <v>Part II Box E</v>
      </c>
      <c r="AM35" s="344" t="str">
        <f t="shared" si="12"/>
        <v/>
      </c>
      <c r="AN35" s="330">
        <f t="shared" si="13"/>
        <v>0</v>
      </c>
      <c r="AO35" s="330">
        <f>LET(
cashReceived,W35, 
avgoQty,AE35, 
proceedsStyle,Reference!$E$9, 
avgoFMV,Reference!$B$18, 
SWITCH(proceedsStyle, "combined", cashReceived +(avgoQty*avgoFMV), "cashOnly", cashReceived))</f>
        <v>0</v>
      </c>
      <c r="AP35" s="345">
        <f>LET(
proceedsStyle,Reference!$E$9,
proceeds,AO35,
gain,AS35,
numVmwShares,D35, 
vmwBasis, Z35, 
avgoQty,AE35, 
avgoFMV,Reference!$B$18, 
cashReceived,W35, 
avgoTotalValue, avgoFMV*avgoQty, 
vmwTotalBasis, vmwBasis*numVmwShares,
alternateGainAmount,AF35, 
SWITCH(proceedsStyle,
  "cashOnly",
    proceeds - gain,
  "combined",
    IF(cashReceived&lt;alternateGainAmount,
      avgoTotalValue,
      vmwTotalBasis
    )
  )
)</f>
        <v>0</v>
      </c>
      <c r="AQ35" s="345" t="str">
        <f t="shared" si="14"/>
        <v/>
      </c>
      <c r="AR35" s="345">
        <v>0.0</v>
      </c>
      <c r="AS35" s="331">
        <f>LET(
proceedsStyle,Reference!$E$9,
proceeds,AO35,
basis1099B,AP35,
adjustment,AR35,
mergerGain,AI35,
SWITCH(proceedsStyle,
  "cashOnly",
    mergerGain,
  "combined",
    MAX(proceeds - basis1099B + adjustment, 0)
))</f>
        <v>0</v>
      </c>
      <c r="AT35" s="415" t="str">
        <f t="shared" si="15"/>
        <v>n/a</v>
      </c>
      <c r="AU35" s="333">
        <f>LET(saleFMV,Reference!$B$10, postMergerBasis,AT35, avgoQty,AE35, lotFractionAmount,AG35, iferror((saleFMV - postMergerBasis) * (avgoQty - lotFractionAmount), 0))</f>
        <v>0</v>
      </c>
      <c r="AV35" s="333">
        <f>LET(
avgoQty,AE35, 
purchaseDate,C35,
postMergerSaleDate,Reference!$B$29,
saleFMV,Reference!$B$10,
postMergerBasis,AT35, 
IFERROR(IF(DATEDIF(purchaseDate,postMergerSaleDate,"Y")&gt;=1,
  0,
  avgoQty * (saleFMV - postMergerBasis)
),0))</f>
        <v>0</v>
      </c>
      <c r="AW35" s="336">
        <f>LET(
avgoQty,AE35, 
purchaseDate,C35,
postMergerSaleDate,Reference!$B$29,
saleFMV,Reference!$B$10,
postMergerBasis,AT35, 
IFERROR(IF(DATEDIF(purchaseDate,postMergerSaleDate,"Y")&gt;=1,
  avgoQty * (saleFMV - postMergerBasis),
  0
),0))</f>
        <v>0</v>
      </c>
      <c r="AX35" s="337"/>
    </row>
    <row r="36">
      <c r="A36" s="405"/>
      <c r="B36" s="406"/>
      <c r="C36" s="307"/>
      <c r="D36" s="338"/>
      <c r="E36" s="321" t="str">
        <f t="array" ref="E36">IF(C36&lt;&gt;"", IFERROR(VLOOKUP(C36, SORT(PriceReference!$A$1:$B1014), 2, TRUE), "price unavailable"), "")</f>
        <v/>
      </c>
      <c r="F36" s="416"/>
      <c r="G36" s="309">
        <f t="shared" si="6"/>
        <v>0</v>
      </c>
      <c r="H36" s="321">
        <f t="shared" si="7"/>
        <v>0</v>
      </c>
      <c r="I36" s="417"/>
      <c r="J36" s="348" t="b">
        <v>0</v>
      </c>
      <c r="K36" s="409"/>
      <c r="L36" s="315">
        <v>0.0</v>
      </c>
      <c r="M36" s="315">
        <v>0.0</v>
      </c>
      <c r="N36" s="315">
        <v>0.0</v>
      </c>
      <c r="O36" s="315">
        <v>0.0</v>
      </c>
      <c r="P36" s="315">
        <v>0.0</v>
      </c>
      <c r="Q36" s="317">
        <f t="shared" si="8"/>
        <v>0</v>
      </c>
      <c r="R36" s="317" t="str">
        <f>SWITCH(S36,"cash",Reference!E$5,"shares",Reference!$E$6,"balance",Reference!$E$7,"pro-rata",Reference!$B$5)</f>
        <v>#DIV/0!</v>
      </c>
      <c r="S36" s="318" t="s">
        <v>207</v>
      </c>
      <c r="T36" s="319">
        <f>LET(numVmwShares,D36, cashRatio,Reference!$B$4, vmwFinalPrice,Reference!$B$3, numVmwShares * cashRatio * vmwFinalPrice)</f>
        <v>0</v>
      </c>
      <c r="U36" s="319">
        <f>iferror(LET(numVmwShares,$D36, stockRatio,Q36, vmwFinalPrice,Reference!$B$3, (1 - stockRatio) * vmwFinalPrice * numVmwShares),0)</f>
        <v>0</v>
      </c>
      <c r="V36" s="319">
        <f>iferror(LET(numVmwShares,$D36, stockRatio,R36, vmwFinalPrice,Reference!$B$3, (1 - stockRatio) * vmwFinalPrice * numVmwShares),0)</f>
        <v>0</v>
      </c>
      <c r="W36" s="319">
        <f>SWITCH(Reference!$E$4,"eTradeTransactionLog", T36, "eTradeHoldingRatio",T36, "eTradeLotQtyRatio",U36,"manualLotRatio",V36)</f>
        <v>0</v>
      </c>
      <c r="X36" s="309">
        <f>LET(purchaseDate,C36, dateOfRecord,Reference!$B$26, returnOfCapital,Reference!$C$26, IF(purchaseDate &lt; dateOfRecord, returnOfCapital,0))</f>
        <v>10.18</v>
      </c>
      <c r="Y36" s="309">
        <f>LET(purchaseDate,C36, dateOfRecord,Reference!$B$27, returnOfCapital,Reference!$C$27, IF(purchaseDate &lt; dateOfRecord, returnOfCapital,0))</f>
        <v>16.58</v>
      </c>
      <c r="Z36" s="309">
        <f t="shared" si="9"/>
        <v>-26.76</v>
      </c>
      <c r="AA36" s="410">
        <f t="shared" si="10"/>
        <v>0</v>
      </c>
      <c r="AB36" s="320">
        <f>LET(numVmwShares,D36, stockRatio,Reference!$B$5, vmwToAvgoRatio,Reference!$B$6, numVmwShares * stockRatio * vmwToAvgoRatio)</f>
        <v>0</v>
      </c>
      <c r="AC36" s="320">
        <f>LET(numVmwShares,D36, stockRatio,Q36, vmwToAvgoRatio,Reference!$B$6, numVmwShares * stockRatio * vmwToAvgoRatio)</f>
        <v>0</v>
      </c>
      <c r="AD36" s="320" t="str">
        <f>LET(numVmwShares,D36, stockRatio,R36, vmwToAvgoRatio,Reference!$B$6, numVmwShares * stockRatio * vmwToAvgoRatio)</f>
        <v>#DIV/0!</v>
      </c>
      <c r="AE36" s="320">
        <f>SWITCH(Reference!$E$4, "eTradeTransactionLog", AB36, "eTradeHoldingRatio",AB36, "eTradeLotQtyRatio",AC36,"manualLotRatio",AD36)</f>
        <v>0</v>
      </c>
      <c r="AF36" s="321">
        <f>LET(numVmwShares,D36, vmwBasis,Z36, avgoQty,AE36, avgoFMV,Reference!$B$18, cashReceived,W36, gain,cashReceived+(avgoQty*avgoFMV)-(numVmwShares*vmwBasis),
MAX(gain,0))</f>
        <v>0</v>
      </c>
      <c r="AG36" s="322">
        <f>LET(useForFraction,J36, fractionAmount,Summary!$C$41, esppFractionLots,ESPP!$N$5, rsuFractionLots,RSU!J$5, IF(useForFraction, fractionAmount / (esppFractionLots+rsuFractionLots), 0))</f>
        <v>0</v>
      </c>
      <c r="AH36" s="411">
        <f>LET(useForFraction,J36, fractionSaleFMV,Reference!$B$23, postMergerBasis,AT36, lotFractionAmount,AG36, IF(useForFraction, (fractionSaleFMV - postMergerBasis)*lotFractionAmount, 0))</f>
        <v>0</v>
      </c>
      <c r="AI36" s="412">
        <f t="shared" si="11"/>
        <v>0</v>
      </c>
      <c r="AJ36" s="413">
        <f>LET(
purchaseDate,C36,
mergerDate,Reference!$B$28,
lotFractionGain,AH36,
mergerGain,AI36,
IF(DATEDIF(purchaseDate,mergerDate,"Y")&gt;=1,
  0,
  lotFractionGain + mergerGain
))</f>
        <v>0</v>
      </c>
      <c r="AK36" s="413">
        <f>LET(
purchaseDate,C36,
mergerDate,Reference!$B$28,
lotFractionGain,AH36,
mergerGain,AI36,
IF(DATEDIF(purchaseDate,mergerDate,"Y")&gt;=1,
  lotFractionGain+mergerGain,
  0
))</f>
        <v>0</v>
      </c>
      <c r="AL36" s="414" t="str">
        <f>IF(DATEDIF(C36,Reference!$B$28,"Y")&gt;=1,"Part II Box E","Part I Box B")</f>
        <v>Part II Box E</v>
      </c>
      <c r="AM36" s="344" t="str">
        <f t="shared" si="12"/>
        <v/>
      </c>
      <c r="AN36" s="330">
        <f t="shared" si="13"/>
        <v>0</v>
      </c>
      <c r="AO36" s="330">
        <f>LET(
cashReceived,W36, 
avgoQty,AE36, 
proceedsStyle,Reference!$E$9, 
avgoFMV,Reference!$B$18, 
SWITCH(proceedsStyle, "combined", cashReceived +(avgoQty*avgoFMV), "cashOnly", cashReceived))</f>
        <v>0</v>
      </c>
      <c r="AP36" s="345">
        <f>LET(
proceedsStyle,Reference!$E$9,
proceeds,AO36,
gain,AS36,
numVmwShares,D36, 
vmwBasis, Z36, 
avgoQty,AE36, 
avgoFMV,Reference!$B$18, 
cashReceived,W36, 
avgoTotalValue, avgoFMV*avgoQty, 
vmwTotalBasis, vmwBasis*numVmwShares,
alternateGainAmount,AF36, 
SWITCH(proceedsStyle,
  "cashOnly",
    proceeds - gain,
  "combined",
    IF(cashReceived&lt;alternateGainAmount,
      avgoTotalValue,
      vmwTotalBasis
    )
  )
)</f>
        <v>0</v>
      </c>
      <c r="AQ36" s="345" t="str">
        <f t="shared" si="14"/>
        <v/>
      </c>
      <c r="AR36" s="345">
        <v>0.0</v>
      </c>
      <c r="AS36" s="331">
        <f>LET(
proceedsStyle,Reference!$E$9,
proceeds,AO36,
basis1099B,AP36,
adjustment,AR36,
mergerGain,AI36,
SWITCH(proceedsStyle,
  "cashOnly",
    mergerGain,
  "combined",
    MAX(proceeds - basis1099B + adjustment, 0)
))</f>
        <v>0</v>
      </c>
      <c r="AT36" s="415" t="str">
        <f t="shared" si="15"/>
        <v>n/a</v>
      </c>
      <c r="AU36" s="333">
        <f>LET(saleFMV,Reference!$B$10, postMergerBasis,AT36, avgoQty,AE36, lotFractionAmount,AG36, iferror((saleFMV - postMergerBasis) * (avgoQty - lotFractionAmount), 0))</f>
        <v>0</v>
      </c>
      <c r="AV36" s="333">
        <f>LET(
avgoQty,AE36, 
purchaseDate,C36,
postMergerSaleDate,Reference!$B$29,
saleFMV,Reference!$B$10,
postMergerBasis,AT36, 
IFERROR(IF(DATEDIF(purchaseDate,postMergerSaleDate,"Y")&gt;=1,
  0,
  avgoQty * (saleFMV - postMergerBasis)
),0))</f>
        <v>0</v>
      </c>
      <c r="AW36" s="336">
        <f>LET(
avgoQty,AE36, 
purchaseDate,C36,
postMergerSaleDate,Reference!$B$29,
saleFMV,Reference!$B$10,
postMergerBasis,AT36, 
IFERROR(IF(DATEDIF(purchaseDate,postMergerSaleDate,"Y")&gt;=1,
  avgoQty * (saleFMV - postMergerBasis),
  0
),0))</f>
        <v>0</v>
      </c>
      <c r="AX36" s="337"/>
    </row>
    <row r="37">
      <c r="A37" s="405"/>
      <c r="B37" s="406"/>
      <c r="C37" s="307"/>
      <c r="D37" s="338"/>
      <c r="E37" s="321" t="str">
        <f t="array" ref="E37">IF(C37&lt;&gt;"", IFERROR(VLOOKUP(C37, SORT(PriceReference!$A$1:$B1014), 2, TRUE), "price unavailable"), "")</f>
        <v/>
      </c>
      <c r="F37" s="416"/>
      <c r="G37" s="309">
        <f t="shared" si="6"/>
        <v>0</v>
      </c>
      <c r="H37" s="321">
        <f t="shared" si="7"/>
        <v>0</v>
      </c>
      <c r="I37" s="417"/>
      <c r="J37" s="348" t="b">
        <v>0</v>
      </c>
      <c r="K37" s="409"/>
      <c r="L37" s="315">
        <v>0.0</v>
      </c>
      <c r="M37" s="315">
        <v>0.0</v>
      </c>
      <c r="N37" s="315">
        <v>0.0</v>
      </c>
      <c r="O37" s="315">
        <v>0.0</v>
      </c>
      <c r="P37" s="315">
        <v>0.0</v>
      </c>
      <c r="Q37" s="317">
        <f t="shared" si="8"/>
        <v>0</v>
      </c>
      <c r="R37" s="317" t="str">
        <f>SWITCH(S37,"cash",Reference!E$5,"shares",Reference!$E$6,"balance",Reference!$E$7,"pro-rata",Reference!$B$5)</f>
        <v>#DIV/0!</v>
      </c>
      <c r="S37" s="318" t="s">
        <v>207</v>
      </c>
      <c r="T37" s="319">
        <f>LET(numVmwShares,D37, cashRatio,Reference!$B$4, vmwFinalPrice,Reference!$B$3, numVmwShares * cashRatio * vmwFinalPrice)</f>
        <v>0</v>
      </c>
      <c r="U37" s="319">
        <f>iferror(LET(numVmwShares,$D37, stockRatio,Q37, vmwFinalPrice,Reference!$B$3, (1 - stockRatio) * vmwFinalPrice * numVmwShares),0)</f>
        <v>0</v>
      </c>
      <c r="V37" s="319">
        <f>iferror(LET(numVmwShares,$D37, stockRatio,R37, vmwFinalPrice,Reference!$B$3, (1 - stockRatio) * vmwFinalPrice * numVmwShares),0)</f>
        <v>0</v>
      </c>
      <c r="W37" s="319">
        <f>SWITCH(Reference!$E$4,"eTradeTransactionLog", T37, "eTradeHoldingRatio",T37, "eTradeLotQtyRatio",U37,"manualLotRatio",V37)</f>
        <v>0</v>
      </c>
      <c r="X37" s="309">
        <f>LET(purchaseDate,C37, dateOfRecord,Reference!$B$26, returnOfCapital,Reference!$C$26, IF(purchaseDate &lt; dateOfRecord, returnOfCapital,0))</f>
        <v>10.18</v>
      </c>
      <c r="Y37" s="309">
        <f>LET(purchaseDate,C37, dateOfRecord,Reference!$B$27, returnOfCapital,Reference!$C$27, IF(purchaseDate &lt; dateOfRecord, returnOfCapital,0))</f>
        <v>16.58</v>
      </c>
      <c r="Z37" s="309">
        <f t="shared" si="9"/>
        <v>-26.76</v>
      </c>
      <c r="AA37" s="410">
        <f t="shared" si="10"/>
        <v>0</v>
      </c>
      <c r="AB37" s="320">
        <f>LET(numVmwShares,D37, stockRatio,Reference!$B$5, vmwToAvgoRatio,Reference!$B$6, numVmwShares * stockRatio * vmwToAvgoRatio)</f>
        <v>0</v>
      </c>
      <c r="AC37" s="320">
        <f>LET(numVmwShares,D37, stockRatio,Q37, vmwToAvgoRatio,Reference!$B$6, numVmwShares * stockRatio * vmwToAvgoRatio)</f>
        <v>0</v>
      </c>
      <c r="AD37" s="320" t="str">
        <f>LET(numVmwShares,D37, stockRatio,R37, vmwToAvgoRatio,Reference!$B$6, numVmwShares * stockRatio * vmwToAvgoRatio)</f>
        <v>#DIV/0!</v>
      </c>
      <c r="AE37" s="320">
        <f>SWITCH(Reference!$E$4, "eTradeTransactionLog", AB37, "eTradeHoldingRatio",AB37, "eTradeLotQtyRatio",AC37,"manualLotRatio",AD37)</f>
        <v>0</v>
      </c>
      <c r="AF37" s="321">
        <f>LET(numVmwShares,D37, vmwBasis,Z37, avgoQty,AE37, avgoFMV,Reference!$B$18, cashReceived,W37, gain,cashReceived+(avgoQty*avgoFMV)-(numVmwShares*vmwBasis),
MAX(gain,0))</f>
        <v>0</v>
      </c>
      <c r="AG37" s="322">
        <f>LET(useForFraction,J37, fractionAmount,Summary!$C$41, esppFractionLots,ESPP!$N$5, rsuFractionLots,RSU!J$5, IF(useForFraction, fractionAmount / (esppFractionLots+rsuFractionLots), 0))</f>
        <v>0</v>
      </c>
      <c r="AH37" s="411">
        <f>LET(useForFraction,J37, fractionSaleFMV,Reference!$B$23, postMergerBasis,AT37, lotFractionAmount,AG37, IF(useForFraction, (fractionSaleFMV - postMergerBasis)*lotFractionAmount, 0))</f>
        <v>0</v>
      </c>
      <c r="AI37" s="412">
        <f t="shared" si="11"/>
        <v>0</v>
      </c>
      <c r="AJ37" s="413">
        <f>LET(
purchaseDate,C37,
mergerDate,Reference!$B$28,
lotFractionGain,AH37,
mergerGain,AI37,
IF(DATEDIF(purchaseDate,mergerDate,"Y")&gt;=1,
  0,
  lotFractionGain + mergerGain
))</f>
        <v>0</v>
      </c>
      <c r="AK37" s="413">
        <f>LET(
purchaseDate,C37,
mergerDate,Reference!$B$28,
lotFractionGain,AH37,
mergerGain,AI37,
IF(DATEDIF(purchaseDate,mergerDate,"Y")&gt;=1,
  lotFractionGain+mergerGain,
  0
))</f>
        <v>0</v>
      </c>
      <c r="AL37" s="414" t="str">
        <f>IF(DATEDIF(C37,Reference!$B$28,"Y")&gt;=1,"Part II Box E","Part I Box B")</f>
        <v>Part II Box E</v>
      </c>
      <c r="AM37" s="344" t="str">
        <f t="shared" si="12"/>
        <v/>
      </c>
      <c r="AN37" s="330">
        <f t="shared" si="13"/>
        <v>0</v>
      </c>
      <c r="AO37" s="330">
        <f>LET(
cashReceived,W37, 
avgoQty,AE37, 
proceedsStyle,Reference!$E$9, 
avgoFMV,Reference!$B$18, 
SWITCH(proceedsStyle, "combined", cashReceived +(avgoQty*avgoFMV), "cashOnly", cashReceived))</f>
        <v>0</v>
      </c>
      <c r="AP37" s="345">
        <f>LET(
proceedsStyle,Reference!$E$9,
proceeds,AO37,
gain,AS37,
numVmwShares,D37, 
vmwBasis, Z37, 
avgoQty,AE37, 
avgoFMV,Reference!$B$18, 
cashReceived,W37, 
avgoTotalValue, avgoFMV*avgoQty, 
vmwTotalBasis, vmwBasis*numVmwShares,
alternateGainAmount,AF37, 
SWITCH(proceedsStyle,
  "cashOnly",
    proceeds - gain,
  "combined",
    IF(cashReceived&lt;alternateGainAmount,
      avgoTotalValue,
      vmwTotalBasis
    )
  )
)</f>
        <v>0</v>
      </c>
      <c r="AQ37" s="345" t="str">
        <f t="shared" si="14"/>
        <v/>
      </c>
      <c r="AR37" s="345">
        <v>0.0</v>
      </c>
      <c r="AS37" s="331">
        <f>LET(
proceedsStyle,Reference!$E$9,
proceeds,AO37,
basis1099B,AP37,
adjustment,AR37,
mergerGain,AI37,
SWITCH(proceedsStyle,
  "cashOnly",
    mergerGain,
  "combined",
    MAX(proceeds - basis1099B + adjustment, 0)
))</f>
        <v>0</v>
      </c>
      <c r="AT37" s="415" t="str">
        <f t="shared" si="15"/>
        <v>n/a</v>
      </c>
      <c r="AU37" s="333">
        <f>LET(saleFMV,Reference!$B$10, postMergerBasis,AT37, avgoQty,AE37, lotFractionAmount,AG37, iferror((saleFMV - postMergerBasis) * (avgoQty - lotFractionAmount), 0))</f>
        <v>0</v>
      </c>
      <c r="AV37" s="333">
        <f>LET(
avgoQty,AE37, 
purchaseDate,C37,
postMergerSaleDate,Reference!$B$29,
saleFMV,Reference!$B$10,
postMergerBasis,AT37, 
IFERROR(IF(DATEDIF(purchaseDate,postMergerSaleDate,"Y")&gt;=1,
  0,
  avgoQty * (saleFMV - postMergerBasis)
),0))</f>
        <v>0</v>
      </c>
      <c r="AW37" s="336">
        <f>LET(
avgoQty,AE37, 
purchaseDate,C37,
postMergerSaleDate,Reference!$B$29,
saleFMV,Reference!$B$10,
postMergerBasis,AT37, 
IFERROR(IF(DATEDIF(purchaseDate,postMergerSaleDate,"Y")&gt;=1,
  avgoQty * (saleFMV - postMergerBasis),
  0
),0))</f>
        <v>0</v>
      </c>
      <c r="AX37" s="337"/>
    </row>
    <row r="38">
      <c r="A38" s="405"/>
      <c r="B38" s="406"/>
      <c r="C38" s="307"/>
      <c r="D38" s="338"/>
      <c r="E38" s="321" t="str">
        <f t="array" ref="E38">IF(C38&lt;&gt;"", IFERROR(VLOOKUP(C38, SORT(PriceReference!$A$1:$B1014), 2, TRUE), "price unavailable"), "")</f>
        <v/>
      </c>
      <c r="F38" s="416"/>
      <c r="G38" s="309">
        <f t="shared" si="6"/>
        <v>0</v>
      </c>
      <c r="H38" s="321">
        <f t="shared" si="7"/>
        <v>0</v>
      </c>
      <c r="I38" s="417"/>
      <c r="J38" s="348" t="b">
        <v>0</v>
      </c>
      <c r="K38" s="409"/>
      <c r="L38" s="315">
        <v>0.0</v>
      </c>
      <c r="M38" s="315">
        <v>0.0</v>
      </c>
      <c r="N38" s="315">
        <v>0.0</v>
      </c>
      <c r="O38" s="315">
        <v>0.0</v>
      </c>
      <c r="P38" s="315">
        <v>0.0</v>
      </c>
      <c r="Q38" s="317">
        <f t="shared" si="8"/>
        <v>0</v>
      </c>
      <c r="R38" s="317" t="str">
        <f>SWITCH(S38,"cash",Reference!E$5,"shares",Reference!$E$6,"balance",Reference!$E$7,"pro-rata",Reference!$B$5)</f>
        <v>#DIV/0!</v>
      </c>
      <c r="S38" s="318" t="s">
        <v>207</v>
      </c>
      <c r="T38" s="319">
        <f>LET(numVmwShares,D38, cashRatio,Reference!$B$4, vmwFinalPrice,Reference!$B$3, numVmwShares * cashRatio * vmwFinalPrice)</f>
        <v>0</v>
      </c>
      <c r="U38" s="319">
        <f>iferror(LET(numVmwShares,$D38, stockRatio,Q38, vmwFinalPrice,Reference!$B$3, (1 - stockRatio) * vmwFinalPrice * numVmwShares),0)</f>
        <v>0</v>
      </c>
      <c r="V38" s="319">
        <f>iferror(LET(numVmwShares,$D38, stockRatio,R38, vmwFinalPrice,Reference!$B$3, (1 - stockRatio) * vmwFinalPrice * numVmwShares),0)</f>
        <v>0</v>
      </c>
      <c r="W38" s="319">
        <f>SWITCH(Reference!$E$4,"eTradeTransactionLog", T38, "eTradeHoldingRatio",T38, "eTradeLotQtyRatio",U38,"manualLotRatio",V38)</f>
        <v>0</v>
      </c>
      <c r="X38" s="309">
        <f>LET(purchaseDate,C38, dateOfRecord,Reference!$B$26, returnOfCapital,Reference!$C$26, IF(purchaseDate &lt; dateOfRecord, returnOfCapital,0))</f>
        <v>10.18</v>
      </c>
      <c r="Y38" s="309">
        <f>LET(purchaseDate,C38, dateOfRecord,Reference!$B$27, returnOfCapital,Reference!$C$27, IF(purchaseDate &lt; dateOfRecord, returnOfCapital,0))</f>
        <v>16.58</v>
      </c>
      <c r="Z38" s="309">
        <f t="shared" si="9"/>
        <v>-26.76</v>
      </c>
      <c r="AA38" s="410">
        <f t="shared" si="10"/>
        <v>0</v>
      </c>
      <c r="AB38" s="320">
        <f>LET(numVmwShares,D38, stockRatio,Reference!$B$5, vmwToAvgoRatio,Reference!$B$6, numVmwShares * stockRatio * vmwToAvgoRatio)</f>
        <v>0</v>
      </c>
      <c r="AC38" s="320">
        <f>LET(numVmwShares,D38, stockRatio,Q38, vmwToAvgoRatio,Reference!$B$6, numVmwShares * stockRatio * vmwToAvgoRatio)</f>
        <v>0</v>
      </c>
      <c r="AD38" s="320" t="str">
        <f>LET(numVmwShares,D38, stockRatio,R38, vmwToAvgoRatio,Reference!$B$6, numVmwShares * stockRatio * vmwToAvgoRatio)</f>
        <v>#DIV/0!</v>
      </c>
      <c r="AE38" s="320">
        <f>SWITCH(Reference!$E$4, "eTradeTransactionLog", AB38, "eTradeHoldingRatio",AB38, "eTradeLotQtyRatio",AC38,"manualLotRatio",AD38)</f>
        <v>0</v>
      </c>
      <c r="AF38" s="321">
        <f>LET(numVmwShares,D38, vmwBasis,Z38, avgoQty,AE38, avgoFMV,Reference!$B$18, cashReceived,W38, gain,cashReceived+(avgoQty*avgoFMV)-(numVmwShares*vmwBasis),
MAX(gain,0))</f>
        <v>0</v>
      </c>
      <c r="AG38" s="322">
        <f>LET(useForFraction,J38, fractionAmount,Summary!$C$41, esppFractionLots,ESPP!$N$5, rsuFractionLots,RSU!J$5, IF(useForFraction, fractionAmount / (esppFractionLots+rsuFractionLots), 0))</f>
        <v>0</v>
      </c>
      <c r="AH38" s="411">
        <f>LET(useForFraction,J38, fractionSaleFMV,Reference!$B$23, postMergerBasis,AT38, lotFractionAmount,AG38, IF(useForFraction, (fractionSaleFMV - postMergerBasis)*lotFractionAmount, 0))</f>
        <v>0</v>
      </c>
      <c r="AI38" s="412">
        <f t="shared" si="11"/>
        <v>0</v>
      </c>
      <c r="AJ38" s="413">
        <f>LET(
purchaseDate,C38,
mergerDate,Reference!$B$28,
lotFractionGain,AH38,
mergerGain,AI38,
IF(DATEDIF(purchaseDate,mergerDate,"Y")&gt;=1,
  0,
  lotFractionGain + mergerGain
))</f>
        <v>0</v>
      </c>
      <c r="AK38" s="413">
        <f>LET(
purchaseDate,C38,
mergerDate,Reference!$B$28,
lotFractionGain,AH38,
mergerGain,AI38,
IF(DATEDIF(purchaseDate,mergerDate,"Y")&gt;=1,
  lotFractionGain+mergerGain,
  0
))</f>
        <v>0</v>
      </c>
      <c r="AL38" s="414" t="str">
        <f>IF(DATEDIF(C38,Reference!$B$28,"Y")&gt;=1,"Part II Box E","Part I Box B")</f>
        <v>Part II Box E</v>
      </c>
      <c r="AM38" s="344" t="str">
        <f t="shared" si="12"/>
        <v/>
      </c>
      <c r="AN38" s="330">
        <f t="shared" si="13"/>
        <v>0</v>
      </c>
      <c r="AO38" s="330">
        <f>LET(
cashReceived,W38, 
avgoQty,AE38, 
proceedsStyle,Reference!$E$9, 
avgoFMV,Reference!$B$18, 
SWITCH(proceedsStyle, "combined", cashReceived +(avgoQty*avgoFMV), "cashOnly", cashReceived))</f>
        <v>0</v>
      </c>
      <c r="AP38" s="345">
        <f>LET(
proceedsStyle,Reference!$E$9,
proceeds,AO38,
gain,AS38,
numVmwShares,D38, 
vmwBasis, Z38, 
avgoQty,AE38, 
avgoFMV,Reference!$B$18, 
cashReceived,W38, 
avgoTotalValue, avgoFMV*avgoQty, 
vmwTotalBasis, vmwBasis*numVmwShares,
alternateGainAmount,AF38, 
SWITCH(proceedsStyle,
  "cashOnly",
    proceeds - gain,
  "combined",
    IF(cashReceived&lt;alternateGainAmount,
      avgoTotalValue,
      vmwTotalBasis
    )
  )
)</f>
        <v>0</v>
      </c>
      <c r="AQ38" s="345" t="str">
        <f t="shared" si="14"/>
        <v/>
      </c>
      <c r="AR38" s="345">
        <v>0.0</v>
      </c>
      <c r="AS38" s="331">
        <f>LET(
proceedsStyle,Reference!$E$9,
proceeds,AO38,
basis1099B,AP38,
adjustment,AR38,
mergerGain,AI38,
SWITCH(proceedsStyle,
  "cashOnly",
    mergerGain,
  "combined",
    MAX(proceeds - basis1099B + adjustment, 0)
))</f>
        <v>0</v>
      </c>
      <c r="AT38" s="415" t="str">
        <f t="shared" si="15"/>
        <v>n/a</v>
      </c>
      <c r="AU38" s="333">
        <f>LET(saleFMV,Reference!$B$10, postMergerBasis,AT38, avgoQty,AE38, lotFractionAmount,AG38, iferror((saleFMV - postMergerBasis) * (avgoQty - lotFractionAmount), 0))</f>
        <v>0</v>
      </c>
      <c r="AV38" s="333">
        <f>LET(
avgoQty,AE38, 
purchaseDate,C38,
postMergerSaleDate,Reference!$B$29,
saleFMV,Reference!$B$10,
postMergerBasis,AT38, 
IFERROR(IF(DATEDIF(purchaseDate,postMergerSaleDate,"Y")&gt;=1,
  0,
  avgoQty * (saleFMV - postMergerBasis)
),0))</f>
        <v>0</v>
      </c>
      <c r="AW38" s="336">
        <f>LET(
avgoQty,AE38, 
purchaseDate,C38,
postMergerSaleDate,Reference!$B$29,
saleFMV,Reference!$B$10,
postMergerBasis,AT38, 
IFERROR(IF(DATEDIF(purchaseDate,postMergerSaleDate,"Y")&gt;=1,
  avgoQty * (saleFMV - postMergerBasis),
  0
),0))</f>
        <v>0</v>
      </c>
      <c r="AX38" s="337"/>
    </row>
    <row r="39">
      <c r="A39" s="405"/>
      <c r="B39" s="406"/>
      <c r="C39" s="307"/>
      <c r="D39" s="338"/>
      <c r="E39" s="321" t="str">
        <f t="array" ref="E39">IF(C39&lt;&gt;"", IFERROR(VLOOKUP(C39, SORT(PriceReference!$A$1:$B1014), 2, TRUE), "price unavailable"), "")</f>
        <v/>
      </c>
      <c r="F39" s="416"/>
      <c r="G39" s="309">
        <f t="shared" si="6"/>
        <v>0</v>
      </c>
      <c r="H39" s="321">
        <f t="shared" si="7"/>
        <v>0</v>
      </c>
      <c r="I39" s="419"/>
      <c r="J39" s="348" t="b">
        <v>0</v>
      </c>
      <c r="K39" s="409"/>
      <c r="L39" s="315">
        <v>0.0</v>
      </c>
      <c r="M39" s="315">
        <v>0.0</v>
      </c>
      <c r="N39" s="315">
        <v>0.0</v>
      </c>
      <c r="O39" s="315">
        <v>0.0</v>
      </c>
      <c r="P39" s="315">
        <v>0.0</v>
      </c>
      <c r="Q39" s="317">
        <f t="shared" si="8"/>
        <v>0</v>
      </c>
      <c r="R39" s="317" t="str">
        <f>SWITCH(S39,"cash",Reference!E$5,"shares",Reference!$E$6,"balance",Reference!$E$7,"pro-rata",Reference!$B$5)</f>
        <v>#DIV/0!</v>
      </c>
      <c r="S39" s="318" t="s">
        <v>207</v>
      </c>
      <c r="T39" s="319">
        <f>LET(numVmwShares,D39, cashRatio,Reference!$B$4, vmwFinalPrice,Reference!$B$3, numVmwShares * cashRatio * vmwFinalPrice)</f>
        <v>0</v>
      </c>
      <c r="U39" s="319">
        <f>iferror(LET(numVmwShares,$D39, stockRatio,Q39, vmwFinalPrice,Reference!$B$3, (1 - stockRatio) * vmwFinalPrice * numVmwShares),0)</f>
        <v>0</v>
      </c>
      <c r="V39" s="319">
        <f>iferror(LET(numVmwShares,$D39, stockRatio,R39, vmwFinalPrice,Reference!$B$3, (1 - stockRatio) * vmwFinalPrice * numVmwShares),0)</f>
        <v>0</v>
      </c>
      <c r="W39" s="319">
        <f>SWITCH(Reference!$E$4,"eTradeTransactionLog", T39, "eTradeHoldingRatio",T39, "eTradeLotQtyRatio",U39,"manualLotRatio",V39)</f>
        <v>0</v>
      </c>
      <c r="X39" s="309">
        <f>LET(purchaseDate,C39, dateOfRecord,Reference!$B$26, returnOfCapital,Reference!$C$26, IF(purchaseDate &lt; dateOfRecord, returnOfCapital,0))</f>
        <v>10.18</v>
      </c>
      <c r="Y39" s="309">
        <f>LET(purchaseDate,C39, dateOfRecord,Reference!$B$27, returnOfCapital,Reference!$C$27, IF(purchaseDate &lt; dateOfRecord, returnOfCapital,0))</f>
        <v>16.58</v>
      </c>
      <c r="Z39" s="309">
        <f t="shared" si="9"/>
        <v>-26.76</v>
      </c>
      <c r="AA39" s="410">
        <f t="shared" si="10"/>
        <v>0</v>
      </c>
      <c r="AB39" s="320">
        <f>LET(numVmwShares,D39, stockRatio,Reference!$B$5, vmwToAvgoRatio,Reference!$B$6, numVmwShares * stockRatio * vmwToAvgoRatio)</f>
        <v>0</v>
      </c>
      <c r="AC39" s="320">
        <f>LET(numVmwShares,D39, stockRatio,Q39, vmwToAvgoRatio,Reference!$B$6, numVmwShares * stockRatio * vmwToAvgoRatio)</f>
        <v>0</v>
      </c>
      <c r="AD39" s="320" t="str">
        <f>LET(numVmwShares,D39, stockRatio,R39, vmwToAvgoRatio,Reference!$B$6, numVmwShares * stockRatio * vmwToAvgoRatio)</f>
        <v>#DIV/0!</v>
      </c>
      <c r="AE39" s="320">
        <f>SWITCH(Reference!$E$4, "eTradeTransactionLog", AB39, "eTradeHoldingRatio",AB39, "eTradeLotQtyRatio",AC39,"manualLotRatio",AD39)</f>
        <v>0</v>
      </c>
      <c r="AF39" s="321">
        <f>LET(numVmwShares,D39, vmwBasis,Z39, avgoQty,AE39, avgoFMV,Reference!$B$18, cashReceived,W39, gain,cashReceived+(avgoQty*avgoFMV)-(numVmwShares*vmwBasis),
MAX(gain,0))</f>
        <v>0</v>
      </c>
      <c r="AG39" s="322">
        <f>LET(useForFraction,J39, fractionAmount,Summary!$C$41, esppFractionLots,ESPP!$N$5, rsuFractionLots,RSU!J$5, IF(useForFraction, fractionAmount / (esppFractionLots+rsuFractionLots), 0))</f>
        <v>0</v>
      </c>
      <c r="AH39" s="411">
        <f>LET(useForFraction,J39, fractionSaleFMV,Reference!$B$23, postMergerBasis,AT39, lotFractionAmount,AG39, IF(useForFraction, (fractionSaleFMV - postMergerBasis)*lotFractionAmount, 0))</f>
        <v>0</v>
      </c>
      <c r="AI39" s="412">
        <f t="shared" si="11"/>
        <v>0</v>
      </c>
      <c r="AJ39" s="413">
        <f>LET(
purchaseDate,C39,
mergerDate,Reference!$B$28,
lotFractionGain,AH39,
mergerGain,AI39,
IF(DATEDIF(purchaseDate,mergerDate,"Y")&gt;=1,
  0,
  lotFractionGain + mergerGain
))</f>
        <v>0</v>
      </c>
      <c r="AK39" s="413">
        <f>LET(
purchaseDate,C39,
mergerDate,Reference!$B$28,
lotFractionGain,AH39,
mergerGain,AI39,
IF(DATEDIF(purchaseDate,mergerDate,"Y")&gt;=1,
  lotFractionGain+mergerGain,
  0
))</f>
        <v>0</v>
      </c>
      <c r="AL39" s="414" t="str">
        <f>IF(DATEDIF(C39,Reference!$B$28,"Y")&gt;=1,"Part II Box E","Part I Box B")</f>
        <v>Part II Box E</v>
      </c>
      <c r="AM39" s="344" t="str">
        <f t="shared" si="12"/>
        <v/>
      </c>
      <c r="AN39" s="330">
        <f t="shared" si="13"/>
        <v>0</v>
      </c>
      <c r="AO39" s="330">
        <f>LET(
cashReceived,W39, 
avgoQty,AE39, 
proceedsStyle,Reference!$E$9, 
avgoFMV,Reference!$B$18, 
SWITCH(proceedsStyle, "combined", cashReceived +(avgoQty*avgoFMV), "cashOnly", cashReceived))</f>
        <v>0</v>
      </c>
      <c r="AP39" s="345">
        <f>LET(
proceedsStyle,Reference!$E$9,
proceeds,AO39,
gain,AS39,
numVmwShares,D39, 
vmwBasis, Z39, 
avgoQty,AE39, 
avgoFMV,Reference!$B$18, 
cashReceived,W39, 
avgoTotalValue, avgoFMV*avgoQty, 
vmwTotalBasis, vmwBasis*numVmwShares,
alternateGainAmount,AF39, 
SWITCH(proceedsStyle,
  "cashOnly",
    proceeds - gain,
  "combined",
    IF(cashReceived&lt;alternateGainAmount,
      avgoTotalValue,
      vmwTotalBasis
    )
  )
)</f>
        <v>0</v>
      </c>
      <c r="AQ39" s="345" t="str">
        <f t="shared" si="14"/>
        <v/>
      </c>
      <c r="AR39" s="345">
        <v>0.0</v>
      </c>
      <c r="AS39" s="331">
        <f>LET(
proceedsStyle,Reference!$E$9,
proceeds,AO39,
basis1099B,AP39,
adjustment,AR39,
mergerGain,AI39,
SWITCH(proceedsStyle,
  "cashOnly",
    mergerGain,
  "combined",
    MAX(proceeds - basis1099B + adjustment, 0)
))</f>
        <v>0</v>
      </c>
      <c r="AT39" s="415" t="str">
        <f t="shared" si="15"/>
        <v>n/a</v>
      </c>
      <c r="AU39" s="333">
        <f>LET(saleFMV,Reference!$B$10, postMergerBasis,AT39, avgoQty,AE39, lotFractionAmount,AG39, iferror((saleFMV - postMergerBasis) * (avgoQty - lotFractionAmount), 0))</f>
        <v>0</v>
      </c>
      <c r="AV39" s="333">
        <f>LET(
avgoQty,AE39, 
purchaseDate,C39,
postMergerSaleDate,Reference!$B$29,
saleFMV,Reference!$B$10,
postMergerBasis,AT39, 
IFERROR(IF(DATEDIF(purchaseDate,postMergerSaleDate,"Y")&gt;=1,
  0,
  avgoQty * (saleFMV - postMergerBasis)
),0))</f>
        <v>0</v>
      </c>
      <c r="AW39" s="336">
        <f>LET(
avgoQty,AE39, 
purchaseDate,C39,
postMergerSaleDate,Reference!$B$29,
saleFMV,Reference!$B$10,
postMergerBasis,AT39, 
IFERROR(IF(DATEDIF(purchaseDate,postMergerSaleDate,"Y")&gt;=1,
  avgoQty * (saleFMV - postMergerBasis),
  0
),0))</f>
        <v>0</v>
      </c>
      <c r="AX39" s="337"/>
    </row>
    <row r="40">
      <c r="A40" s="405"/>
      <c r="B40" s="406"/>
      <c r="C40" s="307"/>
      <c r="D40" s="338"/>
      <c r="E40" s="321" t="str">
        <f t="array" ref="E40">IF(C40&lt;&gt;"", IFERROR(VLOOKUP(C40, SORT(PriceReference!$A$1:$B1014), 2, TRUE), "price unavailable"), "")</f>
        <v/>
      </c>
      <c r="F40" s="416"/>
      <c r="G40" s="309">
        <f t="shared" si="6"/>
        <v>0</v>
      </c>
      <c r="H40" s="321">
        <f t="shared" si="7"/>
        <v>0</v>
      </c>
      <c r="I40" s="417"/>
      <c r="J40" s="348" t="b">
        <v>0</v>
      </c>
      <c r="K40" s="409"/>
      <c r="L40" s="315">
        <v>0.0</v>
      </c>
      <c r="M40" s="315">
        <v>0.0</v>
      </c>
      <c r="N40" s="315">
        <v>0.0</v>
      </c>
      <c r="O40" s="315">
        <v>0.0</v>
      </c>
      <c r="P40" s="315">
        <v>0.0</v>
      </c>
      <c r="Q40" s="317">
        <f t="shared" si="8"/>
        <v>0</v>
      </c>
      <c r="R40" s="317" t="str">
        <f>SWITCH(S40,"cash",Reference!E$5,"shares",Reference!$E$6,"balance",Reference!$E$7,"pro-rata",Reference!$B$5)</f>
        <v>#DIV/0!</v>
      </c>
      <c r="S40" s="318" t="s">
        <v>207</v>
      </c>
      <c r="T40" s="319">
        <f>LET(numVmwShares,D40, cashRatio,Reference!$B$4, vmwFinalPrice,Reference!$B$3, numVmwShares * cashRatio * vmwFinalPrice)</f>
        <v>0</v>
      </c>
      <c r="U40" s="319">
        <f>iferror(LET(numVmwShares,$D40, stockRatio,Q40, vmwFinalPrice,Reference!$B$3, (1 - stockRatio) * vmwFinalPrice * numVmwShares),0)</f>
        <v>0</v>
      </c>
      <c r="V40" s="319">
        <f>iferror(LET(numVmwShares,$D40, stockRatio,R40, vmwFinalPrice,Reference!$B$3, (1 - stockRatio) * vmwFinalPrice * numVmwShares),0)</f>
        <v>0</v>
      </c>
      <c r="W40" s="319">
        <f>SWITCH(Reference!$E$4,"eTradeTransactionLog", T40, "eTradeHoldingRatio",T40, "eTradeLotQtyRatio",U40,"manualLotRatio",V40)</f>
        <v>0</v>
      </c>
      <c r="X40" s="309">
        <f>LET(purchaseDate,C40, dateOfRecord,Reference!$B$26, returnOfCapital,Reference!$C$26, IF(purchaseDate &lt; dateOfRecord, returnOfCapital,0))</f>
        <v>10.18</v>
      </c>
      <c r="Y40" s="309">
        <f>LET(purchaseDate,C40, dateOfRecord,Reference!$B$27, returnOfCapital,Reference!$C$27, IF(purchaseDate &lt; dateOfRecord, returnOfCapital,0))</f>
        <v>16.58</v>
      </c>
      <c r="Z40" s="309">
        <f t="shared" si="9"/>
        <v>-26.76</v>
      </c>
      <c r="AA40" s="410">
        <f t="shared" si="10"/>
        <v>0</v>
      </c>
      <c r="AB40" s="320">
        <f>LET(numVmwShares,D40, stockRatio,Reference!$B$5, vmwToAvgoRatio,Reference!$B$6, numVmwShares * stockRatio * vmwToAvgoRatio)</f>
        <v>0</v>
      </c>
      <c r="AC40" s="320">
        <f>LET(numVmwShares,D40, stockRatio,Q40, vmwToAvgoRatio,Reference!$B$6, numVmwShares * stockRatio * vmwToAvgoRatio)</f>
        <v>0</v>
      </c>
      <c r="AD40" s="320" t="str">
        <f>LET(numVmwShares,D40, stockRatio,R40, vmwToAvgoRatio,Reference!$B$6, numVmwShares * stockRatio * vmwToAvgoRatio)</f>
        <v>#DIV/0!</v>
      </c>
      <c r="AE40" s="320">
        <f>SWITCH(Reference!$E$4, "eTradeTransactionLog", AB40, "eTradeHoldingRatio",AB40, "eTradeLotQtyRatio",AC40,"manualLotRatio",AD40)</f>
        <v>0</v>
      </c>
      <c r="AF40" s="321">
        <f>LET(numVmwShares,D40, vmwBasis,Z40, avgoQty,AE40, avgoFMV,Reference!$B$18, cashReceived,W40, gain,cashReceived+(avgoQty*avgoFMV)-(numVmwShares*vmwBasis),
MAX(gain,0))</f>
        <v>0</v>
      </c>
      <c r="AG40" s="322">
        <f>LET(useForFraction,J40, fractionAmount,Summary!$C$41, esppFractionLots,ESPP!$N$5, rsuFractionLots,RSU!J$5, IF(useForFraction, fractionAmount / (esppFractionLots+rsuFractionLots), 0))</f>
        <v>0</v>
      </c>
      <c r="AH40" s="411">
        <f>LET(useForFraction,J40, fractionSaleFMV,Reference!$B$23, postMergerBasis,AT40, lotFractionAmount,AG40, IF(useForFraction, (fractionSaleFMV - postMergerBasis)*lotFractionAmount, 0))</f>
        <v>0</v>
      </c>
      <c r="AI40" s="412">
        <f t="shared" si="11"/>
        <v>0</v>
      </c>
      <c r="AJ40" s="413">
        <f>LET(
purchaseDate,C40,
mergerDate,Reference!$B$28,
lotFractionGain,AH40,
mergerGain,AI40,
IF(DATEDIF(purchaseDate,mergerDate,"Y")&gt;=1,
  0,
  lotFractionGain + mergerGain
))</f>
        <v>0</v>
      </c>
      <c r="AK40" s="413">
        <f>LET(
purchaseDate,C40,
mergerDate,Reference!$B$28,
lotFractionGain,AH40,
mergerGain,AI40,
IF(DATEDIF(purchaseDate,mergerDate,"Y")&gt;=1,
  lotFractionGain+mergerGain,
  0
))</f>
        <v>0</v>
      </c>
      <c r="AL40" s="414" t="str">
        <f>IF(DATEDIF(C40,Reference!$B$28,"Y")&gt;=1,"Part II Box E","Part I Box B")</f>
        <v>Part II Box E</v>
      </c>
      <c r="AM40" s="344" t="str">
        <f t="shared" si="12"/>
        <v/>
      </c>
      <c r="AN40" s="330">
        <f t="shared" si="13"/>
        <v>0</v>
      </c>
      <c r="AO40" s="330">
        <f>LET(
cashReceived,W40, 
avgoQty,AE40, 
proceedsStyle,Reference!$E$9, 
avgoFMV,Reference!$B$18, 
SWITCH(proceedsStyle, "combined", cashReceived +(avgoQty*avgoFMV), "cashOnly", cashReceived))</f>
        <v>0</v>
      </c>
      <c r="AP40" s="345">
        <f>LET(
proceedsStyle,Reference!$E$9,
proceeds,AO40,
gain,AS40,
numVmwShares,D40, 
vmwBasis, Z40, 
avgoQty,AE40, 
avgoFMV,Reference!$B$18, 
cashReceived,W40, 
avgoTotalValue, avgoFMV*avgoQty, 
vmwTotalBasis, vmwBasis*numVmwShares,
alternateGainAmount,AF40, 
SWITCH(proceedsStyle,
  "cashOnly",
    proceeds - gain,
  "combined",
    IF(cashReceived&lt;alternateGainAmount,
      avgoTotalValue,
      vmwTotalBasis
    )
  )
)</f>
        <v>0</v>
      </c>
      <c r="AQ40" s="345" t="str">
        <f t="shared" si="14"/>
        <v/>
      </c>
      <c r="AR40" s="345">
        <v>0.0</v>
      </c>
      <c r="AS40" s="331">
        <f>LET(
proceedsStyle,Reference!$E$9,
proceeds,AO40,
basis1099B,AP40,
adjustment,AR40,
mergerGain,AI40,
SWITCH(proceedsStyle,
  "cashOnly",
    mergerGain,
  "combined",
    MAX(proceeds - basis1099B + adjustment, 0)
))</f>
        <v>0</v>
      </c>
      <c r="AT40" s="415" t="str">
        <f t="shared" si="15"/>
        <v>n/a</v>
      </c>
      <c r="AU40" s="333">
        <f>LET(saleFMV,Reference!$B$10, postMergerBasis,AT40, avgoQty,AE40, lotFractionAmount,AG40, iferror((saleFMV - postMergerBasis) * (avgoQty - lotFractionAmount), 0))</f>
        <v>0</v>
      </c>
      <c r="AV40" s="333">
        <f>LET(
avgoQty,AE40, 
purchaseDate,C40,
postMergerSaleDate,Reference!$B$29,
saleFMV,Reference!$B$10,
postMergerBasis,AT40, 
IFERROR(IF(DATEDIF(purchaseDate,postMergerSaleDate,"Y")&gt;=1,
  0,
  avgoQty * (saleFMV - postMergerBasis)
),0))</f>
        <v>0</v>
      </c>
      <c r="AW40" s="336">
        <f>LET(
avgoQty,AE40, 
purchaseDate,C40,
postMergerSaleDate,Reference!$B$29,
saleFMV,Reference!$B$10,
postMergerBasis,AT40, 
IFERROR(IF(DATEDIF(purchaseDate,postMergerSaleDate,"Y")&gt;=1,
  avgoQty * (saleFMV - postMergerBasis),
  0
),0))</f>
        <v>0</v>
      </c>
      <c r="AX40" s="337"/>
    </row>
    <row r="41">
      <c r="A41" s="405"/>
      <c r="B41" s="406"/>
      <c r="C41" s="307"/>
      <c r="D41" s="338"/>
      <c r="E41" s="321" t="str">
        <f t="array" ref="E41">IF(C41&lt;&gt;"", IFERROR(VLOOKUP(C41, SORT(PriceReference!$A$1:$B1014), 2, TRUE), "price unavailable"), "")</f>
        <v/>
      </c>
      <c r="F41" s="416"/>
      <c r="G41" s="309">
        <f t="shared" si="6"/>
        <v>0</v>
      </c>
      <c r="H41" s="321">
        <f t="shared" si="7"/>
        <v>0</v>
      </c>
      <c r="I41" s="419"/>
      <c r="J41" s="348" t="b">
        <v>0</v>
      </c>
      <c r="K41" s="409"/>
      <c r="L41" s="315">
        <v>0.0</v>
      </c>
      <c r="M41" s="315">
        <v>0.0</v>
      </c>
      <c r="N41" s="315">
        <v>0.0</v>
      </c>
      <c r="O41" s="315">
        <v>0.0</v>
      </c>
      <c r="P41" s="315">
        <v>0.0</v>
      </c>
      <c r="Q41" s="317">
        <f t="shared" si="8"/>
        <v>0</v>
      </c>
      <c r="R41" s="317" t="str">
        <f>SWITCH(S41,"cash",Reference!E$5,"shares",Reference!$E$6,"balance",Reference!$E$7,"pro-rata",Reference!$B$5)</f>
        <v>#DIV/0!</v>
      </c>
      <c r="S41" s="318" t="s">
        <v>207</v>
      </c>
      <c r="T41" s="319">
        <f>LET(numVmwShares,D41, cashRatio,Reference!$B$4, vmwFinalPrice,Reference!$B$3, numVmwShares * cashRatio * vmwFinalPrice)</f>
        <v>0</v>
      </c>
      <c r="U41" s="319">
        <f>iferror(LET(numVmwShares,$D41, stockRatio,Q41, vmwFinalPrice,Reference!$B$3, (1 - stockRatio) * vmwFinalPrice * numVmwShares),0)</f>
        <v>0</v>
      </c>
      <c r="V41" s="319">
        <f>iferror(LET(numVmwShares,$D41, stockRatio,R41, vmwFinalPrice,Reference!$B$3, (1 - stockRatio) * vmwFinalPrice * numVmwShares),0)</f>
        <v>0</v>
      </c>
      <c r="W41" s="319">
        <f>SWITCH(Reference!$E$4,"eTradeTransactionLog", T41, "eTradeHoldingRatio",T41, "eTradeLotQtyRatio",U41,"manualLotRatio",V41)</f>
        <v>0</v>
      </c>
      <c r="X41" s="309">
        <f>LET(purchaseDate,C41, dateOfRecord,Reference!$B$26, returnOfCapital,Reference!$C$26, IF(purchaseDate &lt; dateOfRecord, returnOfCapital,0))</f>
        <v>10.18</v>
      </c>
      <c r="Y41" s="309">
        <f>LET(purchaseDate,C41, dateOfRecord,Reference!$B$27, returnOfCapital,Reference!$C$27, IF(purchaseDate &lt; dateOfRecord, returnOfCapital,0))</f>
        <v>16.58</v>
      </c>
      <c r="Z41" s="309">
        <f t="shared" si="9"/>
        <v>-26.76</v>
      </c>
      <c r="AA41" s="410">
        <f t="shared" si="10"/>
        <v>0</v>
      </c>
      <c r="AB41" s="320">
        <f>LET(numVmwShares,D41, stockRatio,Reference!$B$5, vmwToAvgoRatio,Reference!$B$6, numVmwShares * stockRatio * vmwToAvgoRatio)</f>
        <v>0</v>
      </c>
      <c r="AC41" s="320">
        <f>LET(numVmwShares,D41, stockRatio,Q41, vmwToAvgoRatio,Reference!$B$6, numVmwShares * stockRatio * vmwToAvgoRatio)</f>
        <v>0</v>
      </c>
      <c r="AD41" s="320" t="str">
        <f>LET(numVmwShares,D41, stockRatio,R41, vmwToAvgoRatio,Reference!$B$6, numVmwShares * stockRatio * vmwToAvgoRatio)</f>
        <v>#DIV/0!</v>
      </c>
      <c r="AE41" s="320">
        <f>SWITCH(Reference!$E$4, "eTradeTransactionLog", AB41, "eTradeHoldingRatio",AB41, "eTradeLotQtyRatio",AC41,"manualLotRatio",AD41)</f>
        <v>0</v>
      </c>
      <c r="AF41" s="321">
        <f>LET(numVmwShares,D41, vmwBasis,Z41, avgoQty,AE41, avgoFMV,Reference!$B$18, cashReceived,W41, gain,cashReceived+(avgoQty*avgoFMV)-(numVmwShares*vmwBasis),
MAX(gain,0))</f>
        <v>0</v>
      </c>
      <c r="AG41" s="322">
        <f>LET(useForFraction,J41, fractionAmount,Summary!$C$41, esppFractionLots,ESPP!$N$5, rsuFractionLots,RSU!J$5, IF(useForFraction, fractionAmount / (esppFractionLots+rsuFractionLots), 0))</f>
        <v>0</v>
      </c>
      <c r="AH41" s="411">
        <f>LET(useForFraction,J41, fractionSaleFMV,Reference!$B$23, postMergerBasis,AT41, lotFractionAmount,AG41, IF(useForFraction, (fractionSaleFMV - postMergerBasis)*lotFractionAmount, 0))</f>
        <v>0</v>
      </c>
      <c r="AI41" s="412">
        <f t="shared" si="11"/>
        <v>0</v>
      </c>
      <c r="AJ41" s="413">
        <f>LET(
purchaseDate,C41,
mergerDate,Reference!$B$28,
lotFractionGain,AH41,
mergerGain,AI41,
IF(DATEDIF(purchaseDate,mergerDate,"Y")&gt;=1,
  0,
  lotFractionGain + mergerGain
))</f>
        <v>0</v>
      </c>
      <c r="AK41" s="413">
        <f>LET(
purchaseDate,C41,
mergerDate,Reference!$B$28,
lotFractionGain,AH41,
mergerGain,AI41,
IF(DATEDIF(purchaseDate,mergerDate,"Y")&gt;=1,
  lotFractionGain+mergerGain,
  0
))</f>
        <v>0</v>
      </c>
      <c r="AL41" s="414" t="str">
        <f>IF(DATEDIF(C41,Reference!$B$28,"Y")&gt;=1,"Part II Box E","Part I Box B")</f>
        <v>Part II Box E</v>
      </c>
      <c r="AM41" s="344" t="str">
        <f t="shared" si="12"/>
        <v/>
      </c>
      <c r="AN41" s="330">
        <f t="shared" si="13"/>
        <v>0</v>
      </c>
      <c r="AO41" s="330">
        <f>LET(
cashReceived,W41, 
avgoQty,AE41, 
proceedsStyle,Reference!$E$9, 
avgoFMV,Reference!$B$18, 
SWITCH(proceedsStyle, "combined", cashReceived +(avgoQty*avgoFMV), "cashOnly", cashReceived))</f>
        <v>0</v>
      </c>
      <c r="AP41" s="345">
        <f>LET(
proceedsStyle,Reference!$E$9,
proceeds,AO41,
gain,AS41,
numVmwShares,D41, 
vmwBasis, Z41, 
avgoQty,AE41, 
avgoFMV,Reference!$B$18, 
cashReceived,W41, 
avgoTotalValue, avgoFMV*avgoQty, 
vmwTotalBasis, vmwBasis*numVmwShares,
alternateGainAmount,AF41, 
SWITCH(proceedsStyle,
  "cashOnly",
    proceeds - gain,
  "combined",
    IF(cashReceived&lt;alternateGainAmount,
      avgoTotalValue,
      vmwTotalBasis
    )
  )
)</f>
        <v>0</v>
      </c>
      <c r="AQ41" s="345" t="str">
        <f t="shared" si="14"/>
        <v/>
      </c>
      <c r="AR41" s="345">
        <v>0.0</v>
      </c>
      <c r="AS41" s="331">
        <f>LET(
proceedsStyle,Reference!$E$9,
proceeds,AO41,
basis1099B,AP41,
adjustment,AR41,
mergerGain,AI41,
SWITCH(proceedsStyle,
  "cashOnly",
    mergerGain,
  "combined",
    MAX(proceeds - basis1099B + adjustment, 0)
))</f>
        <v>0</v>
      </c>
      <c r="AT41" s="415" t="str">
        <f t="shared" si="15"/>
        <v>n/a</v>
      </c>
      <c r="AU41" s="333">
        <f>LET(saleFMV,Reference!$B$10, postMergerBasis,AT41, avgoQty,AE41, lotFractionAmount,AG41, iferror((saleFMV - postMergerBasis) * (avgoQty - lotFractionAmount), 0))</f>
        <v>0</v>
      </c>
      <c r="AV41" s="333">
        <f>LET(
avgoQty,AE41, 
purchaseDate,C41,
postMergerSaleDate,Reference!$B$29,
saleFMV,Reference!$B$10,
postMergerBasis,AT41, 
IFERROR(IF(DATEDIF(purchaseDate,postMergerSaleDate,"Y")&gt;=1,
  0,
  avgoQty * (saleFMV - postMergerBasis)
),0))</f>
        <v>0</v>
      </c>
      <c r="AW41" s="336">
        <f>LET(
avgoQty,AE41, 
purchaseDate,C41,
postMergerSaleDate,Reference!$B$29,
saleFMV,Reference!$B$10,
postMergerBasis,AT41, 
IFERROR(IF(DATEDIF(purchaseDate,postMergerSaleDate,"Y")&gt;=1,
  avgoQty * (saleFMV - postMergerBasis),
  0
),0))</f>
        <v>0</v>
      </c>
      <c r="AX41" s="337"/>
    </row>
    <row r="42">
      <c r="A42" s="405"/>
      <c r="B42" s="406"/>
      <c r="C42" s="307"/>
      <c r="D42" s="338"/>
      <c r="E42" s="321" t="str">
        <f t="array" ref="E42">IF(C42&lt;&gt;"", IFERROR(VLOOKUP(C42, SORT(PriceReference!$A$1:$B1014), 2, TRUE), "price unavailable"), "")</f>
        <v/>
      </c>
      <c r="F42" s="416"/>
      <c r="G42" s="309">
        <f t="shared" si="6"/>
        <v>0</v>
      </c>
      <c r="H42" s="321">
        <f t="shared" si="7"/>
        <v>0</v>
      </c>
      <c r="I42" s="419"/>
      <c r="J42" s="348" t="b">
        <v>0</v>
      </c>
      <c r="K42" s="409"/>
      <c r="L42" s="315">
        <v>0.0</v>
      </c>
      <c r="M42" s="315">
        <v>0.0</v>
      </c>
      <c r="N42" s="315">
        <v>0.0</v>
      </c>
      <c r="O42" s="315">
        <v>0.0</v>
      </c>
      <c r="P42" s="315">
        <v>0.0</v>
      </c>
      <c r="Q42" s="317">
        <f t="shared" si="8"/>
        <v>0</v>
      </c>
      <c r="R42" s="317" t="str">
        <f>SWITCH(S42,"cash",Reference!E$5,"shares",Reference!$E$6,"balance",Reference!$E$7,"pro-rata",Reference!$B$5)</f>
        <v>#DIV/0!</v>
      </c>
      <c r="S42" s="318" t="s">
        <v>207</v>
      </c>
      <c r="T42" s="319">
        <f>LET(numVmwShares,D42, cashRatio,Reference!$B$4, vmwFinalPrice,Reference!$B$3, numVmwShares * cashRatio * vmwFinalPrice)</f>
        <v>0</v>
      </c>
      <c r="U42" s="319">
        <f>iferror(LET(numVmwShares,$D42, stockRatio,Q42, vmwFinalPrice,Reference!$B$3, (1 - stockRatio) * vmwFinalPrice * numVmwShares),0)</f>
        <v>0</v>
      </c>
      <c r="V42" s="319">
        <f>iferror(LET(numVmwShares,$D42, stockRatio,R42, vmwFinalPrice,Reference!$B$3, (1 - stockRatio) * vmwFinalPrice * numVmwShares),0)</f>
        <v>0</v>
      </c>
      <c r="W42" s="319">
        <f>SWITCH(Reference!$E$4,"eTradeTransactionLog", T42, "eTradeHoldingRatio",T42, "eTradeLotQtyRatio",U42,"manualLotRatio",V42)</f>
        <v>0</v>
      </c>
      <c r="X42" s="309">
        <f>LET(purchaseDate,C42, dateOfRecord,Reference!$B$26, returnOfCapital,Reference!$C$26, IF(purchaseDate &lt; dateOfRecord, returnOfCapital,0))</f>
        <v>10.18</v>
      </c>
      <c r="Y42" s="309">
        <f>LET(purchaseDate,C42, dateOfRecord,Reference!$B$27, returnOfCapital,Reference!$C$27, IF(purchaseDate &lt; dateOfRecord, returnOfCapital,0))</f>
        <v>16.58</v>
      </c>
      <c r="Z42" s="309">
        <f t="shared" si="9"/>
        <v>-26.76</v>
      </c>
      <c r="AA42" s="410">
        <f t="shared" si="10"/>
        <v>0</v>
      </c>
      <c r="AB42" s="320">
        <f>LET(numVmwShares,D42, stockRatio,Reference!$B$5, vmwToAvgoRatio,Reference!$B$6, numVmwShares * stockRatio * vmwToAvgoRatio)</f>
        <v>0</v>
      </c>
      <c r="AC42" s="320">
        <f>LET(numVmwShares,D42, stockRatio,Q42, vmwToAvgoRatio,Reference!$B$6, numVmwShares * stockRatio * vmwToAvgoRatio)</f>
        <v>0</v>
      </c>
      <c r="AD42" s="320" t="str">
        <f>LET(numVmwShares,D42, stockRatio,R42, vmwToAvgoRatio,Reference!$B$6, numVmwShares * stockRatio * vmwToAvgoRatio)</f>
        <v>#DIV/0!</v>
      </c>
      <c r="AE42" s="320">
        <f>SWITCH(Reference!$E$4, "eTradeTransactionLog", AB42, "eTradeHoldingRatio",AB42, "eTradeLotQtyRatio",AC42,"manualLotRatio",AD42)</f>
        <v>0</v>
      </c>
      <c r="AF42" s="321">
        <f>LET(numVmwShares,D42, vmwBasis,Z42, avgoQty,AE42, avgoFMV,Reference!$B$18, cashReceived,W42, gain,cashReceived+(avgoQty*avgoFMV)-(numVmwShares*vmwBasis),
MAX(gain,0))</f>
        <v>0</v>
      </c>
      <c r="AG42" s="322">
        <f>LET(useForFraction,J42, fractionAmount,Summary!$C$41, esppFractionLots,ESPP!$N$5, rsuFractionLots,RSU!J$5, IF(useForFraction, fractionAmount / (esppFractionLots+rsuFractionLots), 0))</f>
        <v>0</v>
      </c>
      <c r="AH42" s="411">
        <f>LET(useForFraction,J42, fractionSaleFMV,Reference!$B$23, postMergerBasis,AT42, lotFractionAmount,AG42, IF(useForFraction, (fractionSaleFMV - postMergerBasis)*lotFractionAmount, 0))</f>
        <v>0</v>
      </c>
      <c r="AI42" s="412">
        <f t="shared" si="11"/>
        <v>0</v>
      </c>
      <c r="AJ42" s="413">
        <f>LET(
purchaseDate,C42,
mergerDate,Reference!$B$28,
lotFractionGain,AH42,
mergerGain,AI42,
IF(DATEDIF(purchaseDate,mergerDate,"Y")&gt;=1,
  0,
  lotFractionGain + mergerGain
))</f>
        <v>0</v>
      </c>
      <c r="AK42" s="413">
        <f>LET(
purchaseDate,C42,
mergerDate,Reference!$B$28,
lotFractionGain,AH42,
mergerGain,AI42,
IF(DATEDIF(purchaseDate,mergerDate,"Y")&gt;=1,
  lotFractionGain+mergerGain,
  0
))</f>
        <v>0</v>
      </c>
      <c r="AL42" s="414" t="str">
        <f>IF(DATEDIF(C42,Reference!$B$28,"Y")&gt;=1,"Part II Box E","Part I Box B")</f>
        <v>Part II Box E</v>
      </c>
      <c r="AM42" s="344" t="str">
        <f t="shared" si="12"/>
        <v/>
      </c>
      <c r="AN42" s="330">
        <f t="shared" si="13"/>
        <v>0</v>
      </c>
      <c r="AO42" s="330">
        <f>LET(
cashReceived,W42, 
avgoQty,AE42, 
proceedsStyle,Reference!$E$9, 
avgoFMV,Reference!$B$18, 
SWITCH(proceedsStyle, "combined", cashReceived +(avgoQty*avgoFMV), "cashOnly", cashReceived))</f>
        <v>0</v>
      </c>
      <c r="AP42" s="345">
        <f>LET(
proceedsStyle,Reference!$E$9,
proceeds,AO42,
gain,AS42,
numVmwShares,D42, 
vmwBasis, Z42, 
avgoQty,AE42, 
avgoFMV,Reference!$B$18, 
cashReceived,W42, 
avgoTotalValue, avgoFMV*avgoQty, 
vmwTotalBasis, vmwBasis*numVmwShares,
alternateGainAmount,AF42, 
SWITCH(proceedsStyle,
  "cashOnly",
    proceeds - gain,
  "combined",
    IF(cashReceived&lt;alternateGainAmount,
      avgoTotalValue,
      vmwTotalBasis
    )
  )
)</f>
        <v>0</v>
      </c>
      <c r="AQ42" s="345" t="str">
        <f t="shared" si="14"/>
        <v/>
      </c>
      <c r="AR42" s="345">
        <v>0.0</v>
      </c>
      <c r="AS42" s="331">
        <f>LET(
proceedsStyle,Reference!$E$9,
proceeds,AO42,
basis1099B,AP42,
adjustment,AR42,
mergerGain,AI42,
SWITCH(proceedsStyle,
  "cashOnly",
    mergerGain,
  "combined",
    MAX(proceeds - basis1099B + adjustment, 0)
))</f>
        <v>0</v>
      </c>
      <c r="AT42" s="415" t="str">
        <f t="shared" si="15"/>
        <v>n/a</v>
      </c>
      <c r="AU42" s="333">
        <f>LET(saleFMV,Reference!$B$10, postMergerBasis,AT42, avgoQty,AE42, lotFractionAmount,AG42, iferror((saleFMV - postMergerBasis) * (avgoQty - lotFractionAmount), 0))</f>
        <v>0</v>
      </c>
      <c r="AV42" s="333">
        <f>LET(
avgoQty,AE42, 
purchaseDate,C42,
postMergerSaleDate,Reference!$B$29,
saleFMV,Reference!$B$10,
postMergerBasis,AT42, 
IFERROR(IF(DATEDIF(purchaseDate,postMergerSaleDate,"Y")&gt;=1,
  0,
  avgoQty * (saleFMV - postMergerBasis)
),0))</f>
        <v>0</v>
      </c>
      <c r="AW42" s="336">
        <f>LET(
avgoQty,AE42, 
purchaseDate,C42,
postMergerSaleDate,Reference!$B$29,
saleFMV,Reference!$B$10,
postMergerBasis,AT42, 
IFERROR(IF(DATEDIF(purchaseDate,postMergerSaleDate,"Y")&gt;=1,
  avgoQty * (saleFMV - postMergerBasis),
  0
),0))</f>
        <v>0</v>
      </c>
      <c r="AX42" s="337"/>
    </row>
    <row r="43">
      <c r="A43" s="405"/>
      <c r="B43" s="406"/>
      <c r="C43" s="307"/>
      <c r="D43" s="338"/>
      <c r="E43" s="321" t="str">
        <f t="array" ref="E43">IF(C43&lt;&gt;"", IFERROR(VLOOKUP(C43, SORT(PriceReference!$A$1:$B1014), 2, TRUE), "price unavailable"), "")</f>
        <v/>
      </c>
      <c r="F43" s="416"/>
      <c r="G43" s="309">
        <f t="shared" si="6"/>
        <v>0</v>
      </c>
      <c r="H43" s="321">
        <f t="shared" si="7"/>
        <v>0</v>
      </c>
      <c r="I43" s="417"/>
      <c r="J43" s="348" t="b">
        <v>0</v>
      </c>
      <c r="K43" s="409"/>
      <c r="L43" s="315">
        <v>0.0</v>
      </c>
      <c r="M43" s="315">
        <v>0.0</v>
      </c>
      <c r="N43" s="315">
        <v>0.0</v>
      </c>
      <c r="O43" s="315">
        <v>0.0</v>
      </c>
      <c r="P43" s="315">
        <v>0.0</v>
      </c>
      <c r="Q43" s="317">
        <f t="shared" si="8"/>
        <v>0</v>
      </c>
      <c r="R43" s="317" t="str">
        <f>SWITCH(S43,"cash",Reference!E$5,"shares",Reference!$E$6,"balance",Reference!$E$7,"pro-rata",Reference!$B$5)</f>
        <v>#DIV/0!</v>
      </c>
      <c r="S43" s="318" t="s">
        <v>207</v>
      </c>
      <c r="T43" s="319">
        <f>LET(numVmwShares,D43, cashRatio,Reference!$B$4, vmwFinalPrice,Reference!$B$3, numVmwShares * cashRatio * vmwFinalPrice)</f>
        <v>0</v>
      </c>
      <c r="U43" s="319">
        <f>iferror(LET(numVmwShares,$D43, stockRatio,Q43, vmwFinalPrice,Reference!$B$3, (1 - stockRatio) * vmwFinalPrice * numVmwShares),0)</f>
        <v>0</v>
      </c>
      <c r="V43" s="319">
        <f>iferror(LET(numVmwShares,$D43, stockRatio,R43, vmwFinalPrice,Reference!$B$3, (1 - stockRatio) * vmwFinalPrice * numVmwShares),0)</f>
        <v>0</v>
      </c>
      <c r="W43" s="319">
        <f>SWITCH(Reference!$E$4,"eTradeTransactionLog", T43, "eTradeHoldingRatio",T43, "eTradeLotQtyRatio",U43,"manualLotRatio",V43)</f>
        <v>0</v>
      </c>
      <c r="X43" s="309">
        <f>LET(purchaseDate,C43, dateOfRecord,Reference!$B$26, returnOfCapital,Reference!$C$26, IF(purchaseDate &lt; dateOfRecord, returnOfCapital,0))</f>
        <v>10.18</v>
      </c>
      <c r="Y43" s="309">
        <f>LET(purchaseDate,C43, dateOfRecord,Reference!$B$27, returnOfCapital,Reference!$C$27, IF(purchaseDate &lt; dateOfRecord, returnOfCapital,0))</f>
        <v>16.58</v>
      </c>
      <c r="Z43" s="309">
        <f t="shared" si="9"/>
        <v>-26.76</v>
      </c>
      <c r="AA43" s="410">
        <f t="shared" si="10"/>
        <v>0</v>
      </c>
      <c r="AB43" s="320">
        <f>LET(numVmwShares,D43, stockRatio,Reference!$B$5, vmwToAvgoRatio,Reference!$B$6, numVmwShares * stockRatio * vmwToAvgoRatio)</f>
        <v>0</v>
      </c>
      <c r="AC43" s="320">
        <f>LET(numVmwShares,D43, stockRatio,Q43, vmwToAvgoRatio,Reference!$B$6, numVmwShares * stockRatio * vmwToAvgoRatio)</f>
        <v>0</v>
      </c>
      <c r="AD43" s="320" t="str">
        <f>LET(numVmwShares,D43, stockRatio,R43, vmwToAvgoRatio,Reference!$B$6, numVmwShares * stockRatio * vmwToAvgoRatio)</f>
        <v>#DIV/0!</v>
      </c>
      <c r="AE43" s="320">
        <f>SWITCH(Reference!$E$4, "eTradeTransactionLog", AB43, "eTradeHoldingRatio",AB43, "eTradeLotQtyRatio",AC43,"manualLotRatio",AD43)</f>
        <v>0</v>
      </c>
      <c r="AF43" s="321">
        <f>LET(numVmwShares,D43, vmwBasis,Z43, avgoQty,AE43, avgoFMV,Reference!$B$18, cashReceived,W43, gain,cashReceived+(avgoQty*avgoFMV)-(numVmwShares*vmwBasis),
MAX(gain,0))</f>
        <v>0</v>
      </c>
      <c r="AG43" s="322">
        <f>LET(useForFraction,J43, fractionAmount,Summary!$C$41, esppFractionLots,ESPP!$N$5, rsuFractionLots,RSU!J$5, IF(useForFraction, fractionAmount / (esppFractionLots+rsuFractionLots), 0))</f>
        <v>0</v>
      </c>
      <c r="AH43" s="411">
        <f>LET(useForFraction,J43, fractionSaleFMV,Reference!$B$23, postMergerBasis,AT43, lotFractionAmount,AG43, IF(useForFraction, (fractionSaleFMV - postMergerBasis)*lotFractionAmount, 0))</f>
        <v>0</v>
      </c>
      <c r="AI43" s="412">
        <f t="shared" si="11"/>
        <v>0</v>
      </c>
      <c r="AJ43" s="413">
        <f>LET(
purchaseDate,C43,
mergerDate,Reference!$B$28,
lotFractionGain,AH43,
mergerGain,AI43,
IF(DATEDIF(purchaseDate,mergerDate,"Y")&gt;=1,
  0,
  lotFractionGain + mergerGain
))</f>
        <v>0</v>
      </c>
      <c r="AK43" s="413">
        <f>LET(
purchaseDate,C43,
mergerDate,Reference!$B$28,
lotFractionGain,AH43,
mergerGain,AI43,
IF(DATEDIF(purchaseDate,mergerDate,"Y")&gt;=1,
  lotFractionGain+mergerGain,
  0
))</f>
        <v>0</v>
      </c>
      <c r="AL43" s="414" t="str">
        <f>IF(DATEDIF(C43,Reference!$B$28,"Y")&gt;=1,"Part II Box E","Part I Box B")</f>
        <v>Part II Box E</v>
      </c>
      <c r="AM43" s="344" t="str">
        <f t="shared" si="12"/>
        <v/>
      </c>
      <c r="AN43" s="330">
        <f t="shared" si="13"/>
        <v>0</v>
      </c>
      <c r="AO43" s="330">
        <f>LET(
cashReceived,W43, 
avgoQty,AE43, 
proceedsStyle,Reference!$E$9, 
avgoFMV,Reference!$B$18, 
SWITCH(proceedsStyle, "combined", cashReceived +(avgoQty*avgoFMV), "cashOnly", cashReceived))</f>
        <v>0</v>
      </c>
      <c r="AP43" s="345">
        <f>LET(
proceedsStyle,Reference!$E$9,
proceeds,AO43,
gain,AS43,
numVmwShares,D43, 
vmwBasis, Z43, 
avgoQty,AE43, 
avgoFMV,Reference!$B$18, 
cashReceived,W43, 
avgoTotalValue, avgoFMV*avgoQty, 
vmwTotalBasis, vmwBasis*numVmwShares,
alternateGainAmount,AF43, 
SWITCH(proceedsStyle,
  "cashOnly",
    proceeds - gain,
  "combined",
    IF(cashReceived&lt;alternateGainAmount,
      avgoTotalValue,
      vmwTotalBasis
    )
  )
)</f>
        <v>0</v>
      </c>
      <c r="AQ43" s="345" t="str">
        <f t="shared" si="14"/>
        <v/>
      </c>
      <c r="AR43" s="345">
        <v>0.0</v>
      </c>
      <c r="AS43" s="331">
        <f>LET(
proceedsStyle,Reference!$E$9,
proceeds,AO43,
basis1099B,AP43,
adjustment,AR43,
mergerGain,AI43,
SWITCH(proceedsStyle,
  "cashOnly",
    mergerGain,
  "combined",
    MAX(proceeds - basis1099B + adjustment, 0)
))</f>
        <v>0</v>
      </c>
      <c r="AT43" s="415" t="str">
        <f t="shared" si="15"/>
        <v>n/a</v>
      </c>
      <c r="AU43" s="333">
        <f>LET(saleFMV,Reference!$B$10, postMergerBasis,AT43, avgoQty,AE43, lotFractionAmount,AG43, iferror((saleFMV - postMergerBasis) * (avgoQty - lotFractionAmount), 0))</f>
        <v>0</v>
      </c>
      <c r="AV43" s="333">
        <f>LET(
avgoQty,AE43, 
purchaseDate,C43,
postMergerSaleDate,Reference!$B$29,
saleFMV,Reference!$B$10,
postMergerBasis,AT43, 
IFERROR(IF(DATEDIF(purchaseDate,postMergerSaleDate,"Y")&gt;=1,
  0,
  avgoQty * (saleFMV - postMergerBasis)
),0))</f>
        <v>0</v>
      </c>
      <c r="AW43" s="336">
        <f>LET(
avgoQty,AE43, 
purchaseDate,C43,
postMergerSaleDate,Reference!$B$29,
saleFMV,Reference!$B$10,
postMergerBasis,AT43, 
IFERROR(IF(DATEDIF(purchaseDate,postMergerSaleDate,"Y")&gt;=1,
  avgoQty * (saleFMV - postMergerBasis),
  0
),0))</f>
        <v>0</v>
      </c>
      <c r="AX43" s="337"/>
    </row>
    <row r="44">
      <c r="A44" s="405"/>
      <c r="B44" s="420"/>
      <c r="C44" s="307"/>
      <c r="D44" s="338"/>
      <c r="E44" s="321" t="str">
        <f t="array" ref="E44">IF(C44&lt;&gt;"", IFERROR(VLOOKUP(C44, SORT(PriceReference!$A$1:$B1014), 2, TRUE), "price unavailable"), "")</f>
        <v/>
      </c>
      <c r="F44" s="416"/>
      <c r="G44" s="309">
        <f t="shared" si="6"/>
        <v>0</v>
      </c>
      <c r="H44" s="321">
        <f t="shared" si="7"/>
        <v>0</v>
      </c>
      <c r="I44" s="417"/>
      <c r="J44" s="348" t="b">
        <v>0</v>
      </c>
      <c r="K44" s="409"/>
      <c r="L44" s="315">
        <v>0.0</v>
      </c>
      <c r="M44" s="315">
        <v>0.0</v>
      </c>
      <c r="N44" s="315">
        <v>0.0</v>
      </c>
      <c r="O44" s="315">
        <v>0.0</v>
      </c>
      <c r="P44" s="315">
        <v>0.0</v>
      </c>
      <c r="Q44" s="317">
        <f t="shared" si="8"/>
        <v>0</v>
      </c>
      <c r="R44" s="317" t="str">
        <f>SWITCH(S44,"cash",Reference!E$5,"shares",Reference!$E$6,"balance",Reference!$E$7,"pro-rata",Reference!$B$5)</f>
        <v>#DIV/0!</v>
      </c>
      <c r="S44" s="318" t="s">
        <v>207</v>
      </c>
      <c r="T44" s="319">
        <f>LET(numVmwShares,D44, cashRatio,Reference!$B$4, vmwFinalPrice,Reference!$B$3, numVmwShares * cashRatio * vmwFinalPrice)</f>
        <v>0</v>
      </c>
      <c r="U44" s="319">
        <f>iferror(LET(numVmwShares,$D44, stockRatio,Q44, vmwFinalPrice,Reference!$B$3, (1 - stockRatio) * vmwFinalPrice * numVmwShares),0)</f>
        <v>0</v>
      </c>
      <c r="V44" s="319">
        <f>iferror(LET(numVmwShares,$D44, stockRatio,R44, vmwFinalPrice,Reference!$B$3, (1 - stockRatio) * vmwFinalPrice * numVmwShares),0)</f>
        <v>0</v>
      </c>
      <c r="W44" s="319">
        <f>SWITCH(Reference!$E$4,"eTradeTransactionLog", T44, "eTradeHoldingRatio",T44, "eTradeLotQtyRatio",U44,"manualLotRatio",V44)</f>
        <v>0</v>
      </c>
      <c r="X44" s="309">
        <f>LET(purchaseDate,C44, dateOfRecord,Reference!$B$26, returnOfCapital,Reference!$C$26, IF(purchaseDate &lt; dateOfRecord, returnOfCapital,0))</f>
        <v>10.18</v>
      </c>
      <c r="Y44" s="309">
        <f>LET(purchaseDate,C44, dateOfRecord,Reference!$B$27, returnOfCapital,Reference!$C$27, IF(purchaseDate &lt; dateOfRecord, returnOfCapital,0))</f>
        <v>16.58</v>
      </c>
      <c r="Z44" s="309">
        <f t="shared" si="9"/>
        <v>-26.76</v>
      </c>
      <c r="AA44" s="309">
        <f t="shared" si="10"/>
        <v>0</v>
      </c>
      <c r="AB44" s="320">
        <f>LET(numVmwShares,D44, stockRatio,Reference!$B$5, vmwToAvgoRatio,Reference!$B$6, numVmwShares * stockRatio * vmwToAvgoRatio)</f>
        <v>0</v>
      </c>
      <c r="AC44" s="320">
        <f>LET(numVmwShares,D44, stockRatio,Q44, vmwToAvgoRatio,Reference!$B$6, numVmwShares * stockRatio * vmwToAvgoRatio)</f>
        <v>0</v>
      </c>
      <c r="AD44" s="320" t="str">
        <f>LET(numVmwShares,D44, stockRatio,R44, vmwToAvgoRatio,Reference!$B$6, numVmwShares * stockRatio * vmwToAvgoRatio)</f>
        <v>#DIV/0!</v>
      </c>
      <c r="AE44" s="320">
        <f>SWITCH(Reference!$E$4, "eTradeTransactionLog", AB44, "eTradeHoldingRatio",AB44, "eTradeLotQtyRatio",AC44,"manualLotRatio",AD44)</f>
        <v>0</v>
      </c>
      <c r="AF44" s="321">
        <f>LET(numVmwShares,D44, vmwBasis,Z44, avgoQty,AE44, avgoFMV,Reference!$B$18, cashReceived,W44, gain,cashReceived+(avgoQty*avgoFMV)-(numVmwShares*vmwBasis),
MAX(gain,0))</f>
        <v>0</v>
      </c>
      <c r="AG44" s="322">
        <f>LET(useForFraction,J44, fractionAmount,Summary!$C$41, esppFractionLots,ESPP!$N$5, rsuFractionLots,RSU!J$5, IF(useForFraction, fractionAmount / (esppFractionLots+rsuFractionLots), 0))</f>
        <v>0</v>
      </c>
      <c r="AH44" s="411">
        <f>LET(useForFraction,J44, fractionSaleFMV,Reference!$B$23, postMergerBasis,AT44, lotFractionAmount,AG44, IF(useForFraction, (fractionSaleFMV - postMergerBasis)*lotFractionAmount, 0))</f>
        <v>0</v>
      </c>
      <c r="AI44" s="412">
        <f t="shared" si="11"/>
        <v>0</v>
      </c>
      <c r="AJ44" s="413">
        <f>LET(
purchaseDate,C44,
mergerDate,Reference!$B$28,
lotFractionGain,AH44,
mergerGain,AI44,
IF(DATEDIF(purchaseDate,mergerDate,"Y")&gt;=1,
  0,
  lotFractionGain + mergerGain
))</f>
        <v>0</v>
      </c>
      <c r="AK44" s="413">
        <f>LET(
purchaseDate,C44,
mergerDate,Reference!$B$28,
lotFractionGain,AH44,
mergerGain,AI44,
IF(DATEDIF(purchaseDate,mergerDate,"Y")&gt;=1,
  lotFractionGain+mergerGain,
  0
))</f>
        <v>0</v>
      </c>
      <c r="AL44" s="414" t="str">
        <f>IF(DATEDIF(C44,Reference!$B$28,"Y")&gt;=1,"Part II Box E","Part I Box B")</f>
        <v>Part II Box E</v>
      </c>
      <c r="AM44" s="344" t="str">
        <f t="shared" si="12"/>
        <v/>
      </c>
      <c r="AN44" s="330">
        <f t="shared" si="13"/>
        <v>0</v>
      </c>
      <c r="AO44" s="330">
        <f>LET(
cashReceived,W44, 
avgoQty,AE44, 
proceedsStyle,Reference!$E$9, 
avgoFMV,Reference!$B$18, 
SWITCH(proceedsStyle, "combined", cashReceived +(avgoQty*avgoFMV), "cashOnly", cashReceived))</f>
        <v>0</v>
      </c>
      <c r="AP44" s="345">
        <f>LET(
proceedsStyle,Reference!$E$9,
proceeds,AO44,
gain,AS44,
numVmwShares,D44, 
vmwBasis, Z44, 
avgoQty,AE44, 
avgoFMV,Reference!$B$18, 
cashReceived,W44, 
avgoTotalValue, avgoFMV*avgoQty, 
vmwTotalBasis, vmwBasis*numVmwShares,
alternateGainAmount,AF44, 
SWITCH(proceedsStyle,
  "cashOnly",
    proceeds - gain,
  "combined",
    IF(cashReceived&lt;alternateGainAmount,
      avgoTotalValue,
      vmwTotalBasis
    )
  )
)</f>
        <v>0</v>
      </c>
      <c r="AQ44" s="345" t="str">
        <f t="shared" si="14"/>
        <v/>
      </c>
      <c r="AR44" s="345">
        <v>0.0</v>
      </c>
      <c r="AS44" s="331">
        <f>LET(
proceedsStyle,Reference!$E$9,
proceeds,AO44,
basis1099B,AP44,
adjustment,AR44,
mergerGain,AI44,
SWITCH(proceedsStyle,
  "cashOnly",
    mergerGain,
  "combined",
    MAX(proceeds - basis1099B + adjustment, 0)
))</f>
        <v>0</v>
      </c>
      <c r="AT44" s="415" t="str">
        <f t="shared" si="15"/>
        <v>n/a</v>
      </c>
      <c r="AU44" s="333">
        <f>LET(saleFMV,Reference!$B$10, postMergerBasis,AT44, avgoQty,AE44, lotFractionAmount,AG44, iferror((saleFMV - postMergerBasis) * (avgoQty - lotFractionAmount), 0))</f>
        <v>0</v>
      </c>
      <c r="AV44" s="333">
        <f>LET(
avgoQty,AE44, 
purchaseDate,C44,
postMergerSaleDate,Reference!$B$29,
saleFMV,Reference!$B$10,
postMergerBasis,AT44, 
IFERROR(IF(DATEDIF(purchaseDate,postMergerSaleDate,"Y")&gt;=1,
  0,
  avgoQty * (saleFMV - postMergerBasis)
),0))</f>
        <v>0</v>
      </c>
      <c r="AW44" s="336">
        <f>LET(
avgoQty,AE44, 
purchaseDate,C44,
postMergerSaleDate,Reference!$B$29,
saleFMV,Reference!$B$10,
postMergerBasis,AT44, 
IFERROR(IF(DATEDIF(purchaseDate,postMergerSaleDate,"Y")&gt;=1,
  avgoQty * (saleFMV - postMergerBasis),
  0
),0))</f>
        <v>0</v>
      </c>
      <c r="AX44" s="337"/>
    </row>
    <row r="45">
      <c r="A45" s="405"/>
      <c r="B45" s="420"/>
      <c r="C45" s="307"/>
      <c r="D45" s="338"/>
      <c r="E45" s="321" t="str">
        <f t="array" ref="E45">IF(C45&lt;&gt;"", IFERROR(VLOOKUP(C45, SORT(PriceReference!$A$1:$B1014), 2, TRUE), "price unavailable"), "")</f>
        <v/>
      </c>
      <c r="F45" s="416"/>
      <c r="G45" s="309">
        <f t="shared" si="6"/>
        <v>0</v>
      </c>
      <c r="H45" s="321">
        <f t="shared" si="7"/>
        <v>0</v>
      </c>
      <c r="I45" s="417"/>
      <c r="J45" s="348" t="b">
        <v>0</v>
      </c>
      <c r="K45" s="409"/>
      <c r="L45" s="315">
        <v>0.0</v>
      </c>
      <c r="M45" s="315">
        <v>0.0</v>
      </c>
      <c r="N45" s="315">
        <v>0.0</v>
      </c>
      <c r="O45" s="315">
        <v>0.0</v>
      </c>
      <c r="P45" s="315">
        <v>0.0</v>
      </c>
      <c r="Q45" s="317">
        <f t="shared" si="8"/>
        <v>0</v>
      </c>
      <c r="R45" s="317" t="str">
        <f>SWITCH(S45,"cash",Reference!E$5,"shares",Reference!$E$6,"balance",Reference!$E$7,"pro-rata",Reference!$B$5)</f>
        <v>#DIV/0!</v>
      </c>
      <c r="S45" s="318" t="s">
        <v>207</v>
      </c>
      <c r="T45" s="319">
        <f>LET(numVmwShares,D45, cashRatio,Reference!$B$4, vmwFinalPrice,Reference!$B$3, numVmwShares * cashRatio * vmwFinalPrice)</f>
        <v>0</v>
      </c>
      <c r="U45" s="319">
        <f>iferror(LET(numVmwShares,$D45, stockRatio,Q45, vmwFinalPrice,Reference!$B$3, (1 - stockRatio) * vmwFinalPrice * numVmwShares),0)</f>
        <v>0</v>
      </c>
      <c r="V45" s="319">
        <f>iferror(LET(numVmwShares,$D45, stockRatio,R45, vmwFinalPrice,Reference!$B$3, (1 - stockRatio) * vmwFinalPrice * numVmwShares),0)</f>
        <v>0</v>
      </c>
      <c r="W45" s="319">
        <f>SWITCH(Reference!$E$4,"eTradeTransactionLog", T45, "eTradeHoldingRatio",T45, "eTradeLotQtyRatio",U45,"manualLotRatio",V45)</f>
        <v>0</v>
      </c>
      <c r="X45" s="309">
        <f>LET(purchaseDate,C45, dateOfRecord,Reference!$B$26, returnOfCapital,Reference!$C$26, IF(purchaseDate &lt; dateOfRecord, returnOfCapital,0))</f>
        <v>10.18</v>
      </c>
      <c r="Y45" s="309">
        <f>LET(purchaseDate,C45, dateOfRecord,Reference!$B$27, returnOfCapital,Reference!$C$27, IF(purchaseDate &lt; dateOfRecord, returnOfCapital,0))</f>
        <v>16.58</v>
      </c>
      <c r="Z45" s="309">
        <f t="shared" si="9"/>
        <v>-26.76</v>
      </c>
      <c r="AA45" s="309">
        <f t="shared" si="10"/>
        <v>0</v>
      </c>
      <c r="AB45" s="320">
        <f>LET(numVmwShares,D45, stockRatio,Reference!$B$5, vmwToAvgoRatio,Reference!$B$6, numVmwShares * stockRatio * vmwToAvgoRatio)</f>
        <v>0</v>
      </c>
      <c r="AC45" s="320">
        <f>LET(numVmwShares,D45, stockRatio,Q45, vmwToAvgoRatio,Reference!$B$6, numVmwShares * stockRatio * vmwToAvgoRatio)</f>
        <v>0</v>
      </c>
      <c r="AD45" s="320" t="str">
        <f>LET(numVmwShares,D45, stockRatio,R45, vmwToAvgoRatio,Reference!$B$6, numVmwShares * stockRatio * vmwToAvgoRatio)</f>
        <v>#DIV/0!</v>
      </c>
      <c r="AE45" s="320">
        <f>SWITCH(Reference!$E$4, "eTradeTransactionLog", AB45, "eTradeHoldingRatio",AB45, "eTradeLotQtyRatio",AC45,"manualLotRatio",AD45)</f>
        <v>0</v>
      </c>
      <c r="AF45" s="321">
        <f>LET(numVmwShares,D45, vmwBasis,Z45, avgoQty,AE45, avgoFMV,Reference!$B$18, cashReceived,W45, gain,cashReceived+(avgoQty*avgoFMV)-(numVmwShares*vmwBasis),
MAX(gain,0))</f>
        <v>0</v>
      </c>
      <c r="AG45" s="322">
        <f>LET(useForFraction,J45, fractionAmount,Summary!$C$41, esppFractionLots,ESPP!$N$5, rsuFractionLots,RSU!J$5, IF(useForFraction, fractionAmount / (esppFractionLots+rsuFractionLots), 0))</f>
        <v>0</v>
      </c>
      <c r="AH45" s="411">
        <f>LET(useForFraction,J45, fractionSaleFMV,Reference!$B$23, postMergerBasis,AT45, lotFractionAmount,AG45, IF(useForFraction, (fractionSaleFMV - postMergerBasis)*lotFractionAmount, 0))</f>
        <v>0</v>
      </c>
      <c r="AI45" s="412">
        <f t="shared" si="11"/>
        <v>0</v>
      </c>
      <c r="AJ45" s="413">
        <f>LET(
purchaseDate,C45,
mergerDate,Reference!$B$28,
lotFractionGain,AH45,
mergerGain,AI45,
IF(DATEDIF(purchaseDate,mergerDate,"Y")&gt;=1,
  0,
  lotFractionGain + mergerGain
))</f>
        <v>0</v>
      </c>
      <c r="AK45" s="413">
        <f>LET(
purchaseDate,C45,
mergerDate,Reference!$B$28,
lotFractionGain,AH45,
mergerGain,AI45,
IF(DATEDIF(purchaseDate,mergerDate,"Y")&gt;=1,
  lotFractionGain+mergerGain,
  0
))</f>
        <v>0</v>
      </c>
      <c r="AL45" s="414" t="str">
        <f>IF(DATEDIF(C45,Reference!$B$28,"Y")&gt;=1,"Part II Box E","Part I Box B")</f>
        <v>Part II Box E</v>
      </c>
      <c r="AM45" s="344" t="str">
        <f t="shared" si="12"/>
        <v/>
      </c>
      <c r="AN45" s="330">
        <f t="shared" si="13"/>
        <v>0</v>
      </c>
      <c r="AO45" s="330">
        <f>LET(
cashReceived,W45, 
avgoQty,AE45, 
proceedsStyle,Reference!$E$9, 
avgoFMV,Reference!$B$18, 
SWITCH(proceedsStyle, "combined", cashReceived +(avgoQty*avgoFMV), "cashOnly", cashReceived))</f>
        <v>0</v>
      </c>
      <c r="AP45" s="345">
        <f>LET(
proceedsStyle,Reference!$E$9,
proceeds,AO45,
gain,AS45,
numVmwShares,D45, 
vmwBasis, Z45, 
avgoQty,AE45, 
avgoFMV,Reference!$B$18, 
cashReceived,W45, 
avgoTotalValue, avgoFMV*avgoQty, 
vmwTotalBasis, vmwBasis*numVmwShares,
alternateGainAmount,AF45, 
SWITCH(proceedsStyle,
  "cashOnly",
    proceeds - gain,
  "combined",
    IF(cashReceived&lt;alternateGainAmount,
      avgoTotalValue,
      vmwTotalBasis
    )
  )
)</f>
        <v>0</v>
      </c>
      <c r="AQ45" s="345" t="str">
        <f t="shared" si="14"/>
        <v/>
      </c>
      <c r="AR45" s="345">
        <v>0.0</v>
      </c>
      <c r="AS45" s="331">
        <f>LET(
proceedsStyle,Reference!$E$9,
proceeds,AO45,
basis1099B,AP45,
adjustment,AR45,
mergerGain,AI45,
SWITCH(proceedsStyle,
  "cashOnly",
    mergerGain,
  "combined",
    MAX(proceeds - basis1099B + adjustment, 0)
))</f>
        <v>0</v>
      </c>
      <c r="AT45" s="415" t="str">
        <f t="shared" si="15"/>
        <v>n/a</v>
      </c>
      <c r="AU45" s="333">
        <f>LET(saleFMV,Reference!$B$10, postMergerBasis,AT45, avgoQty,AE45, lotFractionAmount,AG45, iferror((saleFMV - postMergerBasis) * (avgoQty - lotFractionAmount), 0))</f>
        <v>0</v>
      </c>
      <c r="AV45" s="333">
        <f>LET(
avgoQty,AE45, 
purchaseDate,C45,
postMergerSaleDate,Reference!$B$29,
saleFMV,Reference!$B$10,
postMergerBasis,AT45, 
IFERROR(IF(DATEDIF(purchaseDate,postMergerSaleDate,"Y")&gt;=1,
  0,
  avgoQty * (saleFMV - postMergerBasis)
),0))</f>
        <v>0</v>
      </c>
      <c r="AW45" s="336">
        <f>LET(
avgoQty,AE45, 
purchaseDate,C45,
postMergerSaleDate,Reference!$B$29,
saleFMV,Reference!$B$10,
postMergerBasis,AT45, 
IFERROR(IF(DATEDIF(purchaseDate,postMergerSaleDate,"Y")&gt;=1,
  avgoQty * (saleFMV - postMergerBasis),
  0
),0))</f>
        <v>0</v>
      </c>
      <c r="AX45" s="337"/>
    </row>
    <row r="46">
      <c r="A46" s="405"/>
      <c r="B46" s="406"/>
      <c r="C46" s="307"/>
      <c r="D46" s="338"/>
      <c r="E46" s="321" t="str">
        <f t="array" ref="E46">IF(C46&lt;&gt;"", IFERROR(VLOOKUP(C46, SORT(PriceReference!$A$1:$B1014), 2, TRUE), "price unavailable"), "")</f>
        <v/>
      </c>
      <c r="F46" s="416"/>
      <c r="G46" s="309">
        <f t="shared" si="6"/>
        <v>0</v>
      </c>
      <c r="H46" s="321">
        <f t="shared" si="7"/>
        <v>0</v>
      </c>
      <c r="I46" s="417"/>
      <c r="J46" s="348" t="b">
        <v>0</v>
      </c>
      <c r="K46" s="409"/>
      <c r="L46" s="315">
        <v>0.0</v>
      </c>
      <c r="M46" s="315">
        <v>0.0</v>
      </c>
      <c r="N46" s="315">
        <v>0.0</v>
      </c>
      <c r="O46" s="315">
        <v>0.0</v>
      </c>
      <c r="P46" s="315">
        <v>0.0</v>
      </c>
      <c r="Q46" s="317">
        <f t="shared" si="8"/>
        <v>0</v>
      </c>
      <c r="R46" s="317" t="str">
        <f>SWITCH(S46,"cash",Reference!E$5,"shares",Reference!$E$6,"balance",Reference!$E$7,"pro-rata",Reference!$B$5)</f>
        <v>#DIV/0!</v>
      </c>
      <c r="S46" s="318" t="s">
        <v>207</v>
      </c>
      <c r="T46" s="319">
        <f>LET(numVmwShares,D46, cashRatio,Reference!$B$4, vmwFinalPrice,Reference!$B$3, numVmwShares * cashRatio * vmwFinalPrice)</f>
        <v>0</v>
      </c>
      <c r="U46" s="319">
        <f>iferror(LET(numVmwShares,$D46, stockRatio,Q46, vmwFinalPrice,Reference!$B$3, (1 - stockRatio) * vmwFinalPrice * numVmwShares),0)</f>
        <v>0</v>
      </c>
      <c r="V46" s="319">
        <f>iferror(LET(numVmwShares,$D46, stockRatio,R46, vmwFinalPrice,Reference!$B$3, (1 - stockRatio) * vmwFinalPrice * numVmwShares),0)</f>
        <v>0</v>
      </c>
      <c r="W46" s="319">
        <f>SWITCH(Reference!$E$4,"eTradeTransactionLog", T46, "eTradeHoldingRatio",T46, "eTradeLotQtyRatio",U46,"manualLotRatio",V46)</f>
        <v>0</v>
      </c>
      <c r="X46" s="309">
        <f>LET(purchaseDate,C46, dateOfRecord,Reference!$B$26, returnOfCapital,Reference!$C$26, IF(purchaseDate &lt; dateOfRecord, returnOfCapital,0))</f>
        <v>10.18</v>
      </c>
      <c r="Y46" s="309">
        <f>LET(purchaseDate,C46, dateOfRecord,Reference!$B$27, returnOfCapital,Reference!$C$27, IF(purchaseDate &lt; dateOfRecord, returnOfCapital,0))</f>
        <v>16.58</v>
      </c>
      <c r="Z46" s="309">
        <f t="shared" si="9"/>
        <v>-26.76</v>
      </c>
      <c r="AA46" s="309">
        <f t="shared" si="10"/>
        <v>0</v>
      </c>
      <c r="AB46" s="320">
        <f>LET(numVmwShares,D46, stockRatio,Reference!$B$5, vmwToAvgoRatio,Reference!$B$6, numVmwShares * stockRatio * vmwToAvgoRatio)</f>
        <v>0</v>
      </c>
      <c r="AC46" s="320">
        <f>LET(numVmwShares,D46, stockRatio,Q46, vmwToAvgoRatio,Reference!$B$6, numVmwShares * stockRatio * vmwToAvgoRatio)</f>
        <v>0</v>
      </c>
      <c r="AD46" s="320" t="str">
        <f>LET(numVmwShares,D46, stockRatio,R46, vmwToAvgoRatio,Reference!$B$6, numVmwShares * stockRatio * vmwToAvgoRatio)</f>
        <v>#DIV/0!</v>
      </c>
      <c r="AE46" s="320">
        <f>SWITCH(Reference!$E$4, "eTradeTransactionLog", AB46, "eTradeHoldingRatio",AB46, "eTradeLotQtyRatio",AC46,"manualLotRatio",AD46)</f>
        <v>0</v>
      </c>
      <c r="AF46" s="321">
        <f>LET(numVmwShares,D46, vmwBasis,Z46, avgoQty,AE46, avgoFMV,Reference!$B$18, cashReceived,W46, gain,cashReceived+(avgoQty*avgoFMV)-(numVmwShares*vmwBasis),
MAX(gain,0))</f>
        <v>0</v>
      </c>
      <c r="AG46" s="322">
        <f>LET(useForFraction,J46, fractionAmount,Summary!$C$41, esppFractionLots,ESPP!$N$5, rsuFractionLots,RSU!J$5, IF(useForFraction, fractionAmount / (esppFractionLots+rsuFractionLots), 0))</f>
        <v>0</v>
      </c>
      <c r="AH46" s="411">
        <f>LET(useForFraction,J46, fractionSaleFMV,Reference!$B$23, postMergerBasis,AT46, lotFractionAmount,AG46, IF(useForFraction, (fractionSaleFMV - postMergerBasis)*lotFractionAmount, 0))</f>
        <v>0</v>
      </c>
      <c r="AI46" s="412">
        <f t="shared" si="11"/>
        <v>0</v>
      </c>
      <c r="AJ46" s="413">
        <f>LET(
purchaseDate,C46,
mergerDate,Reference!$B$28,
lotFractionGain,AH46,
mergerGain,AI46,
IF(DATEDIF(purchaseDate,mergerDate,"Y")&gt;=1,
  0,
  lotFractionGain + mergerGain
))</f>
        <v>0</v>
      </c>
      <c r="AK46" s="413">
        <f>LET(
purchaseDate,C46,
mergerDate,Reference!$B$28,
lotFractionGain,AH46,
mergerGain,AI46,
IF(DATEDIF(purchaseDate,mergerDate,"Y")&gt;=1,
  lotFractionGain+mergerGain,
  0
))</f>
        <v>0</v>
      </c>
      <c r="AL46" s="414" t="str">
        <f>IF(DATEDIF(C46,Reference!$B$28,"Y")&gt;=1,"Part II Box E","Part I Box B")</f>
        <v>Part II Box E</v>
      </c>
      <c r="AM46" s="344" t="str">
        <f t="shared" si="12"/>
        <v/>
      </c>
      <c r="AN46" s="330">
        <f t="shared" si="13"/>
        <v>0</v>
      </c>
      <c r="AO46" s="330">
        <f>LET(
cashReceived,W46, 
avgoQty,AE46, 
proceedsStyle,Reference!$E$9, 
avgoFMV,Reference!$B$18, 
SWITCH(proceedsStyle, "combined", cashReceived +(avgoQty*avgoFMV), "cashOnly", cashReceived))</f>
        <v>0</v>
      </c>
      <c r="AP46" s="345">
        <f>LET(
proceedsStyle,Reference!$E$9,
proceeds,AO46,
gain,AS46,
numVmwShares,D46, 
vmwBasis, Z46, 
avgoQty,AE46, 
avgoFMV,Reference!$B$18, 
cashReceived,W46, 
avgoTotalValue, avgoFMV*avgoQty, 
vmwTotalBasis, vmwBasis*numVmwShares,
alternateGainAmount,AF46, 
SWITCH(proceedsStyle,
  "cashOnly",
    proceeds - gain,
  "combined",
    IF(cashReceived&lt;alternateGainAmount,
      avgoTotalValue,
      vmwTotalBasis
    )
  )
)</f>
        <v>0</v>
      </c>
      <c r="AQ46" s="345" t="str">
        <f t="shared" si="14"/>
        <v/>
      </c>
      <c r="AR46" s="345">
        <v>0.0</v>
      </c>
      <c r="AS46" s="331">
        <f>LET(
proceedsStyle,Reference!$E$9,
proceeds,AO46,
basis1099B,AP46,
adjustment,AR46,
mergerGain,AI46,
SWITCH(proceedsStyle,
  "cashOnly",
    mergerGain,
  "combined",
    MAX(proceeds - basis1099B + adjustment, 0)
))</f>
        <v>0</v>
      </c>
      <c r="AT46" s="415" t="str">
        <f t="shared" si="15"/>
        <v>n/a</v>
      </c>
      <c r="AU46" s="333">
        <f>LET(saleFMV,Reference!$B$10, postMergerBasis,AT46, avgoQty,AE46, lotFractionAmount,AG46, iferror((saleFMV - postMergerBasis) * (avgoQty - lotFractionAmount), 0))</f>
        <v>0</v>
      </c>
      <c r="AV46" s="333">
        <f>LET(
avgoQty,AE46, 
purchaseDate,C46,
postMergerSaleDate,Reference!$B$29,
saleFMV,Reference!$B$10,
postMergerBasis,AT46, 
IFERROR(IF(DATEDIF(purchaseDate,postMergerSaleDate,"Y")&gt;=1,
  0,
  avgoQty * (saleFMV - postMergerBasis)
),0))</f>
        <v>0</v>
      </c>
      <c r="AW46" s="336">
        <f>LET(
avgoQty,AE46, 
purchaseDate,C46,
postMergerSaleDate,Reference!$B$29,
saleFMV,Reference!$B$10,
postMergerBasis,AT46, 
IFERROR(IF(DATEDIF(purchaseDate,postMergerSaleDate,"Y")&gt;=1,
  avgoQty * (saleFMV - postMergerBasis),
  0
),0))</f>
        <v>0</v>
      </c>
      <c r="AX46" s="337"/>
    </row>
    <row r="47">
      <c r="A47" s="405"/>
      <c r="B47" s="406"/>
      <c r="C47" s="307"/>
      <c r="D47" s="338"/>
      <c r="E47" s="321" t="str">
        <f t="array" ref="E47">IF(C47&lt;&gt;"", IFERROR(VLOOKUP(C47, SORT(PriceReference!$A$1:$B1014), 2, TRUE), "price unavailable"), "")</f>
        <v/>
      </c>
      <c r="F47" s="416"/>
      <c r="G47" s="309">
        <f t="shared" si="6"/>
        <v>0</v>
      </c>
      <c r="H47" s="321">
        <f t="shared" si="7"/>
        <v>0</v>
      </c>
      <c r="I47" s="419"/>
      <c r="J47" s="348" t="b">
        <v>0</v>
      </c>
      <c r="K47" s="409"/>
      <c r="L47" s="315">
        <v>0.0</v>
      </c>
      <c r="M47" s="315">
        <v>0.0</v>
      </c>
      <c r="N47" s="315">
        <v>0.0</v>
      </c>
      <c r="O47" s="315">
        <v>0.0</v>
      </c>
      <c r="P47" s="315">
        <v>0.0</v>
      </c>
      <c r="Q47" s="317">
        <f t="shared" si="8"/>
        <v>0</v>
      </c>
      <c r="R47" s="317" t="str">
        <f>SWITCH(S47,"cash",Reference!E$5,"shares",Reference!$E$6,"balance",Reference!$E$7,"pro-rata",Reference!$B$5)</f>
        <v>#DIV/0!</v>
      </c>
      <c r="S47" s="318" t="s">
        <v>207</v>
      </c>
      <c r="T47" s="319">
        <f>LET(numVmwShares,D47, cashRatio,Reference!$B$4, vmwFinalPrice,Reference!$B$3, numVmwShares * cashRatio * vmwFinalPrice)</f>
        <v>0</v>
      </c>
      <c r="U47" s="319">
        <f>iferror(LET(numVmwShares,$D47, stockRatio,Q47, vmwFinalPrice,Reference!$B$3, (1 - stockRatio) * vmwFinalPrice * numVmwShares),0)</f>
        <v>0</v>
      </c>
      <c r="V47" s="319">
        <f>iferror(LET(numVmwShares,$D47, stockRatio,R47, vmwFinalPrice,Reference!$B$3, (1 - stockRatio) * vmwFinalPrice * numVmwShares),0)</f>
        <v>0</v>
      </c>
      <c r="W47" s="319">
        <f>SWITCH(Reference!$E$4,"eTradeTransactionLog", T47, "eTradeHoldingRatio",T47, "eTradeLotQtyRatio",U47,"manualLotRatio",V47)</f>
        <v>0</v>
      </c>
      <c r="X47" s="309">
        <f>LET(purchaseDate,C47, dateOfRecord,Reference!$B$26, returnOfCapital,Reference!$C$26, IF(purchaseDate &lt; dateOfRecord, returnOfCapital,0))</f>
        <v>10.18</v>
      </c>
      <c r="Y47" s="309">
        <f>LET(purchaseDate,C47, dateOfRecord,Reference!$B$27, returnOfCapital,Reference!$C$27, IF(purchaseDate &lt; dateOfRecord, returnOfCapital,0))</f>
        <v>16.58</v>
      </c>
      <c r="Z47" s="309">
        <f t="shared" si="9"/>
        <v>-26.76</v>
      </c>
      <c r="AA47" s="309">
        <f t="shared" si="10"/>
        <v>0</v>
      </c>
      <c r="AB47" s="320">
        <f>LET(numVmwShares,D47, stockRatio,Reference!$B$5, vmwToAvgoRatio,Reference!$B$6, numVmwShares * stockRatio * vmwToAvgoRatio)</f>
        <v>0</v>
      </c>
      <c r="AC47" s="320">
        <f>LET(numVmwShares,D47, stockRatio,Q47, vmwToAvgoRatio,Reference!$B$6, numVmwShares * stockRatio * vmwToAvgoRatio)</f>
        <v>0</v>
      </c>
      <c r="AD47" s="320" t="str">
        <f>LET(numVmwShares,D47, stockRatio,R47, vmwToAvgoRatio,Reference!$B$6, numVmwShares * stockRatio * vmwToAvgoRatio)</f>
        <v>#DIV/0!</v>
      </c>
      <c r="AE47" s="320">
        <f>SWITCH(Reference!$E$4, "eTradeTransactionLog", AB47, "eTradeHoldingRatio",AB47, "eTradeLotQtyRatio",AC47,"manualLotRatio",AD47)</f>
        <v>0</v>
      </c>
      <c r="AF47" s="321">
        <f>LET(numVmwShares,D47, vmwBasis,Z47, avgoQty,AE47, avgoFMV,Reference!$B$18, cashReceived,W47, gain,cashReceived+(avgoQty*avgoFMV)-(numVmwShares*vmwBasis),
MAX(gain,0))</f>
        <v>0</v>
      </c>
      <c r="AG47" s="322">
        <f>LET(useForFraction,J47, fractionAmount,Summary!$C$41, esppFractionLots,ESPP!$N$5, rsuFractionLots,RSU!J$5, IF(useForFraction, fractionAmount / (esppFractionLots+rsuFractionLots), 0))</f>
        <v>0</v>
      </c>
      <c r="AH47" s="411">
        <f>LET(useForFraction,J47, fractionSaleFMV,Reference!$B$23, postMergerBasis,AT47, lotFractionAmount,AG47, IF(useForFraction, (fractionSaleFMV - postMergerBasis)*lotFractionAmount, 0))</f>
        <v>0</v>
      </c>
      <c r="AI47" s="412">
        <f t="shared" si="11"/>
        <v>0</v>
      </c>
      <c r="AJ47" s="413">
        <f>LET(
purchaseDate,C47,
mergerDate,Reference!$B$28,
lotFractionGain,AH47,
mergerGain,AI47,
IF(DATEDIF(purchaseDate,mergerDate,"Y")&gt;=1,
  0,
  lotFractionGain + mergerGain
))</f>
        <v>0</v>
      </c>
      <c r="AK47" s="413">
        <f>LET(
purchaseDate,C47,
mergerDate,Reference!$B$28,
lotFractionGain,AH47,
mergerGain,AI47,
IF(DATEDIF(purchaseDate,mergerDate,"Y")&gt;=1,
  lotFractionGain+mergerGain,
  0
))</f>
        <v>0</v>
      </c>
      <c r="AL47" s="414" t="str">
        <f>IF(DATEDIF(C47,Reference!$B$28,"Y")&gt;=1,"Part II Box E","Part I Box B")</f>
        <v>Part II Box E</v>
      </c>
      <c r="AM47" s="344" t="str">
        <f t="shared" si="12"/>
        <v/>
      </c>
      <c r="AN47" s="330">
        <f t="shared" si="13"/>
        <v>0</v>
      </c>
      <c r="AO47" s="330">
        <f>LET(
cashReceived,W47, 
avgoQty,AE47, 
proceedsStyle,Reference!$E$9, 
avgoFMV,Reference!$B$18, 
SWITCH(proceedsStyle, "combined", cashReceived +(avgoQty*avgoFMV), "cashOnly", cashReceived))</f>
        <v>0</v>
      </c>
      <c r="AP47" s="345">
        <f>LET(
proceedsStyle,Reference!$E$9,
proceeds,AO47,
gain,AS47,
numVmwShares,D47, 
vmwBasis, Z47, 
avgoQty,AE47, 
avgoFMV,Reference!$B$18, 
cashReceived,W47, 
avgoTotalValue, avgoFMV*avgoQty, 
vmwTotalBasis, vmwBasis*numVmwShares,
alternateGainAmount,AF47, 
SWITCH(proceedsStyle,
  "cashOnly",
    proceeds - gain,
  "combined",
    IF(cashReceived&lt;alternateGainAmount,
      avgoTotalValue,
      vmwTotalBasis
    )
  )
)</f>
        <v>0</v>
      </c>
      <c r="AQ47" s="345" t="str">
        <f t="shared" si="14"/>
        <v/>
      </c>
      <c r="AR47" s="345">
        <v>0.0</v>
      </c>
      <c r="AS47" s="331">
        <f>LET(
proceedsStyle,Reference!$E$9,
proceeds,AO47,
basis1099B,AP47,
adjustment,AR47,
mergerGain,AI47,
SWITCH(proceedsStyle,
  "cashOnly",
    mergerGain,
  "combined",
    MAX(proceeds - basis1099B + adjustment, 0)
))</f>
        <v>0</v>
      </c>
      <c r="AT47" s="415" t="str">
        <f t="shared" si="15"/>
        <v>n/a</v>
      </c>
      <c r="AU47" s="333">
        <f>LET(saleFMV,Reference!$B$10, postMergerBasis,AT47, avgoQty,AE47, lotFractionAmount,AG47, iferror((saleFMV - postMergerBasis) * (avgoQty - lotFractionAmount), 0))</f>
        <v>0</v>
      </c>
      <c r="AV47" s="333">
        <f>LET(
avgoQty,AE47, 
purchaseDate,C47,
postMergerSaleDate,Reference!$B$29,
saleFMV,Reference!$B$10,
postMergerBasis,AT47, 
IFERROR(IF(DATEDIF(purchaseDate,postMergerSaleDate,"Y")&gt;=1,
  0,
  avgoQty * (saleFMV - postMergerBasis)
),0))</f>
        <v>0</v>
      </c>
      <c r="AW47" s="336">
        <f>LET(
avgoQty,AE47, 
purchaseDate,C47,
postMergerSaleDate,Reference!$B$29,
saleFMV,Reference!$B$10,
postMergerBasis,AT47, 
IFERROR(IF(DATEDIF(purchaseDate,postMergerSaleDate,"Y")&gt;=1,
  avgoQty * (saleFMV - postMergerBasis),
  0
),0))</f>
        <v>0</v>
      </c>
      <c r="AX47" s="337"/>
    </row>
    <row r="48">
      <c r="A48" s="405"/>
      <c r="B48" s="406"/>
      <c r="C48" s="307"/>
      <c r="D48" s="338"/>
      <c r="E48" s="321" t="str">
        <f t="array" ref="E48">IF(C48&lt;&gt;"", IFERROR(VLOOKUP(C48, SORT(PriceReference!$A$1:$B1014), 2, TRUE), "price unavailable"), "")</f>
        <v/>
      </c>
      <c r="F48" s="416"/>
      <c r="G48" s="309">
        <f t="shared" si="6"/>
        <v>0</v>
      </c>
      <c r="H48" s="321">
        <f t="shared" si="7"/>
        <v>0</v>
      </c>
      <c r="I48" s="417"/>
      <c r="J48" s="348" t="b">
        <v>0</v>
      </c>
      <c r="K48" s="409"/>
      <c r="L48" s="315">
        <v>0.0</v>
      </c>
      <c r="M48" s="315">
        <v>0.0</v>
      </c>
      <c r="N48" s="315">
        <v>0.0</v>
      </c>
      <c r="O48" s="315">
        <v>0.0</v>
      </c>
      <c r="P48" s="315">
        <v>0.0</v>
      </c>
      <c r="Q48" s="317">
        <f t="shared" si="8"/>
        <v>0</v>
      </c>
      <c r="R48" s="317" t="str">
        <f>SWITCH(S48,"cash",Reference!E$5,"shares",Reference!$E$6,"balance",Reference!$E$7,"pro-rata",Reference!$B$5)</f>
        <v>#DIV/0!</v>
      </c>
      <c r="S48" s="318" t="s">
        <v>207</v>
      </c>
      <c r="T48" s="319">
        <f>LET(numVmwShares,D48, cashRatio,Reference!$B$4, vmwFinalPrice,Reference!$B$3, numVmwShares * cashRatio * vmwFinalPrice)</f>
        <v>0</v>
      </c>
      <c r="U48" s="319">
        <f>iferror(LET(numVmwShares,$D48, stockRatio,Q48, vmwFinalPrice,Reference!$B$3, (1 - stockRatio) * vmwFinalPrice * numVmwShares),0)</f>
        <v>0</v>
      </c>
      <c r="V48" s="319">
        <f>iferror(LET(numVmwShares,$D48, stockRatio,R48, vmwFinalPrice,Reference!$B$3, (1 - stockRatio) * vmwFinalPrice * numVmwShares),0)</f>
        <v>0</v>
      </c>
      <c r="W48" s="319">
        <f>SWITCH(Reference!$E$4,"eTradeTransactionLog", T48, "eTradeHoldingRatio",T48, "eTradeLotQtyRatio",U48,"manualLotRatio",V48)</f>
        <v>0</v>
      </c>
      <c r="X48" s="309">
        <f>LET(purchaseDate,C48, dateOfRecord,Reference!$B$26, returnOfCapital,Reference!$C$26, IF(purchaseDate &lt; dateOfRecord, returnOfCapital,0))</f>
        <v>10.18</v>
      </c>
      <c r="Y48" s="309">
        <f>LET(purchaseDate,C48, dateOfRecord,Reference!$B$27, returnOfCapital,Reference!$C$27, IF(purchaseDate &lt; dateOfRecord, returnOfCapital,0))</f>
        <v>16.58</v>
      </c>
      <c r="Z48" s="309">
        <f t="shared" si="9"/>
        <v>-26.76</v>
      </c>
      <c r="AA48" s="309">
        <f t="shared" si="10"/>
        <v>0</v>
      </c>
      <c r="AB48" s="320">
        <f>LET(numVmwShares,D48, stockRatio,Reference!$B$5, vmwToAvgoRatio,Reference!$B$6, numVmwShares * stockRatio * vmwToAvgoRatio)</f>
        <v>0</v>
      </c>
      <c r="AC48" s="320">
        <f>LET(numVmwShares,D48, stockRatio,Q48, vmwToAvgoRatio,Reference!$B$6, numVmwShares * stockRatio * vmwToAvgoRatio)</f>
        <v>0</v>
      </c>
      <c r="AD48" s="320" t="str">
        <f>LET(numVmwShares,D48, stockRatio,R48, vmwToAvgoRatio,Reference!$B$6, numVmwShares * stockRatio * vmwToAvgoRatio)</f>
        <v>#DIV/0!</v>
      </c>
      <c r="AE48" s="320">
        <f>SWITCH(Reference!$E$4, "eTradeTransactionLog", AB48, "eTradeHoldingRatio",AB48, "eTradeLotQtyRatio",AC48,"manualLotRatio",AD48)</f>
        <v>0</v>
      </c>
      <c r="AF48" s="321">
        <f>LET(numVmwShares,D48, vmwBasis,Z48, avgoQty,AE48, avgoFMV,Reference!$B$18, cashReceived,W48, gain,cashReceived+(avgoQty*avgoFMV)-(numVmwShares*vmwBasis),
MAX(gain,0))</f>
        <v>0</v>
      </c>
      <c r="AG48" s="322">
        <f>LET(useForFraction,J48, fractionAmount,Summary!$C$41, esppFractionLots,ESPP!$N$5, rsuFractionLots,RSU!J$5, IF(useForFraction, fractionAmount / (esppFractionLots+rsuFractionLots), 0))</f>
        <v>0</v>
      </c>
      <c r="AH48" s="411">
        <f>LET(useForFraction,J48, fractionSaleFMV,Reference!$B$23, postMergerBasis,AT48, lotFractionAmount,AG48, IF(useForFraction, (fractionSaleFMV - postMergerBasis)*lotFractionAmount, 0))</f>
        <v>0</v>
      </c>
      <c r="AI48" s="412">
        <f t="shared" si="11"/>
        <v>0</v>
      </c>
      <c r="AJ48" s="413">
        <f>LET(
purchaseDate,C48,
mergerDate,Reference!$B$28,
lotFractionGain,AH48,
mergerGain,AI48,
IF(DATEDIF(purchaseDate,mergerDate,"Y")&gt;=1,
  0,
  lotFractionGain + mergerGain
))</f>
        <v>0</v>
      </c>
      <c r="AK48" s="413">
        <f>LET(
purchaseDate,C48,
mergerDate,Reference!$B$28,
lotFractionGain,AH48,
mergerGain,AI48,
IF(DATEDIF(purchaseDate,mergerDate,"Y")&gt;=1,
  lotFractionGain+mergerGain,
  0
))</f>
        <v>0</v>
      </c>
      <c r="AL48" s="414" t="str">
        <f>IF(DATEDIF(C48,Reference!$B$28,"Y")&gt;=1,"Part II Box E","Part I Box B")</f>
        <v>Part II Box E</v>
      </c>
      <c r="AM48" s="344" t="str">
        <f t="shared" si="12"/>
        <v/>
      </c>
      <c r="AN48" s="330">
        <f t="shared" si="13"/>
        <v>0</v>
      </c>
      <c r="AO48" s="330">
        <f>LET(
cashReceived,W48, 
avgoQty,AE48, 
proceedsStyle,Reference!$E$9, 
avgoFMV,Reference!$B$18, 
SWITCH(proceedsStyle, "combined", cashReceived +(avgoQty*avgoFMV), "cashOnly", cashReceived))</f>
        <v>0</v>
      </c>
      <c r="AP48" s="345">
        <f>LET(
proceedsStyle,Reference!$E$9,
proceeds,AO48,
gain,AS48,
numVmwShares,D48, 
vmwBasis, Z48, 
avgoQty,AE48, 
avgoFMV,Reference!$B$18, 
cashReceived,W48, 
avgoTotalValue, avgoFMV*avgoQty, 
vmwTotalBasis, vmwBasis*numVmwShares,
alternateGainAmount,AF48, 
SWITCH(proceedsStyle,
  "cashOnly",
    proceeds - gain,
  "combined",
    IF(cashReceived&lt;alternateGainAmount,
      avgoTotalValue,
      vmwTotalBasis
    )
  )
)</f>
        <v>0</v>
      </c>
      <c r="AQ48" s="345" t="str">
        <f t="shared" si="14"/>
        <v/>
      </c>
      <c r="AR48" s="345">
        <v>0.0</v>
      </c>
      <c r="AS48" s="331">
        <f>LET(
proceedsStyle,Reference!$E$9,
proceeds,AO48,
basis1099B,AP48,
adjustment,AR48,
mergerGain,AI48,
SWITCH(proceedsStyle,
  "cashOnly",
    mergerGain,
  "combined",
    MAX(proceeds - basis1099B + adjustment, 0)
))</f>
        <v>0</v>
      </c>
      <c r="AT48" s="415" t="str">
        <f t="shared" si="15"/>
        <v>n/a</v>
      </c>
      <c r="AU48" s="333">
        <f>LET(saleFMV,Reference!$B$10, postMergerBasis,AT48, avgoQty,AE48, lotFractionAmount,AG48, iferror((saleFMV - postMergerBasis) * (avgoQty - lotFractionAmount), 0))</f>
        <v>0</v>
      </c>
      <c r="AV48" s="333">
        <f>LET(
avgoQty,AE48, 
purchaseDate,C48,
postMergerSaleDate,Reference!$B$29,
saleFMV,Reference!$B$10,
postMergerBasis,AT48, 
IFERROR(IF(DATEDIF(purchaseDate,postMergerSaleDate,"Y")&gt;=1,
  0,
  avgoQty * (saleFMV - postMergerBasis)
),0))</f>
        <v>0</v>
      </c>
      <c r="AW48" s="336">
        <f>LET(
avgoQty,AE48, 
purchaseDate,C48,
postMergerSaleDate,Reference!$B$29,
saleFMV,Reference!$B$10,
postMergerBasis,AT48, 
IFERROR(IF(DATEDIF(purchaseDate,postMergerSaleDate,"Y")&gt;=1,
  avgoQty * (saleFMV - postMergerBasis),
  0
),0))</f>
        <v>0</v>
      </c>
      <c r="AX48" s="337"/>
    </row>
    <row r="49">
      <c r="A49" s="405"/>
      <c r="B49" s="406"/>
      <c r="C49" s="307"/>
      <c r="D49" s="338"/>
      <c r="E49" s="321" t="str">
        <f t="array" ref="E49">IF(C49&lt;&gt;"", IFERROR(VLOOKUP(C49, SORT(PriceReference!$A$1:$B1014), 2, TRUE), "price unavailable"), "")</f>
        <v/>
      </c>
      <c r="F49" s="416"/>
      <c r="G49" s="309">
        <f t="shared" si="6"/>
        <v>0</v>
      </c>
      <c r="H49" s="321">
        <f t="shared" si="7"/>
        <v>0</v>
      </c>
      <c r="I49" s="417"/>
      <c r="J49" s="348" t="b">
        <v>0</v>
      </c>
      <c r="K49" s="409"/>
      <c r="L49" s="315">
        <v>0.0</v>
      </c>
      <c r="M49" s="315">
        <v>0.0</v>
      </c>
      <c r="N49" s="315">
        <v>0.0</v>
      </c>
      <c r="O49" s="315">
        <v>0.0</v>
      </c>
      <c r="P49" s="315">
        <v>0.0</v>
      </c>
      <c r="Q49" s="317">
        <f t="shared" si="8"/>
        <v>0</v>
      </c>
      <c r="R49" s="317" t="str">
        <f>SWITCH(S49,"cash",Reference!E$5,"shares",Reference!$E$6,"balance",Reference!$E$7,"pro-rata",Reference!$B$5)</f>
        <v>#DIV/0!</v>
      </c>
      <c r="S49" s="318" t="s">
        <v>207</v>
      </c>
      <c r="T49" s="319">
        <f>LET(numVmwShares,D49, cashRatio,Reference!$B$4, vmwFinalPrice,Reference!$B$3, numVmwShares * cashRatio * vmwFinalPrice)</f>
        <v>0</v>
      </c>
      <c r="U49" s="319">
        <f>iferror(LET(numVmwShares,$D49, stockRatio,Q49, vmwFinalPrice,Reference!$B$3, (1 - stockRatio) * vmwFinalPrice * numVmwShares),0)</f>
        <v>0</v>
      </c>
      <c r="V49" s="319">
        <f>iferror(LET(numVmwShares,$D49, stockRatio,R49, vmwFinalPrice,Reference!$B$3, (1 - stockRatio) * vmwFinalPrice * numVmwShares),0)</f>
        <v>0</v>
      </c>
      <c r="W49" s="319">
        <f>SWITCH(Reference!$E$4,"eTradeTransactionLog", T49, "eTradeHoldingRatio",T49, "eTradeLotQtyRatio",U49,"manualLotRatio",V49)</f>
        <v>0</v>
      </c>
      <c r="X49" s="309">
        <f>LET(purchaseDate,C49, dateOfRecord,Reference!$B$26, returnOfCapital,Reference!$C$26, IF(purchaseDate &lt; dateOfRecord, returnOfCapital,0))</f>
        <v>10.18</v>
      </c>
      <c r="Y49" s="309">
        <f>LET(purchaseDate,C49, dateOfRecord,Reference!$B$27, returnOfCapital,Reference!$C$27, IF(purchaseDate &lt; dateOfRecord, returnOfCapital,0))</f>
        <v>16.58</v>
      </c>
      <c r="Z49" s="309">
        <f t="shared" si="9"/>
        <v>-26.76</v>
      </c>
      <c r="AA49" s="309">
        <f t="shared" si="10"/>
        <v>0</v>
      </c>
      <c r="AB49" s="320">
        <f>LET(numVmwShares,D49, stockRatio,Reference!$B$5, vmwToAvgoRatio,Reference!$B$6, numVmwShares * stockRatio * vmwToAvgoRatio)</f>
        <v>0</v>
      </c>
      <c r="AC49" s="320">
        <f>LET(numVmwShares,D49, stockRatio,Q49, vmwToAvgoRatio,Reference!$B$6, numVmwShares * stockRatio * vmwToAvgoRatio)</f>
        <v>0</v>
      </c>
      <c r="AD49" s="320" t="str">
        <f>LET(numVmwShares,D49, stockRatio,R49, vmwToAvgoRatio,Reference!$B$6, numVmwShares * stockRatio * vmwToAvgoRatio)</f>
        <v>#DIV/0!</v>
      </c>
      <c r="AE49" s="320">
        <f>SWITCH(Reference!$E$4, "eTradeTransactionLog", AB49, "eTradeHoldingRatio",AB49, "eTradeLotQtyRatio",AC49,"manualLotRatio",AD49)</f>
        <v>0</v>
      </c>
      <c r="AF49" s="321">
        <f>LET(numVmwShares,D49, vmwBasis,Z49, avgoQty,AE49, avgoFMV,Reference!$B$18, cashReceived,W49, gain,cashReceived+(avgoQty*avgoFMV)-(numVmwShares*vmwBasis),
MAX(gain,0))</f>
        <v>0</v>
      </c>
      <c r="AG49" s="322">
        <f>LET(useForFraction,J49, fractionAmount,Summary!$C$41, esppFractionLots,ESPP!$N$5, rsuFractionLots,RSU!J$5, IF(useForFraction, fractionAmount / (esppFractionLots+rsuFractionLots), 0))</f>
        <v>0</v>
      </c>
      <c r="AH49" s="411">
        <f>LET(useForFraction,J49, fractionSaleFMV,Reference!$B$23, postMergerBasis,AT49, lotFractionAmount,AG49, IF(useForFraction, (fractionSaleFMV - postMergerBasis)*lotFractionAmount, 0))</f>
        <v>0</v>
      </c>
      <c r="AI49" s="412">
        <f t="shared" si="11"/>
        <v>0</v>
      </c>
      <c r="AJ49" s="413">
        <f>LET(
purchaseDate,C49,
mergerDate,Reference!$B$28,
lotFractionGain,AH49,
mergerGain,AI49,
IF(DATEDIF(purchaseDate,mergerDate,"Y")&gt;=1,
  0,
  lotFractionGain + mergerGain
))</f>
        <v>0</v>
      </c>
      <c r="AK49" s="413">
        <f>LET(
purchaseDate,C49,
mergerDate,Reference!$B$28,
lotFractionGain,AH49,
mergerGain,AI49,
IF(DATEDIF(purchaseDate,mergerDate,"Y")&gt;=1,
  lotFractionGain+mergerGain,
  0
))</f>
        <v>0</v>
      </c>
      <c r="AL49" s="414" t="str">
        <f>IF(DATEDIF(C49,Reference!$B$28,"Y")&gt;=1,"Part II Box E","Part I Box B")</f>
        <v>Part II Box E</v>
      </c>
      <c r="AM49" s="344" t="str">
        <f t="shared" si="12"/>
        <v/>
      </c>
      <c r="AN49" s="330">
        <f t="shared" si="13"/>
        <v>0</v>
      </c>
      <c r="AO49" s="330">
        <f>LET(
cashReceived,W49, 
avgoQty,AE49, 
proceedsStyle,Reference!$E$9, 
avgoFMV,Reference!$B$18, 
SWITCH(proceedsStyle, "combined", cashReceived +(avgoQty*avgoFMV), "cashOnly", cashReceived))</f>
        <v>0</v>
      </c>
      <c r="AP49" s="345">
        <f>LET(
proceedsStyle,Reference!$E$9,
proceeds,AO49,
gain,AS49,
numVmwShares,D49, 
vmwBasis, Z49, 
avgoQty,AE49, 
avgoFMV,Reference!$B$18, 
cashReceived,W49, 
avgoTotalValue, avgoFMV*avgoQty, 
vmwTotalBasis, vmwBasis*numVmwShares,
alternateGainAmount,AF49, 
SWITCH(proceedsStyle,
  "cashOnly",
    proceeds - gain,
  "combined",
    IF(cashReceived&lt;alternateGainAmount,
      avgoTotalValue,
      vmwTotalBasis
    )
  )
)</f>
        <v>0</v>
      </c>
      <c r="AQ49" s="345" t="str">
        <f t="shared" si="14"/>
        <v/>
      </c>
      <c r="AR49" s="345">
        <v>0.0</v>
      </c>
      <c r="AS49" s="331">
        <f>LET(
proceedsStyle,Reference!$E$9,
proceeds,AO49,
basis1099B,AP49,
adjustment,AR49,
mergerGain,AI49,
SWITCH(proceedsStyle,
  "cashOnly",
    mergerGain,
  "combined",
    MAX(proceeds - basis1099B + adjustment, 0)
))</f>
        <v>0</v>
      </c>
      <c r="AT49" s="415" t="str">
        <f t="shared" si="15"/>
        <v>n/a</v>
      </c>
      <c r="AU49" s="333">
        <f>LET(saleFMV,Reference!$B$10, postMergerBasis,AT49, avgoQty,AE49, lotFractionAmount,AG49, iferror((saleFMV - postMergerBasis) * (avgoQty - lotFractionAmount), 0))</f>
        <v>0</v>
      </c>
      <c r="AV49" s="333">
        <f>LET(
avgoQty,AE49, 
purchaseDate,C49,
postMergerSaleDate,Reference!$B$29,
saleFMV,Reference!$B$10,
postMergerBasis,AT49, 
IFERROR(IF(DATEDIF(purchaseDate,postMergerSaleDate,"Y")&gt;=1,
  0,
  avgoQty * (saleFMV - postMergerBasis)
),0))</f>
        <v>0</v>
      </c>
      <c r="AW49" s="336">
        <f>LET(
avgoQty,AE49, 
purchaseDate,C49,
postMergerSaleDate,Reference!$B$29,
saleFMV,Reference!$B$10,
postMergerBasis,AT49, 
IFERROR(IF(DATEDIF(purchaseDate,postMergerSaleDate,"Y")&gt;=1,
  avgoQty * (saleFMV - postMergerBasis),
  0
),0))</f>
        <v>0</v>
      </c>
      <c r="AX49" s="337"/>
    </row>
    <row r="50">
      <c r="A50" s="405"/>
      <c r="B50" s="420"/>
      <c r="C50" s="307"/>
      <c r="D50" s="338"/>
      <c r="E50" s="321" t="str">
        <f t="array" ref="E50">IF(C50&lt;&gt;"", IFERROR(VLOOKUP(C50, SORT(PriceReference!$A$1:$B1014), 2, TRUE), "price unavailable"), "")</f>
        <v/>
      </c>
      <c r="F50" s="416"/>
      <c r="G50" s="309">
        <f t="shared" si="6"/>
        <v>0</v>
      </c>
      <c r="H50" s="321">
        <f t="shared" si="7"/>
        <v>0</v>
      </c>
      <c r="I50" s="417"/>
      <c r="J50" s="348" t="b">
        <v>0</v>
      </c>
      <c r="K50" s="409"/>
      <c r="L50" s="315">
        <v>0.0</v>
      </c>
      <c r="M50" s="315">
        <v>0.0</v>
      </c>
      <c r="N50" s="315">
        <v>0.0</v>
      </c>
      <c r="O50" s="315">
        <v>0.0</v>
      </c>
      <c r="P50" s="315">
        <v>0.0</v>
      </c>
      <c r="Q50" s="317">
        <f t="shared" si="8"/>
        <v>0</v>
      </c>
      <c r="R50" s="317" t="str">
        <f>SWITCH(S50,"cash",Reference!E$5,"shares",Reference!$E$6,"balance",Reference!$E$7,"pro-rata",Reference!$B$5)</f>
        <v>#DIV/0!</v>
      </c>
      <c r="S50" s="318" t="s">
        <v>207</v>
      </c>
      <c r="T50" s="319">
        <f>LET(numVmwShares,D50, cashRatio,Reference!$B$4, vmwFinalPrice,Reference!$B$3, numVmwShares * cashRatio * vmwFinalPrice)</f>
        <v>0</v>
      </c>
      <c r="U50" s="319">
        <f>iferror(LET(numVmwShares,$D50, stockRatio,Q50, vmwFinalPrice,Reference!$B$3, (1 - stockRatio) * vmwFinalPrice * numVmwShares),0)</f>
        <v>0</v>
      </c>
      <c r="V50" s="319">
        <f>iferror(LET(numVmwShares,$D50, stockRatio,R50, vmwFinalPrice,Reference!$B$3, (1 - stockRatio) * vmwFinalPrice * numVmwShares),0)</f>
        <v>0</v>
      </c>
      <c r="W50" s="319">
        <f>SWITCH(Reference!$E$4,"eTradeTransactionLog", T50, "eTradeHoldingRatio",T50, "eTradeLotQtyRatio",U50,"manualLotRatio",V50)</f>
        <v>0</v>
      </c>
      <c r="X50" s="309">
        <f>LET(purchaseDate,C50, dateOfRecord,Reference!$B$26, returnOfCapital,Reference!$C$26, IF(purchaseDate &lt; dateOfRecord, returnOfCapital,0))</f>
        <v>10.18</v>
      </c>
      <c r="Y50" s="309">
        <f>LET(purchaseDate,C50, dateOfRecord,Reference!$B$27, returnOfCapital,Reference!$C$27, IF(purchaseDate &lt; dateOfRecord, returnOfCapital,0))</f>
        <v>16.58</v>
      </c>
      <c r="Z50" s="309">
        <f t="shared" si="9"/>
        <v>-26.76</v>
      </c>
      <c r="AA50" s="309">
        <f t="shared" si="10"/>
        <v>0</v>
      </c>
      <c r="AB50" s="320">
        <f>LET(numVmwShares,D50, stockRatio,Reference!$B$5, vmwToAvgoRatio,Reference!$B$6, numVmwShares * stockRatio * vmwToAvgoRatio)</f>
        <v>0</v>
      </c>
      <c r="AC50" s="320">
        <f>LET(numVmwShares,D50, stockRatio,Q50, vmwToAvgoRatio,Reference!$B$6, numVmwShares * stockRatio * vmwToAvgoRatio)</f>
        <v>0</v>
      </c>
      <c r="AD50" s="320" t="str">
        <f>LET(numVmwShares,D50, stockRatio,R50, vmwToAvgoRatio,Reference!$B$6, numVmwShares * stockRatio * vmwToAvgoRatio)</f>
        <v>#DIV/0!</v>
      </c>
      <c r="AE50" s="320">
        <f>SWITCH(Reference!$E$4, "eTradeTransactionLog", AB50, "eTradeHoldingRatio",AB50, "eTradeLotQtyRatio",AC50,"manualLotRatio",AD50)</f>
        <v>0</v>
      </c>
      <c r="AF50" s="321">
        <f>LET(numVmwShares,D50, vmwBasis,Z50, avgoQty,AE50, avgoFMV,Reference!$B$18, cashReceived,W50, gain,cashReceived+(avgoQty*avgoFMV)-(numVmwShares*vmwBasis),
MAX(gain,0))</f>
        <v>0</v>
      </c>
      <c r="AG50" s="322">
        <f>LET(useForFraction,J50, fractionAmount,Summary!$C$41, esppFractionLots,ESPP!$N$5, rsuFractionLots,RSU!J$5, IF(useForFraction, fractionAmount / (esppFractionLots+rsuFractionLots), 0))</f>
        <v>0</v>
      </c>
      <c r="AH50" s="411">
        <f>LET(useForFraction,J50, fractionSaleFMV,Reference!$B$23, postMergerBasis,AT50, lotFractionAmount,AG50, IF(useForFraction, (fractionSaleFMV - postMergerBasis)*lotFractionAmount, 0))</f>
        <v>0</v>
      </c>
      <c r="AI50" s="412">
        <f t="shared" si="11"/>
        <v>0</v>
      </c>
      <c r="AJ50" s="413">
        <f>LET(
purchaseDate,C50,
mergerDate,Reference!$B$28,
lotFractionGain,AH50,
mergerGain,AI50,
IF(DATEDIF(purchaseDate,mergerDate,"Y")&gt;=1,
  0,
  lotFractionGain + mergerGain
))</f>
        <v>0</v>
      </c>
      <c r="AK50" s="413">
        <f>LET(
purchaseDate,C50,
mergerDate,Reference!$B$28,
lotFractionGain,AH50,
mergerGain,AI50,
IF(DATEDIF(purchaseDate,mergerDate,"Y")&gt;=1,
  lotFractionGain+mergerGain,
  0
))</f>
        <v>0</v>
      </c>
      <c r="AL50" s="414" t="str">
        <f>IF(DATEDIF(C50,Reference!$B$28,"Y")&gt;=1,"Part II Box E","Part I Box B")</f>
        <v>Part II Box E</v>
      </c>
      <c r="AM50" s="344" t="str">
        <f t="shared" si="12"/>
        <v/>
      </c>
      <c r="AN50" s="330">
        <f t="shared" si="13"/>
        <v>0</v>
      </c>
      <c r="AO50" s="330">
        <f>LET(
cashReceived,W50, 
avgoQty,AE50, 
proceedsStyle,Reference!$E$9, 
avgoFMV,Reference!$B$18, 
SWITCH(proceedsStyle, "combined", cashReceived +(avgoQty*avgoFMV), "cashOnly", cashReceived))</f>
        <v>0</v>
      </c>
      <c r="AP50" s="345">
        <f>LET(
proceedsStyle,Reference!$E$9,
proceeds,AO50,
gain,AS50,
numVmwShares,D50, 
vmwBasis, Z50, 
avgoQty,AE50, 
avgoFMV,Reference!$B$18, 
cashReceived,W50, 
avgoTotalValue, avgoFMV*avgoQty, 
vmwTotalBasis, vmwBasis*numVmwShares,
alternateGainAmount,AF50, 
SWITCH(proceedsStyle,
  "cashOnly",
    proceeds - gain,
  "combined",
    IF(cashReceived&lt;alternateGainAmount,
      avgoTotalValue,
      vmwTotalBasis
    )
  )
)</f>
        <v>0</v>
      </c>
      <c r="AQ50" s="345" t="str">
        <f t="shared" si="14"/>
        <v/>
      </c>
      <c r="AR50" s="345">
        <v>0.0</v>
      </c>
      <c r="AS50" s="331">
        <f>LET(
proceedsStyle,Reference!$E$9,
proceeds,AO50,
basis1099B,AP50,
adjustment,AR50,
mergerGain,AI50,
SWITCH(proceedsStyle,
  "cashOnly",
    mergerGain,
  "combined",
    MAX(proceeds - basis1099B + adjustment, 0)
))</f>
        <v>0</v>
      </c>
      <c r="AT50" s="415" t="str">
        <f t="shared" si="15"/>
        <v>n/a</v>
      </c>
      <c r="AU50" s="333">
        <f>LET(saleFMV,Reference!$B$10, postMergerBasis,AT50, avgoQty,AE50, lotFractionAmount,AG50, iferror((saleFMV - postMergerBasis) * (avgoQty - lotFractionAmount), 0))</f>
        <v>0</v>
      </c>
      <c r="AV50" s="333">
        <f>LET(
avgoQty,AE50, 
purchaseDate,C50,
postMergerSaleDate,Reference!$B$29,
saleFMV,Reference!$B$10,
postMergerBasis,AT50, 
IFERROR(IF(DATEDIF(purchaseDate,postMergerSaleDate,"Y")&gt;=1,
  0,
  avgoQty * (saleFMV - postMergerBasis)
),0))</f>
        <v>0</v>
      </c>
      <c r="AW50" s="336">
        <f>LET(
avgoQty,AE50, 
purchaseDate,C50,
postMergerSaleDate,Reference!$B$29,
saleFMV,Reference!$B$10,
postMergerBasis,AT50, 
IFERROR(IF(DATEDIF(purchaseDate,postMergerSaleDate,"Y")&gt;=1,
  avgoQty * (saleFMV - postMergerBasis),
  0
),0))</f>
        <v>0</v>
      </c>
      <c r="AX50" s="337"/>
    </row>
    <row r="51">
      <c r="A51" s="405"/>
      <c r="B51" s="406"/>
      <c r="C51" s="307"/>
      <c r="D51" s="338"/>
      <c r="E51" s="321" t="str">
        <f t="array" ref="E51">IF(C51&lt;&gt;"", IFERROR(VLOOKUP(C51, SORT(PriceReference!$A$1:$B1014), 2, TRUE), "price unavailable"), "")</f>
        <v/>
      </c>
      <c r="F51" s="416"/>
      <c r="G51" s="309">
        <f t="shared" si="6"/>
        <v>0</v>
      </c>
      <c r="H51" s="321">
        <f t="shared" si="7"/>
        <v>0</v>
      </c>
      <c r="I51" s="419"/>
      <c r="J51" s="348" t="b">
        <v>0</v>
      </c>
      <c r="K51" s="409"/>
      <c r="L51" s="315">
        <v>0.0</v>
      </c>
      <c r="M51" s="315">
        <v>0.0</v>
      </c>
      <c r="N51" s="315">
        <v>0.0</v>
      </c>
      <c r="O51" s="315">
        <v>0.0</v>
      </c>
      <c r="P51" s="315">
        <v>0.0</v>
      </c>
      <c r="Q51" s="317">
        <f t="shared" si="8"/>
        <v>0</v>
      </c>
      <c r="R51" s="317" t="str">
        <f>SWITCH(S51,"cash",Reference!E$5,"shares",Reference!$E$6,"balance",Reference!$E$7,"pro-rata",Reference!$B$5)</f>
        <v>#DIV/0!</v>
      </c>
      <c r="S51" s="318" t="s">
        <v>207</v>
      </c>
      <c r="T51" s="319">
        <f>LET(numVmwShares,D51, cashRatio,Reference!$B$4, vmwFinalPrice,Reference!$B$3, numVmwShares * cashRatio * vmwFinalPrice)</f>
        <v>0</v>
      </c>
      <c r="U51" s="319">
        <f>iferror(LET(numVmwShares,$D51, stockRatio,Q51, vmwFinalPrice,Reference!$B$3, (1 - stockRatio) * vmwFinalPrice * numVmwShares),0)</f>
        <v>0</v>
      </c>
      <c r="V51" s="319">
        <f>iferror(LET(numVmwShares,$D51, stockRatio,R51, vmwFinalPrice,Reference!$B$3, (1 - stockRatio) * vmwFinalPrice * numVmwShares),0)</f>
        <v>0</v>
      </c>
      <c r="W51" s="319">
        <f>SWITCH(Reference!$E$4,"eTradeTransactionLog", T51, "eTradeHoldingRatio",T51, "eTradeLotQtyRatio",U51,"manualLotRatio",V51)</f>
        <v>0</v>
      </c>
      <c r="X51" s="309">
        <f>LET(purchaseDate,C51, dateOfRecord,Reference!$B$26, returnOfCapital,Reference!$C$26, IF(purchaseDate &lt; dateOfRecord, returnOfCapital,0))</f>
        <v>10.18</v>
      </c>
      <c r="Y51" s="309">
        <f>LET(purchaseDate,C51, dateOfRecord,Reference!$B$27, returnOfCapital,Reference!$C$27, IF(purchaseDate &lt; dateOfRecord, returnOfCapital,0))</f>
        <v>16.58</v>
      </c>
      <c r="Z51" s="309">
        <f t="shared" si="9"/>
        <v>-26.76</v>
      </c>
      <c r="AA51" s="309">
        <f t="shared" si="10"/>
        <v>0</v>
      </c>
      <c r="AB51" s="320">
        <f>LET(numVmwShares,D51, stockRatio,Reference!$B$5, vmwToAvgoRatio,Reference!$B$6, numVmwShares * stockRatio * vmwToAvgoRatio)</f>
        <v>0</v>
      </c>
      <c r="AC51" s="320">
        <f>LET(numVmwShares,D51, stockRatio,Q51, vmwToAvgoRatio,Reference!$B$6, numVmwShares * stockRatio * vmwToAvgoRatio)</f>
        <v>0</v>
      </c>
      <c r="AD51" s="320" t="str">
        <f>LET(numVmwShares,D51, stockRatio,R51, vmwToAvgoRatio,Reference!$B$6, numVmwShares * stockRatio * vmwToAvgoRatio)</f>
        <v>#DIV/0!</v>
      </c>
      <c r="AE51" s="320">
        <f>SWITCH(Reference!$E$4, "eTradeTransactionLog", AB51, "eTradeHoldingRatio",AB51, "eTradeLotQtyRatio",AC51,"manualLotRatio",AD51)</f>
        <v>0</v>
      </c>
      <c r="AF51" s="321">
        <f>LET(numVmwShares,D51, vmwBasis,Z51, avgoQty,AE51, avgoFMV,Reference!$B$18, cashReceived,W51, gain,cashReceived+(avgoQty*avgoFMV)-(numVmwShares*vmwBasis),
MAX(gain,0))</f>
        <v>0</v>
      </c>
      <c r="AG51" s="322">
        <f>LET(useForFraction,J51, fractionAmount,Summary!$C$41, esppFractionLots,ESPP!$N$5, rsuFractionLots,RSU!J$5, IF(useForFraction, fractionAmount / (esppFractionLots+rsuFractionLots), 0))</f>
        <v>0</v>
      </c>
      <c r="AH51" s="411">
        <f>LET(useForFraction,J51, fractionSaleFMV,Reference!$B$23, postMergerBasis,AT51, lotFractionAmount,AG51, IF(useForFraction, (fractionSaleFMV - postMergerBasis)*lotFractionAmount, 0))</f>
        <v>0</v>
      </c>
      <c r="AI51" s="412">
        <f t="shared" si="11"/>
        <v>0</v>
      </c>
      <c r="AJ51" s="413">
        <f>LET(
purchaseDate,C51,
mergerDate,Reference!$B$28,
lotFractionGain,AH51,
mergerGain,AI51,
IF(DATEDIF(purchaseDate,mergerDate,"Y")&gt;=1,
  0,
  lotFractionGain + mergerGain
))</f>
        <v>0</v>
      </c>
      <c r="AK51" s="413">
        <f>LET(
purchaseDate,C51,
mergerDate,Reference!$B$28,
lotFractionGain,AH51,
mergerGain,AI51,
IF(DATEDIF(purchaseDate,mergerDate,"Y")&gt;=1,
  lotFractionGain+mergerGain,
  0
))</f>
        <v>0</v>
      </c>
      <c r="AL51" s="414" t="str">
        <f>IF(DATEDIF(C51,Reference!$B$28,"Y")&gt;=1,"Part II Box E","Part I Box B")</f>
        <v>Part II Box E</v>
      </c>
      <c r="AM51" s="344" t="str">
        <f t="shared" si="12"/>
        <v/>
      </c>
      <c r="AN51" s="330">
        <f t="shared" si="13"/>
        <v>0</v>
      </c>
      <c r="AO51" s="330">
        <f>LET(
cashReceived,W51, 
avgoQty,AE51, 
proceedsStyle,Reference!$E$9, 
avgoFMV,Reference!$B$18, 
SWITCH(proceedsStyle, "combined", cashReceived +(avgoQty*avgoFMV), "cashOnly", cashReceived))</f>
        <v>0</v>
      </c>
      <c r="AP51" s="345">
        <f>LET(
proceedsStyle,Reference!$E$9,
proceeds,AO51,
gain,AS51,
numVmwShares,D51, 
vmwBasis, Z51, 
avgoQty,AE51, 
avgoFMV,Reference!$B$18, 
cashReceived,W51, 
avgoTotalValue, avgoFMV*avgoQty, 
vmwTotalBasis, vmwBasis*numVmwShares,
alternateGainAmount,AF51, 
SWITCH(proceedsStyle,
  "cashOnly",
    proceeds - gain,
  "combined",
    IF(cashReceived&lt;alternateGainAmount,
      avgoTotalValue,
      vmwTotalBasis
    )
  )
)</f>
        <v>0</v>
      </c>
      <c r="AQ51" s="345" t="str">
        <f t="shared" si="14"/>
        <v/>
      </c>
      <c r="AR51" s="345">
        <v>0.0</v>
      </c>
      <c r="AS51" s="331">
        <f>LET(
proceedsStyle,Reference!$E$9,
proceeds,AO51,
basis1099B,AP51,
adjustment,AR51,
mergerGain,AI51,
SWITCH(proceedsStyle,
  "cashOnly",
    mergerGain,
  "combined",
    MAX(proceeds - basis1099B + adjustment, 0)
))</f>
        <v>0</v>
      </c>
      <c r="AT51" s="415" t="str">
        <f t="shared" si="15"/>
        <v>n/a</v>
      </c>
      <c r="AU51" s="333">
        <f>LET(saleFMV,Reference!$B$10, postMergerBasis,AT51, avgoQty,AE51, lotFractionAmount,AG51, iferror((saleFMV - postMergerBasis) * (avgoQty - lotFractionAmount), 0))</f>
        <v>0</v>
      </c>
      <c r="AV51" s="333">
        <f>LET(
avgoQty,AE51, 
purchaseDate,C51,
postMergerSaleDate,Reference!$B$29,
saleFMV,Reference!$B$10,
postMergerBasis,AT51, 
IFERROR(IF(DATEDIF(purchaseDate,postMergerSaleDate,"Y")&gt;=1,
  0,
  avgoQty * (saleFMV - postMergerBasis)
),0))</f>
        <v>0</v>
      </c>
      <c r="AW51" s="336">
        <f>LET(
avgoQty,AE51, 
purchaseDate,C51,
postMergerSaleDate,Reference!$B$29,
saleFMV,Reference!$B$10,
postMergerBasis,AT51, 
IFERROR(IF(DATEDIF(purchaseDate,postMergerSaleDate,"Y")&gt;=1,
  avgoQty * (saleFMV - postMergerBasis),
  0
),0))</f>
        <v>0</v>
      </c>
      <c r="AX51" s="337"/>
    </row>
    <row r="52">
      <c r="A52" s="405"/>
      <c r="B52" s="406"/>
      <c r="C52" s="307"/>
      <c r="D52" s="338"/>
      <c r="E52" s="321" t="str">
        <f t="array" ref="E52">IF(C52&lt;&gt;"", IFERROR(VLOOKUP(C52, SORT(PriceReference!$A$1:$B1014), 2, TRUE), "price unavailable"), "")</f>
        <v/>
      </c>
      <c r="F52" s="416"/>
      <c r="G52" s="309">
        <f t="shared" si="6"/>
        <v>0</v>
      </c>
      <c r="H52" s="321">
        <f t="shared" si="7"/>
        <v>0</v>
      </c>
      <c r="I52" s="417"/>
      <c r="J52" s="348" t="b">
        <v>0</v>
      </c>
      <c r="K52" s="409"/>
      <c r="L52" s="315">
        <v>0.0</v>
      </c>
      <c r="M52" s="315">
        <v>0.0</v>
      </c>
      <c r="N52" s="315">
        <v>0.0</v>
      </c>
      <c r="O52" s="315">
        <v>0.0</v>
      </c>
      <c r="P52" s="315">
        <v>0.0</v>
      </c>
      <c r="Q52" s="317">
        <f t="shared" si="8"/>
        <v>0</v>
      </c>
      <c r="R52" s="317" t="str">
        <f>SWITCH(S52,"cash",Reference!E$5,"shares",Reference!$E$6,"balance",Reference!$E$7,"pro-rata",Reference!$B$5)</f>
        <v>#DIV/0!</v>
      </c>
      <c r="S52" s="318" t="s">
        <v>207</v>
      </c>
      <c r="T52" s="319">
        <f>LET(numVmwShares,D52, cashRatio,Reference!$B$4, vmwFinalPrice,Reference!$B$3, numVmwShares * cashRatio * vmwFinalPrice)</f>
        <v>0</v>
      </c>
      <c r="U52" s="319">
        <f>iferror(LET(numVmwShares,$D52, stockRatio,Q52, vmwFinalPrice,Reference!$B$3, (1 - stockRatio) * vmwFinalPrice * numVmwShares),0)</f>
        <v>0</v>
      </c>
      <c r="V52" s="319">
        <f>iferror(LET(numVmwShares,$D52, stockRatio,R52, vmwFinalPrice,Reference!$B$3, (1 - stockRatio) * vmwFinalPrice * numVmwShares),0)</f>
        <v>0</v>
      </c>
      <c r="W52" s="319">
        <f>SWITCH(Reference!$E$4,"eTradeTransactionLog", T52, "eTradeHoldingRatio",T52, "eTradeLotQtyRatio",U52,"manualLotRatio",V52)</f>
        <v>0</v>
      </c>
      <c r="X52" s="309">
        <f>LET(purchaseDate,C52, dateOfRecord,Reference!$B$26, returnOfCapital,Reference!$C$26, IF(purchaseDate &lt; dateOfRecord, returnOfCapital,0))</f>
        <v>10.18</v>
      </c>
      <c r="Y52" s="309">
        <f>LET(purchaseDate,C52, dateOfRecord,Reference!$B$27, returnOfCapital,Reference!$C$27, IF(purchaseDate &lt; dateOfRecord, returnOfCapital,0))</f>
        <v>16.58</v>
      </c>
      <c r="Z52" s="309">
        <f t="shared" si="9"/>
        <v>-26.76</v>
      </c>
      <c r="AA52" s="309">
        <f t="shared" si="10"/>
        <v>0</v>
      </c>
      <c r="AB52" s="320">
        <f>LET(numVmwShares,D52, stockRatio,Reference!$B$5, vmwToAvgoRatio,Reference!$B$6, numVmwShares * stockRatio * vmwToAvgoRatio)</f>
        <v>0</v>
      </c>
      <c r="AC52" s="320">
        <f>LET(numVmwShares,D52, stockRatio,Q52, vmwToAvgoRatio,Reference!$B$6, numVmwShares * stockRatio * vmwToAvgoRatio)</f>
        <v>0</v>
      </c>
      <c r="AD52" s="320" t="str">
        <f>LET(numVmwShares,D52, stockRatio,R52, vmwToAvgoRatio,Reference!$B$6, numVmwShares * stockRatio * vmwToAvgoRatio)</f>
        <v>#DIV/0!</v>
      </c>
      <c r="AE52" s="320">
        <f>SWITCH(Reference!$E$4, "eTradeTransactionLog", AB52, "eTradeHoldingRatio",AB52, "eTradeLotQtyRatio",AC52,"manualLotRatio",AD52)</f>
        <v>0</v>
      </c>
      <c r="AF52" s="321">
        <f>LET(numVmwShares,D52, vmwBasis,Z52, avgoQty,AE52, avgoFMV,Reference!$B$18, cashReceived,W52, gain,cashReceived+(avgoQty*avgoFMV)-(numVmwShares*vmwBasis),
MAX(gain,0))</f>
        <v>0</v>
      </c>
      <c r="AG52" s="322">
        <f>LET(useForFraction,J52, fractionAmount,Summary!$C$41, esppFractionLots,ESPP!$N$5, rsuFractionLots,RSU!J$5, IF(useForFraction, fractionAmount / (esppFractionLots+rsuFractionLots), 0))</f>
        <v>0</v>
      </c>
      <c r="AH52" s="411">
        <f>LET(useForFraction,J52, fractionSaleFMV,Reference!$B$23, postMergerBasis,AT52, lotFractionAmount,AG52, IF(useForFraction, (fractionSaleFMV - postMergerBasis)*lotFractionAmount, 0))</f>
        <v>0</v>
      </c>
      <c r="AI52" s="412">
        <f t="shared" si="11"/>
        <v>0</v>
      </c>
      <c r="AJ52" s="413">
        <f>LET(
purchaseDate,C52,
mergerDate,Reference!$B$28,
lotFractionGain,AH52,
mergerGain,AI52,
IF(DATEDIF(purchaseDate,mergerDate,"Y")&gt;=1,
  0,
  lotFractionGain + mergerGain
))</f>
        <v>0</v>
      </c>
      <c r="AK52" s="413">
        <f>LET(
purchaseDate,C52,
mergerDate,Reference!$B$28,
lotFractionGain,AH52,
mergerGain,AI52,
IF(DATEDIF(purchaseDate,mergerDate,"Y")&gt;=1,
  lotFractionGain+mergerGain,
  0
))</f>
        <v>0</v>
      </c>
      <c r="AL52" s="414" t="str">
        <f>IF(DATEDIF(C52,Reference!$B$28,"Y")&gt;=1,"Part II Box E","Part I Box B")</f>
        <v>Part II Box E</v>
      </c>
      <c r="AM52" s="344" t="str">
        <f t="shared" si="12"/>
        <v/>
      </c>
      <c r="AN52" s="330">
        <f t="shared" si="13"/>
        <v>0</v>
      </c>
      <c r="AO52" s="330">
        <f>LET(
cashReceived,W52, 
avgoQty,AE52, 
proceedsStyle,Reference!$E$9, 
avgoFMV,Reference!$B$18, 
SWITCH(proceedsStyle, "combined", cashReceived +(avgoQty*avgoFMV), "cashOnly", cashReceived))</f>
        <v>0</v>
      </c>
      <c r="AP52" s="345">
        <f>LET(
proceedsStyle,Reference!$E$9,
proceeds,AO52,
gain,AS52,
numVmwShares,D52, 
vmwBasis, Z52, 
avgoQty,AE52, 
avgoFMV,Reference!$B$18, 
cashReceived,W52, 
avgoTotalValue, avgoFMV*avgoQty, 
vmwTotalBasis, vmwBasis*numVmwShares,
alternateGainAmount,AF52, 
SWITCH(proceedsStyle,
  "cashOnly",
    proceeds - gain,
  "combined",
    IF(cashReceived&lt;alternateGainAmount,
      avgoTotalValue,
      vmwTotalBasis
    )
  )
)</f>
        <v>0</v>
      </c>
      <c r="AQ52" s="345" t="str">
        <f t="shared" si="14"/>
        <v/>
      </c>
      <c r="AR52" s="345">
        <v>0.0</v>
      </c>
      <c r="AS52" s="331">
        <f>LET(
proceedsStyle,Reference!$E$9,
proceeds,AO52,
basis1099B,AP52,
adjustment,AR52,
mergerGain,AI52,
SWITCH(proceedsStyle,
  "cashOnly",
    mergerGain,
  "combined",
    MAX(proceeds - basis1099B + adjustment, 0)
))</f>
        <v>0</v>
      </c>
      <c r="AT52" s="415" t="str">
        <f t="shared" si="15"/>
        <v>n/a</v>
      </c>
      <c r="AU52" s="333">
        <f>LET(saleFMV,Reference!$B$10, postMergerBasis,AT52, avgoQty,AE52, lotFractionAmount,AG52, iferror((saleFMV - postMergerBasis) * (avgoQty - lotFractionAmount), 0))</f>
        <v>0</v>
      </c>
      <c r="AV52" s="333">
        <f>LET(
avgoQty,AE52, 
purchaseDate,C52,
postMergerSaleDate,Reference!$B$29,
saleFMV,Reference!$B$10,
postMergerBasis,AT52, 
IFERROR(IF(DATEDIF(purchaseDate,postMergerSaleDate,"Y")&gt;=1,
  0,
  avgoQty * (saleFMV - postMergerBasis)
),0))</f>
        <v>0</v>
      </c>
      <c r="AW52" s="336">
        <f>LET(
avgoQty,AE52, 
purchaseDate,C52,
postMergerSaleDate,Reference!$B$29,
saleFMV,Reference!$B$10,
postMergerBasis,AT52, 
IFERROR(IF(DATEDIF(purchaseDate,postMergerSaleDate,"Y")&gt;=1,
  avgoQty * (saleFMV - postMergerBasis),
  0
),0))</f>
        <v>0</v>
      </c>
      <c r="AX52" s="337"/>
    </row>
    <row r="53">
      <c r="A53" s="405"/>
      <c r="B53" s="406"/>
      <c r="C53" s="307"/>
      <c r="D53" s="338"/>
      <c r="E53" s="321" t="str">
        <f t="array" ref="E53">IF(C53&lt;&gt;"", IFERROR(VLOOKUP(C53, SORT(PriceReference!$A$1:$B1014), 2, TRUE), "price unavailable"), "")</f>
        <v/>
      </c>
      <c r="F53" s="416"/>
      <c r="G53" s="309">
        <f t="shared" si="6"/>
        <v>0</v>
      </c>
      <c r="H53" s="321">
        <f t="shared" si="7"/>
        <v>0</v>
      </c>
      <c r="I53" s="419"/>
      <c r="J53" s="348" t="b">
        <v>0</v>
      </c>
      <c r="K53" s="409"/>
      <c r="L53" s="315">
        <v>0.0</v>
      </c>
      <c r="M53" s="315">
        <v>0.0</v>
      </c>
      <c r="N53" s="315">
        <v>0.0</v>
      </c>
      <c r="O53" s="315">
        <v>0.0</v>
      </c>
      <c r="P53" s="315">
        <v>0.0</v>
      </c>
      <c r="Q53" s="317">
        <f t="shared" si="8"/>
        <v>0</v>
      </c>
      <c r="R53" s="317" t="str">
        <f>SWITCH(S53,"cash",Reference!E$5,"shares",Reference!$E$6,"balance",Reference!$E$7,"pro-rata",Reference!$B$5)</f>
        <v>#DIV/0!</v>
      </c>
      <c r="S53" s="318" t="s">
        <v>207</v>
      </c>
      <c r="T53" s="319">
        <f>LET(numVmwShares,D53, cashRatio,Reference!$B$4, vmwFinalPrice,Reference!$B$3, numVmwShares * cashRatio * vmwFinalPrice)</f>
        <v>0</v>
      </c>
      <c r="U53" s="319">
        <f>iferror(LET(numVmwShares,$D53, stockRatio,Q53, vmwFinalPrice,Reference!$B$3, (1 - stockRatio) * vmwFinalPrice * numVmwShares),0)</f>
        <v>0</v>
      </c>
      <c r="V53" s="319">
        <f>iferror(LET(numVmwShares,$D53, stockRatio,R53, vmwFinalPrice,Reference!$B$3, (1 - stockRatio) * vmwFinalPrice * numVmwShares),0)</f>
        <v>0</v>
      </c>
      <c r="W53" s="319">
        <f>SWITCH(Reference!$E$4,"eTradeTransactionLog", T53, "eTradeHoldingRatio",T53, "eTradeLotQtyRatio",U53,"manualLotRatio",V53)</f>
        <v>0</v>
      </c>
      <c r="X53" s="309">
        <f>LET(purchaseDate,C53, dateOfRecord,Reference!$B$26, returnOfCapital,Reference!$C$26, IF(purchaseDate &lt; dateOfRecord, returnOfCapital,0))</f>
        <v>10.18</v>
      </c>
      <c r="Y53" s="309">
        <f>LET(purchaseDate,C53, dateOfRecord,Reference!$B$27, returnOfCapital,Reference!$C$27, IF(purchaseDate &lt; dateOfRecord, returnOfCapital,0))</f>
        <v>16.58</v>
      </c>
      <c r="Z53" s="309">
        <f t="shared" si="9"/>
        <v>-26.76</v>
      </c>
      <c r="AA53" s="309">
        <f t="shared" si="10"/>
        <v>0</v>
      </c>
      <c r="AB53" s="320">
        <f>LET(numVmwShares,D53, stockRatio,Reference!$B$5, vmwToAvgoRatio,Reference!$B$6, numVmwShares * stockRatio * vmwToAvgoRatio)</f>
        <v>0</v>
      </c>
      <c r="AC53" s="320">
        <f>LET(numVmwShares,D53, stockRatio,Q53, vmwToAvgoRatio,Reference!$B$6, numVmwShares * stockRatio * vmwToAvgoRatio)</f>
        <v>0</v>
      </c>
      <c r="AD53" s="320" t="str">
        <f>LET(numVmwShares,D53, stockRatio,R53, vmwToAvgoRatio,Reference!$B$6, numVmwShares * stockRatio * vmwToAvgoRatio)</f>
        <v>#DIV/0!</v>
      </c>
      <c r="AE53" s="320">
        <f>SWITCH(Reference!$E$4, "eTradeTransactionLog", AB53, "eTradeHoldingRatio",AB53, "eTradeLotQtyRatio",AC53,"manualLotRatio",AD53)</f>
        <v>0</v>
      </c>
      <c r="AF53" s="321">
        <f>LET(numVmwShares,D53, vmwBasis,Z53, avgoQty,AE53, avgoFMV,Reference!$B$18, cashReceived,W53, gain,cashReceived+(avgoQty*avgoFMV)-(numVmwShares*vmwBasis),
MAX(gain,0))</f>
        <v>0</v>
      </c>
      <c r="AG53" s="322">
        <f>LET(useForFraction,J53, fractionAmount,Summary!$C$41, esppFractionLots,ESPP!$N$5, rsuFractionLots,RSU!J$5, IF(useForFraction, fractionAmount / (esppFractionLots+rsuFractionLots), 0))</f>
        <v>0</v>
      </c>
      <c r="AH53" s="411">
        <f>LET(useForFraction,J53, fractionSaleFMV,Reference!$B$23, postMergerBasis,AT53, lotFractionAmount,AG53, IF(useForFraction, (fractionSaleFMV - postMergerBasis)*lotFractionAmount, 0))</f>
        <v>0</v>
      </c>
      <c r="AI53" s="412">
        <f t="shared" si="11"/>
        <v>0</v>
      </c>
      <c r="AJ53" s="413">
        <f>LET(
purchaseDate,C53,
mergerDate,Reference!$B$28,
lotFractionGain,AH53,
mergerGain,AI53,
IF(DATEDIF(purchaseDate,mergerDate,"Y")&gt;=1,
  0,
  lotFractionGain + mergerGain
))</f>
        <v>0</v>
      </c>
      <c r="AK53" s="413">
        <f>LET(
purchaseDate,C53,
mergerDate,Reference!$B$28,
lotFractionGain,AH53,
mergerGain,AI53,
IF(DATEDIF(purchaseDate,mergerDate,"Y")&gt;=1,
  lotFractionGain+mergerGain,
  0
))</f>
        <v>0</v>
      </c>
      <c r="AL53" s="414" t="str">
        <f>IF(DATEDIF(C53,Reference!$B$28,"Y")&gt;=1,"Part II Box E","Part I Box B")</f>
        <v>Part II Box E</v>
      </c>
      <c r="AM53" s="344" t="str">
        <f t="shared" si="12"/>
        <v/>
      </c>
      <c r="AN53" s="330">
        <f t="shared" si="13"/>
        <v>0</v>
      </c>
      <c r="AO53" s="330">
        <f>LET(
cashReceived,W53, 
avgoQty,AE53, 
proceedsStyle,Reference!$E$9, 
avgoFMV,Reference!$B$18, 
SWITCH(proceedsStyle, "combined", cashReceived +(avgoQty*avgoFMV), "cashOnly", cashReceived))</f>
        <v>0</v>
      </c>
      <c r="AP53" s="345">
        <f>LET(
proceedsStyle,Reference!$E$9,
proceeds,AO53,
gain,AS53,
numVmwShares,D53, 
vmwBasis, Z53, 
avgoQty,AE53, 
avgoFMV,Reference!$B$18, 
cashReceived,W53, 
avgoTotalValue, avgoFMV*avgoQty, 
vmwTotalBasis, vmwBasis*numVmwShares,
alternateGainAmount,AF53, 
SWITCH(proceedsStyle,
  "cashOnly",
    proceeds - gain,
  "combined",
    IF(cashReceived&lt;alternateGainAmount,
      avgoTotalValue,
      vmwTotalBasis
    )
  )
)</f>
        <v>0</v>
      </c>
      <c r="AQ53" s="345" t="str">
        <f t="shared" si="14"/>
        <v/>
      </c>
      <c r="AR53" s="345">
        <v>0.0</v>
      </c>
      <c r="AS53" s="331">
        <f>LET(
proceedsStyle,Reference!$E$9,
proceeds,AO53,
basis1099B,AP53,
adjustment,AR53,
mergerGain,AI53,
SWITCH(proceedsStyle,
  "cashOnly",
    mergerGain,
  "combined",
    MAX(proceeds - basis1099B + adjustment, 0)
))</f>
        <v>0</v>
      </c>
      <c r="AT53" s="415" t="str">
        <f t="shared" si="15"/>
        <v>n/a</v>
      </c>
      <c r="AU53" s="333">
        <f>LET(saleFMV,Reference!$B$10, postMergerBasis,AT53, avgoQty,AE53, lotFractionAmount,AG53, iferror((saleFMV - postMergerBasis) * (avgoQty - lotFractionAmount), 0))</f>
        <v>0</v>
      </c>
      <c r="AV53" s="333">
        <f>LET(
avgoQty,AE53, 
purchaseDate,C53,
postMergerSaleDate,Reference!$B$29,
saleFMV,Reference!$B$10,
postMergerBasis,AT53, 
IFERROR(IF(DATEDIF(purchaseDate,postMergerSaleDate,"Y")&gt;=1,
  0,
  avgoQty * (saleFMV - postMergerBasis)
),0))</f>
        <v>0</v>
      </c>
      <c r="AW53" s="336">
        <f>LET(
avgoQty,AE53, 
purchaseDate,C53,
postMergerSaleDate,Reference!$B$29,
saleFMV,Reference!$B$10,
postMergerBasis,AT53, 
IFERROR(IF(DATEDIF(purchaseDate,postMergerSaleDate,"Y")&gt;=1,
  avgoQty * (saleFMV - postMergerBasis),
  0
),0))</f>
        <v>0</v>
      </c>
      <c r="AX53" s="337"/>
    </row>
    <row r="54">
      <c r="A54" s="405"/>
      <c r="B54" s="420"/>
      <c r="C54" s="307"/>
      <c r="D54" s="338"/>
      <c r="E54" s="321" t="str">
        <f t="array" ref="E54">IF(C54&lt;&gt;"", IFERROR(VLOOKUP(C54, SORT(PriceReference!$A$1:$B1014), 2, TRUE), "price unavailable"), "")</f>
        <v/>
      </c>
      <c r="F54" s="416"/>
      <c r="G54" s="309">
        <f t="shared" si="6"/>
        <v>0</v>
      </c>
      <c r="H54" s="321">
        <f t="shared" si="7"/>
        <v>0</v>
      </c>
      <c r="I54" s="417"/>
      <c r="J54" s="348" t="b">
        <v>0</v>
      </c>
      <c r="K54" s="409"/>
      <c r="L54" s="315">
        <v>0.0</v>
      </c>
      <c r="M54" s="315">
        <v>0.0</v>
      </c>
      <c r="N54" s="315">
        <v>0.0</v>
      </c>
      <c r="O54" s="315">
        <v>0.0</v>
      </c>
      <c r="P54" s="315">
        <v>0.0</v>
      </c>
      <c r="Q54" s="317">
        <f t="shared" si="8"/>
        <v>0</v>
      </c>
      <c r="R54" s="317" t="str">
        <f>SWITCH(S54,"cash",Reference!E$5,"shares",Reference!$E$6,"balance",Reference!$E$7,"pro-rata",Reference!$B$5)</f>
        <v>#DIV/0!</v>
      </c>
      <c r="S54" s="318" t="s">
        <v>207</v>
      </c>
      <c r="T54" s="319">
        <f>LET(numVmwShares,D54, cashRatio,Reference!$B$4, vmwFinalPrice,Reference!$B$3, numVmwShares * cashRatio * vmwFinalPrice)</f>
        <v>0</v>
      </c>
      <c r="U54" s="319">
        <f>iferror(LET(numVmwShares,$D54, stockRatio,Q54, vmwFinalPrice,Reference!$B$3, (1 - stockRatio) * vmwFinalPrice * numVmwShares),0)</f>
        <v>0</v>
      </c>
      <c r="V54" s="319">
        <f>iferror(LET(numVmwShares,$D54, stockRatio,R54, vmwFinalPrice,Reference!$B$3, (1 - stockRatio) * vmwFinalPrice * numVmwShares),0)</f>
        <v>0</v>
      </c>
      <c r="W54" s="319">
        <f>SWITCH(Reference!$E$4,"eTradeTransactionLog", T54, "eTradeHoldingRatio",T54, "eTradeLotQtyRatio",U54,"manualLotRatio",V54)</f>
        <v>0</v>
      </c>
      <c r="X54" s="309">
        <f>LET(purchaseDate,C54, dateOfRecord,Reference!$B$26, returnOfCapital,Reference!$C$26, IF(purchaseDate &lt; dateOfRecord, returnOfCapital,0))</f>
        <v>10.18</v>
      </c>
      <c r="Y54" s="309">
        <f>LET(purchaseDate,C54, dateOfRecord,Reference!$B$27, returnOfCapital,Reference!$C$27, IF(purchaseDate &lt; dateOfRecord, returnOfCapital,0))</f>
        <v>16.58</v>
      </c>
      <c r="Z54" s="309">
        <f t="shared" si="9"/>
        <v>-26.76</v>
      </c>
      <c r="AA54" s="309">
        <f t="shared" si="10"/>
        <v>0</v>
      </c>
      <c r="AB54" s="320">
        <f>LET(numVmwShares,D54, stockRatio,Reference!$B$5, vmwToAvgoRatio,Reference!$B$6, numVmwShares * stockRatio * vmwToAvgoRatio)</f>
        <v>0</v>
      </c>
      <c r="AC54" s="320">
        <f>LET(numVmwShares,D54, stockRatio,Q54, vmwToAvgoRatio,Reference!$B$6, numVmwShares * stockRatio * vmwToAvgoRatio)</f>
        <v>0</v>
      </c>
      <c r="AD54" s="320" t="str">
        <f>LET(numVmwShares,D54, stockRatio,R54, vmwToAvgoRatio,Reference!$B$6, numVmwShares * stockRatio * vmwToAvgoRatio)</f>
        <v>#DIV/0!</v>
      </c>
      <c r="AE54" s="320">
        <f>SWITCH(Reference!$E$4, "eTradeTransactionLog", AB54, "eTradeHoldingRatio",AB54, "eTradeLotQtyRatio",AC54,"manualLotRatio",AD54)</f>
        <v>0</v>
      </c>
      <c r="AF54" s="321">
        <f>LET(numVmwShares,D54, vmwBasis,Z54, avgoQty,AE54, avgoFMV,Reference!$B$18, cashReceived,W54, gain,cashReceived+(avgoQty*avgoFMV)-(numVmwShares*vmwBasis),
MAX(gain,0))</f>
        <v>0</v>
      </c>
      <c r="AG54" s="322">
        <f>LET(useForFraction,J54, fractionAmount,Summary!$C$41, esppFractionLots,ESPP!$N$5, rsuFractionLots,RSU!J$5, IF(useForFraction, fractionAmount / (esppFractionLots+rsuFractionLots), 0))</f>
        <v>0</v>
      </c>
      <c r="AH54" s="411">
        <f>LET(useForFraction,J54, fractionSaleFMV,Reference!$B$23, postMergerBasis,AT54, lotFractionAmount,AG54, IF(useForFraction, (fractionSaleFMV - postMergerBasis)*lotFractionAmount, 0))</f>
        <v>0</v>
      </c>
      <c r="AI54" s="412">
        <f t="shared" si="11"/>
        <v>0</v>
      </c>
      <c r="AJ54" s="413">
        <f>LET(
purchaseDate,C54,
mergerDate,Reference!$B$28,
lotFractionGain,AH54,
mergerGain,AI54,
IF(DATEDIF(purchaseDate,mergerDate,"Y")&gt;=1,
  0,
  lotFractionGain + mergerGain
))</f>
        <v>0</v>
      </c>
      <c r="AK54" s="413">
        <f>LET(
purchaseDate,C54,
mergerDate,Reference!$B$28,
lotFractionGain,AH54,
mergerGain,AI54,
IF(DATEDIF(purchaseDate,mergerDate,"Y")&gt;=1,
  lotFractionGain+mergerGain,
  0
))</f>
        <v>0</v>
      </c>
      <c r="AL54" s="414" t="str">
        <f>IF(DATEDIF(C54,Reference!$B$28,"Y")&gt;=1,"Part II Box E","Part I Box B")</f>
        <v>Part II Box E</v>
      </c>
      <c r="AM54" s="344" t="str">
        <f t="shared" si="12"/>
        <v/>
      </c>
      <c r="AN54" s="330">
        <f t="shared" si="13"/>
        <v>0</v>
      </c>
      <c r="AO54" s="330">
        <f>LET(
cashReceived,W54, 
avgoQty,AE54, 
proceedsStyle,Reference!$E$9, 
avgoFMV,Reference!$B$18, 
SWITCH(proceedsStyle, "combined", cashReceived +(avgoQty*avgoFMV), "cashOnly", cashReceived))</f>
        <v>0</v>
      </c>
      <c r="AP54" s="345">
        <f>LET(
proceedsStyle,Reference!$E$9,
proceeds,AO54,
gain,AS54,
numVmwShares,D54, 
vmwBasis, Z54, 
avgoQty,AE54, 
avgoFMV,Reference!$B$18, 
cashReceived,W54, 
avgoTotalValue, avgoFMV*avgoQty, 
vmwTotalBasis, vmwBasis*numVmwShares,
alternateGainAmount,AF54, 
SWITCH(proceedsStyle,
  "cashOnly",
    proceeds - gain,
  "combined",
    IF(cashReceived&lt;alternateGainAmount,
      avgoTotalValue,
      vmwTotalBasis
    )
  )
)</f>
        <v>0</v>
      </c>
      <c r="AQ54" s="345" t="str">
        <f t="shared" si="14"/>
        <v/>
      </c>
      <c r="AR54" s="345">
        <v>0.0</v>
      </c>
      <c r="AS54" s="331">
        <f>LET(
proceedsStyle,Reference!$E$9,
proceeds,AO54,
basis1099B,AP54,
adjustment,AR54,
mergerGain,AI54,
SWITCH(proceedsStyle,
  "cashOnly",
    mergerGain,
  "combined",
    MAX(proceeds - basis1099B + adjustment, 0)
))</f>
        <v>0</v>
      </c>
      <c r="AT54" s="415" t="str">
        <f t="shared" si="15"/>
        <v>n/a</v>
      </c>
      <c r="AU54" s="333">
        <f>LET(saleFMV,Reference!$B$10, postMergerBasis,AT54, avgoQty,AE54, lotFractionAmount,AG54, iferror((saleFMV - postMergerBasis) * (avgoQty - lotFractionAmount), 0))</f>
        <v>0</v>
      </c>
      <c r="AV54" s="333">
        <f>LET(
avgoQty,AE54, 
purchaseDate,C54,
postMergerSaleDate,Reference!$B$29,
saleFMV,Reference!$B$10,
postMergerBasis,AT54, 
IFERROR(IF(DATEDIF(purchaseDate,postMergerSaleDate,"Y")&gt;=1,
  0,
  avgoQty * (saleFMV - postMergerBasis)
),0))</f>
        <v>0</v>
      </c>
      <c r="AW54" s="336">
        <f>LET(
avgoQty,AE54, 
purchaseDate,C54,
postMergerSaleDate,Reference!$B$29,
saleFMV,Reference!$B$10,
postMergerBasis,AT54, 
IFERROR(IF(DATEDIF(purchaseDate,postMergerSaleDate,"Y")&gt;=1,
  avgoQty * (saleFMV - postMergerBasis),
  0
),0))</f>
        <v>0</v>
      </c>
      <c r="AX54" s="337"/>
    </row>
    <row r="55">
      <c r="A55" s="405"/>
      <c r="B55" s="406"/>
      <c r="C55" s="307"/>
      <c r="D55" s="338"/>
      <c r="E55" s="321" t="str">
        <f t="array" ref="E55">IF(C55&lt;&gt;"", IFERROR(VLOOKUP(C55, SORT(PriceReference!$A$1:$B1014), 2, TRUE), "price unavailable"), "")</f>
        <v/>
      </c>
      <c r="F55" s="416"/>
      <c r="G55" s="309">
        <f t="shared" si="6"/>
        <v>0</v>
      </c>
      <c r="H55" s="321">
        <f t="shared" si="7"/>
        <v>0</v>
      </c>
      <c r="I55" s="417"/>
      <c r="J55" s="348" t="b">
        <v>0</v>
      </c>
      <c r="K55" s="409"/>
      <c r="L55" s="315">
        <v>0.0</v>
      </c>
      <c r="M55" s="315">
        <v>0.0</v>
      </c>
      <c r="N55" s="315">
        <v>0.0</v>
      </c>
      <c r="O55" s="315">
        <v>0.0</v>
      </c>
      <c r="P55" s="315">
        <v>0.0</v>
      </c>
      <c r="Q55" s="317">
        <f t="shared" si="8"/>
        <v>0</v>
      </c>
      <c r="R55" s="317" t="str">
        <f>SWITCH(S55,"cash",Reference!E$5,"shares",Reference!$E$6,"balance",Reference!$E$7,"pro-rata",Reference!$B$5)</f>
        <v>#DIV/0!</v>
      </c>
      <c r="S55" s="318" t="s">
        <v>207</v>
      </c>
      <c r="T55" s="319">
        <f>LET(numVmwShares,D55, cashRatio,Reference!$B$4, vmwFinalPrice,Reference!$B$3, numVmwShares * cashRatio * vmwFinalPrice)</f>
        <v>0</v>
      </c>
      <c r="U55" s="319">
        <f>iferror(LET(numVmwShares,$D55, stockRatio,Q55, vmwFinalPrice,Reference!$B$3, (1 - stockRatio) * vmwFinalPrice * numVmwShares),0)</f>
        <v>0</v>
      </c>
      <c r="V55" s="319">
        <f>iferror(LET(numVmwShares,$D55, stockRatio,R55, vmwFinalPrice,Reference!$B$3, (1 - stockRatio) * vmwFinalPrice * numVmwShares),0)</f>
        <v>0</v>
      </c>
      <c r="W55" s="319">
        <f>SWITCH(Reference!$E$4,"eTradeTransactionLog", T55, "eTradeHoldingRatio",T55, "eTradeLotQtyRatio",U55,"manualLotRatio",V55)</f>
        <v>0</v>
      </c>
      <c r="X55" s="309">
        <f>LET(purchaseDate,C55, dateOfRecord,Reference!$B$26, returnOfCapital,Reference!$C$26, IF(purchaseDate &lt; dateOfRecord, returnOfCapital,0))</f>
        <v>10.18</v>
      </c>
      <c r="Y55" s="309">
        <f>LET(purchaseDate,C55, dateOfRecord,Reference!$B$27, returnOfCapital,Reference!$C$27, IF(purchaseDate &lt; dateOfRecord, returnOfCapital,0))</f>
        <v>16.58</v>
      </c>
      <c r="Z55" s="309">
        <f t="shared" si="9"/>
        <v>-26.76</v>
      </c>
      <c r="AA55" s="309">
        <f t="shared" si="10"/>
        <v>0</v>
      </c>
      <c r="AB55" s="320">
        <f>LET(numVmwShares,D55, stockRatio,Reference!$B$5, vmwToAvgoRatio,Reference!$B$6, numVmwShares * stockRatio * vmwToAvgoRatio)</f>
        <v>0</v>
      </c>
      <c r="AC55" s="320">
        <f>LET(numVmwShares,D55, stockRatio,Q55, vmwToAvgoRatio,Reference!$B$6, numVmwShares * stockRatio * vmwToAvgoRatio)</f>
        <v>0</v>
      </c>
      <c r="AD55" s="320" t="str">
        <f>LET(numVmwShares,D55, stockRatio,R55, vmwToAvgoRatio,Reference!$B$6, numVmwShares * stockRatio * vmwToAvgoRatio)</f>
        <v>#DIV/0!</v>
      </c>
      <c r="AE55" s="320">
        <f>SWITCH(Reference!$E$4, "eTradeTransactionLog", AB55, "eTradeHoldingRatio",AB55, "eTradeLotQtyRatio",AC55,"manualLotRatio",AD55)</f>
        <v>0</v>
      </c>
      <c r="AF55" s="321">
        <f>LET(numVmwShares,D55, vmwBasis,Z55, avgoQty,AE55, avgoFMV,Reference!$B$18, cashReceived,W55, gain,cashReceived+(avgoQty*avgoFMV)-(numVmwShares*vmwBasis),
MAX(gain,0))</f>
        <v>0</v>
      </c>
      <c r="AG55" s="322">
        <f>LET(useForFraction,J55, fractionAmount,Summary!$C$41, esppFractionLots,ESPP!$N$5, rsuFractionLots,RSU!J$5, IF(useForFraction, fractionAmount / (esppFractionLots+rsuFractionLots), 0))</f>
        <v>0</v>
      </c>
      <c r="AH55" s="411">
        <f>LET(useForFraction,J55, fractionSaleFMV,Reference!$B$23, postMergerBasis,AT55, lotFractionAmount,AG55, IF(useForFraction, (fractionSaleFMV - postMergerBasis)*lotFractionAmount, 0))</f>
        <v>0</v>
      </c>
      <c r="AI55" s="412">
        <f t="shared" si="11"/>
        <v>0</v>
      </c>
      <c r="AJ55" s="413">
        <f>LET(
purchaseDate,C55,
mergerDate,Reference!$B$28,
lotFractionGain,AH55,
mergerGain,AI55,
IF(DATEDIF(purchaseDate,mergerDate,"Y")&gt;=1,
  0,
  lotFractionGain + mergerGain
))</f>
        <v>0</v>
      </c>
      <c r="AK55" s="413">
        <f>LET(
purchaseDate,C55,
mergerDate,Reference!$B$28,
lotFractionGain,AH55,
mergerGain,AI55,
IF(DATEDIF(purchaseDate,mergerDate,"Y")&gt;=1,
  lotFractionGain+mergerGain,
  0
))</f>
        <v>0</v>
      </c>
      <c r="AL55" s="414" t="str">
        <f>IF(DATEDIF(C55,Reference!$B$28,"Y")&gt;=1,"Part II Box E","Part I Box B")</f>
        <v>Part II Box E</v>
      </c>
      <c r="AM55" s="344" t="str">
        <f t="shared" si="12"/>
        <v/>
      </c>
      <c r="AN55" s="330">
        <f t="shared" si="13"/>
        <v>0</v>
      </c>
      <c r="AO55" s="330">
        <f>LET(
cashReceived,W55, 
avgoQty,AE55, 
proceedsStyle,Reference!$E$9, 
avgoFMV,Reference!$B$18, 
SWITCH(proceedsStyle, "combined", cashReceived +(avgoQty*avgoFMV), "cashOnly", cashReceived))</f>
        <v>0</v>
      </c>
      <c r="AP55" s="345">
        <f>LET(
proceedsStyle,Reference!$E$9,
proceeds,AO55,
gain,AS55,
numVmwShares,D55, 
vmwBasis, Z55, 
avgoQty,AE55, 
avgoFMV,Reference!$B$18, 
cashReceived,W55, 
avgoTotalValue, avgoFMV*avgoQty, 
vmwTotalBasis, vmwBasis*numVmwShares,
alternateGainAmount,AF55, 
SWITCH(proceedsStyle,
  "cashOnly",
    proceeds - gain,
  "combined",
    IF(cashReceived&lt;alternateGainAmount,
      avgoTotalValue,
      vmwTotalBasis
    )
  )
)</f>
        <v>0</v>
      </c>
      <c r="AQ55" s="345" t="str">
        <f t="shared" si="14"/>
        <v/>
      </c>
      <c r="AR55" s="345">
        <v>0.0</v>
      </c>
      <c r="AS55" s="331">
        <f>LET(
proceedsStyle,Reference!$E$9,
proceeds,AO55,
basis1099B,AP55,
adjustment,AR55,
mergerGain,AI55,
SWITCH(proceedsStyle,
  "cashOnly",
    mergerGain,
  "combined",
    MAX(proceeds - basis1099B + adjustment, 0)
))</f>
        <v>0</v>
      </c>
      <c r="AT55" s="415" t="str">
        <f t="shared" si="15"/>
        <v>n/a</v>
      </c>
      <c r="AU55" s="333">
        <f>LET(saleFMV,Reference!$B$10, postMergerBasis,AT55, avgoQty,AE55, lotFractionAmount,AG55, iferror((saleFMV - postMergerBasis) * (avgoQty - lotFractionAmount), 0))</f>
        <v>0</v>
      </c>
      <c r="AV55" s="333">
        <f>LET(
avgoQty,AE55, 
purchaseDate,C55,
postMergerSaleDate,Reference!$B$29,
saleFMV,Reference!$B$10,
postMergerBasis,AT55, 
IFERROR(IF(DATEDIF(purchaseDate,postMergerSaleDate,"Y")&gt;=1,
  0,
  avgoQty * (saleFMV - postMergerBasis)
),0))</f>
        <v>0</v>
      </c>
      <c r="AW55" s="336">
        <f>LET(
avgoQty,AE55, 
purchaseDate,C55,
postMergerSaleDate,Reference!$B$29,
saleFMV,Reference!$B$10,
postMergerBasis,AT55, 
IFERROR(IF(DATEDIF(purchaseDate,postMergerSaleDate,"Y")&gt;=1,
  avgoQty * (saleFMV - postMergerBasis),
  0
),0))</f>
        <v>0</v>
      </c>
      <c r="AX55" s="337"/>
    </row>
    <row r="56">
      <c r="A56" s="405"/>
      <c r="B56" s="406"/>
      <c r="C56" s="307"/>
      <c r="D56" s="338"/>
      <c r="E56" s="321" t="str">
        <f t="array" ref="E56">IF(C56&lt;&gt;"", IFERROR(VLOOKUP(C56, SORT(PriceReference!$A$1:$B1014), 2, TRUE), "price unavailable"), "")</f>
        <v/>
      </c>
      <c r="F56" s="416"/>
      <c r="G56" s="309">
        <f t="shared" si="6"/>
        <v>0</v>
      </c>
      <c r="H56" s="321">
        <f t="shared" si="7"/>
        <v>0</v>
      </c>
      <c r="I56" s="417"/>
      <c r="J56" s="348" t="b">
        <v>0</v>
      </c>
      <c r="K56" s="409"/>
      <c r="L56" s="315">
        <v>0.0</v>
      </c>
      <c r="M56" s="315">
        <v>0.0</v>
      </c>
      <c r="N56" s="315">
        <v>0.0</v>
      </c>
      <c r="O56" s="315">
        <v>0.0</v>
      </c>
      <c r="P56" s="315">
        <v>0.0</v>
      </c>
      <c r="Q56" s="317">
        <f t="shared" si="8"/>
        <v>0</v>
      </c>
      <c r="R56" s="317" t="str">
        <f>SWITCH(S56,"cash",Reference!E$5,"shares",Reference!$E$6,"balance",Reference!$E$7,"pro-rata",Reference!$B$5)</f>
        <v>#DIV/0!</v>
      </c>
      <c r="S56" s="318" t="s">
        <v>207</v>
      </c>
      <c r="T56" s="319">
        <f>LET(numVmwShares,D56, cashRatio,Reference!$B$4, vmwFinalPrice,Reference!$B$3, numVmwShares * cashRatio * vmwFinalPrice)</f>
        <v>0</v>
      </c>
      <c r="U56" s="319">
        <f>iferror(LET(numVmwShares,$D56, stockRatio,Q56, vmwFinalPrice,Reference!$B$3, (1 - stockRatio) * vmwFinalPrice * numVmwShares),0)</f>
        <v>0</v>
      </c>
      <c r="V56" s="319">
        <f>iferror(LET(numVmwShares,$D56, stockRatio,R56, vmwFinalPrice,Reference!$B$3, (1 - stockRatio) * vmwFinalPrice * numVmwShares),0)</f>
        <v>0</v>
      </c>
      <c r="W56" s="319">
        <f>SWITCH(Reference!$E$4,"eTradeTransactionLog", T56, "eTradeHoldingRatio",T56, "eTradeLotQtyRatio",U56,"manualLotRatio",V56)</f>
        <v>0</v>
      </c>
      <c r="X56" s="309">
        <f>LET(purchaseDate,C56, dateOfRecord,Reference!$B$26, returnOfCapital,Reference!$C$26, IF(purchaseDate &lt; dateOfRecord, returnOfCapital,0))</f>
        <v>10.18</v>
      </c>
      <c r="Y56" s="309">
        <f>LET(purchaseDate,C56, dateOfRecord,Reference!$B$27, returnOfCapital,Reference!$C$27, IF(purchaseDate &lt; dateOfRecord, returnOfCapital,0))</f>
        <v>16.58</v>
      </c>
      <c r="Z56" s="309">
        <f t="shared" si="9"/>
        <v>-26.76</v>
      </c>
      <c r="AA56" s="309">
        <f t="shared" si="10"/>
        <v>0</v>
      </c>
      <c r="AB56" s="320">
        <f>LET(numVmwShares,D56, stockRatio,Reference!$B$5, vmwToAvgoRatio,Reference!$B$6, numVmwShares * stockRatio * vmwToAvgoRatio)</f>
        <v>0</v>
      </c>
      <c r="AC56" s="320">
        <f>LET(numVmwShares,D56, stockRatio,Q56, vmwToAvgoRatio,Reference!$B$6, numVmwShares * stockRatio * vmwToAvgoRatio)</f>
        <v>0</v>
      </c>
      <c r="AD56" s="320" t="str">
        <f>LET(numVmwShares,D56, stockRatio,R56, vmwToAvgoRatio,Reference!$B$6, numVmwShares * stockRatio * vmwToAvgoRatio)</f>
        <v>#DIV/0!</v>
      </c>
      <c r="AE56" s="320">
        <f>SWITCH(Reference!$E$4, "eTradeTransactionLog", AB56, "eTradeHoldingRatio",AB56, "eTradeLotQtyRatio",AC56,"manualLotRatio",AD56)</f>
        <v>0</v>
      </c>
      <c r="AF56" s="321">
        <f>LET(numVmwShares,D56, vmwBasis,Z56, avgoQty,AE56, avgoFMV,Reference!$B$18, cashReceived,W56, gain,cashReceived+(avgoQty*avgoFMV)-(numVmwShares*vmwBasis),
MAX(gain,0))</f>
        <v>0</v>
      </c>
      <c r="AG56" s="322">
        <f>LET(useForFraction,J56, fractionAmount,Summary!$C$41, esppFractionLots,ESPP!$N$5, rsuFractionLots,RSU!J$5, IF(useForFraction, fractionAmount / (esppFractionLots+rsuFractionLots), 0))</f>
        <v>0</v>
      </c>
      <c r="AH56" s="411">
        <f>LET(useForFraction,J56, fractionSaleFMV,Reference!$B$23, postMergerBasis,AT56, lotFractionAmount,AG56, IF(useForFraction, (fractionSaleFMV - postMergerBasis)*lotFractionAmount, 0))</f>
        <v>0</v>
      </c>
      <c r="AI56" s="412">
        <f t="shared" si="11"/>
        <v>0</v>
      </c>
      <c r="AJ56" s="413">
        <f>LET(
purchaseDate,C56,
mergerDate,Reference!$B$28,
lotFractionGain,AH56,
mergerGain,AI56,
IF(DATEDIF(purchaseDate,mergerDate,"Y")&gt;=1,
  0,
  lotFractionGain + mergerGain
))</f>
        <v>0</v>
      </c>
      <c r="AK56" s="413">
        <f>LET(
purchaseDate,C56,
mergerDate,Reference!$B$28,
lotFractionGain,AH56,
mergerGain,AI56,
IF(DATEDIF(purchaseDate,mergerDate,"Y")&gt;=1,
  lotFractionGain+mergerGain,
  0
))</f>
        <v>0</v>
      </c>
      <c r="AL56" s="414" t="str">
        <f>IF(DATEDIF(C56,Reference!$B$28,"Y")&gt;=1,"Part II Box E","Part I Box B")</f>
        <v>Part II Box E</v>
      </c>
      <c r="AM56" s="344" t="str">
        <f t="shared" si="12"/>
        <v/>
      </c>
      <c r="AN56" s="330">
        <f t="shared" si="13"/>
        <v>0</v>
      </c>
      <c r="AO56" s="330">
        <f>LET(
cashReceived,W56, 
avgoQty,AE56, 
proceedsStyle,Reference!$E$9, 
avgoFMV,Reference!$B$18, 
SWITCH(proceedsStyle, "combined", cashReceived +(avgoQty*avgoFMV), "cashOnly", cashReceived))</f>
        <v>0</v>
      </c>
      <c r="AP56" s="345">
        <f>LET(
proceedsStyle,Reference!$E$9,
proceeds,AO56,
gain,AS56,
numVmwShares,D56, 
vmwBasis, Z56, 
avgoQty,AE56, 
avgoFMV,Reference!$B$18, 
cashReceived,W56, 
avgoTotalValue, avgoFMV*avgoQty, 
vmwTotalBasis, vmwBasis*numVmwShares,
alternateGainAmount,AF56, 
SWITCH(proceedsStyle,
  "cashOnly",
    proceeds - gain,
  "combined",
    IF(cashReceived&lt;alternateGainAmount,
      avgoTotalValue,
      vmwTotalBasis
    )
  )
)</f>
        <v>0</v>
      </c>
      <c r="AQ56" s="345" t="str">
        <f t="shared" si="14"/>
        <v/>
      </c>
      <c r="AR56" s="345">
        <v>0.0</v>
      </c>
      <c r="AS56" s="331">
        <f>LET(
proceedsStyle,Reference!$E$9,
proceeds,AO56,
basis1099B,AP56,
adjustment,AR56,
mergerGain,AI56,
SWITCH(proceedsStyle,
  "cashOnly",
    mergerGain,
  "combined",
    MAX(proceeds - basis1099B + adjustment, 0)
))</f>
        <v>0</v>
      </c>
      <c r="AT56" s="415" t="str">
        <f t="shared" si="15"/>
        <v>n/a</v>
      </c>
      <c r="AU56" s="333">
        <f>LET(saleFMV,Reference!$B$10, postMergerBasis,AT56, avgoQty,AE56, lotFractionAmount,AG56, iferror((saleFMV - postMergerBasis) * (avgoQty - lotFractionAmount), 0))</f>
        <v>0</v>
      </c>
      <c r="AV56" s="333">
        <f>LET(
avgoQty,AE56, 
purchaseDate,C56,
postMergerSaleDate,Reference!$B$29,
saleFMV,Reference!$B$10,
postMergerBasis,AT56, 
IFERROR(IF(DATEDIF(purchaseDate,postMergerSaleDate,"Y")&gt;=1,
  0,
  avgoQty * (saleFMV - postMergerBasis)
),0))</f>
        <v>0</v>
      </c>
      <c r="AW56" s="336">
        <f>LET(
avgoQty,AE56, 
purchaseDate,C56,
postMergerSaleDate,Reference!$B$29,
saleFMV,Reference!$B$10,
postMergerBasis,AT56, 
IFERROR(IF(DATEDIF(purchaseDate,postMergerSaleDate,"Y")&gt;=1,
  avgoQty * (saleFMV - postMergerBasis),
  0
),0))</f>
        <v>0</v>
      </c>
      <c r="AX56" s="337"/>
    </row>
    <row r="57">
      <c r="A57" s="405"/>
      <c r="B57" s="406"/>
      <c r="C57" s="307"/>
      <c r="D57" s="338"/>
      <c r="E57" s="321" t="str">
        <f t="array" ref="E57">IF(C57&lt;&gt;"", IFERROR(VLOOKUP(C57, SORT(PriceReference!$A$1:$B1014), 2, TRUE), "price unavailable"), "")</f>
        <v/>
      </c>
      <c r="F57" s="416"/>
      <c r="G57" s="309">
        <f t="shared" si="6"/>
        <v>0</v>
      </c>
      <c r="H57" s="321">
        <f t="shared" si="7"/>
        <v>0</v>
      </c>
      <c r="I57" s="417"/>
      <c r="J57" s="348" t="b">
        <v>0</v>
      </c>
      <c r="K57" s="409"/>
      <c r="L57" s="315">
        <v>0.0</v>
      </c>
      <c r="M57" s="315">
        <v>0.0</v>
      </c>
      <c r="N57" s="315">
        <v>0.0</v>
      </c>
      <c r="O57" s="315">
        <v>0.0</v>
      </c>
      <c r="P57" s="315">
        <v>0.0</v>
      </c>
      <c r="Q57" s="317">
        <f t="shared" si="8"/>
        <v>0</v>
      </c>
      <c r="R57" s="317" t="str">
        <f>SWITCH(S57,"cash",Reference!E$5,"shares",Reference!$E$6,"balance",Reference!$E$7,"pro-rata",Reference!$B$5)</f>
        <v>#DIV/0!</v>
      </c>
      <c r="S57" s="318" t="s">
        <v>207</v>
      </c>
      <c r="T57" s="319">
        <f>LET(numVmwShares,D57, cashRatio,Reference!$B$4, vmwFinalPrice,Reference!$B$3, numVmwShares * cashRatio * vmwFinalPrice)</f>
        <v>0</v>
      </c>
      <c r="U57" s="319">
        <f>iferror(LET(numVmwShares,$D57, stockRatio,Q57, vmwFinalPrice,Reference!$B$3, (1 - stockRatio) * vmwFinalPrice * numVmwShares),0)</f>
        <v>0</v>
      </c>
      <c r="V57" s="319">
        <f>iferror(LET(numVmwShares,$D57, stockRatio,R57, vmwFinalPrice,Reference!$B$3, (1 - stockRatio) * vmwFinalPrice * numVmwShares),0)</f>
        <v>0</v>
      </c>
      <c r="W57" s="319">
        <f>SWITCH(Reference!$E$4,"eTradeTransactionLog", T57, "eTradeHoldingRatio",T57, "eTradeLotQtyRatio",U57,"manualLotRatio",V57)</f>
        <v>0</v>
      </c>
      <c r="X57" s="309">
        <f>LET(purchaseDate,C57, dateOfRecord,Reference!$B$26, returnOfCapital,Reference!$C$26, IF(purchaseDate &lt; dateOfRecord, returnOfCapital,0))</f>
        <v>10.18</v>
      </c>
      <c r="Y57" s="309">
        <f>LET(purchaseDate,C57, dateOfRecord,Reference!$B$27, returnOfCapital,Reference!$C$27, IF(purchaseDate &lt; dateOfRecord, returnOfCapital,0))</f>
        <v>16.58</v>
      </c>
      <c r="Z57" s="309">
        <f t="shared" si="9"/>
        <v>-26.76</v>
      </c>
      <c r="AA57" s="309">
        <f t="shared" si="10"/>
        <v>0</v>
      </c>
      <c r="AB57" s="320">
        <f>LET(numVmwShares,D57, stockRatio,Reference!$B$5, vmwToAvgoRatio,Reference!$B$6, numVmwShares * stockRatio * vmwToAvgoRatio)</f>
        <v>0</v>
      </c>
      <c r="AC57" s="320">
        <f>LET(numVmwShares,D57, stockRatio,Q57, vmwToAvgoRatio,Reference!$B$6, numVmwShares * stockRatio * vmwToAvgoRatio)</f>
        <v>0</v>
      </c>
      <c r="AD57" s="320" t="str">
        <f>LET(numVmwShares,D57, stockRatio,R57, vmwToAvgoRatio,Reference!$B$6, numVmwShares * stockRatio * vmwToAvgoRatio)</f>
        <v>#DIV/0!</v>
      </c>
      <c r="AE57" s="320">
        <f>SWITCH(Reference!$E$4, "eTradeTransactionLog", AB57, "eTradeHoldingRatio",AB57, "eTradeLotQtyRatio",AC57,"manualLotRatio",AD57)</f>
        <v>0</v>
      </c>
      <c r="AF57" s="321">
        <f>LET(numVmwShares,D57, vmwBasis,Z57, avgoQty,AE57, avgoFMV,Reference!$B$18, cashReceived,W57, gain,cashReceived+(avgoQty*avgoFMV)-(numVmwShares*vmwBasis),
MAX(gain,0))</f>
        <v>0</v>
      </c>
      <c r="AG57" s="322">
        <f>LET(useForFraction,J57, fractionAmount,Summary!$C$41, esppFractionLots,ESPP!$N$5, rsuFractionLots,RSU!J$5, IF(useForFraction, fractionAmount / (esppFractionLots+rsuFractionLots), 0))</f>
        <v>0</v>
      </c>
      <c r="AH57" s="411">
        <f>LET(useForFraction,J57, fractionSaleFMV,Reference!$B$23, postMergerBasis,AT57, lotFractionAmount,AG57, IF(useForFraction, (fractionSaleFMV - postMergerBasis)*lotFractionAmount, 0))</f>
        <v>0</v>
      </c>
      <c r="AI57" s="412">
        <f t="shared" si="11"/>
        <v>0</v>
      </c>
      <c r="AJ57" s="413">
        <f>LET(
purchaseDate,C57,
mergerDate,Reference!$B$28,
lotFractionGain,AH57,
mergerGain,AI57,
IF(DATEDIF(purchaseDate,mergerDate,"Y")&gt;=1,
  0,
  lotFractionGain + mergerGain
))</f>
        <v>0</v>
      </c>
      <c r="AK57" s="413">
        <f>LET(
purchaseDate,C57,
mergerDate,Reference!$B$28,
lotFractionGain,AH57,
mergerGain,AI57,
IF(DATEDIF(purchaseDate,mergerDate,"Y")&gt;=1,
  lotFractionGain+mergerGain,
  0
))</f>
        <v>0</v>
      </c>
      <c r="AL57" s="414" t="str">
        <f>IF(DATEDIF(C57,Reference!$B$28,"Y")&gt;=1,"Part II Box E","Part I Box B")</f>
        <v>Part II Box E</v>
      </c>
      <c r="AM57" s="344" t="str">
        <f t="shared" si="12"/>
        <v/>
      </c>
      <c r="AN57" s="330">
        <f t="shared" si="13"/>
        <v>0</v>
      </c>
      <c r="AO57" s="330">
        <f>LET(
cashReceived,W57, 
avgoQty,AE57, 
proceedsStyle,Reference!$E$9, 
avgoFMV,Reference!$B$18, 
SWITCH(proceedsStyle, "combined", cashReceived +(avgoQty*avgoFMV), "cashOnly", cashReceived))</f>
        <v>0</v>
      </c>
      <c r="AP57" s="345">
        <f>LET(
proceedsStyle,Reference!$E$9,
proceeds,AO57,
gain,AS57,
numVmwShares,D57, 
vmwBasis, Z57, 
avgoQty,AE57, 
avgoFMV,Reference!$B$18, 
cashReceived,W57, 
avgoTotalValue, avgoFMV*avgoQty, 
vmwTotalBasis, vmwBasis*numVmwShares,
alternateGainAmount,AF57, 
SWITCH(proceedsStyle,
  "cashOnly",
    proceeds - gain,
  "combined",
    IF(cashReceived&lt;alternateGainAmount,
      avgoTotalValue,
      vmwTotalBasis
    )
  )
)</f>
        <v>0</v>
      </c>
      <c r="AQ57" s="345" t="str">
        <f t="shared" si="14"/>
        <v/>
      </c>
      <c r="AR57" s="345">
        <v>0.0</v>
      </c>
      <c r="AS57" s="331">
        <f>LET(
proceedsStyle,Reference!$E$9,
proceeds,AO57,
basis1099B,AP57,
adjustment,AR57,
mergerGain,AI57,
SWITCH(proceedsStyle,
  "cashOnly",
    mergerGain,
  "combined",
    MAX(proceeds - basis1099B + adjustment, 0)
))</f>
        <v>0</v>
      </c>
      <c r="AT57" s="415" t="str">
        <f t="shared" si="15"/>
        <v>n/a</v>
      </c>
      <c r="AU57" s="333">
        <f>LET(saleFMV,Reference!$B$10, postMergerBasis,AT57, avgoQty,AE57, lotFractionAmount,AG57, iferror((saleFMV - postMergerBasis) * (avgoQty - lotFractionAmount), 0))</f>
        <v>0</v>
      </c>
      <c r="AV57" s="333">
        <f>LET(
avgoQty,AE57, 
purchaseDate,C57,
postMergerSaleDate,Reference!$B$29,
saleFMV,Reference!$B$10,
postMergerBasis,AT57, 
IFERROR(IF(DATEDIF(purchaseDate,postMergerSaleDate,"Y")&gt;=1,
  0,
  avgoQty * (saleFMV - postMergerBasis)
),0))</f>
        <v>0</v>
      </c>
      <c r="AW57" s="336">
        <f>LET(
avgoQty,AE57, 
purchaseDate,C57,
postMergerSaleDate,Reference!$B$29,
saleFMV,Reference!$B$10,
postMergerBasis,AT57, 
IFERROR(IF(DATEDIF(purchaseDate,postMergerSaleDate,"Y")&gt;=1,
  avgoQty * (saleFMV - postMergerBasis),
  0
),0))</f>
        <v>0</v>
      </c>
      <c r="AX57" s="337"/>
    </row>
    <row r="58">
      <c r="A58" s="405"/>
      <c r="B58" s="406"/>
      <c r="C58" s="307"/>
      <c r="D58" s="338"/>
      <c r="E58" s="321" t="str">
        <f t="array" ref="E58">IF(C58&lt;&gt;"", IFERROR(VLOOKUP(C58, SORT(PriceReference!$A$1:$B1014), 2, TRUE), "price unavailable"), "")</f>
        <v/>
      </c>
      <c r="F58" s="416"/>
      <c r="G58" s="309">
        <f t="shared" si="6"/>
        <v>0</v>
      </c>
      <c r="H58" s="321">
        <f t="shared" si="7"/>
        <v>0</v>
      </c>
      <c r="I58" s="417"/>
      <c r="J58" s="348" t="b">
        <v>0</v>
      </c>
      <c r="K58" s="409"/>
      <c r="L58" s="315">
        <v>0.0</v>
      </c>
      <c r="M58" s="315">
        <v>0.0</v>
      </c>
      <c r="N58" s="315">
        <v>0.0</v>
      </c>
      <c r="O58" s="315">
        <v>0.0</v>
      </c>
      <c r="P58" s="315">
        <v>0.0</v>
      </c>
      <c r="Q58" s="317">
        <f t="shared" si="8"/>
        <v>0</v>
      </c>
      <c r="R58" s="317" t="str">
        <f>SWITCH(S58,"cash",Reference!E$5,"shares",Reference!$E$6,"balance",Reference!$E$7,"pro-rata",Reference!$B$5)</f>
        <v>#DIV/0!</v>
      </c>
      <c r="S58" s="318" t="s">
        <v>207</v>
      </c>
      <c r="T58" s="319">
        <f>LET(numVmwShares,D58, cashRatio,Reference!$B$4, vmwFinalPrice,Reference!$B$3, numVmwShares * cashRatio * vmwFinalPrice)</f>
        <v>0</v>
      </c>
      <c r="U58" s="319">
        <f>iferror(LET(numVmwShares,$D58, stockRatio,Q58, vmwFinalPrice,Reference!$B$3, (1 - stockRatio) * vmwFinalPrice * numVmwShares),0)</f>
        <v>0</v>
      </c>
      <c r="V58" s="319">
        <f>iferror(LET(numVmwShares,$D58, stockRatio,R58, vmwFinalPrice,Reference!$B$3, (1 - stockRatio) * vmwFinalPrice * numVmwShares),0)</f>
        <v>0</v>
      </c>
      <c r="W58" s="319">
        <f>SWITCH(Reference!$E$4,"eTradeTransactionLog", T58, "eTradeHoldingRatio",T58, "eTradeLotQtyRatio",U58,"manualLotRatio",V58)</f>
        <v>0</v>
      </c>
      <c r="X58" s="309">
        <f>LET(purchaseDate,C58, dateOfRecord,Reference!$B$26, returnOfCapital,Reference!$C$26, IF(purchaseDate &lt; dateOfRecord, returnOfCapital,0))</f>
        <v>10.18</v>
      </c>
      <c r="Y58" s="309">
        <f>LET(purchaseDate,C58, dateOfRecord,Reference!$B$27, returnOfCapital,Reference!$C$27, IF(purchaseDate &lt; dateOfRecord, returnOfCapital,0))</f>
        <v>16.58</v>
      </c>
      <c r="Z58" s="309">
        <f t="shared" si="9"/>
        <v>-26.76</v>
      </c>
      <c r="AA58" s="309">
        <f t="shared" si="10"/>
        <v>0</v>
      </c>
      <c r="AB58" s="320">
        <f>LET(numVmwShares,D58, stockRatio,Reference!$B$5, vmwToAvgoRatio,Reference!$B$6, numVmwShares * stockRatio * vmwToAvgoRatio)</f>
        <v>0</v>
      </c>
      <c r="AC58" s="320">
        <f>LET(numVmwShares,D58, stockRatio,Q58, vmwToAvgoRatio,Reference!$B$6, numVmwShares * stockRatio * vmwToAvgoRatio)</f>
        <v>0</v>
      </c>
      <c r="AD58" s="320" t="str">
        <f>LET(numVmwShares,D58, stockRatio,R58, vmwToAvgoRatio,Reference!$B$6, numVmwShares * stockRatio * vmwToAvgoRatio)</f>
        <v>#DIV/0!</v>
      </c>
      <c r="AE58" s="320">
        <f>SWITCH(Reference!$E$4, "eTradeTransactionLog", AB58, "eTradeHoldingRatio",AB58, "eTradeLotQtyRatio",AC58,"manualLotRatio",AD58)</f>
        <v>0</v>
      </c>
      <c r="AF58" s="321">
        <f>LET(numVmwShares,D58, vmwBasis,Z58, avgoQty,AE58, avgoFMV,Reference!$B$18, cashReceived,W58, gain,cashReceived+(avgoQty*avgoFMV)-(numVmwShares*vmwBasis),
MAX(gain,0))</f>
        <v>0</v>
      </c>
      <c r="AG58" s="322">
        <f>LET(useForFraction,J58, fractionAmount,Summary!$C$41, esppFractionLots,ESPP!$N$5, rsuFractionLots,RSU!J$5, IF(useForFraction, fractionAmount / (esppFractionLots+rsuFractionLots), 0))</f>
        <v>0</v>
      </c>
      <c r="AH58" s="411">
        <f>LET(useForFraction,J58, fractionSaleFMV,Reference!$B$23, postMergerBasis,AT58, lotFractionAmount,AG58, IF(useForFraction, (fractionSaleFMV - postMergerBasis)*lotFractionAmount, 0))</f>
        <v>0</v>
      </c>
      <c r="AI58" s="412">
        <f t="shared" si="11"/>
        <v>0</v>
      </c>
      <c r="AJ58" s="413">
        <f>LET(
purchaseDate,C58,
mergerDate,Reference!$B$28,
lotFractionGain,AH58,
mergerGain,AI58,
IF(DATEDIF(purchaseDate,mergerDate,"Y")&gt;=1,
  0,
  lotFractionGain + mergerGain
))</f>
        <v>0</v>
      </c>
      <c r="AK58" s="413">
        <f>LET(
purchaseDate,C58,
mergerDate,Reference!$B$28,
lotFractionGain,AH58,
mergerGain,AI58,
IF(DATEDIF(purchaseDate,mergerDate,"Y")&gt;=1,
  lotFractionGain+mergerGain,
  0
))</f>
        <v>0</v>
      </c>
      <c r="AL58" s="414" t="str">
        <f>IF(DATEDIF(C58,Reference!$B$28,"Y")&gt;=1,"Part II Box E","Part I Box B")</f>
        <v>Part II Box E</v>
      </c>
      <c r="AM58" s="344" t="str">
        <f t="shared" si="12"/>
        <v/>
      </c>
      <c r="AN58" s="330">
        <f t="shared" si="13"/>
        <v>0</v>
      </c>
      <c r="AO58" s="330">
        <f>LET(
cashReceived,W58, 
avgoQty,AE58, 
proceedsStyle,Reference!$E$9, 
avgoFMV,Reference!$B$18, 
SWITCH(proceedsStyle, "combined", cashReceived +(avgoQty*avgoFMV), "cashOnly", cashReceived))</f>
        <v>0</v>
      </c>
      <c r="AP58" s="345">
        <f>LET(
proceedsStyle,Reference!$E$9,
proceeds,AO58,
gain,AS58,
numVmwShares,D58, 
vmwBasis, Z58, 
avgoQty,AE58, 
avgoFMV,Reference!$B$18, 
cashReceived,W58, 
avgoTotalValue, avgoFMV*avgoQty, 
vmwTotalBasis, vmwBasis*numVmwShares,
alternateGainAmount,AF58, 
SWITCH(proceedsStyle,
  "cashOnly",
    proceeds - gain,
  "combined",
    IF(cashReceived&lt;alternateGainAmount,
      avgoTotalValue,
      vmwTotalBasis
    )
  )
)</f>
        <v>0</v>
      </c>
      <c r="AQ58" s="345" t="str">
        <f t="shared" si="14"/>
        <v/>
      </c>
      <c r="AR58" s="345">
        <v>0.0</v>
      </c>
      <c r="AS58" s="331">
        <f>LET(
proceedsStyle,Reference!$E$9,
proceeds,AO58,
basis1099B,AP58,
adjustment,AR58,
mergerGain,AI58,
SWITCH(proceedsStyle,
  "cashOnly",
    mergerGain,
  "combined",
    MAX(proceeds - basis1099B + adjustment, 0)
))</f>
        <v>0</v>
      </c>
      <c r="AT58" s="415" t="str">
        <f t="shared" si="15"/>
        <v>n/a</v>
      </c>
      <c r="AU58" s="333">
        <f>LET(saleFMV,Reference!$B$10, postMergerBasis,AT58, avgoQty,AE58, lotFractionAmount,AG58, iferror((saleFMV - postMergerBasis) * (avgoQty - lotFractionAmount), 0))</f>
        <v>0</v>
      </c>
      <c r="AV58" s="333">
        <f>LET(
avgoQty,AE58, 
purchaseDate,C58,
postMergerSaleDate,Reference!$B$29,
saleFMV,Reference!$B$10,
postMergerBasis,AT58, 
IFERROR(IF(DATEDIF(purchaseDate,postMergerSaleDate,"Y")&gt;=1,
  0,
  avgoQty * (saleFMV - postMergerBasis)
),0))</f>
        <v>0</v>
      </c>
      <c r="AW58" s="336">
        <f>LET(
avgoQty,AE58, 
purchaseDate,C58,
postMergerSaleDate,Reference!$B$29,
saleFMV,Reference!$B$10,
postMergerBasis,AT58, 
IFERROR(IF(DATEDIF(purchaseDate,postMergerSaleDate,"Y")&gt;=1,
  avgoQty * (saleFMV - postMergerBasis),
  0
),0))</f>
        <v>0</v>
      </c>
      <c r="AX58" s="337"/>
    </row>
    <row r="59">
      <c r="A59" s="405"/>
      <c r="B59" s="420"/>
      <c r="C59" s="307"/>
      <c r="D59" s="338"/>
      <c r="E59" s="321" t="str">
        <f t="array" ref="E59">IF(C59&lt;&gt;"", IFERROR(VLOOKUP(C59, SORT(PriceReference!$A$1:$B1014), 2, TRUE), "price unavailable"), "")</f>
        <v/>
      </c>
      <c r="F59" s="416"/>
      <c r="G59" s="309">
        <f t="shared" si="6"/>
        <v>0</v>
      </c>
      <c r="H59" s="321">
        <f t="shared" si="7"/>
        <v>0</v>
      </c>
      <c r="I59" s="417"/>
      <c r="J59" s="348" t="b">
        <v>0</v>
      </c>
      <c r="K59" s="409"/>
      <c r="L59" s="315">
        <v>0.0</v>
      </c>
      <c r="M59" s="315">
        <v>0.0</v>
      </c>
      <c r="N59" s="315">
        <v>0.0</v>
      </c>
      <c r="O59" s="315">
        <v>0.0</v>
      </c>
      <c r="P59" s="315">
        <v>0.0</v>
      </c>
      <c r="Q59" s="317">
        <f t="shared" si="8"/>
        <v>0</v>
      </c>
      <c r="R59" s="317" t="str">
        <f>SWITCH(S59,"cash",Reference!E$5,"shares",Reference!$E$6,"balance",Reference!$E$7,"pro-rata",Reference!$B$5)</f>
        <v>#DIV/0!</v>
      </c>
      <c r="S59" s="318" t="s">
        <v>207</v>
      </c>
      <c r="T59" s="319">
        <f>LET(numVmwShares,D59, cashRatio,Reference!$B$4, vmwFinalPrice,Reference!$B$3, numVmwShares * cashRatio * vmwFinalPrice)</f>
        <v>0</v>
      </c>
      <c r="U59" s="319">
        <f>iferror(LET(numVmwShares,$D59, stockRatio,Q59, vmwFinalPrice,Reference!$B$3, (1 - stockRatio) * vmwFinalPrice * numVmwShares),0)</f>
        <v>0</v>
      </c>
      <c r="V59" s="319">
        <f>iferror(LET(numVmwShares,$D59, stockRatio,R59, vmwFinalPrice,Reference!$B$3, (1 - stockRatio) * vmwFinalPrice * numVmwShares),0)</f>
        <v>0</v>
      </c>
      <c r="W59" s="319">
        <f>SWITCH(Reference!$E$4,"eTradeTransactionLog", T59, "eTradeHoldingRatio",T59, "eTradeLotQtyRatio",U59,"manualLotRatio",V59)</f>
        <v>0</v>
      </c>
      <c r="X59" s="309">
        <f>LET(purchaseDate,C59, dateOfRecord,Reference!$B$26, returnOfCapital,Reference!$C$26, IF(purchaseDate &lt; dateOfRecord, returnOfCapital,0))</f>
        <v>10.18</v>
      </c>
      <c r="Y59" s="309">
        <f>LET(purchaseDate,C59, dateOfRecord,Reference!$B$27, returnOfCapital,Reference!$C$27, IF(purchaseDate &lt; dateOfRecord, returnOfCapital,0))</f>
        <v>16.58</v>
      </c>
      <c r="Z59" s="309">
        <f t="shared" si="9"/>
        <v>-26.76</v>
      </c>
      <c r="AA59" s="309">
        <f t="shared" si="10"/>
        <v>0</v>
      </c>
      <c r="AB59" s="320">
        <f>LET(numVmwShares,D59, stockRatio,Reference!$B$5, vmwToAvgoRatio,Reference!$B$6, numVmwShares * stockRatio * vmwToAvgoRatio)</f>
        <v>0</v>
      </c>
      <c r="AC59" s="320">
        <f>LET(numVmwShares,D59, stockRatio,Q59, vmwToAvgoRatio,Reference!$B$6, numVmwShares * stockRatio * vmwToAvgoRatio)</f>
        <v>0</v>
      </c>
      <c r="AD59" s="320" t="str">
        <f>LET(numVmwShares,D59, stockRatio,R59, vmwToAvgoRatio,Reference!$B$6, numVmwShares * stockRatio * vmwToAvgoRatio)</f>
        <v>#DIV/0!</v>
      </c>
      <c r="AE59" s="320">
        <f>SWITCH(Reference!$E$4, "eTradeTransactionLog", AB59, "eTradeHoldingRatio",AB59, "eTradeLotQtyRatio",AC59,"manualLotRatio",AD59)</f>
        <v>0</v>
      </c>
      <c r="AF59" s="321">
        <f>LET(numVmwShares,D59, vmwBasis,Z59, avgoQty,AE59, avgoFMV,Reference!$B$18, cashReceived,W59, gain,cashReceived+(avgoQty*avgoFMV)-(numVmwShares*vmwBasis),
MAX(gain,0))</f>
        <v>0</v>
      </c>
      <c r="AG59" s="322">
        <f>LET(useForFraction,J59, fractionAmount,Summary!$C$41, esppFractionLots,ESPP!$N$5, rsuFractionLots,RSU!J$5, IF(useForFraction, fractionAmount / (esppFractionLots+rsuFractionLots), 0))</f>
        <v>0</v>
      </c>
      <c r="AH59" s="411">
        <f>LET(useForFraction,J59, fractionSaleFMV,Reference!$B$23, postMergerBasis,AT59, lotFractionAmount,AG59, IF(useForFraction, (fractionSaleFMV - postMergerBasis)*lotFractionAmount, 0))</f>
        <v>0</v>
      </c>
      <c r="AI59" s="412">
        <f t="shared" si="11"/>
        <v>0</v>
      </c>
      <c r="AJ59" s="413">
        <f>LET(
purchaseDate,C59,
mergerDate,Reference!$B$28,
lotFractionGain,AH59,
mergerGain,AI59,
IF(DATEDIF(purchaseDate,mergerDate,"Y")&gt;=1,
  0,
  lotFractionGain + mergerGain
))</f>
        <v>0</v>
      </c>
      <c r="AK59" s="413">
        <f>LET(
purchaseDate,C59,
mergerDate,Reference!$B$28,
lotFractionGain,AH59,
mergerGain,AI59,
IF(DATEDIF(purchaseDate,mergerDate,"Y")&gt;=1,
  lotFractionGain+mergerGain,
  0
))</f>
        <v>0</v>
      </c>
      <c r="AL59" s="414" t="str">
        <f>IF(DATEDIF(C59,Reference!$B$28,"Y")&gt;=1,"Part II Box E","Part I Box B")</f>
        <v>Part II Box E</v>
      </c>
      <c r="AM59" s="344" t="str">
        <f t="shared" si="12"/>
        <v/>
      </c>
      <c r="AN59" s="330">
        <f t="shared" si="13"/>
        <v>0</v>
      </c>
      <c r="AO59" s="330">
        <f>LET(
cashReceived,W59, 
avgoQty,AE59, 
proceedsStyle,Reference!$E$9, 
avgoFMV,Reference!$B$18, 
SWITCH(proceedsStyle, "combined", cashReceived +(avgoQty*avgoFMV), "cashOnly", cashReceived))</f>
        <v>0</v>
      </c>
      <c r="AP59" s="345">
        <f>LET(
proceedsStyle,Reference!$E$9,
proceeds,AO59,
gain,AS59,
numVmwShares,D59, 
vmwBasis, Z59, 
avgoQty,AE59, 
avgoFMV,Reference!$B$18, 
cashReceived,W59, 
avgoTotalValue, avgoFMV*avgoQty, 
vmwTotalBasis, vmwBasis*numVmwShares,
alternateGainAmount,AF59, 
SWITCH(proceedsStyle,
  "cashOnly",
    proceeds - gain,
  "combined",
    IF(cashReceived&lt;alternateGainAmount,
      avgoTotalValue,
      vmwTotalBasis
    )
  )
)</f>
        <v>0</v>
      </c>
      <c r="AQ59" s="345" t="str">
        <f t="shared" si="14"/>
        <v/>
      </c>
      <c r="AR59" s="345">
        <v>0.0</v>
      </c>
      <c r="AS59" s="331">
        <f>LET(
proceedsStyle,Reference!$E$9,
proceeds,AO59,
basis1099B,AP59,
adjustment,AR59,
mergerGain,AI59,
SWITCH(proceedsStyle,
  "cashOnly",
    mergerGain,
  "combined",
    MAX(proceeds - basis1099B + adjustment, 0)
))</f>
        <v>0</v>
      </c>
      <c r="AT59" s="415" t="str">
        <f t="shared" si="15"/>
        <v>n/a</v>
      </c>
      <c r="AU59" s="333">
        <f>LET(saleFMV,Reference!$B$10, postMergerBasis,AT59, avgoQty,AE59, lotFractionAmount,AG59, iferror((saleFMV - postMergerBasis) * (avgoQty - lotFractionAmount), 0))</f>
        <v>0</v>
      </c>
      <c r="AV59" s="333">
        <f>LET(
avgoQty,AE59, 
purchaseDate,C59,
postMergerSaleDate,Reference!$B$29,
saleFMV,Reference!$B$10,
postMergerBasis,AT59, 
IFERROR(IF(DATEDIF(purchaseDate,postMergerSaleDate,"Y")&gt;=1,
  0,
  avgoQty * (saleFMV - postMergerBasis)
),0))</f>
        <v>0</v>
      </c>
      <c r="AW59" s="336">
        <f>LET(
avgoQty,AE59, 
purchaseDate,C59,
postMergerSaleDate,Reference!$B$29,
saleFMV,Reference!$B$10,
postMergerBasis,AT59, 
IFERROR(IF(DATEDIF(purchaseDate,postMergerSaleDate,"Y")&gt;=1,
  avgoQty * (saleFMV - postMergerBasis),
  0
),0))</f>
        <v>0</v>
      </c>
      <c r="AX59" s="337"/>
    </row>
    <row r="60">
      <c r="A60" s="405"/>
      <c r="B60" s="406"/>
      <c r="C60" s="307"/>
      <c r="D60" s="338"/>
      <c r="E60" s="321" t="str">
        <f t="array" ref="E60">IF(C60&lt;&gt;"", IFERROR(VLOOKUP(C60, SORT(PriceReference!$A$1:$B1014), 2, TRUE), "price unavailable"), "")</f>
        <v/>
      </c>
      <c r="F60" s="416"/>
      <c r="G60" s="309">
        <f t="shared" si="6"/>
        <v>0</v>
      </c>
      <c r="H60" s="321">
        <f t="shared" si="7"/>
        <v>0</v>
      </c>
      <c r="I60" s="417"/>
      <c r="J60" s="348" t="b">
        <v>0</v>
      </c>
      <c r="K60" s="409"/>
      <c r="L60" s="315">
        <v>0.0</v>
      </c>
      <c r="M60" s="315">
        <v>0.0</v>
      </c>
      <c r="N60" s="315">
        <v>0.0</v>
      </c>
      <c r="O60" s="315">
        <v>0.0</v>
      </c>
      <c r="P60" s="315">
        <v>0.0</v>
      </c>
      <c r="Q60" s="317">
        <f t="shared" si="8"/>
        <v>0</v>
      </c>
      <c r="R60" s="317" t="str">
        <f>SWITCH(S60,"cash",Reference!E$5,"shares",Reference!$E$6,"balance",Reference!$E$7,"pro-rata",Reference!$B$5)</f>
        <v>#DIV/0!</v>
      </c>
      <c r="S60" s="318" t="s">
        <v>207</v>
      </c>
      <c r="T60" s="319">
        <f>LET(numVmwShares,D60, cashRatio,Reference!$B$4, vmwFinalPrice,Reference!$B$3, numVmwShares * cashRatio * vmwFinalPrice)</f>
        <v>0</v>
      </c>
      <c r="U60" s="319">
        <f>iferror(LET(numVmwShares,$D60, stockRatio,Q60, vmwFinalPrice,Reference!$B$3, (1 - stockRatio) * vmwFinalPrice * numVmwShares),0)</f>
        <v>0</v>
      </c>
      <c r="V60" s="319">
        <f>iferror(LET(numVmwShares,$D60, stockRatio,R60, vmwFinalPrice,Reference!$B$3, (1 - stockRatio) * vmwFinalPrice * numVmwShares),0)</f>
        <v>0</v>
      </c>
      <c r="W60" s="319">
        <f>SWITCH(Reference!$E$4,"eTradeTransactionLog", T60, "eTradeHoldingRatio",T60, "eTradeLotQtyRatio",U60,"manualLotRatio",V60)</f>
        <v>0</v>
      </c>
      <c r="X60" s="309">
        <f>LET(purchaseDate,C60, dateOfRecord,Reference!$B$26, returnOfCapital,Reference!$C$26, IF(purchaseDate &lt; dateOfRecord, returnOfCapital,0))</f>
        <v>10.18</v>
      </c>
      <c r="Y60" s="309">
        <f>LET(purchaseDate,C60, dateOfRecord,Reference!$B$27, returnOfCapital,Reference!$C$27, IF(purchaseDate &lt; dateOfRecord, returnOfCapital,0))</f>
        <v>16.58</v>
      </c>
      <c r="Z60" s="309">
        <f t="shared" si="9"/>
        <v>-26.76</v>
      </c>
      <c r="AA60" s="309">
        <f t="shared" si="10"/>
        <v>0</v>
      </c>
      <c r="AB60" s="320">
        <f>LET(numVmwShares,D60, stockRatio,Reference!$B$5, vmwToAvgoRatio,Reference!$B$6, numVmwShares * stockRatio * vmwToAvgoRatio)</f>
        <v>0</v>
      </c>
      <c r="AC60" s="320">
        <f>LET(numVmwShares,D60, stockRatio,Q60, vmwToAvgoRatio,Reference!$B$6, numVmwShares * stockRatio * vmwToAvgoRatio)</f>
        <v>0</v>
      </c>
      <c r="AD60" s="320" t="str">
        <f>LET(numVmwShares,D60, stockRatio,R60, vmwToAvgoRatio,Reference!$B$6, numVmwShares * stockRatio * vmwToAvgoRatio)</f>
        <v>#DIV/0!</v>
      </c>
      <c r="AE60" s="320">
        <f>SWITCH(Reference!$E$4, "eTradeTransactionLog", AB60, "eTradeHoldingRatio",AB60, "eTradeLotQtyRatio",AC60,"manualLotRatio",AD60)</f>
        <v>0</v>
      </c>
      <c r="AF60" s="321">
        <f>LET(numVmwShares,D60, vmwBasis,Z60, avgoQty,AE60, avgoFMV,Reference!$B$18, cashReceived,W60, gain,cashReceived+(avgoQty*avgoFMV)-(numVmwShares*vmwBasis),
MAX(gain,0))</f>
        <v>0</v>
      </c>
      <c r="AG60" s="322">
        <f>LET(useForFraction,J60, fractionAmount,Summary!$C$41, esppFractionLots,ESPP!$N$5, rsuFractionLots,RSU!J$5, IF(useForFraction, fractionAmount / (esppFractionLots+rsuFractionLots), 0))</f>
        <v>0</v>
      </c>
      <c r="AH60" s="411">
        <f>LET(useForFraction,J60, fractionSaleFMV,Reference!$B$23, postMergerBasis,AT60, lotFractionAmount,AG60, IF(useForFraction, (fractionSaleFMV - postMergerBasis)*lotFractionAmount, 0))</f>
        <v>0</v>
      </c>
      <c r="AI60" s="412">
        <f t="shared" si="11"/>
        <v>0</v>
      </c>
      <c r="AJ60" s="413">
        <f>LET(
purchaseDate,C60,
mergerDate,Reference!$B$28,
lotFractionGain,AH60,
mergerGain,AI60,
IF(DATEDIF(purchaseDate,mergerDate,"Y")&gt;=1,
  0,
  lotFractionGain + mergerGain
))</f>
        <v>0</v>
      </c>
      <c r="AK60" s="413">
        <f>LET(
purchaseDate,C60,
mergerDate,Reference!$B$28,
lotFractionGain,AH60,
mergerGain,AI60,
IF(DATEDIF(purchaseDate,mergerDate,"Y")&gt;=1,
  lotFractionGain+mergerGain,
  0
))</f>
        <v>0</v>
      </c>
      <c r="AL60" s="414" t="str">
        <f>IF(DATEDIF(C60,Reference!$B$28,"Y")&gt;=1,"Part II Box E","Part I Box B")</f>
        <v>Part II Box E</v>
      </c>
      <c r="AM60" s="344" t="str">
        <f t="shared" si="12"/>
        <v/>
      </c>
      <c r="AN60" s="330">
        <f t="shared" si="13"/>
        <v>0</v>
      </c>
      <c r="AO60" s="330">
        <f>LET(
cashReceived,W60, 
avgoQty,AE60, 
proceedsStyle,Reference!$E$9, 
avgoFMV,Reference!$B$18, 
SWITCH(proceedsStyle, "combined", cashReceived +(avgoQty*avgoFMV), "cashOnly", cashReceived))</f>
        <v>0</v>
      </c>
      <c r="AP60" s="345">
        <f>LET(
proceedsStyle,Reference!$E$9,
proceeds,AO60,
gain,AS60,
numVmwShares,D60, 
vmwBasis, Z60, 
avgoQty,AE60, 
avgoFMV,Reference!$B$18, 
cashReceived,W60, 
avgoTotalValue, avgoFMV*avgoQty, 
vmwTotalBasis, vmwBasis*numVmwShares,
alternateGainAmount,AF60, 
SWITCH(proceedsStyle,
  "cashOnly",
    proceeds - gain,
  "combined",
    IF(cashReceived&lt;alternateGainAmount,
      avgoTotalValue,
      vmwTotalBasis
    )
  )
)</f>
        <v>0</v>
      </c>
      <c r="AQ60" s="345" t="str">
        <f t="shared" si="14"/>
        <v/>
      </c>
      <c r="AR60" s="345">
        <v>0.0</v>
      </c>
      <c r="AS60" s="331">
        <f>LET(
proceedsStyle,Reference!$E$9,
proceeds,AO60,
basis1099B,AP60,
adjustment,AR60,
mergerGain,AI60,
SWITCH(proceedsStyle,
  "cashOnly",
    mergerGain,
  "combined",
    MAX(proceeds - basis1099B + adjustment, 0)
))</f>
        <v>0</v>
      </c>
      <c r="AT60" s="415" t="str">
        <f t="shared" si="15"/>
        <v>n/a</v>
      </c>
      <c r="AU60" s="333">
        <f>LET(saleFMV,Reference!$B$10, postMergerBasis,AT60, avgoQty,AE60, lotFractionAmount,AG60, iferror((saleFMV - postMergerBasis) * (avgoQty - lotFractionAmount), 0))</f>
        <v>0</v>
      </c>
      <c r="AV60" s="333">
        <f>LET(
avgoQty,AE60, 
purchaseDate,C60,
postMergerSaleDate,Reference!$B$29,
saleFMV,Reference!$B$10,
postMergerBasis,AT60, 
IFERROR(IF(DATEDIF(purchaseDate,postMergerSaleDate,"Y")&gt;=1,
  0,
  avgoQty * (saleFMV - postMergerBasis)
),0))</f>
        <v>0</v>
      </c>
      <c r="AW60" s="336">
        <f>LET(
avgoQty,AE60, 
purchaseDate,C60,
postMergerSaleDate,Reference!$B$29,
saleFMV,Reference!$B$10,
postMergerBasis,AT60, 
IFERROR(IF(DATEDIF(purchaseDate,postMergerSaleDate,"Y")&gt;=1,
  avgoQty * (saleFMV - postMergerBasis),
  0
),0))</f>
        <v>0</v>
      </c>
      <c r="AX60" s="337"/>
    </row>
    <row r="61">
      <c r="A61" s="405"/>
      <c r="B61" s="406"/>
      <c r="C61" s="307"/>
      <c r="D61" s="338"/>
      <c r="E61" s="321" t="str">
        <f t="array" ref="E61">IF(C61&lt;&gt;"", IFERROR(VLOOKUP(C61, SORT(PriceReference!$A$1:$B1014), 2, TRUE), "price unavailable"), "")</f>
        <v/>
      </c>
      <c r="F61" s="416"/>
      <c r="G61" s="309">
        <f t="shared" si="6"/>
        <v>0</v>
      </c>
      <c r="H61" s="321">
        <f t="shared" si="7"/>
        <v>0</v>
      </c>
      <c r="I61" s="417"/>
      <c r="J61" s="348" t="b">
        <v>0</v>
      </c>
      <c r="K61" s="409"/>
      <c r="L61" s="315">
        <v>0.0</v>
      </c>
      <c r="M61" s="315">
        <v>0.0</v>
      </c>
      <c r="N61" s="315">
        <v>0.0</v>
      </c>
      <c r="O61" s="315">
        <v>0.0</v>
      </c>
      <c r="P61" s="315">
        <v>0.0</v>
      </c>
      <c r="Q61" s="317">
        <f t="shared" si="8"/>
        <v>0</v>
      </c>
      <c r="R61" s="317" t="str">
        <f>SWITCH(S61,"cash",Reference!E$5,"shares",Reference!$E$6,"balance",Reference!$E$7,"pro-rata",Reference!$B$5)</f>
        <v>#DIV/0!</v>
      </c>
      <c r="S61" s="318" t="s">
        <v>207</v>
      </c>
      <c r="T61" s="319">
        <f>LET(numVmwShares,D61, cashRatio,Reference!$B$4, vmwFinalPrice,Reference!$B$3, numVmwShares * cashRatio * vmwFinalPrice)</f>
        <v>0</v>
      </c>
      <c r="U61" s="319">
        <f>iferror(LET(numVmwShares,$D61, stockRatio,Q61, vmwFinalPrice,Reference!$B$3, (1 - stockRatio) * vmwFinalPrice * numVmwShares),0)</f>
        <v>0</v>
      </c>
      <c r="V61" s="319">
        <f>iferror(LET(numVmwShares,$D61, stockRatio,R61, vmwFinalPrice,Reference!$B$3, (1 - stockRatio) * vmwFinalPrice * numVmwShares),0)</f>
        <v>0</v>
      </c>
      <c r="W61" s="319">
        <f>SWITCH(Reference!$E$4,"eTradeTransactionLog", T61, "eTradeHoldingRatio",T61, "eTradeLotQtyRatio",U61,"manualLotRatio",V61)</f>
        <v>0</v>
      </c>
      <c r="X61" s="309">
        <f>LET(purchaseDate,C61, dateOfRecord,Reference!$B$26, returnOfCapital,Reference!$C$26, IF(purchaseDate &lt; dateOfRecord, returnOfCapital,0))</f>
        <v>10.18</v>
      </c>
      <c r="Y61" s="309">
        <f>LET(purchaseDate,C61, dateOfRecord,Reference!$B$27, returnOfCapital,Reference!$C$27, IF(purchaseDate &lt; dateOfRecord, returnOfCapital,0))</f>
        <v>16.58</v>
      </c>
      <c r="Z61" s="309">
        <f t="shared" si="9"/>
        <v>-26.76</v>
      </c>
      <c r="AA61" s="309">
        <f t="shared" si="10"/>
        <v>0</v>
      </c>
      <c r="AB61" s="320">
        <f>LET(numVmwShares,D61, stockRatio,Reference!$B$5, vmwToAvgoRatio,Reference!$B$6, numVmwShares * stockRatio * vmwToAvgoRatio)</f>
        <v>0</v>
      </c>
      <c r="AC61" s="320">
        <f>LET(numVmwShares,D61, stockRatio,Q61, vmwToAvgoRatio,Reference!$B$6, numVmwShares * stockRatio * vmwToAvgoRatio)</f>
        <v>0</v>
      </c>
      <c r="AD61" s="320" t="str">
        <f>LET(numVmwShares,D61, stockRatio,R61, vmwToAvgoRatio,Reference!$B$6, numVmwShares * stockRatio * vmwToAvgoRatio)</f>
        <v>#DIV/0!</v>
      </c>
      <c r="AE61" s="320">
        <f>SWITCH(Reference!$E$4, "eTradeTransactionLog", AB61, "eTradeHoldingRatio",AB61, "eTradeLotQtyRatio",AC61,"manualLotRatio",AD61)</f>
        <v>0</v>
      </c>
      <c r="AF61" s="321">
        <f>LET(numVmwShares,D61, vmwBasis,Z61, avgoQty,AE61, avgoFMV,Reference!$B$18, cashReceived,W61, gain,cashReceived+(avgoQty*avgoFMV)-(numVmwShares*vmwBasis),
MAX(gain,0))</f>
        <v>0</v>
      </c>
      <c r="AG61" s="322">
        <f>LET(useForFraction,J61, fractionAmount,Summary!$C$41, esppFractionLots,ESPP!$N$5, rsuFractionLots,RSU!J$5, IF(useForFraction, fractionAmount / (esppFractionLots+rsuFractionLots), 0))</f>
        <v>0</v>
      </c>
      <c r="AH61" s="411">
        <f>LET(useForFraction,J61, fractionSaleFMV,Reference!$B$23, postMergerBasis,AT61, lotFractionAmount,AG61, IF(useForFraction, (fractionSaleFMV - postMergerBasis)*lotFractionAmount, 0))</f>
        <v>0</v>
      </c>
      <c r="AI61" s="412">
        <f t="shared" si="11"/>
        <v>0</v>
      </c>
      <c r="AJ61" s="413">
        <f>LET(
purchaseDate,C61,
mergerDate,Reference!$B$28,
lotFractionGain,AH61,
mergerGain,AI61,
IF(DATEDIF(purchaseDate,mergerDate,"Y")&gt;=1,
  0,
  lotFractionGain + mergerGain
))</f>
        <v>0</v>
      </c>
      <c r="AK61" s="413">
        <f>LET(
purchaseDate,C61,
mergerDate,Reference!$B$28,
lotFractionGain,AH61,
mergerGain,AI61,
IF(DATEDIF(purchaseDate,mergerDate,"Y")&gt;=1,
  lotFractionGain+mergerGain,
  0
))</f>
        <v>0</v>
      </c>
      <c r="AL61" s="414" t="str">
        <f>IF(DATEDIF(C61,Reference!$B$28,"Y")&gt;=1,"Part II Box E","Part I Box B")</f>
        <v>Part II Box E</v>
      </c>
      <c r="AM61" s="344" t="str">
        <f t="shared" si="12"/>
        <v/>
      </c>
      <c r="AN61" s="330">
        <f t="shared" si="13"/>
        <v>0</v>
      </c>
      <c r="AO61" s="330">
        <f>LET(
cashReceived,W61, 
avgoQty,AE61, 
proceedsStyle,Reference!$E$9, 
avgoFMV,Reference!$B$18, 
SWITCH(proceedsStyle, "combined", cashReceived +(avgoQty*avgoFMV), "cashOnly", cashReceived))</f>
        <v>0</v>
      </c>
      <c r="AP61" s="345">
        <f>LET(
proceedsStyle,Reference!$E$9,
proceeds,AO61,
gain,AS61,
numVmwShares,D61, 
vmwBasis, Z61, 
avgoQty,AE61, 
avgoFMV,Reference!$B$18, 
cashReceived,W61, 
avgoTotalValue, avgoFMV*avgoQty, 
vmwTotalBasis, vmwBasis*numVmwShares,
alternateGainAmount,AF61, 
SWITCH(proceedsStyle,
  "cashOnly",
    proceeds - gain,
  "combined",
    IF(cashReceived&lt;alternateGainAmount,
      avgoTotalValue,
      vmwTotalBasis
    )
  )
)</f>
        <v>0</v>
      </c>
      <c r="AQ61" s="345" t="str">
        <f t="shared" si="14"/>
        <v/>
      </c>
      <c r="AR61" s="345">
        <v>0.0</v>
      </c>
      <c r="AS61" s="331">
        <f>LET(
proceedsStyle,Reference!$E$9,
proceeds,AO61,
basis1099B,AP61,
adjustment,AR61,
mergerGain,AI61,
SWITCH(proceedsStyle,
  "cashOnly",
    mergerGain,
  "combined",
    MAX(proceeds - basis1099B + adjustment, 0)
))</f>
        <v>0</v>
      </c>
      <c r="AT61" s="415" t="str">
        <f t="shared" si="15"/>
        <v>n/a</v>
      </c>
      <c r="AU61" s="333">
        <f>LET(saleFMV,Reference!$B$10, postMergerBasis,AT61, avgoQty,AE61, lotFractionAmount,AG61, iferror((saleFMV - postMergerBasis) * (avgoQty - lotFractionAmount), 0))</f>
        <v>0</v>
      </c>
      <c r="AV61" s="333">
        <f>LET(
avgoQty,AE61, 
purchaseDate,C61,
postMergerSaleDate,Reference!$B$29,
saleFMV,Reference!$B$10,
postMergerBasis,AT61, 
IFERROR(IF(DATEDIF(purchaseDate,postMergerSaleDate,"Y")&gt;=1,
  0,
  avgoQty * (saleFMV - postMergerBasis)
),0))</f>
        <v>0</v>
      </c>
      <c r="AW61" s="336">
        <f>LET(
avgoQty,AE61, 
purchaseDate,C61,
postMergerSaleDate,Reference!$B$29,
saleFMV,Reference!$B$10,
postMergerBasis,AT61, 
IFERROR(IF(DATEDIF(purchaseDate,postMergerSaleDate,"Y")&gt;=1,
  avgoQty * (saleFMV - postMergerBasis),
  0
),0))</f>
        <v>0</v>
      </c>
      <c r="AX61" s="337"/>
    </row>
    <row r="62">
      <c r="A62" s="405"/>
      <c r="B62" s="406"/>
      <c r="C62" s="307"/>
      <c r="D62" s="338"/>
      <c r="E62" s="321" t="str">
        <f t="array" ref="E62">IF(C62&lt;&gt;"", IFERROR(VLOOKUP(C62, SORT(PriceReference!$A$1:$B1014), 2, TRUE), "price unavailable"), "")</f>
        <v/>
      </c>
      <c r="F62" s="416"/>
      <c r="G62" s="309">
        <f t="shared" si="6"/>
        <v>0</v>
      </c>
      <c r="H62" s="321">
        <f t="shared" si="7"/>
        <v>0</v>
      </c>
      <c r="I62" s="417"/>
      <c r="J62" s="348" t="b">
        <v>0</v>
      </c>
      <c r="K62" s="409"/>
      <c r="L62" s="315">
        <v>0.0</v>
      </c>
      <c r="M62" s="315">
        <v>0.0</v>
      </c>
      <c r="N62" s="315">
        <v>0.0</v>
      </c>
      <c r="O62" s="315">
        <v>0.0</v>
      </c>
      <c r="P62" s="315">
        <v>0.0</v>
      </c>
      <c r="Q62" s="317">
        <f t="shared" si="8"/>
        <v>0</v>
      </c>
      <c r="R62" s="317" t="str">
        <f>SWITCH(S62,"cash",Reference!E$5,"shares",Reference!$E$6,"balance",Reference!$E$7,"pro-rata",Reference!$B$5)</f>
        <v>#DIV/0!</v>
      </c>
      <c r="S62" s="318" t="s">
        <v>207</v>
      </c>
      <c r="T62" s="319">
        <f>LET(numVmwShares,D62, cashRatio,Reference!$B$4, vmwFinalPrice,Reference!$B$3, numVmwShares * cashRatio * vmwFinalPrice)</f>
        <v>0</v>
      </c>
      <c r="U62" s="319">
        <f>iferror(LET(numVmwShares,$D62, stockRatio,Q62, vmwFinalPrice,Reference!$B$3, (1 - stockRatio) * vmwFinalPrice * numVmwShares),0)</f>
        <v>0</v>
      </c>
      <c r="V62" s="319">
        <f>iferror(LET(numVmwShares,$D62, stockRatio,R62, vmwFinalPrice,Reference!$B$3, (1 - stockRatio) * vmwFinalPrice * numVmwShares),0)</f>
        <v>0</v>
      </c>
      <c r="W62" s="319">
        <f>SWITCH(Reference!$E$4,"eTradeTransactionLog", T62, "eTradeHoldingRatio",T62, "eTradeLotQtyRatio",U62,"manualLotRatio",V62)</f>
        <v>0</v>
      </c>
      <c r="X62" s="309">
        <f>LET(purchaseDate,C62, dateOfRecord,Reference!$B$26, returnOfCapital,Reference!$C$26, IF(purchaseDate &lt; dateOfRecord, returnOfCapital,0))</f>
        <v>10.18</v>
      </c>
      <c r="Y62" s="309">
        <f>LET(purchaseDate,C62, dateOfRecord,Reference!$B$27, returnOfCapital,Reference!$C$27, IF(purchaseDate &lt; dateOfRecord, returnOfCapital,0))</f>
        <v>16.58</v>
      </c>
      <c r="Z62" s="309">
        <f t="shared" si="9"/>
        <v>-26.76</v>
      </c>
      <c r="AA62" s="309">
        <f t="shared" si="10"/>
        <v>0</v>
      </c>
      <c r="AB62" s="320">
        <f>LET(numVmwShares,D62, stockRatio,Reference!$B$5, vmwToAvgoRatio,Reference!$B$6, numVmwShares * stockRatio * vmwToAvgoRatio)</f>
        <v>0</v>
      </c>
      <c r="AC62" s="320">
        <f>LET(numVmwShares,D62, stockRatio,Q62, vmwToAvgoRatio,Reference!$B$6, numVmwShares * stockRatio * vmwToAvgoRatio)</f>
        <v>0</v>
      </c>
      <c r="AD62" s="320" t="str">
        <f>LET(numVmwShares,D62, stockRatio,R62, vmwToAvgoRatio,Reference!$B$6, numVmwShares * stockRatio * vmwToAvgoRatio)</f>
        <v>#DIV/0!</v>
      </c>
      <c r="AE62" s="320">
        <f>SWITCH(Reference!$E$4, "eTradeTransactionLog", AB62, "eTradeHoldingRatio",AB62, "eTradeLotQtyRatio",AC62,"manualLotRatio",AD62)</f>
        <v>0</v>
      </c>
      <c r="AF62" s="321">
        <f>LET(numVmwShares,D62, vmwBasis,Z62, avgoQty,AE62, avgoFMV,Reference!$B$18, cashReceived,W62, gain,cashReceived+(avgoQty*avgoFMV)-(numVmwShares*vmwBasis),
MAX(gain,0))</f>
        <v>0</v>
      </c>
      <c r="AG62" s="322">
        <f>LET(useForFraction,J62, fractionAmount,Summary!$C$41, esppFractionLots,ESPP!$N$5, rsuFractionLots,RSU!J$5, IF(useForFraction, fractionAmount / (esppFractionLots+rsuFractionLots), 0))</f>
        <v>0</v>
      </c>
      <c r="AH62" s="411">
        <f>LET(useForFraction,J62, fractionSaleFMV,Reference!$B$23, postMergerBasis,AT62, lotFractionAmount,AG62, IF(useForFraction, (fractionSaleFMV - postMergerBasis)*lotFractionAmount, 0))</f>
        <v>0</v>
      </c>
      <c r="AI62" s="412">
        <f t="shared" si="11"/>
        <v>0</v>
      </c>
      <c r="AJ62" s="413">
        <f>LET(
purchaseDate,C62,
mergerDate,Reference!$B$28,
lotFractionGain,AH62,
mergerGain,AI62,
IF(DATEDIF(purchaseDate,mergerDate,"Y")&gt;=1,
  0,
  lotFractionGain + mergerGain
))</f>
        <v>0</v>
      </c>
      <c r="AK62" s="413">
        <f>LET(
purchaseDate,C62,
mergerDate,Reference!$B$28,
lotFractionGain,AH62,
mergerGain,AI62,
IF(DATEDIF(purchaseDate,mergerDate,"Y")&gt;=1,
  lotFractionGain+mergerGain,
  0
))</f>
        <v>0</v>
      </c>
      <c r="AL62" s="414" t="str">
        <f>IF(DATEDIF(C62,Reference!$B$28,"Y")&gt;=1,"Part II Box E","Part I Box B")</f>
        <v>Part II Box E</v>
      </c>
      <c r="AM62" s="344" t="str">
        <f t="shared" si="12"/>
        <v/>
      </c>
      <c r="AN62" s="330">
        <f t="shared" si="13"/>
        <v>0</v>
      </c>
      <c r="AO62" s="330">
        <f>LET(
cashReceived,W62, 
avgoQty,AE62, 
proceedsStyle,Reference!$E$9, 
avgoFMV,Reference!$B$18, 
SWITCH(proceedsStyle, "combined", cashReceived +(avgoQty*avgoFMV), "cashOnly", cashReceived))</f>
        <v>0</v>
      </c>
      <c r="AP62" s="345">
        <f>LET(
proceedsStyle,Reference!$E$9,
proceeds,AO62,
gain,AS62,
numVmwShares,D62, 
vmwBasis, Z62, 
avgoQty,AE62, 
avgoFMV,Reference!$B$18, 
cashReceived,W62, 
avgoTotalValue, avgoFMV*avgoQty, 
vmwTotalBasis, vmwBasis*numVmwShares,
alternateGainAmount,AF62, 
SWITCH(proceedsStyle,
  "cashOnly",
    proceeds - gain,
  "combined",
    IF(cashReceived&lt;alternateGainAmount,
      avgoTotalValue,
      vmwTotalBasis
    )
  )
)</f>
        <v>0</v>
      </c>
      <c r="AQ62" s="345" t="str">
        <f t="shared" si="14"/>
        <v/>
      </c>
      <c r="AR62" s="345">
        <v>0.0</v>
      </c>
      <c r="AS62" s="331">
        <f>LET(
proceedsStyle,Reference!$E$9,
proceeds,AO62,
basis1099B,AP62,
adjustment,AR62,
mergerGain,AI62,
SWITCH(proceedsStyle,
  "cashOnly",
    mergerGain,
  "combined",
    MAX(proceeds - basis1099B + adjustment, 0)
))</f>
        <v>0</v>
      </c>
      <c r="AT62" s="415" t="str">
        <f t="shared" si="15"/>
        <v>n/a</v>
      </c>
      <c r="AU62" s="333">
        <f>LET(saleFMV,Reference!$B$10, postMergerBasis,AT62, avgoQty,AE62, lotFractionAmount,AG62, iferror((saleFMV - postMergerBasis) * (avgoQty - lotFractionAmount), 0))</f>
        <v>0</v>
      </c>
      <c r="AV62" s="333">
        <f>LET(
avgoQty,AE62, 
purchaseDate,C62,
postMergerSaleDate,Reference!$B$29,
saleFMV,Reference!$B$10,
postMergerBasis,AT62, 
IFERROR(IF(DATEDIF(purchaseDate,postMergerSaleDate,"Y")&gt;=1,
  0,
  avgoQty * (saleFMV - postMergerBasis)
),0))</f>
        <v>0</v>
      </c>
      <c r="AW62" s="336">
        <f>LET(
avgoQty,AE62, 
purchaseDate,C62,
postMergerSaleDate,Reference!$B$29,
saleFMV,Reference!$B$10,
postMergerBasis,AT62, 
IFERROR(IF(DATEDIF(purchaseDate,postMergerSaleDate,"Y")&gt;=1,
  avgoQty * (saleFMV - postMergerBasis),
  0
),0))</f>
        <v>0</v>
      </c>
      <c r="AX62" s="337"/>
    </row>
    <row r="63">
      <c r="A63" s="405"/>
      <c r="B63" s="420"/>
      <c r="C63" s="307"/>
      <c r="D63" s="338"/>
      <c r="E63" s="321" t="str">
        <f t="array" ref="E63">IF(C63&lt;&gt;"", IFERROR(VLOOKUP(C63, SORT(PriceReference!$A$1:$B1014), 2, TRUE), "price unavailable"), "")</f>
        <v/>
      </c>
      <c r="F63" s="416"/>
      <c r="G63" s="309">
        <f t="shared" si="6"/>
        <v>0</v>
      </c>
      <c r="H63" s="321">
        <f t="shared" si="7"/>
        <v>0</v>
      </c>
      <c r="I63" s="417"/>
      <c r="J63" s="348" t="b">
        <v>0</v>
      </c>
      <c r="K63" s="409"/>
      <c r="L63" s="315">
        <v>0.0</v>
      </c>
      <c r="M63" s="315">
        <v>0.0</v>
      </c>
      <c r="N63" s="315">
        <v>0.0</v>
      </c>
      <c r="O63" s="315">
        <v>0.0</v>
      </c>
      <c r="P63" s="315">
        <v>0.0</v>
      </c>
      <c r="Q63" s="317">
        <f t="shared" si="8"/>
        <v>0</v>
      </c>
      <c r="R63" s="317" t="str">
        <f>SWITCH(S63,"cash",Reference!E$5,"shares",Reference!$E$6,"balance",Reference!$E$7,"pro-rata",Reference!$B$5)</f>
        <v>#DIV/0!</v>
      </c>
      <c r="S63" s="318" t="s">
        <v>207</v>
      </c>
      <c r="T63" s="319">
        <f>LET(numVmwShares,D63, cashRatio,Reference!$B$4, vmwFinalPrice,Reference!$B$3, numVmwShares * cashRatio * vmwFinalPrice)</f>
        <v>0</v>
      </c>
      <c r="U63" s="319">
        <f>iferror(LET(numVmwShares,$D63, stockRatio,Q63, vmwFinalPrice,Reference!$B$3, (1 - stockRatio) * vmwFinalPrice * numVmwShares),0)</f>
        <v>0</v>
      </c>
      <c r="V63" s="319">
        <f>iferror(LET(numVmwShares,$D63, stockRatio,R63, vmwFinalPrice,Reference!$B$3, (1 - stockRatio) * vmwFinalPrice * numVmwShares),0)</f>
        <v>0</v>
      </c>
      <c r="W63" s="319">
        <f>SWITCH(Reference!$E$4,"eTradeTransactionLog", T63, "eTradeHoldingRatio",T63, "eTradeLotQtyRatio",U63,"manualLotRatio",V63)</f>
        <v>0</v>
      </c>
      <c r="X63" s="309">
        <f>LET(purchaseDate,C63, dateOfRecord,Reference!$B$26, returnOfCapital,Reference!$C$26, IF(purchaseDate &lt; dateOfRecord, returnOfCapital,0))</f>
        <v>10.18</v>
      </c>
      <c r="Y63" s="309">
        <f>LET(purchaseDate,C63, dateOfRecord,Reference!$B$27, returnOfCapital,Reference!$C$27, IF(purchaseDate &lt; dateOfRecord, returnOfCapital,0))</f>
        <v>16.58</v>
      </c>
      <c r="Z63" s="309">
        <f t="shared" si="9"/>
        <v>-26.76</v>
      </c>
      <c r="AA63" s="309">
        <f t="shared" si="10"/>
        <v>0</v>
      </c>
      <c r="AB63" s="320">
        <f>LET(numVmwShares,D63, stockRatio,Reference!$B$5, vmwToAvgoRatio,Reference!$B$6, numVmwShares * stockRatio * vmwToAvgoRatio)</f>
        <v>0</v>
      </c>
      <c r="AC63" s="320">
        <f>LET(numVmwShares,D63, stockRatio,Q63, vmwToAvgoRatio,Reference!$B$6, numVmwShares * stockRatio * vmwToAvgoRatio)</f>
        <v>0</v>
      </c>
      <c r="AD63" s="320" t="str">
        <f>LET(numVmwShares,D63, stockRatio,R63, vmwToAvgoRatio,Reference!$B$6, numVmwShares * stockRatio * vmwToAvgoRatio)</f>
        <v>#DIV/0!</v>
      </c>
      <c r="AE63" s="320">
        <f>SWITCH(Reference!$E$4, "eTradeTransactionLog", AB63, "eTradeHoldingRatio",AB63, "eTradeLotQtyRatio",AC63,"manualLotRatio",AD63)</f>
        <v>0</v>
      </c>
      <c r="AF63" s="321">
        <f>LET(numVmwShares,D63, vmwBasis,Z63, avgoQty,AE63, avgoFMV,Reference!$B$18, cashReceived,W63, gain,cashReceived+(avgoQty*avgoFMV)-(numVmwShares*vmwBasis),
MAX(gain,0))</f>
        <v>0</v>
      </c>
      <c r="AG63" s="322">
        <f>LET(useForFraction,J63, fractionAmount,Summary!$C$41, esppFractionLots,ESPP!$N$5, rsuFractionLots,RSU!J$5, IF(useForFraction, fractionAmount / (esppFractionLots+rsuFractionLots), 0))</f>
        <v>0</v>
      </c>
      <c r="AH63" s="411">
        <f>LET(useForFraction,J63, fractionSaleFMV,Reference!$B$23, postMergerBasis,AT63, lotFractionAmount,AG63, IF(useForFraction, (fractionSaleFMV - postMergerBasis)*lotFractionAmount, 0))</f>
        <v>0</v>
      </c>
      <c r="AI63" s="412">
        <f t="shared" si="11"/>
        <v>0</v>
      </c>
      <c r="AJ63" s="413">
        <f>LET(
purchaseDate,C63,
mergerDate,Reference!$B$28,
lotFractionGain,AH63,
mergerGain,AI63,
IF(DATEDIF(purchaseDate,mergerDate,"Y")&gt;=1,
  0,
  lotFractionGain + mergerGain
))</f>
        <v>0</v>
      </c>
      <c r="AK63" s="413">
        <f>LET(
purchaseDate,C63,
mergerDate,Reference!$B$28,
lotFractionGain,AH63,
mergerGain,AI63,
IF(DATEDIF(purchaseDate,mergerDate,"Y")&gt;=1,
  lotFractionGain+mergerGain,
  0
))</f>
        <v>0</v>
      </c>
      <c r="AL63" s="414" t="str">
        <f>IF(DATEDIF(C63,Reference!$B$28,"Y")&gt;=1,"Part II Box E","Part I Box B")</f>
        <v>Part II Box E</v>
      </c>
      <c r="AM63" s="344" t="str">
        <f t="shared" si="12"/>
        <v/>
      </c>
      <c r="AN63" s="330">
        <f t="shared" si="13"/>
        <v>0</v>
      </c>
      <c r="AO63" s="330">
        <f>LET(
cashReceived,W63, 
avgoQty,AE63, 
proceedsStyle,Reference!$E$9, 
avgoFMV,Reference!$B$18, 
SWITCH(proceedsStyle, "combined", cashReceived +(avgoQty*avgoFMV), "cashOnly", cashReceived))</f>
        <v>0</v>
      </c>
      <c r="AP63" s="345">
        <f>LET(
proceedsStyle,Reference!$E$9,
proceeds,AO63,
gain,AS63,
numVmwShares,D63, 
vmwBasis, Z63, 
avgoQty,AE63, 
avgoFMV,Reference!$B$18, 
cashReceived,W63, 
avgoTotalValue, avgoFMV*avgoQty, 
vmwTotalBasis, vmwBasis*numVmwShares,
alternateGainAmount,AF63, 
SWITCH(proceedsStyle,
  "cashOnly",
    proceeds - gain,
  "combined",
    IF(cashReceived&lt;alternateGainAmount,
      avgoTotalValue,
      vmwTotalBasis
    )
  )
)</f>
        <v>0</v>
      </c>
      <c r="AQ63" s="345" t="str">
        <f t="shared" si="14"/>
        <v/>
      </c>
      <c r="AR63" s="345">
        <v>0.0</v>
      </c>
      <c r="AS63" s="331">
        <f>LET(
proceedsStyle,Reference!$E$9,
proceeds,AO63,
basis1099B,AP63,
adjustment,AR63,
mergerGain,AI63,
SWITCH(proceedsStyle,
  "cashOnly",
    mergerGain,
  "combined",
    MAX(proceeds - basis1099B + adjustment, 0)
))</f>
        <v>0</v>
      </c>
      <c r="AT63" s="415" t="str">
        <f t="shared" si="15"/>
        <v>n/a</v>
      </c>
      <c r="AU63" s="333">
        <f>LET(saleFMV,Reference!$B$10, postMergerBasis,AT63, avgoQty,AE63, lotFractionAmount,AG63, iferror((saleFMV - postMergerBasis) * (avgoQty - lotFractionAmount), 0))</f>
        <v>0</v>
      </c>
      <c r="AV63" s="333">
        <f>LET(
avgoQty,AE63, 
purchaseDate,C63,
postMergerSaleDate,Reference!$B$29,
saleFMV,Reference!$B$10,
postMergerBasis,AT63, 
IFERROR(IF(DATEDIF(purchaseDate,postMergerSaleDate,"Y")&gt;=1,
  0,
  avgoQty * (saleFMV - postMergerBasis)
),0))</f>
        <v>0</v>
      </c>
      <c r="AW63" s="336">
        <f>LET(
avgoQty,AE63, 
purchaseDate,C63,
postMergerSaleDate,Reference!$B$29,
saleFMV,Reference!$B$10,
postMergerBasis,AT63, 
IFERROR(IF(DATEDIF(purchaseDate,postMergerSaleDate,"Y")&gt;=1,
  avgoQty * (saleFMV - postMergerBasis),
  0
),0))</f>
        <v>0</v>
      </c>
      <c r="AX63" s="337"/>
    </row>
    <row r="64">
      <c r="A64" s="405"/>
      <c r="B64" s="406"/>
      <c r="C64" s="307"/>
      <c r="D64" s="338"/>
      <c r="E64" s="321" t="str">
        <f t="array" ref="E64">IF(C64&lt;&gt;"", IFERROR(VLOOKUP(C64, SORT(PriceReference!$A$1:$B1014), 2, TRUE), "price unavailable"), "")</f>
        <v/>
      </c>
      <c r="F64" s="416"/>
      <c r="G64" s="309">
        <f t="shared" si="6"/>
        <v>0</v>
      </c>
      <c r="H64" s="321">
        <f t="shared" si="7"/>
        <v>0</v>
      </c>
      <c r="I64" s="417"/>
      <c r="J64" s="348" t="b">
        <v>0</v>
      </c>
      <c r="K64" s="409"/>
      <c r="L64" s="315">
        <v>0.0</v>
      </c>
      <c r="M64" s="315">
        <v>0.0</v>
      </c>
      <c r="N64" s="315">
        <v>0.0</v>
      </c>
      <c r="O64" s="315">
        <v>0.0</v>
      </c>
      <c r="P64" s="315">
        <v>0.0</v>
      </c>
      <c r="Q64" s="317">
        <f t="shared" si="8"/>
        <v>0</v>
      </c>
      <c r="R64" s="317" t="str">
        <f>SWITCH(S64,"cash",Reference!E$5,"shares",Reference!$E$6,"balance",Reference!$E$7,"pro-rata",Reference!$B$5)</f>
        <v>#DIV/0!</v>
      </c>
      <c r="S64" s="318" t="s">
        <v>207</v>
      </c>
      <c r="T64" s="319">
        <f>LET(numVmwShares,D64, cashRatio,Reference!$B$4, vmwFinalPrice,Reference!$B$3, numVmwShares * cashRatio * vmwFinalPrice)</f>
        <v>0</v>
      </c>
      <c r="U64" s="319">
        <f>iferror(LET(numVmwShares,$D64, stockRatio,Q64, vmwFinalPrice,Reference!$B$3, (1 - stockRatio) * vmwFinalPrice * numVmwShares),0)</f>
        <v>0</v>
      </c>
      <c r="V64" s="319">
        <f>iferror(LET(numVmwShares,$D64, stockRatio,R64, vmwFinalPrice,Reference!$B$3, (1 - stockRatio) * vmwFinalPrice * numVmwShares),0)</f>
        <v>0</v>
      </c>
      <c r="W64" s="319">
        <f>SWITCH(Reference!$E$4,"eTradeTransactionLog", T64, "eTradeHoldingRatio",T64, "eTradeLotQtyRatio",U64,"manualLotRatio",V64)</f>
        <v>0</v>
      </c>
      <c r="X64" s="309">
        <f>LET(purchaseDate,C64, dateOfRecord,Reference!$B$26, returnOfCapital,Reference!$C$26, IF(purchaseDate &lt; dateOfRecord, returnOfCapital,0))</f>
        <v>10.18</v>
      </c>
      <c r="Y64" s="309">
        <f>LET(purchaseDate,C64, dateOfRecord,Reference!$B$27, returnOfCapital,Reference!$C$27, IF(purchaseDate &lt; dateOfRecord, returnOfCapital,0))</f>
        <v>16.58</v>
      </c>
      <c r="Z64" s="309">
        <f t="shared" si="9"/>
        <v>-26.76</v>
      </c>
      <c r="AA64" s="309">
        <f t="shared" si="10"/>
        <v>0</v>
      </c>
      <c r="AB64" s="320">
        <f>LET(numVmwShares,D64, stockRatio,Reference!$B$5, vmwToAvgoRatio,Reference!$B$6, numVmwShares * stockRatio * vmwToAvgoRatio)</f>
        <v>0</v>
      </c>
      <c r="AC64" s="320">
        <f>LET(numVmwShares,D64, stockRatio,Q64, vmwToAvgoRatio,Reference!$B$6, numVmwShares * stockRatio * vmwToAvgoRatio)</f>
        <v>0</v>
      </c>
      <c r="AD64" s="320" t="str">
        <f>LET(numVmwShares,D64, stockRatio,R64, vmwToAvgoRatio,Reference!$B$6, numVmwShares * stockRatio * vmwToAvgoRatio)</f>
        <v>#DIV/0!</v>
      </c>
      <c r="AE64" s="320">
        <f>SWITCH(Reference!$E$4, "eTradeTransactionLog", AB64, "eTradeHoldingRatio",AB64, "eTradeLotQtyRatio",AC64,"manualLotRatio",AD64)</f>
        <v>0</v>
      </c>
      <c r="AF64" s="321">
        <f>LET(numVmwShares,D64, vmwBasis,Z64, avgoQty,AE64, avgoFMV,Reference!$B$18, cashReceived,W64, gain,cashReceived+(avgoQty*avgoFMV)-(numVmwShares*vmwBasis),
MAX(gain,0))</f>
        <v>0</v>
      </c>
      <c r="AG64" s="322">
        <f>LET(useForFraction,J64, fractionAmount,Summary!$C$41, esppFractionLots,ESPP!$N$5, rsuFractionLots,RSU!J$5, IF(useForFraction, fractionAmount / (esppFractionLots+rsuFractionLots), 0))</f>
        <v>0</v>
      </c>
      <c r="AH64" s="411">
        <f>LET(useForFraction,J64, fractionSaleFMV,Reference!$B$23, postMergerBasis,AT64, lotFractionAmount,AG64, IF(useForFraction, (fractionSaleFMV - postMergerBasis)*lotFractionAmount, 0))</f>
        <v>0</v>
      </c>
      <c r="AI64" s="412">
        <f t="shared" si="11"/>
        <v>0</v>
      </c>
      <c r="AJ64" s="413">
        <f>LET(
purchaseDate,C64,
mergerDate,Reference!$B$28,
lotFractionGain,AH64,
mergerGain,AI64,
IF(DATEDIF(purchaseDate,mergerDate,"Y")&gt;=1,
  0,
  lotFractionGain + mergerGain
))</f>
        <v>0</v>
      </c>
      <c r="AK64" s="413">
        <f>LET(
purchaseDate,C64,
mergerDate,Reference!$B$28,
lotFractionGain,AH64,
mergerGain,AI64,
IF(DATEDIF(purchaseDate,mergerDate,"Y")&gt;=1,
  lotFractionGain+mergerGain,
  0
))</f>
        <v>0</v>
      </c>
      <c r="AL64" s="414" t="str">
        <f>IF(DATEDIF(C64,Reference!$B$28,"Y")&gt;=1,"Part II Box E","Part I Box B")</f>
        <v>Part II Box E</v>
      </c>
      <c r="AM64" s="344" t="str">
        <f t="shared" si="12"/>
        <v/>
      </c>
      <c r="AN64" s="330">
        <f t="shared" si="13"/>
        <v>0</v>
      </c>
      <c r="AO64" s="330">
        <f>LET(
cashReceived,W64, 
avgoQty,AE64, 
proceedsStyle,Reference!$E$9, 
avgoFMV,Reference!$B$18, 
SWITCH(proceedsStyle, "combined", cashReceived +(avgoQty*avgoFMV), "cashOnly", cashReceived))</f>
        <v>0</v>
      </c>
      <c r="AP64" s="345">
        <f>LET(
proceedsStyle,Reference!$E$9,
proceeds,AO64,
gain,AS64,
numVmwShares,D64, 
vmwBasis, Z64, 
avgoQty,AE64, 
avgoFMV,Reference!$B$18, 
cashReceived,W64, 
avgoTotalValue, avgoFMV*avgoQty, 
vmwTotalBasis, vmwBasis*numVmwShares,
alternateGainAmount,AF64, 
SWITCH(proceedsStyle,
  "cashOnly",
    proceeds - gain,
  "combined",
    IF(cashReceived&lt;alternateGainAmount,
      avgoTotalValue,
      vmwTotalBasis
    )
  )
)</f>
        <v>0</v>
      </c>
      <c r="AQ64" s="345" t="str">
        <f t="shared" si="14"/>
        <v/>
      </c>
      <c r="AR64" s="345">
        <v>0.0</v>
      </c>
      <c r="AS64" s="331">
        <f>LET(
proceedsStyle,Reference!$E$9,
proceeds,AO64,
basis1099B,AP64,
adjustment,AR64,
mergerGain,AI64,
SWITCH(proceedsStyle,
  "cashOnly",
    mergerGain,
  "combined",
    MAX(proceeds - basis1099B + adjustment, 0)
))</f>
        <v>0</v>
      </c>
      <c r="AT64" s="415" t="str">
        <f t="shared" si="15"/>
        <v>n/a</v>
      </c>
      <c r="AU64" s="333">
        <f>LET(saleFMV,Reference!$B$10, postMergerBasis,AT64, avgoQty,AE64, lotFractionAmount,AG64, iferror((saleFMV - postMergerBasis) * (avgoQty - lotFractionAmount), 0))</f>
        <v>0</v>
      </c>
      <c r="AV64" s="333">
        <f>LET(
avgoQty,AE64, 
purchaseDate,C64,
postMergerSaleDate,Reference!$B$29,
saleFMV,Reference!$B$10,
postMergerBasis,AT64, 
IFERROR(IF(DATEDIF(purchaseDate,postMergerSaleDate,"Y")&gt;=1,
  0,
  avgoQty * (saleFMV - postMergerBasis)
),0))</f>
        <v>0</v>
      </c>
      <c r="AW64" s="336">
        <f>LET(
avgoQty,AE64, 
purchaseDate,C64,
postMergerSaleDate,Reference!$B$29,
saleFMV,Reference!$B$10,
postMergerBasis,AT64, 
IFERROR(IF(DATEDIF(purchaseDate,postMergerSaleDate,"Y")&gt;=1,
  avgoQty * (saleFMV - postMergerBasis),
  0
),0))</f>
        <v>0</v>
      </c>
      <c r="AX64" s="337"/>
    </row>
    <row r="65">
      <c r="A65" s="405"/>
      <c r="B65" s="420"/>
      <c r="C65" s="307"/>
      <c r="D65" s="338"/>
      <c r="E65" s="321" t="str">
        <f t="array" ref="E65">IF(C65&lt;&gt;"", IFERROR(VLOOKUP(C65, SORT(PriceReference!$A$1:$B1014), 2, TRUE), "price unavailable"), "")</f>
        <v/>
      </c>
      <c r="F65" s="416"/>
      <c r="G65" s="309">
        <f t="shared" si="6"/>
        <v>0</v>
      </c>
      <c r="H65" s="321">
        <f t="shared" si="7"/>
        <v>0</v>
      </c>
      <c r="I65" s="417"/>
      <c r="J65" s="348" t="b">
        <v>0</v>
      </c>
      <c r="K65" s="409"/>
      <c r="L65" s="315">
        <v>0.0</v>
      </c>
      <c r="M65" s="315">
        <v>0.0</v>
      </c>
      <c r="N65" s="315">
        <v>0.0</v>
      </c>
      <c r="O65" s="315">
        <v>0.0</v>
      </c>
      <c r="P65" s="315">
        <v>0.0</v>
      </c>
      <c r="Q65" s="317">
        <f t="shared" si="8"/>
        <v>0</v>
      </c>
      <c r="R65" s="317" t="str">
        <f>SWITCH(S65,"cash",Reference!E$5,"shares",Reference!$E$6,"balance",Reference!$E$7,"pro-rata",Reference!$B$5)</f>
        <v>#DIV/0!</v>
      </c>
      <c r="S65" s="318" t="s">
        <v>207</v>
      </c>
      <c r="T65" s="319">
        <f>LET(numVmwShares,D65, cashRatio,Reference!$B$4, vmwFinalPrice,Reference!$B$3, numVmwShares * cashRatio * vmwFinalPrice)</f>
        <v>0</v>
      </c>
      <c r="U65" s="319">
        <f>iferror(LET(numVmwShares,$D65, stockRatio,Q65, vmwFinalPrice,Reference!$B$3, (1 - stockRatio) * vmwFinalPrice * numVmwShares),0)</f>
        <v>0</v>
      </c>
      <c r="V65" s="319">
        <f>iferror(LET(numVmwShares,$D65, stockRatio,R65, vmwFinalPrice,Reference!$B$3, (1 - stockRatio) * vmwFinalPrice * numVmwShares),0)</f>
        <v>0</v>
      </c>
      <c r="W65" s="319">
        <f>SWITCH(Reference!$E$4,"eTradeTransactionLog", T65, "eTradeHoldingRatio",T65, "eTradeLotQtyRatio",U65,"manualLotRatio",V65)</f>
        <v>0</v>
      </c>
      <c r="X65" s="309">
        <f>LET(purchaseDate,C65, dateOfRecord,Reference!$B$26, returnOfCapital,Reference!$C$26, IF(purchaseDate &lt; dateOfRecord, returnOfCapital,0))</f>
        <v>10.18</v>
      </c>
      <c r="Y65" s="309">
        <f>LET(purchaseDate,C65, dateOfRecord,Reference!$B$27, returnOfCapital,Reference!$C$27, IF(purchaseDate &lt; dateOfRecord, returnOfCapital,0))</f>
        <v>16.58</v>
      </c>
      <c r="Z65" s="309">
        <f t="shared" si="9"/>
        <v>-26.76</v>
      </c>
      <c r="AA65" s="309">
        <f t="shared" si="10"/>
        <v>0</v>
      </c>
      <c r="AB65" s="320">
        <f>LET(numVmwShares,D65, stockRatio,Reference!$B$5, vmwToAvgoRatio,Reference!$B$6, numVmwShares * stockRatio * vmwToAvgoRatio)</f>
        <v>0</v>
      </c>
      <c r="AC65" s="320">
        <f>LET(numVmwShares,D65, stockRatio,Q65, vmwToAvgoRatio,Reference!$B$6, numVmwShares * stockRatio * vmwToAvgoRatio)</f>
        <v>0</v>
      </c>
      <c r="AD65" s="320" t="str">
        <f>LET(numVmwShares,D65, stockRatio,R65, vmwToAvgoRatio,Reference!$B$6, numVmwShares * stockRatio * vmwToAvgoRatio)</f>
        <v>#DIV/0!</v>
      </c>
      <c r="AE65" s="320">
        <f>SWITCH(Reference!$E$4, "eTradeTransactionLog", AB65, "eTradeHoldingRatio",AB65, "eTradeLotQtyRatio",AC65,"manualLotRatio",AD65)</f>
        <v>0</v>
      </c>
      <c r="AF65" s="321">
        <f>LET(numVmwShares,D65, vmwBasis,Z65, avgoQty,AE65, avgoFMV,Reference!$B$18, cashReceived,W65, gain,cashReceived+(avgoQty*avgoFMV)-(numVmwShares*vmwBasis),
MAX(gain,0))</f>
        <v>0</v>
      </c>
      <c r="AG65" s="322">
        <f>LET(useForFraction,J65, fractionAmount,Summary!$C$41, esppFractionLots,ESPP!$N$5, rsuFractionLots,RSU!J$5, IF(useForFraction, fractionAmount / (esppFractionLots+rsuFractionLots), 0))</f>
        <v>0</v>
      </c>
      <c r="AH65" s="411">
        <f>LET(useForFraction,J65, fractionSaleFMV,Reference!$B$23, postMergerBasis,AT65, lotFractionAmount,AG65, IF(useForFraction, (fractionSaleFMV - postMergerBasis)*lotFractionAmount, 0))</f>
        <v>0</v>
      </c>
      <c r="AI65" s="412">
        <f t="shared" si="11"/>
        <v>0</v>
      </c>
      <c r="AJ65" s="413">
        <f>LET(
purchaseDate,C65,
mergerDate,Reference!$B$28,
lotFractionGain,AH65,
mergerGain,AI65,
IF(DATEDIF(purchaseDate,mergerDate,"Y")&gt;=1,
  0,
  lotFractionGain + mergerGain
))</f>
        <v>0</v>
      </c>
      <c r="AK65" s="413">
        <f>LET(
purchaseDate,C65,
mergerDate,Reference!$B$28,
lotFractionGain,AH65,
mergerGain,AI65,
IF(DATEDIF(purchaseDate,mergerDate,"Y")&gt;=1,
  lotFractionGain+mergerGain,
  0
))</f>
        <v>0</v>
      </c>
      <c r="AL65" s="414" t="str">
        <f>IF(DATEDIF(C65,Reference!$B$28,"Y")&gt;=1,"Part II Box E","Part I Box B")</f>
        <v>Part II Box E</v>
      </c>
      <c r="AM65" s="344" t="str">
        <f t="shared" si="12"/>
        <v/>
      </c>
      <c r="AN65" s="330">
        <f t="shared" si="13"/>
        <v>0</v>
      </c>
      <c r="AO65" s="330">
        <f>LET(
cashReceived,W65, 
avgoQty,AE65, 
proceedsStyle,Reference!$E$9, 
avgoFMV,Reference!$B$18, 
SWITCH(proceedsStyle, "combined", cashReceived +(avgoQty*avgoFMV), "cashOnly", cashReceived))</f>
        <v>0</v>
      </c>
      <c r="AP65" s="345">
        <f>LET(
proceedsStyle,Reference!$E$9,
proceeds,AO65,
gain,AS65,
numVmwShares,D65, 
vmwBasis, Z65, 
avgoQty,AE65, 
avgoFMV,Reference!$B$18, 
cashReceived,W65, 
avgoTotalValue, avgoFMV*avgoQty, 
vmwTotalBasis, vmwBasis*numVmwShares,
alternateGainAmount,AF65, 
SWITCH(proceedsStyle,
  "cashOnly",
    proceeds - gain,
  "combined",
    IF(cashReceived&lt;alternateGainAmount,
      avgoTotalValue,
      vmwTotalBasis
    )
  )
)</f>
        <v>0</v>
      </c>
      <c r="AQ65" s="345" t="str">
        <f t="shared" si="14"/>
        <v/>
      </c>
      <c r="AR65" s="345">
        <v>0.0</v>
      </c>
      <c r="AS65" s="331">
        <f>LET(
proceedsStyle,Reference!$E$9,
proceeds,AO65,
basis1099B,AP65,
adjustment,AR65,
mergerGain,AI65,
SWITCH(proceedsStyle,
  "cashOnly",
    mergerGain,
  "combined",
    MAX(proceeds - basis1099B + adjustment, 0)
))</f>
        <v>0</v>
      </c>
      <c r="AT65" s="415" t="str">
        <f t="shared" si="15"/>
        <v>n/a</v>
      </c>
      <c r="AU65" s="333">
        <f>LET(saleFMV,Reference!$B$10, postMergerBasis,AT65, avgoQty,AE65, lotFractionAmount,AG65, iferror((saleFMV - postMergerBasis) * (avgoQty - lotFractionAmount), 0))</f>
        <v>0</v>
      </c>
      <c r="AV65" s="333">
        <f>LET(
avgoQty,AE65, 
purchaseDate,C65,
postMergerSaleDate,Reference!$B$29,
saleFMV,Reference!$B$10,
postMergerBasis,AT65, 
IFERROR(IF(DATEDIF(purchaseDate,postMergerSaleDate,"Y")&gt;=1,
  0,
  avgoQty * (saleFMV - postMergerBasis)
),0))</f>
        <v>0</v>
      </c>
      <c r="AW65" s="336">
        <f>LET(
avgoQty,AE65, 
purchaseDate,C65,
postMergerSaleDate,Reference!$B$29,
saleFMV,Reference!$B$10,
postMergerBasis,AT65, 
IFERROR(IF(DATEDIF(purchaseDate,postMergerSaleDate,"Y")&gt;=1,
  avgoQty * (saleFMV - postMergerBasis),
  0
),0))</f>
        <v>0</v>
      </c>
      <c r="AX65" s="337"/>
    </row>
    <row r="66">
      <c r="A66" s="405"/>
      <c r="B66" s="406"/>
      <c r="C66" s="307"/>
      <c r="D66" s="338"/>
      <c r="E66" s="321" t="str">
        <f t="array" ref="E66">IF(C66&lt;&gt;"", IFERROR(VLOOKUP(C66, SORT(PriceReference!$A$1:$B1014), 2, TRUE), "price unavailable"), "")</f>
        <v/>
      </c>
      <c r="F66" s="416"/>
      <c r="G66" s="309">
        <f t="shared" si="6"/>
        <v>0</v>
      </c>
      <c r="H66" s="321">
        <f t="shared" si="7"/>
        <v>0</v>
      </c>
      <c r="I66" s="417"/>
      <c r="J66" s="348" t="b">
        <v>0</v>
      </c>
      <c r="K66" s="409"/>
      <c r="L66" s="315">
        <v>0.0</v>
      </c>
      <c r="M66" s="315">
        <v>0.0</v>
      </c>
      <c r="N66" s="315">
        <v>0.0</v>
      </c>
      <c r="O66" s="315">
        <v>0.0</v>
      </c>
      <c r="P66" s="315">
        <v>0.0</v>
      </c>
      <c r="Q66" s="317">
        <f t="shared" si="8"/>
        <v>0</v>
      </c>
      <c r="R66" s="317" t="str">
        <f>SWITCH(S66,"cash",Reference!E$5,"shares",Reference!$E$6,"balance",Reference!$E$7,"pro-rata",Reference!$B$5)</f>
        <v>#DIV/0!</v>
      </c>
      <c r="S66" s="318" t="s">
        <v>207</v>
      </c>
      <c r="T66" s="319">
        <f>LET(numVmwShares,D66, cashRatio,Reference!$B$4, vmwFinalPrice,Reference!$B$3, numVmwShares * cashRatio * vmwFinalPrice)</f>
        <v>0</v>
      </c>
      <c r="U66" s="319">
        <f>iferror(LET(numVmwShares,$D66, stockRatio,Q66, vmwFinalPrice,Reference!$B$3, (1 - stockRatio) * vmwFinalPrice * numVmwShares),0)</f>
        <v>0</v>
      </c>
      <c r="V66" s="319">
        <f>iferror(LET(numVmwShares,$D66, stockRatio,R66, vmwFinalPrice,Reference!$B$3, (1 - stockRatio) * vmwFinalPrice * numVmwShares),0)</f>
        <v>0</v>
      </c>
      <c r="W66" s="319">
        <f>SWITCH(Reference!$E$4,"eTradeTransactionLog", T66, "eTradeHoldingRatio",T66, "eTradeLotQtyRatio",U66,"manualLotRatio",V66)</f>
        <v>0</v>
      </c>
      <c r="X66" s="309">
        <f>LET(purchaseDate,C66, dateOfRecord,Reference!$B$26, returnOfCapital,Reference!$C$26, IF(purchaseDate &lt; dateOfRecord, returnOfCapital,0))</f>
        <v>10.18</v>
      </c>
      <c r="Y66" s="309">
        <f>LET(purchaseDate,C66, dateOfRecord,Reference!$B$27, returnOfCapital,Reference!$C$27, IF(purchaseDate &lt; dateOfRecord, returnOfCapital,0))</f>
        <v>16.58</v>
      </c>
      <c r="Z66" s="309">
        <f t="shared" si="9"/>
        <v>-26.76</v>
      </c>
      <c r="AA66" s="309">
        <f t="shared" si="10"/>
        <v>0</v>
      </c>
      <c r="AB66" s="320">
        <f>LET(numVmwShares,D66, stockRatio,Reference!$B$5, vmwToAvgoRatio,Reference!$B$6, numVmwShares * stockRatio * vmwToAvgoRatio)</f>
        <v>0</v>
      </c>
      <c r="AC66" s="320">
        <f>LET(numVmwShares,D66, stockRatio,Q66, vmwToAvgoRatio,Reference!$B$6, numVmwShares * stockRatio * vmwToAvgoRatio)</f>
        <v>0</v>
      </c>
      <c r="AD66" s="320" t="str">
        <f>LET(numVmwShares,D66, stockRatio,R66, vmwToAvgoRatio,Reference!$B$6, numVmwShares * stockRatio * vmwToAvgoRatio)</f>
        <v>#DIV/0!</v>
      </c>
      <c r="AE66" s="320">
        <f>SWITCH(Reference!$E$4, "eTradeTransactionLog", AB66, "eTradeHoldingRatio",AB66, "eTradeLotQtyRatio",AC66,"manualLotRatio",AD66)</f>
        <v>0</v>
      </c>
      <c r="AF66" s="321">
        <f>LET(numVmwShares,D66, vmwBasis,Z66, avgoQty,AE66, avgoFMV,Reference!$B$18, cashReceived,W66, gain,cashReceived+(avgoQty*avgoFMV)-(numVmwShares*vmwBasis),
MAX(gain,0))</f>
        <v>0</v>
      </c>
      <c r="AG66" s="322">
        <f>LET(useForFraction,J66, fractionAmount,Summary!$C$41, esppFractionLots,ESPP!$N$5, rsuFractionLots,RSU!J$5, IF(useForFraction, fractionAmount / (esppFractionLots+rsuFractionLots), 0))</f>
        <v>0</v>
      </c>
      <c r="AH66" s="411">
        <f>LET(useForFraction,J66, fractionSaleFMV,Reference!$B$23, postMergerBasis,AT66, lotFractionAmount,AG66, IF(useForFraction, (fractionSaleFMV - postMergerBasis)*lotFractionAmount, 0))</f>
        <v>0</v>
      </c>
      <c r="AI66" s="412">
        <f t="shared" si="11"/>
        <v>0</v>
      </c>
      <c r="AJ66" s="413">
        <f>LET(
purchaseDate,C66,
mergerDate,Reference!$B$28,
lotFractionGain,AH66,
mergerGain,AI66,
IF(DATEDIF(purchaseDate,mergerDate,"Y")&gt;=1,
  0,
  lotFractionGain + mergerGain
))</f>
        <v>0</v>
      </c>
      <c r="AK66" s="413">
        <f>LET(
purchaseDate,C66,
mergerDate,Reference!$B$28,
lotFractionGain,AH66,
mergerGain,AI66,
IF(DATEDIF(purchaseDate,mergerDate,"Y")&gt;=1,
  lotFractionGain+mergerGain,
  0
))</f>
        <v>0</v>
      </c>
      <c r="AL66" s="414" t="str">
        <f>IF(DATEDIF(C66,Reference!$B$28,"Y")&gt;=1,"Part II Box E","Part I Box B")</f>
        <v>Part II Box E</v>
      </c>
      <c r="AM66" s="344" t="str">
        <f t="shared" si="12"/>
        <v/>
      </c>
      <c r="AN66" s="330">
        <f t="shared" si="13"/>
        <v>0</v>
      </c>
      <c r="AO66" s="330">
        <f>LET(
cashReceived,W66, 
avgoQty,AE66, 
proceedsStyle,Reference!$E$9, 
avgoFMV,Reference!$B$18, 
SWITCH(proceedsStyle, "combined", cashReceived +(avgoQty*avgoFMV), "cashOnly", cashReceived))</f>
        <v>0</v>
      </c>
      <c r="AP66" s="345">
        <f>LET(
proceedsStyle,Reference!$E$9,
proceeds,AO66,
gain,AS66,
numVmwShares,D66, 
vmwBasis, Z66, 
avgoQty,AE66, 
avgoFMV,Reference!$B$18, 
cashReceived,W66, 
avgoTotalValue, avgoFMV*avgoQty, 
vmwTotalBasis, vmwBasis*numVmwShares,
alternateGainAmount,AF66, 
SWITCH(proceedsStyle,
  "cashOnly",
    proceeds - gain,
  "combined",
    IF(cashReceived&lt;alternateGainAmount,
      avgoTotalValue,
      vmwTotalBasis
    )
  )
)</f>
        <v>0</v>
      </c>
      <c r="AQ66" s="345" t="str">
        <f t="shared" si="14"/>
        <v/>
      </c>
      <c r="AR66" s="345">
        <v>0.0</v>
      </c>
      <c r="AS66" s="331">
        <f>LET(
proceedsStyle,Reference!$E$9,
proceeds,AO66,
basis1099B,AP66,
adjustment,AR66,
mergerGain,AI66,
SWITCH(proceedsStyle,
  "cashOnly",
    mergerGain,
  "combined",
    MAX(proceeds - basis1099B + adjustment, 0)
))</f>
        <v>0</v>
      </c>
      <c r="AT66" s="415" t="str">
        <f t="shared" si="15"/>
        <v>n/a</v>
      </c>
      <c r="AU66" s="333">
        <f>LET(saleFMV,Reference!$B$10, postMergerBasis,AT66, avgoQty,AE66, lotFractionAmount,AG66, iferror((saleFMV - postMergerBasis) * (avgoQty - lotFractionAmount), 0))</f>
        <v>0</v>
      </c>
      <c r="AV66" s="333">
        <f>LET(
avgoQty,AE66, 
purchaseDate,C66,
postMergerSaleDate,Reference!$B$29,
saleFMV,Reference!$B$10,
postMergerBasis,AT66, 
IFERROR(IF(DATEDIF(purchaseDate,postMergerSaleDate,"Y")&gt;=1,
  0,
  avgoQty * (saleFMV - postMergerBasis)
),0))</f>
        <v>0</v>
      </c>
      <c r="AW66" s="336">
        <f>LET(
avgoQty,AE66, 
purchaseDate,C66,
postMergerSaleDate,Reference!$B$29,
saleFMV,Reference!$B$10,
postMergerBasis,AT66, 
IFERROR(IF(DATEDIF(purchaseDate,postMergerSaleDate,"Y")&gt;=1,
  avgoQty * (saleFMV - postMergerBasis),
  0
),0))</f>
        <v>0</v>
      </c>
      <c r="AX66" s="337"/>
    </row>
    <row r="67">
      <c r="A67" s="405"/>
      <c r="B67" s="406"/>
      <c r="C67" s="307"/>
      <c r="D67" s="338"/>
      <c r="E67" s="321" t="str">
        <f t="array" ref="E67">IF(C67&lt;&gt;"", IFERROR(VLOOKUP(C67, SORT(PriceReference!$A$1:$B1014), 2, TRUE), "price unavailable"), "")</f>
        <v/>
      </c>
      <c r="F67" s="416"/>
      <c r="G67" s="309">
        <f t="shared" si="6"/>
        <v>0</v>
      </c>
      <c r="H67" s="321">
        <f t="shared" si="7"/>
        <v>0</v>
      </c>
      <c r="I67" s="417"/>
      <c r="J67" s="348" t="b">
        <v>0</v>
      </c>
      <c r="K67" s="409"/>
      <c r="L67" s="315">
        <v>0.0</v>
      </c>
      <c r="M67" s="315">
        <v>0.0</v>
      </c>
      <c r="N67" s="315">
        <v>0.0</v>
      </c>
      <c r="O67" s="315">
        <v>0.0</v>
      </c>
      <c r="P67" s="315">
        <v>0.0</v>
      </c>
      <c r="Q67" s="317">
        <f t="shared" si="8"/>
        <v>0</v>
      </c>
      <c r="R67" s="317" t="str">
        <f>SWITCH(S67,"cash",Reference!E$5,"shares",Reference!$E$6,"balance",Reference!$E$7,"pro-rata",Reference!$B$5)</f>
        <v>#DIV/0!</v>
      </c>
      <c r="S67" s="318" t="s">
        <v>207</v>
      </c>
      <c r="T67" s="319">
        <f>LET(numVmwShares,D67, cashRatio,Reference!$B$4, vmwFinalPrice,Reference!$B$3, numVmwShares * cashRatio * vmwFinalPrice)</f>
        <v>0</v>
      </c>
      <c r="U67" s="319">
        <f>iferror(LET(numVmwShares,$D67, stockRatio,Q67, vmwFinalPrice,Reference!$B$3, (1 - stockRatio) * vmwFinalPrice * numVmwShares),0)</f>
        <v>0</v>
      </c>
      <c r="V67" s="319">
        <f>iferror(LET(numVmwShares,$D67, stockRatio,R67, vmwFinalPrice,Reference!$B$3, (1 - stockRatio) * vmwFinalPrice * numVmwShares),0)</f>
        <v>0</v>
      </c>
      <c r="W67" s="319">
        <f>SWITCH(Reference!$E$4,"eTradeTransactionLog", T67, "eTradeHoldingRatio",T67, "eTradeLotQtyRatio",U67,"manualLotRatio",V67)</f>
        <v>0</v>
      </c>
      <c r="X67" s="309">
        <f>LET(purchaseDate,C67, dateOfRecord,Reference!$B$26, returnOfCapital,Reference!$C$26, IF(purchaseDate &lt; dateOfRecord, returnOfCapital,0))</f>
        <v>10.18</v>
      </c>
      <c r="Y67" s="309">
        <f>LET(purchaseDate,C67, dateOfRecord,Reference!$B$27, returnOfCapital,Reference!$C$27, IF(purchaseDate &lt; dateOfRecord, returnOfCapital,0))</f>
        <v>16.58</v>
      </c>
      <c r="Z67" s="309">
        <f t="shared" si="9"/>
        <v>-26.76</v>
      </c>
      <c r="AA67" s="309">
        <f t="shared" si="10"/>
        <v>0</v>
      </c>
      <c r="AB67" s="320">
        <f>LET(numVmwShares,D67, stockRatio,Reference!$B$5, vmwToAvgoRatio,Reference!$B$6, numVmwShares * stockRatio * vmwToAvgoRatio)</f>
        <v>0</v>
      </c>
      <c r="AC67" s="320">
        <f>LET(numVmwShares,D67, stockRatio,Q67, vmwToAvgoRatio,Reference!$B$6, numVmwShares * stockRatio * vmwToAvgoRatio)</f>
        <v>0</v>
      </c>
      <c r="AD67" s="320" t="str">
        <f>LET(numVmwShares,D67, stockRatio,R67, vmwToAvgoRatio,Reference!$B$6, numVmwShares * stockRatio * vmwToAvgoRatio)</f>
        <v>#DIV/0!</v>
      </c>
      <c r="AE67" s="320">
        <f>SWITCH(Reference!$E$4, "eTradeTransactionLog", AB67, "eTradeHoldingRatio",AB67, "eTradeLotQtyRatio",AC67,"manualLotRatio",AD67)</f>
        <v>0</v>
      </c>
      <c r="AF67" s="321">
        <f>LET(numVmwShares,D67, vmwBasis,Z67, avgoQty,AE67, avgoFMV,Reference!$B$18, cashReceived,W67, gain,cashReceived+(avgoQty*avgoFMV)-(numVmwShares*vmwBasis),
MAX(gain,0))</f>
        <v>0</v>
      </c>
      <c r="AG67" s="322">
        <f>LET(useForFraction,J67, fractionAmount,Summary!$C$41, esppFractionLots,ESPP!$N$5, rsuFractionLots,RSU!J$5, IF(useForFraction, fractionAmount / (esppFractionLots+rsuFractionLots), 0))</f>
        <v>0</v>
      </c>
      <c r="AH67" s="411">
        <f>LET(useForFraction,J67, fractionSaleFMV,Reference!$B$23, postMergerBasis,AT67, lotFractionAmount,AG67, IF(useForFraction, (fractionSaleFMV - postMergerBasis)*lotFractionAmount, 0))</f>
        <v>0</v>
      </c>
      <c r="AI67" s="412">
        <f t="shared" si="11"/>
        <v>0</v>
      </c>
      <c r="AJ67" s="413">
        <f>LET(
purchaseDate,C67,
mergerDate,Reference!$B$28,
lotFractionGain,AH67,
mergerGain,AI67,
IF(DATEDIF(purchaseDate,mergerDate,"Y")&gt;=1,
  0,
  lotFractionGain + mergerGain
))</f>
        <v>0</v>
      </c>
      <c r="AK67" s="413">
        <f>LET(
purchaseDate,C67,
mergerDate,Reference!$B$28,
lotFractionGain,AH67,
mergerGain,AI67,
IF(DATEDIF(purchaseDate,mergerDate,"Y")&gt;=1,
  lotFractionGain+mergerGain,
  0
))</f>
        <v>0</v>
      </c>
      <c r="AL67" s="414" t="str">
        <f>IF(DATEDIF(C67,Reference!$B$28,"Y")&gt;=1,"Part II Box E","Part I Box B")</f>
        <v>Part II Box E</v>
      </c>
      <c r="AM67" s="344" t="str">
        <f t="shared" si="12"/>
        <v/>
      </c>
      <c r="AN67" s="330">
        <f t="shared" si="13"/>
        <v>0</v>
      </c>
      <c r="AO67" s="330">
        <f>LET(
cashReceived,W67, 
avgoQty,AE67, 
proceedsStyle,Reference!$E$9, 
avgoFMV,Reference!$B$18, 
SWITCH(proceedsStyle, "combined", cashReceived +(avgoQty*avgoFMV), "cashOnly", cashReceived))</f>
        <v>0</v>
      </c>
      <c r="AP67" s="345">
        <f>LET(
proceedsStyle,Reference!$E$9,
proceeds,AO67,
gain,AS67,
numVmwShares,D67, 
vmwBasis, Z67, 
avgoQty,AE67, 
avgoFMV,Reference!$B$18, 
cashReceived,W67, 
avgoTotalValue, avgoFMV*avgoQty, 
vmwTotalBasis, vmwBasis*numVmwShares,
alternateGainAmount,AF67, 
SWITCH(proceedsStyle,
  "cashOnly",
    proceeds - gain,
  "combined",
    IF(cashReceived&lt;alternateGainAmount,
      avgoTotalValue,
      vmwTotalBasis
    )
  )
)</f>
        <v>0</v>
      </c>
      <c r="AQ67" s="345" t="str">
        <f t="shared" si="14"/>
        <v/>
      </c>
      <c r="AR67" s="345">
        <v>0.0</v>
      </c>
      <c r="AS67" s="331">
        <f>LET(
proceedsStyle,Reference!$E$9,
proceeds,AO67,
basis1099B,AP67,
adjustment,AR67,
mergerGain,AI67,
SWITCH(proceedsStyle,
  "cashOnly",
    mergerGain,
  "combined",
    MAX(proceeds - basis1099B + adjustment, 0)
))</f>
        <v>0</v>
      </c>
      <c r="AT67" s="415" t="str">
        <f t="shared" si="15"/>
        <v>n/a</v>
      </c>
      <c r="AU67" s="333">
        <f>LET(saleFMV,Reference!$B$10, postMergerBasis,AT67, avgoQty,AE67, lotFractionAmount,AG67, iferror((saleFMV - postMergerBasis) * (avgoQty - lotFractionAmount), 0))</f>
        <v>0</v>
      </c>
      <c r="AV67" s="333">
        <f>LET(
avgoQty,AE67, 
purchaseDate,C67,
postMergerSaleDate,Reference!$B$29,
saleFMV,Reference!$B$10,
postMergerBasis,AT67, 
IFERROR(IF(DATEDIF(purchaseDate,postMergerSaleDate,"Y")&gt;=1,
  0,
  avgoQty * (saleFMV - postMergerBasis)
),0))</f>
        <v>0</v>
      </c>
      <c r="AW67" s="336">
        <f>LET(
avgoQty,AE67, 
purchaseDate,C67,
postMergerSaleDate,Reference!$B$29,
saleFMV,Reference!$B$10,
postMergerBasis,AT67, 
IFERROR(IF(DATEDIF(purchaseDate,postMergerSaleDate,"Y")&gt;=1,
  avgoQty * (saleFMV - postMergerBasis),
  0
),0))</f>
        <v>0</v>
      </c>
      <c r="AX67" s="337"/>
    </row>
    <row r="68">
      <c r="A68" s="405"/>
      <c r="B68" s="406"/>
      <c r="C68" s="307"/>
      <c r="D68" s="338"/>
      <c r="E68" s="321" t="str">
        <f t="array" ref="E68">IF(C68&lt;&gt;"", IFERROR(VLOOKUP(C68, SORT(PriceReference!$A$1:$B1014), 2, TRUE), "price unavailable"), "")</f>
        <v/>
      </c>
      <c r="F68" s="416"/>
      <c r="G68" s="309">
        <f t="shared" si="6"/>
        <v>0</v>
      </c>
      <c r="H68" s="321">
        <f t="shared" si="7"/>
        <v>0</v>
      </c>
      <c r="I68" s="417"/>
      <c r="J68" s="348" t="b">
        <v>0</v>
      </c>
      <c r="K68" s="409"/>
      <c r="L68" s="315">
        <v>0.0</v>
      </c>
      <c r="M68" s="315">
        <v>0.0</v>
      </c>
      <c r="N68" s="315">
        <v>0.0</v>
      </c>
      <c r="O68" s="315">
        <v>0.0</v>
      </c>
      <c r="P68" s="315">
        <v>0.0</v>
      </c>
      <c r="Q68" s="317">
        <f t="shared" si="8"/>
        <v>0</v>
      </c>
      <c r="R68" s="317" t="str">
        <f>SWITCH(S68,"cash",Reference!E$5,"shares",Reference!$E$6,"balance",Reference!$E$7,"pro-rata",Reference!$B$5)</f>
        <v>#DIV/0!</v>
      </c>
      <c r="S68" s="318" t="s">
        <v>207</v>
      </c>
      <c r="T68" s="319">
        <f>LET(numVmwShares,D68, cashRatio,Reference!$B$4, vmwFinalPrice,Reference!$B$3, numVmwShares * cashRatio * vmwFinalPrice)</f>
        <v>0</v>
      </c>
      <c r="U68" s="319">
        <f>iferror(LET(numVmwShares,$D68, stockRatio,Q68, vmwFinalPrice,Reference!$B$3, (1 - stockRatio) * vmwFinalPrice * numVmwShares),0)</f>
        <v>0</v>
      </c>
      <c r="V68" s="319">
        <f>iferror(LET(numVmwShares,$D68, stockRatio,R68, vmwFinalPrice,Reference!$B$3, (1 - stockRatio) * vmwFinalPrice * numVmwShares),0)</f>
        <v>0</v>
      </c>
      <c r="W68" s="319">
        <f>SWITCH(Reference!$E$4,"eTradeTransactionLog", T68, "eTradeHoldingRatio",T68, "eTradeLotQtyRatio",U68,"manualLotRatio",V68)</f>
        <v>0</v>
      </c>
      <c r="X68" s="309">
        <f>LET(purchaseDate,C68, dateOfRecord,Reference!$B$26, returnOfCapital,Reference!$C$26, IF(purchaseDate &lt; dateOfRecord, returnOfCapital,0))</f>
        <v>10.18</v>
      </c>
      <c r="Y68" s="309">
        <f>LET(purchaseDate,C68, dateOfRecord,Reference!$B$27, returnOfCapital,Reference!$C$27, IF(purchaseDate &lt; dateOfRecord, returnOfCapital,0))</f>
        <v>16.58</v>
      </c>
      <c r="Z68" s="309">
        <f t="shared" si="9"/>
        <v>-26.76</v>
      </c>
      <c r="AA68" s="309">
        <f t="shared" si="10"/>
        <v>0</v>
      </c>
      <c r="AB68" s="320">
        <f>LET(numVmwShares,D68, stockRatio,Reference!$B$5, vmwToAvgoRatio,Reference!$B$6, numVmwShares * stockRatio * vmwToAvgoRatio)</f>
        <v>0</v>
      </c>
      <c r="AC68" s="320">
        <f>LET(numVmwShares,D68, stockRatio,Q68, vmwToAvgoRatio,Reference!$B$6, numVmwShares * stockRatio * vmwToAvgoRatio)</f>
        <v>0</v>
      </c>
      <c r="AD68" s="320" t="str">
        <f>LET(numVmwShares,D68, stockRatio,R68, vmwToAvgoRatio,Reference!$B$6, numVmwShares * stockRatio * vmwToAvgoRatio)</f>
        <v>#DIV/0!</v>
      </c>
      <c r="AE68" s="320">
        <f>SWITCH(Reference!$E$4, "eTradeTransactionLog", AB68, "eTradeHoldingRatio",AB68, "eTradeLotQtyRatio",AC68,"manualLotRatio",AD68)</f>
        <v>0</v>
      </c>
      <c r="AF68" s="321">
        <f>LET(numVmwShares,D68, vmwBasis,Z68, avgoQty,AE68, avgoFMV,Reference!$B$18, cashReceived,W68, gain,cashReceived+(avgoQty*avgoFMV)-(numVmwShares*vmwBasis),
MAX(gain,0))</f>
        <v>0</v>
      </c>
      <c r="AG68" s="322">
        <f>LET(useForFraction,J68, fractionAmount,Summary!$C$41, esppFractionLots,ESPP!$N$5, rsuFractionLots,RSU!J$5, IF(useForFraction, fractionAmount / (esppFractionLots+rsuFractionLots), 0))</f>
        <v>0</v>
      </c>
      <c r="AH68" s="411">
        <f>LET(useForFraction,J68, fractionSaleFMV,Reference!$B$23, postMergerBasis,AT68, lotFractionAmount,AG68, IF(useForFraction, (fractionSaleFMV - postMergerBasis)*lotFractionAmount, 0))</f>
        <v>0</v>
      </c>
      <c r="AI68" s="412">
        <f t="shared" si="11"/>
        <v>0</v>
      </c>
      <c r="AJ68" s="413">
        <f>LET(
purchaseDate,C68,
mergerDate,Reference!$B$28,
lotFractionGain,AH68,
mergerGain,AI68,
IF(DATEDIF(purchaseDate,mergerDate,"Y")&gt;=1,
  0,
  lotFractionGain + mergerGain
))</f>
        <v>0</v>
      </c>
      <c r="AK68" s="413">
        <f>LET(
purchaseDate,C68,
mergerDate,Reference!$B$28,
lotFractionGain,AH68,
mergerGain,AI68,
IF(DATEDIF(purchaseDate,mergerDate,"Y")&gt;=1,
  lotFractionGain+mergerGain,
  0
))</f>
        <v>0</v>
      </c>
      <c r="AL68" s="414" t="str">
        <f>IF(DATEDIF(C68,Reference!$B$28,"Y")&gt;=1,"Part II Box E","Part I Box B")</f>
        <v>Part II Box E</v>
      </c>
      <c r="AM68" s="344" t="str">
        <f t="shared" si="12"/>
        <v/>
      </c>
      <c r="AN68" s="330">
        <f t="shared" si="13"/>
        <v>0</v>
      </c>
      <c r="AO68" s="330">
        <f>LET(
cashReceived,W68, 
avgoQty,AE68, 
proceedsStyle,Reference!$E$9, 
avgoFMV,Reference!$B$18, 
SWITCH(proceedsStyle, "combined", cashReceived +(avgoQty*avgoFMV), "cashOnly", cashReceived))</f>
        <v>0</v>
      </c>
      <c r="AP68" s="345">
        <f>LET(
proceedsStyle,Reference!$E$9,
proceeds,AO68,
gain,AS68,
numVmwShares,D68, 
vmwBasis, Z68, 
avgoQty,AE68, 
avgoFMV,Reference!$B$18, 
cashReceived,W68, 
avgoTotalValue, avgoFMV*avgoQty, 
vmwTotalBasis, vmwBasis*numVmwShares,
alternateGainAmount,AF68, 
SWITCH(proceedsStyle,
  "cashOnly",
    proceeds - gain,
  "combined",
    IF(cashReceived&lt;alternateGainAmount,
      avgoTotalValue,
      vmwTotalBasis
    )
  )
)</f>
        <v>0</v>
      </c>
      <c r="AQ68" s="345" t="str">
        <f t="shared" si="14"/>
        <v/>
      </c>
      <c r="AR68" s="345">
        <v>0.0</v>
      </c>
      <c r="AS68" s="331">
        <f>LET(
proceedsStyle,Reference!$E$9,
proceeds,AO68,
basis1099B,AP68,
adjustment,AR68,
mergerGain,AI68,
SWITCH(proceedsStyle,
  "cashOnly",
    mergerGain,
  "combined",
    MAX(proceeds - basis1099B + adjustment, 0)
))</f>
        <v>0</v>
      </c>
      <c r="AT68" s="415" t="str">
        <f t="shared" si="15"/>
        <v>n/a</v>
      </c>
      <c r="AU68" s="333">
        <f>LET(saleFMV,Reference!$B$10, postMergerBasis,AT68, avgoQty,AE68, lotFractionAmount,AG68, iferror((saleFMV - postMergerBasis) * (avgoQty - lotFractionAmount), 0))</f>
        <v>0</v>
      </c>
      <c r="AV68" s="333">
        <f>LET(
avgoQty,AE68, 
purchaseDate,C68,
postMergerSaleDate,Reference!$B$29,
saleFMV,Reference!$B$10,
postMergerBasis,AT68, 
IFERROR(IF(DATEDIF(purchaseDate,postMergerSaleDate,"Y")&gt;=1,
  0,
  avgoQty * (saleFMV - postMergerBasis)
),0))</f>
        <v>0</v>
      </c>
      <c r="AW68" s="336">
        <f>LET(
avgoQty,AE68, 
purchaseDate,C68,
postMergerSaleDate,Reference!$B$29,
saleFMV,Reference!$B$10,
postMergerBasis,AT68, 
IFERROR(IF(DATEDIF(purchaseDate,postMergerSaleDate,"Y")&gt;=1,
  avgoQty * (saleFMV - postMergerBasis),
  0
),0))</f>
        <v>0</v>
      </c>
      <c r="AX68" s="337"/>
    </row>
    <row r="69">
      <c r="A69" s="405"/>
      <c r="B69" s="406"/>
      <c r="C69" s="307"/>
      <c r="D69" s="338"/>
      <c r="E69" s="321" t="str">
        <f t="array" ref="E69">IF(C69&lt;&gt;"", IFERROR(VLOOKUP(C69, SORT(PriceReference!$A$1:$B1014), 2, TRUE), "price unavailable"), "")</f>
        <v/>
      </c>
      <c r="F69" s="416"/>
      <c r="G69" s="309">
        <f t="shared" si="6"/>
        <v>0</v>
      </c>
      <c r="H69" s="321">
        <f t="shared" si="7"/>
        <v>0</v>
      </c>
      <c r="I69" s="419"/>
      <c r="J69" s="348" t="b">
        <v>0</v>
      </c>
      <c r="K69" s="409"/>
      <c r="L69" s="315">
        <v>0.0</v>
      </c>
      <c r="M69" s="315">
        <v>0.0</v>
      </c>
      <c r="N69" s="315">
        <v>0.0</v>
      </c>
      <c r="O69" s="315">
        <v>0.0</v>
      </c>
      <c r="P69" s="315">
        <v>0.0</v>
      </c>
      <c r="Q69" s="317">
        <f t="shared" si="8"/>
        <v>0</v>
      </c>
      <c r="R69" s="317" t="str">
        <f>SWITCH(S69,"cash",Reference!E$5,"shares",Reference!$E$6,"balance",Reference!$E$7,"pro-rata",Reference!$B$5)</f>
        <v>#DIV/0!</v>
      </c>
      <c r="S69" s="318" t="s">
        <v>207</v>
      </c>
      <c r="T69" s="319">
        <f>LET(numVmwShares,D69, cashRatio,Reference!$B$4, vmwFinalPrice,Reference!$B$3, numVmwShares * cashRatio * vmwFinalPrice)</f>
        <v>0</v>
      </c>
      <c r="U69" s="319">
        <f>iferror(LET(numVmwShares,$D69, stockRatio,Q69, vmwFinalPrice,Reference!$B$3, (1 - stockRatio) * vmwFinalPrice * numVmwShares),0)</f>
        <v>0</v>
      </c>
      <c r="V69" s="319">
        <f>iferror(LET(numVmwShares,$D69, stockRatio,R69, vmwFinalPrice,Reference!$B$3, (1 - stockRatio) * vmwFinalPrice * numVmwShares),0)</f>
        <v>0</v>
      </c>
      <c r="W69" s="319">
        <f>SWITCH(Reference!$E$4,"eTradeTransactionLog", T69, "eTradeHoldingRatio",T69, "eTradeLotQtyRatio",U69,"manualLotRatio",V69)</f>
        <v>0</v>
      </c>
      <c r="X69" s="309">
        <f>LET(purchaseDate,C69, dateOfRecord,Reference!$B$26, returnOfCapital,Reference!$C$26, IF(purchaseDate &lt; dateOfRecord, returnOfCapital,0))</f>
        <v>10.18</v>
      </c>
      <c r="Y69" s="309">
        <f>LET(purchaseDate,C69, dateOfRecord,Reference!$B$27, returnOfCapital,Reference!$C$27, IF(purchaseDate &lt; dateOfRecord, returnOfCapital,0))</f>
        <v>16.58</v>
      </c>
      <c r="Z69" s="309">
        <f t="shared" si="9"/>
        <v>-26.76</v>
      </c>
      <c r="AA69" s="309">
        <f t="shared" si="10"/>
        <v>0</v>
      </c>
      <c r="AB69" s="320">
        <f>LET(numVmwShares,D69, stockRatio,Reference!$B$5, vmwToAvgoRatio,Reference!$B$6, numVmwShares * stockRatio * vmwToAvgoRatio)</f>
        <v>0</v>
      </c>
      <c r="AC69" s="320">
        <f>LET(numVmwShares,D69, stockRatio,Q69, vmwToAvgoRatio,Reference!$B$6, numVmwShares * stockRatio * vmwToAvgoRatio)</f>
        <v>0</v>
      </c>
      <c r="AD69" s="320" t="str">
        <f>LET(numVmwShares,D69, stockRatio,R69, vmwToAvgoRatio,Reference!$B$6, numVmwShares * stockRatio * vmwToAvgoRatio)</f>
        <v>#DIV/0!</v>
      </c>
      <c r="AE69" s="320">
        <f>SWITCH(Reference!$E$4, "eTradeTransactionLog", AB69, "eTradeHoldingRatio",AB69, "eTradeLotQtyRatio",AC69,"manualLotRatio",AD69)</f>
        <v>0</v>
      </c>
      <c r="AF69" s="321">
        <f>LET(numVmwShares,D69, vmwBasis,Z69, avgoQty,AE69, avgoFMV,Reference!$B$18, cashReceived,W69, gain,cashReceived+(avgoQty*avgoFMV)-(numVmwShares*vmwBasis),
MAX(gain,0))</f>
        <v>0</v>
      </c>
      <c r="AG69" s="322">
        <f>LET(useForFraction,J69, fractionAmount,Summary!$C$41, esppFractionLots,ESPP!$N$5, rsuFractionLots,RSU!J$5, IF(useForFraction, fractionAmount / (esppFractionLots+rsuFractionLots), 0))</f>
        <v>0</v>
      </c>
      <c r="AH69" s="411">
        <f>LET(useForFraction,J69, fractionSaleFMV,Reference!$B$23, postMergerBasis,AT69, lotFractionAmount,AG69, IF(useForFraction, (fractionSaleFMV - postMergerBasis)*lotFractionAmount, 0))</f>
        <v>0</v>
      </c>
      <c r="AI69" s="412">
        <f t="shared" si="11"/>
        <v>0</v>
      </c>
      <c r="AJ69" s="413">
        <f>LET(
purchaseDate,C69,
mergerDate,Reference!$B$28,
lotFractionGain,AH69,
mergerGain,AI69,
IF(DATEDIF(purchaseDate,mergerDate,"Y")&gt;=1,
  0,
  lotFractionGain + mergerGain
))</f>
        <v>0</v>
      </c>
      <c r="AK69" s="413">
        <f>LET(
purchaseDate,C69,
mergerDate,Reference!$B$28,
lotFractionGain,AH69,
mergerGain,AI69,
IF(DATEDIF(purchaseDate,mergerDate,"Y")&gt;=1,
  lotFractionGain+mergerGain,
  0
))</f>
        <v>0</v>
      </c>
      <c r="AL69" s="414" t="str">
        <f>IF(DATEDIF(C69,Reference!$B$28,"Y")&gt;=1,"Part II Box E","Part I Box B")</f>
        <v>Part II Box E</v>
      </c>
      <c r="AM69" s="344" t="str">
        <f t="shared" si="12"/>
        <v/>
      </c>
      <c r="AN69" s="330">
        <f t="shared" si="13"/>
        <v>0</v>
      </c>
      <c r="AO69" s="330">
        <f>LET(
cashReceived,W69, 
avgoQty,AE69, 
proceedsStyle,Reference!$E$9, 
avgoFMV,Reference!$B$18, 
SWITCH(proceedsStyle, "combined", cashReceived +(avgoQty*avgoFMV), "cashOnly", cashReceived))</f>
        <v>0</v>
      </c>
      <c r="AP69" s="345">
        <f>LET(
proceedsStyle,Reference!$E$9,
proceeds,AO69,
gain,AS69,
numVmwShares,D69, 
vmwBasis, Z69, 
avgoQty,AE69, 
avgoFMV,Reference!$B$18, 
cashReceived,W69, 
avgoTotalValue, avgoFMV*avgoQty, 
vmwTotalBasis, vmwBasis*numVmwShares,
alternateGainAmount,AF69, 
SWITCH(proceedsStyle,
  "cashOnly",
    proceeds - gain,
  "combined",
    IF(cashReceived&lt;alternateGainAmount,
      avgoTotalValue,
      vmwTotalBasis
    )
  )
)</f>
        <v>0</v>
      </c>
      <c r="AQ69" s="345" t="str">
        <f t="shared" si="14"/>
        <v/>
      </c>
      <c r="AR69" s="345">
        <v>0.0</v>
      </c>
      <c r="AS69" s="331">
        <f>LET(
proceedsStyle,Reference!$E$9,
proceeds,AO69,
basis1099B,AP69,
adjustment,AR69,
mergerGain,AI69,
SWITCH(proceedsStyle,
  "cashOnly",
    mergerGain,
  "combined",
    MAX(proceeds - basis1099B + adjustment, 0)
))</f>
        <v>0</v>
      </c>
      <c r="AT69" s="415" t="str">
        <f t="shared" si="15"/>
        <v>n/a</v>
      </c>
      <c r="AU69" s="333">
        <f>LET(saleFMV,Reference!$B$10, postMergerBasis,AT69, avgoQty,AE69, lotFractionAmount,AG69, iferror((saleFMV - postMergerBasis) * (avgoQty - lotFractionAmount), 0))</f>
        <v>0</v>
      </c>
      <c r="AV69" s="333">
        <f>LET(
avgoQty,AE69, 
purchaseDate,C69,
postMergerSaleDate,Reference!$B$29,
saleFMV,Reference!$B$10,
postMergerBasis,AT69, 
IFERROR(IF(DATEDIF(purchaseDate,postMergerSaleDate,"Y")&gt;=1,
  0,
  avgoQty * (saleFMV - postMergerBasis)
),0))</f>
        <v>0</v>
      </c>
      <c r="AW69" s="336">
        <f>LET(
avgoQty,AE69, 
purchaseDate,C69,
postMergerSaleDate,Reference!$B$29,
saleFMV,Reference!$B$10,
postMergerBasis,AT69, 
IFERROR(IF(DATEDIF(purchaseDate,postMergerSaleDate,"Y")&gt;=1,
  avgoQty * (saleFMV - postMergerBasis),
  0
),0))</f>
        <v>0</v>
      </c>
      <c r="AX69" s="337"/>
    </row>
    <row r="70">
      <c r="A70" s="405"/>
      <c r="B70" s="420"/>
      <c r="C70" s="307"/>
      <c r="D70" s="338"/>
      <c r="E70" s="321" t="str">
        <f t="array" ref="E70">IF(C70&lt;&gt;"", IFERROR(VLOOKUP(C70, SORT(PriceReference!$A$1:$B1014), 2, TRUE), "price unavailable"), "")</f>
        <v/>
      </c>
      <c r="F70" s="416"/>
      <c r="G70" s="309">
        <f t="shared" si="6"/>
        <v>0</v>
      </c>
      <c r="H70" s="321">
        <f t="shared" si="7"/>
        <v>0</v>
      </c>
      <c r="I70" s="417"/>
      <c r="J70" s="348" t="b">
        <v>0</v>
      </c>
      <c r="K70" s="409"/>
      <c r="L70" s="315">
        <v>0.0</v>
      </c>
      <c r="M70" s="315">
        <v>0.0</v>
      </c>
      <c r="N70" s="315">
        <v>0.0</v>
      </c>
      <c r="O70" s="315">
        <v>0.0</v>
      </c>
      <c r="P70" s="315">
        <v>0.0</v>
      </c>
      <c r="Q70" s="317">
        <f t="shared" si="8"/>
        <v>0</v>
      </c>
      <c r="R70" s="317" t="str">
        <f>SWITCH(S70,"cash",Reference!E$5,"shares",Reference!$E$6,"balance",Reference!$E$7,"pro-rata",Reference!$B$5)</f>
        <v>#DIV/0!</v>
      </c>
      <c r="S70" s="318" t="s">
        <v>207</v>
      </c>
      <c r="T70" s="319">
        <f>LET(numVmwShares,D70, cashRatio,Reference!$B$4, vmwFinalPrice,Reference!$B$3, numVmwShares * cashRatio * vmwFinalPrice)</f>
        <v>0</v>
      </c>
      <c r="U70" s="319">
        <f>iferror(LET(numVmwShares,$D70, stockRatio,Q70, vmwFinalPrice,Reference!$B$3, (1 - stockRatio) * vmwFinalPrice * numVmwShares),0)</f>
        <v>0</v>
      </c>
      <c r="V70" s="319">
        <f>iferror(LET(numVmwShares,$D70, stockRatio,R70, vmwFinalPrice,Reference!$B$3, (1 - stockRatio) * vmwFinalPrice * numVmwShares),0)</f>
        <v>0</v>
      </c>
      <c r="W70" s="319">
        <f>SWITCH(Reference!$E$4,"eTradeTransactionLog", T70, "eTradeHoldingRatio",T70, "eTradeLotQtyRatio",U70,"manualLotRatio",V70)</f>
        <v>0</v>
      </c>
      <c r="X70" s="309">
        <f>LET(purchaseDate,C70, dateOfRecord,Reference!$B$26, returnOfCapital,Reference!$C$26, IF(purchaseDate &lt; dateOfRecord, returnOfCapital,0))</f>
        <v>10.18</v>
      </c>
      <c r="Y70" s="309">
        <f>LET(purchaseDate,C70, dateOfRecord,Reference!$B$27, returnOfCapital,Reference!$C$27, IF(purchaseDate &lt; dateOfRecord, returnOfCapital,0))</f>
        <v>16.58</v>
      </c>
      <c r="Z70" s="309">
        <f t="shared" si="9"/>
        <v>-26.76</v>
      </c>
      <c r="AA70" s="309">
        <f t="shared" si="10"/>
        <v>0</v>
      </c>
      <c r="AB70" s="320">
        <f>LET(numVmwShares,D70, stockRatio,Reference!$B$5, vmwToAvgoRatio,Reference!$B$6, numVmwShares * stockRatio * vmwToAvgoRatio)</f>
        <v>0</v>
      </c>
      <c r="AC70" s="320">
        <f>LET(numVmwShares,D70, stockRatio,Q70, vmwToAvgoRatio,Reference!$B$6, numVmwShares * stockRatio * vmwToAvgoRatio)</f>
        <v>0</v>
      </c>
      <c r="AD70" s="320" t="str">
        <f>LET(numVmwShares,D70, stockRatio,R70, vmwToAvgoRatio,Reference!$B$6, numVmwShares * stockRatio * vmwToAvgoRatio)</f>
        <v>#DIV/0!</v>
      </c>
      <c r="AE70" s="320">
        <f>SWITCH(Reference!$E$4, "eTradeTransactionLog", AB70, "eTradeHoldingRatio",AB70, "eTradeLotQtyRatio",AC70,"manualLotRatio",AD70)</f>
        <v>0</v>
      </c>
      <c r="AF70" s="321">
        <f>LET(numVmwShares,D70, vmwBasis,Z70, avgoQty,AE70, avgoFMV,Reference!$B$18, cashReceived,W70, gain,cashReceived+(avgoQty*avgoFMV)-(numVmwShares*vmwBasis),
MAX(gain,0))</f>
        <v>0</v>
      </c>
      <c r="AG70" s="322">
        <f>LET(useForFraction,J70, fractionAmount,Summary!$C$41, esppFractionLots,ESPP!$N$5, rsuFractionLots,RSU!J$5, IF(useForFraction, fractionAmount / (esppFractionLots+rsuFractionLots), 0))</f>
        <v>0</v>
      </c>
      <c r="AH70" s="411">
        <f>LET(useForFraction,J70, fractionSaleFMV,Reference!$B$23, postMergerBasis,AT70, lotFractionAmount,AG70, IF(useForFraction, (fractionSaleFMV - postMergerBasis)*lotFractionAmount, 0))</f>
        <v>0</v>
      </c>
      <c r="AI70" s="412">
        <f t="shared" si="11"/>
        <v>0</v>
      </c>
      <c r="AJ70" s="413">
        <f>LET(
purchaseDate,C70,
mergerDate,Reference!$B$28,
lotFractionGain,AH70,
mergerGain,AI70,
IF(DATEDIF(purchaseDate,mergerDate,"Y")&gt;=1,
  0,
  lotFractionGain + mergerGain
))</f>
        <v>0</v>
      </c>
      <c r="AK70" s="413">
        <f>LET(
purchaseDate,C70,
mergerDate,Reference!$B$28,
lotFractionGain,AH70,
mergerGain,AI70,
IF(DATEDIF(purchaseDate,mergerDate,"Y")&gt;=1,
  lotFractionGain+mergerGain,
  0
))</f>
        <v>0</v>
      </c>
      <c r="AL70" s="414" t="str">
        <f>IF(DATEDIF(C70,Reference!$B$28,"Y")&gt;=1,"Part II Box E","Part I Box B")</f>
        <v>Part II Box E</v>
      </c>
      <c r="AM70" s="344" t="str">
        <f t="shared" si="12"/>
        <v/>
      </c>
      <c r="AN70" s="330">
        <f t="shared" si="13"/>
        <v>0</v>
      </c>
      <c r="AO70" s="330">
        <f>LET(
cashReceived,W70, 
avgoQty,AE70, 
proceedsStyle,Reference!$E$9, 
avgoFMV,Reference!$B$18, 
SWITCH(proceedsStyle, "combined", cashReceived +(avgoQty*avgoFMV), "cashOnly", cashReceived))</f>
        <v>0</v>
      </c>
      <c r="AP70" s="345">
        <f>LET(
proceedsStyle,Reference!$E$9,
proceeds,AO70,
gain,AS70,
numVmwShares,D70, 
vmwBasis, Z70, 
avgoQty,AE70, 
avgoFMV,Reference!$B$18, 
cashReceived,W70, 
avgoTotalValue, avgoFMV*avgoQty, 
vmwTotalBasis, vmwBasis*numVmwShares,
alternateGainAmount,AF70, 
SWITCH(proceedsStyle,
  "cashOnly",
    proceeds - gain,
  "combined",
    IF(cashReceived&lt;alternateGainAmount,
      avgoTotalValue,
      vmwTotalBasis
    )
  )
)</f>
        <v>0</v>
      </c>
      <c r="AQ70" s="345" t="str">
        <f t="shared" si="14"/>
        <v/>
      </c>
      <c r="AR70" s="345">
        <v>0.0</v>
      </c>
      <c r="AS70" s="331">
        <f>LET(
proceedsStyle,Reference!$E$9,
proceeds,AO70,
basis1099B,AP70,
adjustment,AR70,
mergerGain,AI70,
SWITCH(proceedsStyle,
  "cashOnly",
    mergerGain,
  "combined",
    MAX(proceeds - basis1099B + adjustment, 0)
))</f>
        <v>0</v>
      </c>
      <c r="AT70" s="415" t="str">
        <f t="shared" si="15"/>
        <v>n/a</v>
      </c>
      <c r="AU70" s="333">
        <f>LET(saleFMV,Reference!$B$10, postMergerBasis,AT70, avgoQty,AE70, lotFractionAmount,AG70, iferror((saleFMV - postMergerBasis) * (avgoQty - lotFractionAmount), 0))</f>
        <v>0</v>
      </c>
      <c r="AV70" s="333">
        <f>LET(
avgoQty,AE70, 
purchaseDate,C70,
postMergerSaleDate,Reference!$B$29,
saleFMV,Reference!$B$10,
postMergerBasis,AT70, 
IFERROR(IF(DATEDIF(purchaseDate,postMergerSaleDate,"Y")&gt;=1,
  0,
  avgoQty * (saleFMV - postMergerBasis)
),0))</f>
        <v>0</v>
      </c>
      <c r="AW70" s="336">
        <f>LET(
avgoQty,AE70, 
purchaseDate,C70,
postMergerSaleDate,Reference!$B$29,
saleFMV,Reference!$B$10,
postMergerBasis,AT70, 
IFERROR(IF(DATEDIF(purchaseDate,postMergerSaleDate,"Y")&gt;=1,
  avgoQty * (saleFMV - postMergerBasis),
  0
),0))</f>
        <v>0</v>
      </c>
      <c r="AX70" s="337"/>
    </row>
    <row r="71">
      <c r="A71" s="405"/>
      <c r="B71" s="406"/>
      <c r="C71" s="307"/>
      <c r="D71" s="338"/>
      <c r="E71" s="321" t="str">
        <f t="array" ref="E71">IF(C71&lt;&gt;"", IFERROR(VLOOKUP(C71, SORT(PriceReference!$A$1:$B1014), 2, TRUE), "price unavailable"), "")</f>
        <v/>
      </c>
      <c r="F71" s="416"/>
      <c r="G71" s="309">
        <f t="shared" si="6"/>
        <v>0</v>
      </c>
      <c r="H71" s="321">
        <f t="shared" si="7"/>
        <v>0</v>
      </c>
      <c r="I71" s="417"/>
      <c r="J71" s="348" t="b">
        <v>0</v>
      </c>
      <c r="K71" s="409"/>
      <c r="L71" s="315">
        <v>0.0</v>
      </c>
      <c r="M71" s="315">
        <v>0.0</v>
      </c>
      <c r="N71" s="315">
        <v>0.0</v>
      </c>
      <c r="O71" s="315">
        <v>0.0</v>
      </c>
      <c r="P71" s="315">
        <v>0.0</v>
      </c>
      <c r="Q71" s="317">
        <f t="shared" si="8"/>
        <v>0</v>
      </c>
      <c r="R71" s="317" t="str">
        <f>SWITCH(S71,"cash",Reference!E$5,"shares",Reference!$E$6,"balance",Reference!$E$7,"pro-rata",Reference!$B$5)</f>
        <v>#DIV/0!</v>
      </c>
      <c r="S71" s="318" t="s">
        <v>207</v>
      </c>
      <c r="T71" s="319">
        <f>LET(numVmwShares,D71, cashRatio,Reference!$B$4, vmwFinalPrice,Reference!$B$3, numVmwShares * cashRatio * vmwFinalPrice)</f>
        <v>0</v>
      </c>
      <c r="U71" s="319">
        <f>iferror(LET(numVmwShares,$D71, stockRatio,Q71, vmwFinalPrice,Reference!$B$3, (1 - stockRatio) * vmwFinalPrice * numVmwShares),0)</f>
        <v>0</v>
      </c>
      <c r="V71" s="319">
        <f>iferror(LET(numVmwShares,$D71, stockRatio,R71, vmwFinalPrice,Reference!$B$3, (1 - stockRatio) * vmwFinalPrice * numVmwShares),0)</f>
        <v>0</v>
      </c>
      <c r="W71" s="319">
        <f>SWITCH(Reference!$E$4,"eTradeTransactionLog", T71, "eTradeHoldingRatio",T71, "eTradeLotQtyRatio",U71,"manualLotRatio",V71)</f>
        <v>0</v>
      </c>
      <c r="X71" s="309">
        <f>LET(purchaseDate,C71, dateOfRecord,Reference!$B$26, returnOfCapital,Reference!$C$26, IF(purchaseDate &lt; dateOfRecord, returnOfCapital,0))</f>
        <v>10.18</v>
      </c>
      <c r="Y71" s="309">
        <f>LET(purchaseDate,C71, dateOfRecord,Reference!$B$27, returnOfCapital,Reference!$C$27, IF(purchaseDate &lt; dateOfRecord, returnOfCapital,0))</f>
        <v>16.58</v>
      </c>
      <c r="Z71" s="309">
        <f t="shared" si="9"/>
        <v>-26.76</v>
      </c>
      <c r="AA71" s="309">
        <f t="shared" si="10"/>
        <v>0</v>
      </c>
      <c r="AB71" s="320">
        <f>LET(numVmwShares,D71, stockRatio,Reference!$B$5, vmwToAvgoRatio,Reference!$B$6, numVmwShares * stockRatio * vmwToAvgoRatio)</f>
        <v>0</v>
      </c>
      <c r="AC71" s="320">
        <f>LET(numVmwShares,D71, stockRatio,Q71, vmwToAvgoRatio,Reference!$B$6, numVmwShares * stockRatio * vmwToAvgoRatio)</f>
        <v>0</v>
      </c>
      <c r="AD71" s="320" t="str">
        <f>LET(numVmwShares,D71, stockRatio,R71, vmwToAvgoRatio,Reference!$B$6, numVmwShares * stockRatio * vmwToAvgoRatio)</f>
        <v>#DIV/0!</v>
      </c>
      <c r="AE71" s="320">
        <f>SWITCH(Reference!$E$4, "eTradeTransactionLog", AB71, "eTradeHoldingRatio",AB71, "eTradeLotQtyRatio",AC71,"manualLotRatio",AD71)</f>
        <v>0</v>
      </c>
      <c r="AF71" s="321">
        <f>LET(numVmwShares,D71, vmwBasis,Z71, avgoQty,AE71, avgoFMV,Reference!$B$18, cashReceived,W71, gain,cashReceived+(avgoQty*avgoFMV)-(numVmwShares*vmwBasis),
MAX(gain,0))</f>
        <v>0</v>
      </c>
      <c r="AG71" s="322">
        <f>LET(useForFraction,J71, fractionAmount,Summary!$C$41, esppFractionLots,ESPP!$N$5, rsuFractionLots,RSU!J$5, IF(useForFraction, fractionAmount / (esppFractionLots+rsuFractionLots), 0))</f>
        <v>0</v>
      </c>
      <c r="AH71" s="411">
        <f>LET(useForFraction,J71, fractionSaleFMV,Reference!$B$23, postMergerBasis,AT71, lotFractionAmount,AG71, IF(useForFraction, (fractionSaleFMV - postMergerBasis)*lotFractionAmount, 0))</f>
        <v>0</v>
      </c>
      <c r="AI71" s="412">
        <f t="shared" si="11"/>
        <v>0</v>
      </c>
      <c r="AJ71" s="413">
        <f>LET(
purchaseDate,C71,
mergerDate,Reference!$B$28,
lotFractionGain,AH71,
mergerGain,AI71,
IF(DATEDIF(purchaseDate,mergerDate,"Y")&gt;=1,
  0,
  lotFractionGain + mergerGain
))</f>
        <v>0</v>
      </c>
      <c r="AK71" s="413">
        <f>LET(
purchaseDate,C71,
mergerDate,Reference!$B$28,
lotFractionGain,AH71,
mergerGain,AI71,
IF(DATEDIF(purchaseDate,mergerDate,"Y")&gt;=1,
  lotFractionGain+mergerGain,
  0
))</f>
        <v>0</v>
      </c>
      <c r="AL71" s="414" t="str">
        <f>IF(DATEDIF(C71,Reference!$B$28,"Y")&gt;=1,"Part II Box E","Part I Box B")</f>
        <v>Part II Box E</v>
      </c>
      <c r="AM71" s="344" t="str">
        <f t="shared" si="12"/>
        <v/>
      </c>
      <c r="AN71" s="330">
        <f t="shared" si="13"/>
        <v>0</v>
      </c>
      <c r="AO71" s="330">
        <f>LET(
cashReceived,W71, 
avgoQty,AE71, 
proceedsStyle,Reference!$E$9, 
avgoFMV,Reference!$B$18, 
SWITCH(proceedsStyle, "combined", cashReceived +(avgoQty*avgoFMV), "cashOnly", cashReceived))</f>
        <v>0</v>
      </c>
      <c r="AP71" s="345">
        <f>LET(
proceedsStyle,Reference!$E$9,
proceeds,AO71,
gain,AS71,
numVmwShares,D71, 
vmwBasis, Z71, 
avgoQty,AE71, 
avgoFMV,Reference!$B$18, 
cashReceived,W71, 
avgoTotalValue, avgoFMV*avgoQty, 
vmwTotalBasis, vmwBasis*numVmwShares,
alternateGainAmount,AF71, 
SWITCH(proceedsStyle,
  "cashOnly",
    proceeds - gain,
  "combined",
    IF(cashReceived&lt;alternateGainAmount,
      avgoTotalValue,
      vmwTotalBasis
    )
  )
)</f>
        <v>0</v>
      </c>
      <c r="AQ71" s="345" t="str">
        <f t="shared" si="14"/>
        <v/>
      </c>
      <c r="AR71" s="345">
        <v>0.0</v>
      </c>
      <c r="AS71" s="331">
        <f>LET(
proceedsStyle,Reference!$E$9,
proceeds,AO71,
basis1099B,AP71,
adjustment,AR71,
mergerGain,AI71,
SWITCH(proceedsStyle,
  "cashOnly",
    mergerGain,
  "combined",
    MAX(proceeds - basis1099B + adjustment, 0)
))</f>
        <v>0</v>
      </c>
      <c r="AT71" s="415" t="str">
        <f t="shared" si="15"/>
        <v>n/a</v>
      </c>
      <c r="AU71" s="333">
        <f>LET(saleFMV,Reference!$B$10, postMergerBasis,AT71, avgoQty,AE71, lotFractionAmount,AG71, iferror((saleFMV - postMergerBasis) * (avgoQty - lotFractionAmount), 0))</f>
        <v>0</v>
      </c>
      <c r="AV71" s="333">
        <f>LET(
avgoQty,AE71, 
purchaseDate,C71,
postMergerSaleDate,Reference!$B$29,
saleFMV,Reference!$B$10,
postMergerBasis,AT71, 
IFERROR(IF(DATEDIF(purchaseDate,postMergerSaleDate,"Y")&gt;=1,
  0,
  avgoQty * (saleFMV - postMergerBasis)
),0))</f>
        <v>0</v>
      </c>
      <c r="AW71" s="336">
        <f>LET(
avgoQty,AE71, 
purchaseDate,C71,
postMergerSaleDate,Reference!$B$29,
saleFMV,Reference!$B$10,
postMergerBasis,AT71, 
IFERROR(IF(DATEDIF(purchaseDate,postMergerSaleDate,"Y")&gt;=1,
  avgoQty * (saleFMV - postMergerBasis),
  0
),0))</f>
        <v>0</v>
      </c>
      <c r="AX71" s="337"/>
    </row>
    <row r="72">
      <c r="A72" s="405"/>
      <c r="B72" s="420"/>
      <c r="C72" s="307"/>
      <c r="D72" s="338"/>
      <c r="E72" s="321" t="str">
        <f t="array" ref="E72">IF(C72&lt;&gt;"", IFERROR(VLOOKUP(C72, SORT(PriceReference!$A$1:$B1014), 2, TRUE), "price unavailable"), "")</f>
        <v/>
      </c>
      <c r="F72" s="416"/>
      <c r="G72" s="309">
        <f t="shared" si="6"/>
        <v>0</v>
      </c>
      <c r="H72" s="321">
        <f t="shared" si="7"/>
        <v>0</v>
      </c>
      <c r="I72" s="417"/>
      <c r="J72" s="348" t="b">
        <v>0</v>
      </c>
      <c r="K72" s="409"/>
      <c r="L72" s="315">
        <v>0.0</v>
      </c>
      <c r="M72" s="315">
        <v>0.0</v>
      </c>
      <c r="N72" s="315">
        <v>0.0</v>
      </c>
      <c r="O72" s="315">
        <v>0.0</v>
      </c>
      <c r="P72" s="315">
        <v>0.0</v>
      </c>
      <c r="Q72" s="317">
        <f t="shared" si="8"/>
        <v>0</v>
      </c>
      <c r="R72" s="317" t="str">
        <f>SWITCH(S72,"cash",Reference!E$5,"shares",Reference!$E$6,"balance",Reference!$E$7,"pro-rata",Reference!$B$5)</f>
        <v>#DIV/0!</v>
      </c>
      <c r="S72" s="318" t="s">
        <v>207</v>
      </c>
      <c r="T72" s="319">
        <f>LET(numVmwShares,D72, cashRatio,Reference!$B$4, vmwFinalPrice,Reference!$B$3, numVmwShares * cashRatio * vmwFinalPrice)</f>
        <v>0</v>
      </c>
      <c r="U72" s="319">
        <f>iferror(LET(numVmwShares,$D72, stockRatio,Q72, vmwFinalPrice,Reference!$B$3, (1 - stockRatio) * vmwFinalPrice * numVmwShares),0)</f>
        <v>0</v>
      </c>
      <c r="V72" s="319">
        <f>iferror(LET(numVmwShares,$D72, stockRatio,R72, vmwFinalPrice,Reference!$B$3, (1 - stockRatio) * vmwFinalPrice * numVmwShares),0)</f>
        <v>0</v>
      </c>
      <c r="W72" s="319">
        <f>SWITCH(Reference!$E$4,"eTradeTransactionLog", T72, "eTradeHoldingRatio",T72, "eTradeLotQtyRatio",U72,"manualLotRatio",V72)</f>
        <v>0</v>
      </c>
      <c r="X72" s="309">
        <f>LET(purchaseDate,C72, dateOfRecord,Reference!$B$26, returnOfCapital,Reference!$C$26, IF(purchaseDate &lt; dateOfRecord, returnOfCapital,0))</f>
        <v>10.18</v>
      </c>
      <c r="Y72" s="309">
        <f>LET(purchaseDate,C72, dateOfRecord,Reference!$B$27, returnOfCapital,Reference!$C$27, IF(purchaseDate &lt; dateOfRecord, returnOfCapital,0))</f>
        <v>16.58</v>
      </c>
      <c r="Z72" s="309">
        <f t="shared" si="9"/>
        <v>-26.76</v>
      </c>
      <c r="AA72" s="309">
        <f t="shared" si="10"/>
        <v>0</v>
      </c>
      <c r="AB72" s="320">
        <f>LET(numVmwShares,D72, stockRatio,Reference!$B$5, vmwToAvgoRatio,Reference!$B$6, numVmwShares * stockRatio * vmwToAvgoRatio)</f>
        <v>0</v>
      </c>
      <c r="AC72" s="320">
        <f>LET(numVmwShares,D72, stockRatio,Q72, vmwToAvgoRatio,Reference!$B$6, numVmwShares * stockRatio * vmwToAvgoRatio)</f>
        <v>0</v>
      </c>
      <c r="AD72" s="320" t="str">
        <f>LET(numVmwShares,D72, stockRatio,R72, vmwToAvgoRatio,Reference!$B$6, numVmwShares * stockRatio * vmwToAvgoRatio)</f>
        <v>#DIV/0!</v>
      </c>
      <c r="AE72" s="320">
        <f>SWITCH(Reference!$E$4, "eTradeTransactionLog", AB72, "eTradeHoldingRatio",AB72, "eTradeLotQtyRatio",AC72,"manualLotRatio",AD72)</f>
        <v>0</v>
      </c>
      <c r="AF72" s="321">
        <f>LET(numVmwShares,D72, vmwBasis,Z72, avgoQty,AE72, avgoFMV,Reference!$B$18, cashReceived,W72, gain,cashReceived+(avgoQty*avgoFMV)-(numVmwShares*vmwBasis),
MAX(gain,0))</f>
        <v>0</v>
      </c>
      <c r="AG72" s="322">
        <f>LET(useForFraction,J72, fractionAmount,Summary!$C$41, esppFractionLots,ESPP!$N$5, rsuFractionLots,RSU!J$5, IF(useForFraction, fractionAmount / (esppFractionLots+rsuFractionLots), 0))</f>
        <v>0</v>
      </c>
      <c r="AH72" s="411">
        <f>LET(useForFraction,J72, fractionSaleFMV,Reference!$B$23, postMergerBasis,AT72, lotFractionAmount,AG72, IF(useForFraction, (fractionSaleFMV - postMergerBasis)*lotFractionAmount, 0))</f>
        <v>0</v>
      </c>
      <c r="AI72" s="412">
        <f t="shared" si="11"/>
        <v>0</v>
      </c>
      <c r="AJ72" s="413">
        <f>LET(
purchaseDate,C72,
mergerDate,Reference!$B$28,
lotFractionGain,AH72,
mergerGain,AI72,
IF(DATEDIF(purchaseDate,mergerDate,"Y")&gt;=1,
  0,
  lotFractionGain + mergerGain
))</f>
        <v>0</v>
      </c>
      <c r="AK72" s="413">
        <f>LET(
purchaseDate,C72,
mergerDate,Reference!$B$28,
lotFractionGain,AH72,
mergerGain,AI72,
IF(DATEDIF(purchaseDate,mergerDate,"Y")&gt;=1,
  lotFractionGain+mergerGain,
  0
))</f>
        <v>0</v>
      </c>
      <c r="AL72" s="414" t="str">
        <f>IF(DATEDIF(C72,Reference!$B$28,"Y")&gt;=1,"Part II Box E","Part I Box B")</f>
        <v>Part II Box E</v>
      </c>
      <c r="AM72" s="344" t="str">
        <f t="shared" si="12"/>
        <v/>
      </c>
      <c r="AN72" s="330">
        <f t="shared" si="13"/>
        <v>0</v>
      </c>
      <c r="AO72" s="330">
        <f>LET(
cashReceived,W72, 
avgoQty,AE72, 
proceedsStyle,Reference!$E$9, 
avgoFMV,Reference!$B$18, 
SWITCH(proceedsStyle, "combined", cashReceived +(avgoQty*avgoFMV), "cashOnly", cashReceived))</f>
        <v>0</v>
      </c>
      <c r="AP72" s="345">
        <f>LET(
proceedsStyle,Reference!$E$9,
proceeds,AO72,
gain,AS72,
numVmwShares,D72, 
vmwBasis, Z72, 
avgoQty,AE72, 
avgoFMV,Reference!$B$18, 
cashReceived,W72, 
avgoTotalValue, avgoFMV*avgoQty, 
vmwTotalBasis, vmwBasis*numVmwShares,
alternateGainAmount,AF72, 
SWITCH(proceedsStyle,
  "cashOnly",
    proceeds - gain,
  "combined",
    IF(cashReceived&lt;alternateGainAmount,
      avgoTotalValue,
      vmwTotalBasis
    )
  )
)</f>
        <v>0</v>
      </c>
      <c r="AQ72" s="345" t="str">
        <f t="shared" si="14"/>
        <v/>
      </c>
      <c r="AR72" s="345">
        <v>0.0</v>
      </c>
      <c r="AS72" s="331">
        <f>LET(
proceedsStyle,Reference!$E$9,
proceeds,AO72,
basis1099B,AP72,
adjustment,AR72,
mergerGain,AI72,
SWITCH(proceedsStyle,
  "cashOnly",
    mergerGain,
  "combined",
    MAX(proceeds - basis1099B + adjustment, 0)
))</f>
        <v>0</v>
      </c>
      <c r="AT72" s="415" t="str">
        <f t="shared" si="15"/>
        <v>n/a</v>
      </c>
      <c r="AU72" s="333">
        <f>LET(saleFMV,Reference!$B$10, postMergerBasis,AT72, avgoQty,AE72, lotFractionAmount,AG72, iferror((saleFMV - postMergerBasis) * (avgoQty - lotFractionAmount), 0))</f>
        <v>0</v>
      </c>
      <c r="AV72" s="333">
        <f>LET(
avgoQty,AE72, 
purchaseDate,C72,
postMergerSaleDate,Reference!$B$29,
saleFMV,Reference!$B$10,
postMergerBasis,AT72, 
IFERROR(IF(DATEDIF(purchaseDate,postMergerSaleDate,"Y")&gt;=1,
  0,
  avgoQty * (saleFMV - postMergerBasis)
),0))</f>
        <v>0</v>
      </c>
      <c r="AW72" s="336">
        <f>LET(
avgoQty,AE72, 
purchaseDate,C72,
postMergerSaleDate,Reference!$B$29,
saleFMV,Reference!$B$10,
postMergerBasis,AT72, 
IFERROR(IF(DATEDIF(purchaseDate,postMergerSaleDate,"Y")&gt;=1,
  avgoQty * (saleFMV - postMergerBasis),
  0
),0))</f>
        <v>0</v>
      </c>
      <c r="AX72" s="337"/>
    </row>
    <row r="73">
      <c r="A73" s="405"/>
      <c r="B73" s="406"/>
      <c r="C73" s="307"/>
      <c r="D73" s="338"/>
      <c r="E73" s="321" t="str">
        <f t="array" ref="E73">IF(C73&lt;&gt;"", IFERROR(VLOOKUP(C73, SORT(PriceReference!$A$1:$B1014), 2, TRUE), "price unavailable"), "")</f>
        <v/>
      </c>
      <c r="F73" s="416"/>
      <c r="G73" s="309">
        <f t="shared" si="6"/>
        <v>0</v>
      </c>
      <c r="H73" s="321">
        <f t="shared" si="7"/>
        <v>0</v>
      </c>
      <c r="I73" s="417"/>
      <c r="J73" s="348" t="b">
        <v>0</v>
      </c>
      <c r="K73" s="409"/>
      <c r="L73" s="315">
        <v>0.0</v>
      </c>
      <c r="M73" s="315">
        <v>0.0</v>
      </c>
      <c r="N73" s="315">
        <v>0.0</v>
      </c>
      <c r="O73" s="315">
        <v>0.0</v>
      </c>
      <c r="P73" s="315">
        <v>0.0</v>
      </c>
      <c r="Q73" s="317">
        <f t="shared" si="8"/>
        <v>0</v>
      </c>
      <c r="R73" s="317" t="str">
        <f>SWITCH(S73,"cash",Reference!E$5,"shares",Reference!$E$6,"balance",Reference!$E$7,"pro-rata",Reference!$B$5)</f>
        <v>#DIV/0!</v>
      </c>
      <c r="S73" s="318" t="s">
        <v>207</v>
      </c>
      <c r="T73" s="319">
        <f>LET(numVmwShares,D73, cashRatio,Reference!$B$4, vmwFinalPrice,Reference!$B$3, numVmwShares * cashRatio * vmwFinalPrice)</f>
        <v>0</v>
      </c>
      <c r="U73" s="319">
        <f>iferror(LET(numVmwShares,$D73, stockRatio,Q73, vmwFinalPrice,Reference!$B$3, (1 - stockRatio) * vmwFinalPrice * numVmwShares),0)</f>
        <v>0</v>
      </c>
      <c r="V73" s="319">
        <f>iferror(LET(numVmwShares,$D73, stockRatio,R73, vmwFinalPrice,Reference!$B$3, (1 - stockRatio) * vmwFinalPrice * numVmwShares),0)</f>
        <v>0</v>
      </c>
      <c r="W73" s="319">
        <f>SWITCH(Reference!$E$4,"eTradeTransactionLog", T73, "eTradeHoldingRatio",T73, "eTradeLotQtyRatio",U73,"manualLotRatio",V73)</f>
        <v>0</v>
      </c>
      <c r="X73" s="309">
        <f>LET(purchaseDate,C73, dateOfRecord,Reference!$B$26, returnOfCapital,Reference!$C$26, IF(purchaseDate &lt; dateOfRecord, returnOfCapital,0))</f>
        <v>10.18</v>
      </c>
      <c r="Y73" s="309">
        <f>LET(purchaseDate,C73, dateOfRecord,Reference!$B$27, returnOfCapital,Reference!$C$27, IF(purchaseDate &lt; dateOfRecord, returnOfCapital,0))</f>
        <v>16.58</v>
      </c>
      <c r="Z73" s="309">
        <f t="shared" si="9"/>
        <v>-26.76</v>
      </c>
      <c r="AA73" s="309">
        <f t="shared" si="10"/>
        <v>0</v>
      </c>
      <c r="AB73" s="320">
        <f>LET(numVmwShares,D73, stockRatio,Reference!$B$5, vmwToAvgoRatio,Reference!$B$6, numVmwShares * stockRatio * vmwToAvgoRatio)</f>
        <v>0</v>
      </c>
      <c r="AC73" s="320">
        <f>LET(numVmwShares,D73, stockRatio,Q73, vmwToAvgoRatio,Reference!$B$6, numVmwShares * stockRatio * vmwToAvgoRatio)</f>
        <v>0</v>
      </c>
      <c r="AD73" s="320" t="str">
        <f>LET(numVmwShares,D73, stockRatio,R73, vmwToAvgoRatio,Reference!$B$6, numVmwShares * stockRatio * vmwToAvgoRatio)</f>
        <v>#DIV/0!</v>
      </c>
      <c r="AE73" s="320">
        <f>SWITCH(Reference!$E$4, "eTradeTransactionLog", AB73, "eTradeHoldingRatio",AB73, "eTradeLotQtyRatio",AC73,"manualLotRatio",AD73)</f>
        <v>0</v>
      </c>
      <c r="AF73" s="321">
        <f>LET(numVmwShares,D73, vmwBasis,Z73, avgoQty,AE73, avgoFMV,Reference!$B$18, cashReceived,W73, gain,cashReceived+(avgoQty*avgoFMV)-(numVmwShares*vmwBasis),
MAX(gain,0))</f>
        <v>0</v>
      </c>
      <c r="AG73" s="322">
        <f>LET(useForFraction,J73, fractionAmount,Summary!$C$41, esppFractionLots,ESPP!$N$5, rsuFractionLots,RSU!J$5, IF(useForFraction, fractionAmount / (esppFractionLots+rsuFractionLots), 0))</f>
        <v>0</v>
      </c>
      <c r="AH73" s="411">
        <f>LET(useForFraction,J73, fractionSaleFMV,Reference!$B$23, postMergerBasis,AT73, lotFractionAmount,AG73, IF(useForFraction, (fractionSaleFMV - postMergerBasis)*lotFractionAmount, 0))</f>
        <v>0</v>
      </c>
      <c r="AI73" s="412">
        <f t="shared" si="11"/>
        <v>0</v>
      </c>
      <c r="AJ73" s="413">
        <f>LET(
purchaseDate,C73,
mergerDate,Reference!$B$28,
lotFractionGain,AH73,
mergerGain,AI73,
IF(DATEDIF(purchaseDate,mergerDate,"Y")&gt;=1,
  0,
  lotFractionGain + mergerGain
))</f>
        <v>0</v>
      </c>
      <c r="AK73" s="413">
        <f>LET(
purchaseDate,C73,
mergerDate,Reference!$B$28,
lotFractionGain,AH73,
mergerGain,AI73,
IF(DATEDIF(purchaseDate,mergerDate,"Y")&gt;=1,
  lotFractionGain+mergerGain,
  0
))</f>
        <v>0</v>
      </c>
      <c r="AL73" s="414" t="str">
        <f>IF(DATEDIF(C73,Reference!$B$28,"Y")&gt;=1,"Part II Box E","Part I Box B")</f>
        <v>Part II Box E</v>
      </c>
      <c r="AM73" s="344" t="str">
        <f t="shared" si="12"/>
        <v/>
      </c>
      <c r="AN73" s="330">
        <f t="shared" si="13"/>
        <v>0</v>
      </c>
      <c r="AO73" s="330">
        <f>LET(
cashReceived,W73, 
avgoQty,AE73, 
proceedsStyle,Reference!$E$9, 
avgoFMV,Reference!$B$18, 
SWITCH(proceedsStyle, "combined", cashReceived +(avgoQty*avgoFMV), "cashOnly", cashReceived))</f>
        <v>0</v>
      </c>
      <c r="AP73" s="345">
        <f>LET(
proceedsStyle,Reference!$E$9,
proceeds,AO73,
gain,AS73,
numVmwShares,D73, 
vmwBasis, Z73, 
avgoQty,AE73, 
avgoFMV,Reference!$B$18, 
cashReceived,W73, 
avgoTotalValue, avgoFMV*avgoQty, 
vmwTotalBasis, vmwBasis*numVmwShares,
alternateGainAmount,AF73, 
SWITCH(proceedsStyle,
  "cashOnly",
    proceeds - gain,
  "combined",
    IF(cashReceived&lt;alternateGainAmount,
      avgoTotalValue,
      vmwTotalBasis
    )
  )
)</f>
        <v>0</v>
      </c>
      <c r="AQ73" s="345" t="str">
        <f t="shared" si="14"/>
        <v/>
      </c>
      <c r="AR73" s="345">
        <v>0.0</v>
      </c>
      <c r="AS73" s="331">
        <f>LET(
proceedsStyle,Reference!$E$9,
proceeds,AO73,
basis1099B,AP73,
adjustment,AR73,
mergerGain,AI73,
SWITCH(proceedsStyle,
  "cashOnly",
    mergerGain,
  "combined",
    MAX(proceeds - basis1099B + adjustment, 0)
))</f>
        <v>0</v>
      </c>
      <c r="AT73" s="415" t="str">
        <f t="shared" si="15"/>
        <v>n/a</v>
      </c>
      <c r="AU73" s="333">
        <f>LET(saleFMV,Reference!$B$10, postMergerBasis,AT73, avgoQty,AE73, lotFractionAmount,AG73, iferror((saleFMV - postMergerBasis) * (avgoQty - lotFractionAmount), 0))</f>
        <v>0</v>
      </c>
      <c r="AV73" s="333">
        <f>LET(
avgoQty,AE73, 
purchaseDate,C73,
postMergerSaleDate,Reference!$B$29,
saleFMV,Reference!$B$10,
postMergerBasis,AT73, 
IFERROR(IF(DATEDIF(purchaseDate,postMergerSaleDate,"Y")&gt;=1,
  0,
  avgoQty * (saleFMV - postMergerBasis)
),0))</f>
        <v>0</v>
      </c>
      <c r="AW73" s="336">
        <f>LET(
avgoQty,AE73, 
purchaseDate,C73,
postMergerSaleDate,Reference!$B$29,
saleFMV,Reference!$B$10,
postMergerBasis,AT73, 
IFERROR(IF(DATEDIF(purchaseDate,postMergerSaleDate,"Y")&gt;=1,
  avgoQty * (saleFMV - postMergerBasis),
  0
),0))</f>
        <v>0</v>
      </c>
      <c r="AX73" s="337"/>
    </row>
    <row r="74">
      <c r="A74" s="405"/>
      <c r="B74" s="406"/>
      <c r="C74" s="307"/>
      <c r="D74" s="338"/>
      <c r="E74" s="321" t="str">
        <f t="array" ref="E74">IF(C74&lt;&gt;"", IFERROR(VLOOKUP(C74, SORT(PriceReference!$A$1:$B1014), 2, TRUE), "price unavailable"), "")</f>
        <v/>
      </c>
      <c r="F74" s="416"/>
      <c r="G74" s="309">
        <f t="shared" si="6"/>
        <v>0</v>
      </c>
      <c r="H74" s="321">
        <f t="shared" si="7"/>
        <v>0</v>
      </c>
      <c r="I74" s="417"/>
      <c r="J74" s="348" t="b">
        <v>0</v>
      </c>
      <c r="K74" s="409"/>
      <c r="L74" s="315">
        <v>0.0</v>
      </c>
      <c r="M74" s="315">
        <v>0.0</v>
      </c>
      <c r="N74" s="315">
        <v>0.0</v>
      </c>
      <c r="O74" s="315">
        <v>0.0</v>
      </c>
      <c r="P74" s="315">
        <v>0.0</v>
      </c>
      <c r="Q74" s="317">
        <f t="shared" si="8"/>
        <v>0</v>
      </c>
      <c r="R74" s="317" t="str">
        <f>SWITCH(S74,"cash",Reference!E$5,"shares",Reference!$E$6,"balance",Reference!$E$7,"pro-rata",Reference!$B$5)</f>
        <v>#DIV/0!</v>
      </c>
      <c r="S74" s="318" t="s">
        <v>207</v>
      </c>
      <c r="T74" s="319">
        <f>LET(numVmwShares,D74, cashRatio,Reference!$B$4, vmwFinalPrice,Reference!$B$3, numVmwShares * cashRatio * vmwFinalPrice)</f>
        <v>0</v>
      </c>
      <c r="U74" s="319">
        <f>iferror(LET(numVmwShares,$D74, stockRatio,Q74, vmwFinalPrice,Reference!$B$3, (1 - stockRatio) * vmwFinalPrice * numVmwShares),0)</f>
        <v>0</v>
      </c>
      <c r="V74" s="319">
        <f>iferror(LET(numVmwShares,$D74, stockRatio,R74, vmwFinalPrice,Reference!$B$3, (1 - stockRatio) * vmwFinalPrice * numVmwShares),0)</f>
        <v>0</v>
      </c>
      <c r="W74" s="319">
        <f>SWITCH(Reference!$E$4,"eTradeTransactionLog", T74, "eTradeHoldingRatio",T74, "eTradeLotQtyRatio",U74,"manualLotRatio",V74)</f>
        <v>0</v>
      </c>
      <c r="X74" s="309">
        <f>LET(purchaseDate,C74, dateOfRecord,Reference!$B$26, returnOfCapital,Reference!$C$26, IF(purchaseDate &lt; dateOfRecord, returnOfCapital,0))</f>
        <v>10.18</v>
      </c>
      <c r="Y74" s="309">
        <f>LET(purchaseDate,C74, dateOfRecord,Reference!$B$27, returnOfCapital,Reference!$C$27, IF(purchaseDate &lt; dateOfRecord, returnOfCapital,0))</f>
        <v>16.58</v>
      </c>
      <c r="Z74" s="309">
        <f t="shared" si="9"/>
        <v>-26.76</v>
      </c>
      <c r="AA74" s="309">
        <f t="shared" si="10"/>
        <v>0</v>
      </c>
      <c r="AB74" s="320">
        <f>LET(numVmwShares,D74, stockRatio,Reference!$B$5, vmwToAvgoRatio,Reference!$B$6, numVmwShares * stockRatio * vmwToAvgoRatio)</f>
        <v>0</v>
      </c>
      <c r="AC74" s="320">
        <f>LET(numVmwShares,D74, stockRatio,Q74, vmwToAvgoRatio,Reference!$B$6, numVmwShares * stockRatio * vmwToAvgoRatio)</f>
        <v>0</v>
      </c>
      <c r="AD74" s="320" t="str">
        <f>LET(numVmwShares,D74, stockRatio,R74, vmwToAvgoRatio,Reference!$B$6, numVmwShares * stockRatio * vmwToAvgoRatio)</f>
        <v>#DIV/0!</v>
      </c>
      <c r="AE74" s="320">
        <f>SWITCH(Reference!$E$4, "eTradeTransactionLog", AB74, "eTradeHoldingRatio",AB74, "eTradeLotQtyRatio",AC74,"manualLotRatio",AD74)</f>
        <v>0</v>
      </c>
      <c r="AF74" s="321">
        <f>LET(numVmwShares,D74, vmwBasis,Z74, avgoQty,AE74, avgoFMV,Reference!$B$18, cashReceived,W74, gain,cashReceived+(avgoQty*avgoFMV)-(numVmwShares*vmwBasis),
MAX(gain,0))</f>
        <v>0</v>
      </c>
      <c r="AG74" s="322">
        <f>LET(useForFraction,J74, fractionAmount,Summary!$C$41, esppFractionLots,ESPP!$N$5, rsuFractionLots,RSU!J$5, IF(useForFraction, fractionAmount / (esppFractionLots+rsuFractionLots), 0))</f>
        <v>0</v>
      </c>
      <c r="AH74" s="411">
        <f>LET(useForFraction,J74, fractionSaleFMV,Reference!$B$23, postMergerBasis,AT74, lotFractionAmount,AG74, IF(useForFraction, (fractionSaleFMV - postMergerBasis)*lotFractionAmount, 0))</f>
        <v>0</v>
      </c>
      <c r="AI74" s="412">
        <f t="shared" si="11"/>
        <v>0</v>
      </c>
      <c r="AJ74" s="413">
        <f>LET(
purchaseDate,C74,
mergerDate,Reference!$B$28,
lotFractionGain,AH74,
mergerGain,AI74,
IF(DATEDIF(purchaseDate,mergerDate,"Y")&gt;=1,
  0,
  lotFractionGain + mergerGain
))</f>
        <v>0</v>
      </c>
      <c r="AK74" s="413">
        <f>LET(
purchaseDate,C74,
mergerDate,Reference!$B$28,
lotFractionGain,AH74,
mergerGain,AI74,
IF(DATEDIF(purchaseDate,mergerDate,"Y")&gt;=1,
  lotFractionGain+mergerGain,
  0
))</f>
        <v>0</v>
      </c>
      <c r="AL74" s="414" t="str">
        <f>IF(DATEDIF(C74,Reference!$B$28,"Y")&gt;=1,"Part II Box E","Part I Box B")</f>
        <v>Part II Box E</v>
      </c>
      <c r="AM74" s="344" t="str">
        <f t="shared" si="12"/>
        <v/>
      </c>
      <c r="AN74" s="330">
        <f t="shared" si="13"/>
        <v>0</v>
      </c>
      <c r="AO74" s="330">
        <f>LET(
cashReceived,W74, 
avgoQty,AE74, 
proceedsStyle,Reference!$E$9, 
avgoFMV,Reference!$B$18, 
SWITCH(proceedsStyle, "combined", cashReceived +(avgoQty*avgoFMV), "cashOnly", cashReceived))</f>
        <v>0</v>
      </c>
      <c r="AP74" s="345">
        <f>LET(
proceedsStyle,Reference!$E$9,
proceeds,AO74,
gain,AS74,
numVmwShares,D74, 
vmwBasis, Z74, 
avgoQty,AE74, 
avgoFMV,Reference!$B$18, 
cashReceived,W74, 
avgoTotalValue, avgoFMV*avgoQty, 
vmwTotalBasis, vmwBasis*numVmwShares,
alternateGainAmount,AF74, 
SWITCH(proceedsStyle,
  "cashOnly",
    proceeds - gain,
  "combined",
    IF(cashReceived&lt;alternateGainAmount,
      avgoTotalValue,
      vmwTotalBasis
    )
  )
)</f>
        <v>0</v>
      </c>
      <c r="AQ74" s="345" t="str">
        <f t="shared" si="14"/>
        <v/>
      </c>
      <c r="AR74" s="345">
        <v>0.0</v>
      </c>
      <c r="AS74" s="331">
        <f>LET(
proceedsStyle,Reference!$E$9,
proceeds,AO74,
basis1099B,AP74,
adjustment,AR74,
mergerGain,AI74,
SWITCH(proceedsStyle,
  "cashOnly",
    mergerGain,
  "combined",
    MAX(proceeds - basis1099B + adjustment, 0)
))</f>
        <v>0</v>
      </c>
      <c r="AT74" s="415" t="str">
        <f t="shared" si="15"/>
        <v>n/a</v>
      </c>
      <c r="AU74" s="333">
        <f>LET(saleFMV,Reference!$B$10, postMergerBasis,AT74, avgoQty,AE74, lotFractionAmount,AG74, iferror((saleFMV - postMergerBasis) * (avgoQty - lotFractionAmount), 0))</f>
        <v>0</v>
      </c>
      <c r="AV74" s="333">
        <f>LET(
avgoQty,AE74, 
purchaseDate,C74,
postMergerSaleDate,Reference!$B$29,
saleFMV,Reference!$B$10,
postMergerBasis,AT74, 
IFERROR(IF(DATEDIF(purchaseDate,postMergerSaleDate,"Y")&gt;=1,
  0,
  avgoQty * (saleFMV - postMergerBasis)
),0))</f>
        <v>0</v>
      </c>
      <c r="AW74" s="336">
        <f>LET(
avgoQty,AE74, 
purchaseDate,C74,
postMergerSaleDate,Reference!$B$29,
saleFMV,Reference!$B$10,
postMergerBasis,AT74, 
IFERROR(IF(DATEDIF(purchaseDate,postMergerSaleDate,"Y")&gt;=1,
  avgoQty * (saleFMV - postMergerBasis),
  0
),0))</f>
        <v>0</v>
      </c>
      <c r="AX74" s="337"/>
    </row>
    <row r="75">
      <c r="A75" s="405"/>
      <c r="B75" s="406"/>
      <c r="C75" s="307"/>
      <c r="D75" s="338"/>
      <c r="E75" s="321" t="str">
        <f t="array" ref="E75">IF(C75&lt;&gt;"", IFERROR(VLOOKUP(C75, SORT(PriceReference!$A$1:$B1014), 2, TRUE), "price unavailable"), "")</f>
        <v/>
      </c>
      <c r="F75" s="416"/>
      <c r="G75" s="309">
        <f t="shared" si="6"/>
        <v>0</v>
      </c>
      <c r="H75" s="321">
        <f t="shared" si="7"/>
        <v>0</v>
      </c>
      <c r="I75" s="417"/>
      <c r="J75" s="348" t="b">
        <v>0</v>
      </c>
      <c r="K75" s="409"/>
      <c r="L75" s="315">
        <v>0.0</v>
      </c>
      <c r="M75" s="315">
        <v>0.0</v>
      </c>
      <c r="N75" s="315">
        <v>0.0</v>
      </c>
      <c r="O75" s="315">
        <v>0.0</v>
      </c>
      <c r="P75" s="315">
        <v>0.0</v>
      </c>
      <c r="Q75" s="317">
        <f t="shared" si="8"/>
        <v>0</v>
      </c>
      <c r="R75" s="317" t="str">
        <f>SWITCH(S75,"cash",Reference!E$5,"shares",Reference!$E$6,"balance",Reference!$E$7,"pro-rata",Reference!$B$5)</f>
        <v>#DIV/0!</v>
      </c>
      <c r="S75" s="318" t="s">
        <v>207</v>
      </c>
      <c r="T75" s="319">
        <f>LET(numVmwShares,D75, cashRatio,Reference!$B$4, vmwFinalPrice,Reference!$B$3, numVmwShares * cashRatio * vmwFinalPrice)</f>
        <v>0</v>
      </c>
      <c r="U75" s="319">
        <f>iferror(LET(numVmwShares,$D75, stockRatio,Q75, vmwFinalPrice,Reference!$B$3, (1 - stockRatio) * vmwFinalPrice * numVmwShares),0)</f>
        <v>0</v>
      </c>
      <c r="V75" s="319">
        <f>iferror(LET(numVmwShares,$D75, stockRatio,R75, vmwFinalPrice,Reference!$B$3, (1 - stockRatio) * vmwFinalPrice * numVmwShares),0)</f>
        <v>0</v>
      </c>
      <c r="W75" s="319">
        <f>SWITCH(Reference!$E$4,"eTradeTransactionLog", T75, "eTradeHoldingRatio",T75, "eTradeLotQtyRatio",U75,"manualLotRatio",V75)</f>
        <v>0</v>
      </c>
      <c r="X75" s="309">
        <f>LET(purchaseDate,C75, dateOfRecord,Reference!$B$26, returnOfCapital,Reference!$C$26, IF(purchaseDate &lt; dateOfRecord, returnOfCapital,0))</f>
        <v>10.18</v>
      </c>
      <c r="Y75" s="309">
        <f>LET(purchaseDate,C75, dateOfRecord,Reference!$B$27, returnOfCapital,Reference!$C$27, IF(purchaseDate &lt; dateOfRecord, returnOfCapital,0))</f>
        <v>16.58</v>
      </c>
      <c r="Z75" s="309">
        <f t="shared" si="9"/>
        <v>-26.76</v>
      </c>
      <c r="AA75" s="309">
        <f t="shared" si="10"/>
        <v>0</v>
      </c>
      <c r="AB75" s="320">
        <f>LET(numVmwShares,D75, stockRatio,Reference!$B$5, vmwToAvgoRatio,Reference!$B$6, numVmwShares * stockRatio * vmwToAvgoRatio)</f>
        <v>0</v>
      </c>
      <c r="AC75" s="320">
        <f>LET(numVmwShares,D75, stockRatio,Q75, vmwToAvgoRatio,Reference!$B$6, numVmwShares * stockRatio * vmwToAvgoRatio)</f>
        <v>0</v>
      </c>
      <c r="AD75" s="320" t="str">
        <f>LET(numVmwShares,D75, stockRatio,R75, vmwToAvgoRatio,Reference!$B$6, numVmwShares * stockRatio * vmwToAvgoRatio)</f>
        <v>#DIV/0!</v>
      </c>
      <c r="AE75" s="320">
        <f>SWITCH(Reference!$E$4, "eTradeTransactionLog", AB75, "eTradeHoldingRatio",AB75, "eTradeLotQtyRatio",AC75,"manualLotRatio",AD75)</f>
        <v>0</v>
      </c>
      <c r="AF75" s="321">
        <f>LET(numVmwShares,D75, vmwBasis,Z75, avgoQty,AE75, avgoFMV,Reference!$B$18, cashReceived,W75, gain,cashReceived+(avgoQty*avgoFMV)-(numVmwShares*vmwBasis),
MAX(gain,0))</f>
        <v>0</v>
      </c>
      <c r="AG75" s="322">
        <f>LET(useForFraction,J75, fractionAmount,Summary!$C$41, esppFractionLots,ESPP!$N$5, rsuFractionLots,RSU!J$5, IF(useForFraction, fractionAmount / (esppFractionLots+rsuFractionLots), 0))</f>
        <v>0</v>
      </c>
      <c r="AH75" s="411">
        <f>LET(useForFraction,J75, fractionSaleFMV,Reference!$B$23, postMergerBasis,AT75, lotFractionAmount,AG75, IF(useForFraction, (fractionSaleFMV - postMergerBasis)*lotFractionAmount, 0))</f>
        <v>0</v>
      </c>
      <c r="AI75" s="412">
        <f t="shared" si="11"/>
        <v>0</v>
      </c>
      <c r="AJ75" s="413">
        <f>LET(
purchaseDate,C75,
mergerDate,Reference!$B$28,
lotFractionGain,AH75,
mergerGain,AI75,
IF(DATEDIF(purchaseDate,mergerDate,"Y")&gt;=1,
  0,
  lotFractionGain + mergerGain
))</f>
        <v>0</v>
      </c>
      <c r="AK75" s="413">
        <f>LET(
purchaseDate,C75,
mergerDate,Reference!$B$28,
lotFractionGain,AH75,
mergerGain,AI75,
IF(DATEDIF(purchaseDate,mergerDate,"Y")&gt;=1,
  lotFractionGain+mergerGain,
  0
))</f>
        <v>0</v>
      </c>
      <c r="AL75" s="414" t="str">
        <f>IF(DATEDIF(C75,Reference!$B$28,"Y")&gt;=1,"Part II Box E","Part I Box B")</f>
        <v>Part II Box E</v>
      </c>
      <c r="AM75" s="344" t="str">
        <f t="shared" si="12"/>
        <v/>
      </c>
      <c r="AN75" s="330">
        <f t="shared" si="13"/>
        <v>0</v>
      </c>
      <c r="AO75" s="330">
        <f>LET(
cashReceived,W75, 
avgoQty,AE75, 
proceedsStyle,Reference!$E$9, 
avgoFMV,Reference!$B$18, 
SWITCH(proceedsStyle, "combined", cashReceived +(avgoQty*avgoFMV), "cashOnly", cashReceived))</f>
        <v>0</v>
      </c>
      <c r="AP75" s="345">
        <f>LET(
proceedsStyle,Reference!$E$9,
proceeds,AO75,
gain,AS75,
numVmwShares,D75, 
vmwBasis, Z75, 
avgoQty,AE75, 
avgoFMV,Reference!$B$18, 
cashReceived,W75, 
avgoTotalValue, avgoFMV*avgoQty, 
vmwTotalBasis, vmwBasis*numVmwShares,
alternateGainAmount,AF75, 
SWITCH(proceedsStyle,
  "cashOnly",
    proceeds - gain,
  "combined",
    IF(cashReceived&lt;alternateGainAmount,
      avgoTotalValue,
      vmwTotalBasis
    )
  )
)</f>
        <v>0</v>
      </c>
      <c r="AQ75" s="345" t="str">
        <f t="shared" si="14"/>
        <v/>
      </c>
      <c r="AR75" s="345">
        <v>0.0</v>
      </c>
      <c r="AS75" s="331">
        <f>LET(
proceedsStyle,Reference!$E$9,
proceeds,AO75,
basis1099B,AP75,
adjustment,AR75,
mergerGain,AI75,
SWITCH(proceedsStyle,
  "cashOnly",
    mergerGain,
  "combined",
    MAX(proceeds - basis1099B + adjustment, 0)
))</f>
        <v>0</v>
      </c>
      <c r="AT75" s="415" t="str">
        <f t="shared" si="15"/>
        <v>n/a</v>
      </c>
      <c r="AU75" s="333">
        <f>LET(saleFMV,Reference!$B$10, postMergerBasis,AT75, avgoQty,AE75, lotFractionAmount,AG75, iferror((saleFMV - postMergerBasis) * (avgoQty - lotFractionAmount), 0))</f>
        <v>0</v>
      </c>
      <c r="AV75" s="333">
        <f>LET(
avgoQty,AE75, 
purchaseDate,C75,
postMergerSaleDate,Reference!$B$29,
saleFMV,Reference!$B$10,
postMergerBasis,AT75, 
IFERROR(IF(DATEDIF(purchaseDate,postMergerSaleDate,"Y")&gt;=1,
  0,
  avgoQty * (saleFMV - postMergerBasis)
),0))</f>
        <v>0</v>
      </c>
      <c r="AW75" s="336">
        <f>LET(
avgoQty,AE75, 
purchaseDate,C75,
postMergerSaleDate,Reference!$B$29,
saleFMV,Reference!$B$10,
postMergerBasis,AT75, 
IFERROR(IF(DATEDIF(purchaseDate,postMergerSaleDate,"Y")&gt;=1,
  avgoQty * (saleFMV - postMergerBasis),
  0
),0))</f>
        <v>0</v>
      </c>
      <c r="AX75" s="337"/>
    </row>
    <row r="76">
      <c r="A76" s="405"/>
      <c r="B76" s="420"/>
      <c r="C76" s="307"/>
      <c r="D76" s="338"/>
      <c r="E76" s="321" t="str">
        <f t="array" ref="E76">IF(C76&lt;&gt;"", IFERROR(VLOOKUP(C76, SORT(PriceReference!$A$1:$B1014), 2, TRUE), "price unavailable"), "")</f>
        <v/>
      </c>
      <c r="F76" s="416"/>
      <c r="G76" s="309">
        <f t="shared" si="6"/>
        <v>0</v>
      </c>
      <c r="H76" s="321">
        <f t="shared" si="7"/>
        <v>0</v>
      </c>
      <c r="I76" s="417"/>
      <c r="J76" s="348" t="b">
        <v>0</v>
      </c>
      <c r="K76" s="409"/>
      <c r="L76" s="315">
        <v>0.0</v>
      </c>
      <c r="M76" s="315">
        <v>0.0</v>
      </c>
      <c r="N76" s="315">
        <v>0.0</v>
      </c>
      <c r="O76" s="315">
        <v>0.0</v>
      </c>
      <c r="P76" s="315">
        <v>0.0</v>
      </c>
      <c r="Q76" s="317">
        <f t="shared" si="8"/>
        <v>0</v>
      </c>
      <c r="R76" s="317" t="str">
        <f>SWITCH(S76,"cash",Reference!E$5,"shares",Reference!$E$6,"balance",Reference!$E$7,"pro-rata",Reference!$B$5)</f>
        <v>#DIV/0!</v>
      </c>
      <c r="S76" s="318" t="s">
        <v>207</v>
      </c>
      <c r="T76" s="319">
        <f>LET(numVmwShares,D76, cashRatio,Reference!$B$4, vmwFinalPrice,Reference!$B$3, numVmwShares * cashRatio * vmwFinalPrice)</f>
        <v>0</v>
      </c>
      <c r="U76" s="319">
        <f>iferror(LET(numVmwShares,$D76, stockRatio,Q76, vmwFinalPrice,Reference!$B$3, (1 - stockRatio) * vmwFinalPrice * numVmwShares),0)</f>
        <v>0</v>
      </c>
      <c r="V76" s="319">
        <f>iferror(LET(numVmwShares,$D76, stockRatio,R76, vmwFinalPrice,Reference!$B$3, (1 - stockRatio) * vmwFinalPrice * numVmwShares),0)</f>
        <v>0</v>
      </c>
      <c r="W76" s="319">
        <f>SWITCH(Reference!$E$4,"eTradeTransactionLog", T76, "eTradeHoldingRatio",T76, "eTradeLotQtyRatio",U76,"manualLotRatio",V76)</f>
        <v>0</v>
      </c>
      <c r="X76" s="309">
        <f>LET(purchaseDate,C76, dateOfRecord,Reference!$B$26, returnOfCapital,Reference!$C$26, IF(purchaseDate &lt; dateOfRecord, returnOfCapital,0))</f>
        <v>10.18</v>
      </c>
      <c r="Y76" s="309">
        <f>LET(purchaseDate,C76, dateOfRecord,Reference!$B$27, returnOfCapital,Reference!$C$27, IF(purchaseDate &lt; dateOfRecord, returnOfCapital,0))</f>
        <v>16.58</v>
      </c>
      <c r="Z76" s="309">
        <f t="shared" si="9"/>
        <v>-26.76</v>
      </c>
      <c r="AA76" s="309">
        <f t="shared" si="10"/>
        <v>0</v>
      </c>
      <c r="AB76" s="320">
        <f>LET(numVmwShares,D76, stockRatio,Reference!$B$5, vmwToAvgoRatio,Reference!$B$6, numVmwShares * stockRatio * vmwToAvgoRatio)</f>
        <v>0</v>
      </c>
      <c r="AC76" s="320">
        <f>LET(numVmwShares,D76, stockRatio,Q76, vmwToAvgoRatio,Reference!$B$6, numVmwShares * stockRatio * vmwToAvgoRatio)</f>
        <v>0</v>
      </c>
      <c r="AD76" s="320" t="str">
        <f>LET(numVmwShares,D76, stockRatio,R76, vmwToAvgoRatio,Reference!$B$6, numVmwShares * stockRatio * vmwToAvgoRatio)</f>
        <v>#DIV/0!</v>
      </c>
      <c r="AE76" s="320">
        <f>SWITCH(Reference!$E$4, "eTradeTransactionLog", AB76, "eTradeHoldingRatio",AB76, "eTradeLotQtyRatio",AC76,"manualLotRatio",AD76)</f>
        <v>0</v>
      </c>
      <c r="AF76" s="321">
        <f>LET(numVmwShares,D76, vmwBasis,Z76, avgoQty,AE76, avgoFMV,Reference!$B$18, cashReceived,W76, gain,cashReceived+(avgoQty*avgoFMV)-(numVmwShares*vmwBasis),
MAX(gain,0))</f>
        <v>0</v>
      </c>
      <c r="AG76" s="322">
        <f>LET(useForFraction,J76, fractionAmount,Summary!$C$41, esppFractionLots,ESPP!$N$5, rsuFractionLots,RSU!J$5, IF(useForFraction, fractionAmount / (esppFractionLots+rsuFractionLots), 0))</f>
        <v>0</v>
      </c>
      <c r="AH76" s="411">
        <f>LET(useForFraction,J76, fractionSaleFMV,Reference!$B$23, postMergerBasis,AT76, lotFractionAmount,AG76, IF(useForFraction, (fractionSaleFMV - postMergerBasis)*lotFractionAmount, 0))</f>
        <v>0</v>
      </c>
      <c r="AI76" s="412">
        <f t="shared" si="11"/>
        <v>0</v>
      </c>
      <c r="AJ76" s="413">
        <f>LET(
purchaseDate,C76,
mergerDate,Reference!$B$28,
lotFractionGain,AH76,
mergerGain,AI76,
IF(DATEDIF(purchaseDate,mergerDate,"Y")&gt;=1,
  0,
  lotFractionGain + mergerGain
))</f>
        <v>0</v>
      </c>
      <c r="AK76" s="413">
        <f>LET(
purchaseDate,C76,
mergerDate,Reference!$B$28,
lotFractionGain,AH76,
mergerGain,AI76,
IF(DATEDIF(purchaseDate,mergerDate,"Y")&gt;=1,
  lotFractionGain+mergerGain,
  0
))</f>
        <v>0</v>
      </c>
      <c r="AL76" s="414" t="str">
        <f>IF(DATEDIF(C76,Reference!$B$28,"Y")&gt;=1,"Part II Box E","Part I Box B")</f>
        <v>Part II Box E</v>
      </c>
      <c r="AM76" s="344" t="str">
        <f t="shared" si="12"/>
        <v/>
      </c>
      <c r="AN76" s="330">
        <f t="shared" si="13"/>
        <v>0</v>
      </c>
      <c r="AO76" s="330">
        <f>LET(
cashReceived,W76, 
avgoQty,AE76, 
proceedsStyle,Reference!$E$9, 
avgoFMV,Reference!$B$18, 
SWITCH(proceedsStyle, "combined", cashReceived +(avgoQty*avgoFMV), "cashOnly", cashReceived))</f>
        <v>0</v>
      </c>
      <c r="AP76" s="345">
        <f>LET(
proceedsStyle,Reference!$E$9,
proceeds,AO76,
gain,AS76,
numVmwShares,D76, 
vmwBasis, Z76, 
avgoQty,AE76, 
avgoFMV,Reference!$B$18, 
cashReceived,W76, 
avgoTotalValue, avgoFMV*avgoQty, 
vmwTotalBasis, vmwBasis*numVmwShares,
alternateGainAmount,AF76, 
SWITCH(proceedsStyle,
  "cashOnly",
    proceeds - gain,
  "combined",
    IF(cashReceived&lt;alternateGainAmount,
      avgoTotalValue,
      vmwTotalBasis
    )
  )
)</f>
        <v>0</v>
      </c>
      <c r="AQ76" s="345" t="str">
        <f t="shared" si="14"/>
        <v/>
      </c>
      <c r="AR76" s="345">
        <v>0.0</v>
      </c>
      <c r="AS76" s="331">
        <f>LET(
proceedsStyle,Reference!$E$9,
proceeds,AO76,
basis1099B,AP76,
adjustment,AR76,
mergerGain,AI76,
SWITCH(proceedsStyle,
  "cashOnly",
    mergerGain,
  "combined",
    MAX(proceeds - basis1099B + adjustment, 0)
))</f>
        <v>0</v>
      </c>
      <c r="AT76" s="415" t="str">
        <f t="shared" si="15"/>
        <v>n/a</v>
      </c>
      <c r="AU76" s="333">
        <f>LET(saleFMV,Reference!$B$10, postMergerBasis,AT76, avgoQty,AE76, lotFractionAmount,AG76, iferror((saleFMV - postMergerBasis) * (avgoQty - lotFractionAmount), 0))</f>
        <v>0</v>
      </c>
      <c r="AV76" s="333">
        <f>LET(
avgoQty,AE76, 
purchaseDate,C76,
postMergerSaleDate,Reference!$B$29,
saleFMV,Reference!$B$10,
postMergerBasis,AT76, 
IFERROR(IF(DATEDIF(purchaseDate,postMergerSaleDate,"Y")&gt;=1,
  0,
  avgoQty * (saleFMV - postMergerBasis)
),0))</f>
        <v>0</v>
      </c>
      <c r="AW76" s="336">
        <f>LET(
avgoQty,AE76, 
purchaseDate,C76,
postMergerSaleDate,Reference!$B$29,
saleFMV,Reference!$B$10,
postMergerBasis,AT76, 
IFERROR(IF(DATEDIF(purchaseDate,postMergerSaleDate,"Y")&gt;=1,
  avgoQty * (saleFMV - postMergerBasis),
  0
),0))</f>
        <v>0</v>
      </c>
      <c r="AX76" s="337"/>
    </row>
    <row r="77">
      <c r="A77" s="405"/>
      <c r="B77" s="406"/>
      <c r="C77" s="307"/>
      <c r="D77" s="338"/>
      <c r="E77" s="321" t="str">
        <f t="array" ref="E77">IF(C77&lt;&gt;"", IFERROR(VLOOKUP(C77, SORT(PriceReference!$A$1:$B1014), 2, TRUE), "price unavailable"), "")</f>
        <v/>
      </c>
      <c r="F77" s="416"/>
      <c r="G77" s="309">
        <f t="shared" si="6"/>
        <v>0</v>
      </c>
      <c r="H77" s="321">
        <f t="shared" si="7"/>
        <v>0</v>
      </c>
      <c r="I77" s="419"/>
      <c r="J77" s="348" t="b">
        <v>0</v>
      </c>
      <c r="K77" s="409"/>
      <c r="L77" s="315">
        <v>0.0</v>
      </c>
      <c r="M77" s="315">
        <v>0.0</v>
      </c>
      <c r="N77" s="315">
        <v>0.0</v>
      </c>
      <c r="O77" s="315">
        <v>0.0</v>
      </c>
      <c r="P77" s="315">
        <v>0.0</v>
      </c>
      <c r="Q77" s="317">
        <f t="shared" si="8"/>
        <v>0</v>
      </c>
      <c r="R77" s="317" t="str">
        <f>SWITCH(S77,"cash",Reference!E$5,"shares",Reference!$E$6,"balance",Reference!$E$7,"pro-rata",Reference!$B$5)</f>
        <v>#DIV/0!</v>
      </c>
      <c r="S77" s="318" t="s">
        <v>207</v>
      </c>
      <c r="T77" s="319">
        <f>LET(numVmwShares,D77, cashRatio,Reference!$B$4, vmwFinalPrice,Reference!$B$3, numVmwShares * cashRatio * vmwFinalPrice)</f>
        <v>0</v>
      </c>
      <c r="U77" s="319">
        <f>iferror(LET(numVmwShares,$D77, stockRatio,Q77, vmwFinalPrice,Reference!$B$3, (1 - stockRatio) * vmwFinalPrice * numVmwShares),0)</f>
        <v>0</v>
      </c>
      <c r="V77" s="319">
        <f>iferror(LET(numVmwShares,$D77, stockRatio,R77, vmwFinalPrice,Reference!$B$3, (1 - stockRatio) * vmwFinalPrice * numVmwShares),0)</f>
        <v>0</v>
      </c>
      <c r="W77" s="319">
        <f>SWITCH(Reference!$E$4,"eTradeTransactionLog", T77, "eTradeHoldingRatio",T77, "eTradeLotQtyRatio",U77,"manualLotRatio",V77)</f>
        <v>0</v>
      </c>
      <c r="X77" s="309">
        <f>LET(purchaseDate,C77, dateOfRecord,Reference!$B$26, returnOfCapital,Reference!$C$26, IF(purchaseDate &lt; dateOfRecord, returnOfCapital,0))</f>
        <v>10.18</v>
      </c>
      <c r="Y77" s="309">
        <f>LET(purchaseDate,C77, dateOfRecord,Reference!$B$27, returnOfCapital,Reference!$C$27, IF(purchaseDate &lt; dateOfRecord, returnOfCapital,0))</f>
        <v>16.58</v>
      </c>
      <c r="Z77" s="309">
        <f t="shared" si="9"/>
        <v>-26.76</v>
      </c>
      <c r="AA77" s="309">
        <f t="shared" si="10"/>
        <v>0</v>
      </c>
      <c r="AB77" s="320">
        <f>LET(numVmwShares,D77, stockRatio,Reference!$B$5, vmwToAvgoRatio,Reference!$B$6, numVmwShares * stockRatio * vmwToAvgoRatio)</f>
        <v>0</v>
      </c>
      <c r="AC77" s="320">
        <f>LET(numVmwShares,D77, stockRatio,Q77, vmwToAvgoRatio,Reference!$B$6, numVmwShares * stockRatio * vmwToAvgoRatio)</f>
        <v>0</v>
      </c>
      <c r="AD77" s="320" t="str">
        <f>LET(numVmwShares,D77, stockRatio,R77, vmwToAvgoRatio,Reference!$B$6, numVmwShares * stockRatio * vmwToAvgoRatio)</f>
        <v>#DIV/0!</v>
      </c>
      <c r="AE77" s="320">
        <f>SWITCH(Reference!$E$4, "eTradeTransactionLog", AB77, "eTradeHoldingRatio",AB77, "eTradeLotQtyRatio",AC77,"manualLotRatio",AD77)</f>
        <v>0</v>
      </c>
      <c r="AF77" s="321">
        <f>LET(numVmwShares,D77, vmwBasis,Z77, avgoQty,AE77, avgoFMV,Reference!$B$18, cashReceived,W77, gain,cashReceived+(avgoQty*avgoFMV)-(numVmwShares*vmwBasis),
MAX(gain,0))</f>
        <v>0</v>
      </c>
      <c r="AG77" s="322">
        <f>LET(useForFraction,J77, fractionAmount,Summary!$C$41, esppFractionLots,ESPP!$N$5, rsuFractionLots,RSU!J$5, IF(useForFraction, fractionAmount / (esppFractionLots+rsuFractionLots), 0))</f>
        <v>0</v>
      </c>
      <c r="AH77" s="411">
        <f>LET(useForFraction,J77, fractionSaleFMV,Reference!$B$23, postMergerBasis,AT77, lotFractionAmount,AG77, IF(useForFraction, (fractionSaleFMV - postMergerBasis)*lotFractionAmount, 0))</f>
        <v>0</v>
      </c>
      <c r="AI77" s="412">
        <f t="shared" si="11"/>
        <v>0</v>
      </c>
      <c r="AJ77" s="413">
        <f>LET(
purchaseDate,C77,
mergerDate,Reference!$B$28,
lotFractionGain,AH77,
mergerGain,AI77,
IF(DATEDIF(purchaseDate,mergerDate,"Y")&gt;=1,
  0,
  lotFractionGain + mergerGain
))</f>
        <v>0</v>
      </c>
      <c r="AK77" s="413">
        <f>LET(
purchaseDate,C77,
mergerDate,Reference!$B$28,
lotFractionGain,AH77,
mergerGain,AI77,
IF(DATEDIF(purchaseDate,mergerDate,"Y")&gt;=1,
  lotFractionGain+mergerGain,
  0
))</f>
        <v>0</v>
      </c>
      <c r="AL77" s="414" t="str">
        <f>IF(DATEDIF(C77,Reference!$B$28,"Y")&gt;=1,"Part II Box E","Part I Box B")</f>
        <v>Part II Box E</v>
      </c>
      <c r="AM77" s="344" t="str">
        <f t="shared" si="12"/>
        <v/>
      </c>
      <c r="AN77" s="330">
        <f t="shared" si="13"/>
        <v>0</v>
      </c>
      <c r="AO77" s="330">
        <f>LET(
cashReceived,W77, 
avgoQty,AE77, 
proceedsStyle,Reference!$E$9, 
avgoFMV,Reference!$B$18, 
SWITCH(proceedsStyle, "combined", cashReceived +(avgoQty*avgoFMV), "cashOnly", cashReceived))</f>
        <v>0</v>
      </c>
      <c r="AP77" s="345">
        <f>LET(
proceedsStyle,Reference!$E$9,
proceeds,AO77,
gain,AS77,
numVmwShares,D77, 
vmwBasis, Z77, 
avgoQty,AE77, 
avgoFMV,Reference!$B$18, 
cashReceived,W77, 
avgoTotalValue, avgoFMV*avgoQty, 
vmwTotalBasis, vmwBasis*numVmwShares,
alternateGainAmount,AF77, 
SWITCH(proceedsStyle,
  "cashOnly",
    proceeds - gain,
  "combined",
    IF(cashReceived&lt;alternateGainAmount,
      avgoTotalValue,
      vmwTotalBasis
    )
  )
)</f>
        <v>0</v>
      </c>
      <c r="AQ77" s="345" t="str">
        <f t="shared" si="14"/>
        <v/>
      </c>
      <c r="AR77" s="345">
        <v>0.0</v>
      </c>
      <c r="AS77" s="331">
        <f>LET(
proceedsStyle,Reference!$E$9,
proceeds,AO77,
basis1099B,AP77,
adjustment,AR77,
mergerGain,AI77,
SWITCH(proceedsStyle,
  "cashOnly",
    mergerGain,
  "combined",
    MAX(proceeds - basis1099B + adjustment, 0)
))</f>
        <v>0</v>
      </c>
      <c r="AT77" s="415" t="str">
        <f t="shared" si="15"/>
        <v>n/a</v>
      </c>
      <c r="AU77" s="333">
        <f>LET(saleFMV,Reference!$B$10, postMergerBasis,AT77, avgoQty,AE77, lotFractionAmount,AG77, iferror((saleFMV - postMergerBasis) * (avgoQty - lotFractionAmount), 0))</f>
        <v>0</v>
      </c>
      <c r="AV77" s="333">
        <f>LET(
avgoQty,AE77, 
purchaseDate,C77,
postMergerSaleDate,Reference!$B$29,
saleFMV,Reference!$B$10,
postMergerBasis,AT77, 
IFERROR(IF(DATEDIF(purchaseDate,postMergerSaleDate,"Y")&gt;=1,
  0,
  avgoQty * (saleFMV - postMergerBasis)
),0))</f>
        <v>0</v>
      </c>
      <c r="AW77" s="336">
        <f>LET(
avgoQty,AE77, 
purchaseDate,C77,
postMergerSaleDate,Reference!$B$29,
saleFMV,Reference!$B$10,
postMergerBasis,AT77, 
IFERROR(IF(DATEDIF(purchaseDate,postMergerSaleDate,"Y")&gt;=1,
  avgoQty * (saleFMV - postMergerBasis),
  0
),0))</f>
        <v>0</v>
      </c>
      <c r="AX77" s="337"/>
    </row>
    <row r="78">
      <c r="A78" s="405"/>
      <c r="B78" s="406"/>
      <c r="C78" s="307"/>
      <c r="D78" s="338"/>
      <c r="E78" s="321" t="str">
        <f t="array" ref="E78">IF(C78&lt;&gt;"", IFERROR(VLOOKUP(C78, SORT(PriceReference!$A$1:$B1014), 2, TRUE), "price unavailable"), "")</f>
        <v/>
      </c>
      <c r="F78" s="416"/>
      <c r="G78" s="309">
        <f t="shared" si="6"/>
        <v>0</v>
      </c>
      <c r="H78" s="321">
        <f t="shared" si="7"/>
        <v>0</v>
      </c>
      <c r="I78" s="417"/>
      <c r="J78" s="348" t="b">
        <v>0</v>
      </c>
      <c r="K78" s="409"/>
      <c r="L78" s="315">
        <v>0.0</v>
      </c>
      <c r="M78" s="315">
        <v>0.0</v>
      </c>
      <c r="N78" s="315">
        <v>0.0</v>
      </c>
      <c r="O78" s="315">
        <v>0.0</v>
      </c>
      <c r="P78" s="315">
        <v>0.0</v>
      </c>
      <c r="Q78" s="317">
        <f t="shared" si="8"/>
        <v>0</v>
      </c>
      <c r="R78" s="317" t="str">
        <f>SWITCH(S78,"cash",Reference!E$5,"shares",Reference!$E$6,"balance",Reference!$E$7,"pro-rata",Reference!$B$5)</f>
        <v>#DIV/0!</v>
      </c>
      <c r="S78" s="318" t="s">
        <v>207</v>
      </c>
      <c r="T78" s="319">
        <f>LET(numVmwShares,D78, cashRatio,Reference!$B$4, vmwFinalPrice,Reference!$B$3, numVmwShares * cashRatio * vmwFinalPrice)</f>
        <v>0</v>
      </c>
      <c r="U78" s="319">
        <f>iferror(LET(numVmwShares,$D78, stockRatio,Q78, vmwFinalPrice,Reference!$B$3, (1 - stockRatio) * vmwFinalPrice * numVmwShares),0)</f>
        <v>0</v>
      </c>
      <c r="V78" s="319">
        <f>iferror(LET(numVmwShares,$D78, stockRatio,R78, vmwFinalPrice,Reference!$B$3, (1 - stockRatio) * vmwFinalPrice * numVmwShares),0)</f>
        <v>0</v>
      </c>
      <c r="W78" s="319">
        <f>SWITCH(Reference!$E$4,"eTradeTransactionLog", T78, "eTradeHoldingRatio",T78, "eTradeLotQtyRatio",U78,"manualLotRatio",V78)</f>
        <v>0</v>
      </c>
      <c r="X78" s="309">
        <f>LET(purchaseDate,C78, dateOfRecord,Reference!$B$26, returnOfCapital,Reference!$C$26, IF(purchaseDate &lt; dateOfRecord, returnOfCapital,0))</f>
        <v>10.18</v>
      </c>
      <c r="Y78" s="309">
        <f>LET(purchaseDate,C78, dateOfRecord,Reference!$B$27, returnOfCapital,Reference!$C$27, IF(purchaseDate &lt; dateOfRecord, returnOfCapital,0))</f>
        <v>16.58</v>
      </c>
      <c r="Z78" s="309">
        <f t="shared" si="9"/>
        <v>-26.76</v>
      </c>
      <c r="AA78" s="309">
        <f t="shared" si="10"/>
        <v>0</v>
      </c>
      <c r="AB78" s="320">
        <f>LET(numVmwShares,D78, stockRatio,Reference!$B$5, vmwToAvgoRatio,Reference!$B$6, numVmwShares * stockRatio * vmwToAvgoRatio)</f>
        <v>0</v>
      </c>
      <c r="AC78" s="320">
        <f>LET(numVmwShares,D78, stockRatio,Q78, vmwToAvgoRatio,Reference!$B$6, numVmwShares * stockRatio * vmwToAvgoRatio)</f>
        <v>0</v>
      </c>
      <c r="AD78" s="320" t="str">
        <f>LET(numVmwShares,D78, stockRatio,R78, vmwToAvgoRatio,Reference!$B$6, numVmwShares * stockRatio * vmwToAvgoRatio)</f>
        <v>#DIV/0!</v>
      </c>
      <c r="AE78" s="320">
        <f>SWITCH(Reference!$E$4, "eTradeTransactionLog", AB78, "eTradeHoldingRatio",AB78, "eTradeLotQtyRatio",AC78,"manualLotRatio",AD78)</f>
        <v>0</v>
      </c>
      <c r="AF78" s="321">
        <f>LET(numVmwShares,D78, vmwBasis,Z78, avgoQty,AE78, avgoFMV,Reference!$B$18, cashReceived,W78, gain,cashReceived+(avgoQty*avgoFMV)-(numVmwShares*vmwBasis),
MAX(gain,0))</f>
        <v>0</v>
      </c>
      <c r="AG78" s="322">
        <f>LET(useForFraction,J78, fractionAmount,Summary!$C$41, esppFractionLots,ESPP!$N$5, rsuFractionLots,RSU!J$5, IF(useForFraction, fractionAmount / (esppFractionLots+rsuFractionLots), 0))</f>
        <v>0</v>
      </c>
      <c r="AH78" s="411">
        <f>LET(useForFraction,J78, fractionSaleFMV,Reference!$B$23, postMergerBasis,AT78, lotFractionAmount,AG78, IF(useForFraction, (fractionSaleFMV - postMergerBasis)*lotFractionAmount, 0))</f>
        <v>0</v>
      </c>
      <c r="AI78" s="412">
        <f t="shared" si="11"/>
        <v>0</v>
      </c>
      <c r="AJ78" s="413">
        <f>LET(
purchaseDate,C78,
mergerDate,Reference!$B$28,
lotFractionGain,AH78,
mergerGain,AI78,
IF(DATEDIF(purchaseDate,mergerDate,"Y")&gt;=1,
  0,
  lotFractionGain + mergerGain
))</f>
        <v>0</v>
      </c>
      <c r="AK78" s="413">
        <f>LET(
purchaseDate,C78,
mergerDate,Reference!$B$28,
lotFractionGain,AH78,
mergerGain,AI78,
IF(DATEDIF(purchaseDate,mergerDate,"Y")&gt;=1,
  lotFractionGain+mergerGain,
  0
))</f>
        <v>0</v>
      </c>
      <c r="AL78" s="414" t="str">
        <f>IF(DATEDIF(C78,Reference!$B$28,"Y")&gt;=1,"Part II Box E","Part I Box B")</f>
        <v>Part II Box E</v>
      </c>
      <c r="AM78" s="344" t="str">
        <f t="shared" si="12"/>
        <v/>
      </c>
      <c r="AN78" s="330">
        <f t="shared" si="13"/>
        <v>0</v>
      </c>
      <c r="AO78" s="330">
        <f>LET(
cashReceived,W78, 
avgoQty,AE78, 
proceedsStyle,Reference!$E$9, 
avgoFMV,Reference!$B$18, 
SWITCH(proceedsStyle, "combined", cashReceived +(avgoQty*avgoFMV), "cashOnly", cashReceived))</f>
        <v>0</v>
      </c>
      <c r="AP78" s="345">
        <f>LET(
proceedsStyle,Reference!$E$9,
proceeds,AO78,
gain,AS78,
numVmwShares,D78, 
vmwBasis, Z78, 
avgoQty,AE78, 
avgoFMV,Reference!$B$18, 
cashReceived,W78, 
avgoTotalValue, avgoFMV*avgoQty, 
vmwTotalBasis, vmwBasis*numVmwShares,
alternateGainAmount,AF78, 
SWITCH(proceedsStyle,
  "cashOnly",
    proceeds - gain,
  "combined",
    IF(cashReceived&lt;alternateGainAmount,
      avgoTotalValue,
      vmwTotalBasis
    )
  )
)</f>
        <v>0</v>
      </c>
      <c r="AQ78" s="345" t="str">
        <f t="shared" si="14"/>
        <v/>
      </c>
      <c r="AR78" s="345">
        <v>0.0</v>
      </c>
      <c r="AS78" s="331">
        <f>LET(
proceedsStyle,Reference!$E$9,
proceeds,AO78,
basis1099B,AP78,
adjustment,AR78,
mergerGain,AI78,
SWITCH(proceedsStyle,
  "cashOnly",
    mergerGain,
  "combined",
    MAX(proceeds - basis1099B + adjustment, 0)
))</f>
        <v>0</v>
      </c>
      <c r="AT78" s="415" t="str">
        <f t="shared" si="15"/>
        <v>n/a</v>
      </c>
      <c r="AU78" s="333">
        <f>LET(saleFMV,Reference!$B$10, postMergerBasis,AT78, avgoQty,AE78, lotFractionAmount,AG78, iferror((saleFMV - postMergerBasis) * (avgoQty - lotFractionAmount), 0))</f>
        <v>0</v>
      </c>
      <c r="AV78" s="333">
        <f>LET(
avgoQty,AE78, 
purchaseDate,C78,
postMergerSaleDate,Reference!$B$29,
saleFMV,Reference!$B$10,
postMergerBasis,AT78, 
IFERROR(IF(DATEDIF(purchaseDate,postMergerSaleDate,"Y")&gt;=1,
  0,
  avgoQty * (saleFMV - postMergerBasis)
),0))</f>
        <v>0</v>
      </c>
      <c r="AW78" s="336">
        <f>LET(
avgoQty,AE78, 
purchaseDate,C78,
postMergerSaleDate,Reference!$B$29,
saleFMV,Reference!$B$10,
postMergerBasis,AT78, 
IFERROR(IF(DATEDIF(purchaseDate,postMergerSaleDate,"Y")&gt;=1,
  avgoQty * (saleFMV - postMergerBasis),
  0
),0))</f>
        <v>0</v>
      </c>
      <c r="AX78" s="337"/>
    </row>
    <row r="79">
      <c r="A79" s="405"/>
      <c r="B79" s="406"/>
      <c r="C79" s="307"/>
      <c r="D79" s="338"/>
      <c r="E79" s="321" t="str">
        <f t="array" ref="E79">IF(C79&lt;&gt;"", IFERROR(VLOOKUP(C79, SORT(PriceReference!$A$1:$B1014), 2, TRUE), "price unavailable"), "")</f>
        <v/>
      </c>
      <c r="F79" s="416"/>
      <c r="G79" s="309">
        <f t="shared" si="6"/>
        <v>0</v>
      </c>
      <c r="H79" s="321">
        <f t="shared" si="7"/>
        <v>0</v>
      </c>
      <c r="I79" s="417"/>
      <c r="J79" s="348" t="b">
        <v>0</v>
      </c>
      <c r="K79" s="409"/>
      <c r="L79" s="315">
        <v>0.0</v>
      </c>
      <c r="M79" s="315">
        <v>0.0</v>
      </c>
      <c r="N79" s="315">
        <v>0.0</v>
      </c>
      <c r="O79" s="315">
        <v>0.0</v>
      </c>
      <c r="P79" s="315">
        <v>0.0</v>
      </c>
      <c r="Q79" s="317">
        <f t="shared" si="8"/>
        <v>0</v>
      </c>
      <c r="R79" s="317" t="str">
        <f>SWITCH(S79,"cash",Reference!E$5,"shares",Reference!$E$6,"balance",Reference!$E$7,"pro-rata",Reference!$B$5)</f>
        <v>#DIV/0!</v>
      </c>
      <c r="S79" s="318" t="s">
        <v>207</v>
      </c>
      <c r="T79" s="319">
        <f>LET(numVmwShares,D79, cashRatio,Reference!$B$4, vmwFinalPrice,Reference!$B$3, numVmwShares * cashRatio * vmwFinalPrice)</f>
        <v>0</v>
      </c>
      <c r="U79" s="319">
        <f>iferror(LET(numVmwShares,$D79, stockRatio,Q79, vmwFinalPrice,Reference!$B$3, (1 - stockRatio) * vmwFinalPrice * numVmwShares),0)</f>
        <v>0</v>
      </c>
      <c r="V79" s="319">
        <f>iferror(LET(numVmwShares,$D79, stockRatio,R79, vmwFinalPrice,Reference!$B$3, (1 - stockRatio) * vmwFinalPrice * numVmwShares),0)</f>
        <v>0</v>
      </c>
      <c r="W79" s="319">
        <f>SWITCH(Reference!$E$4,"eTradeTransactionLog", T79, "eTradeHoldingRatio",T79, "eTradeLotQtyRatio",U79,"manualLotRatio",V79)</f>
        <v>0</v>
      </c>
      <c r="X79" s="309">
        <f>LET(purchaseDate,C79, dateOfRecord,Reference!$B$26, returnOfCapital,Reference!$C$26, IF(purchaseDate &lt; dateOfRecord, returnOfCapital,0))</f>
        <v>10.18</v>
      </c>
      <c r="Y79" s="309">
        <f>LET(purchaseDate,C79, dateOfRecord,Reference!$B$27, returnOfCapital,Reference!$C$27, IF(purchaseDate &lt; dateOfRecord, returnOfCapital,0))</f>
        <v>16.58</v>
      </c>
      <c r="Z79" s="309">
        <f t="shared" si="9"/>
        <v>-26.76</v>
      </c>
      <c r="AA79" s="309">
        <f t="shared" si="10"/>
        <v>0</v>
      </c>
      <c r="AB79" s="320">
        <f>LET(numVmwShares,D79, stockRatio,Reference!$B$5, vmwToAvgoRatio,Reference!$B$6, numVmwShares * stockRatio * vmwToAvgoRatio)</f>
        <v>0</v>
      </c>
      <c r="AC79" s="320">
        <f>LET(numVmwShares,D79, stockRatio,Q79, vmwToAvgoRatio,Reference!$B$6, numVmwShares * stockRatio * vmwToAvgoRatio)</f>
        <v>0</v>
      </c>
      <c r="AD79" s="320" t="str">
        <f>LET(numVmwShares,D79, stockRatio,R79, vmwToAvgoRatio,Reference!$B$6, numVmwShares * stockRatio * vmwToAvgoRatio)</f>
        <v>#DIV/0!</v>
      </c>
      <c r="AE79" s="320">
        <f>SWITCH(Reference!$E$4, "eTradeTransactionLog", AB79, "eTradeHoldingRatio",AB79, "eTradeLotQtyRatio",AC79,"manualLotRatio",AD79)</f>
        <v>0</v>
      </c>
      <c r="AF79" s="321">
        <f>LET(numVmwShares,D79, vmwBasis,Z79, avgoQty,AE79, avgoFMV,Reference!$B$18, cashReceived,W79, gain,cashReceived+(avgoQty*avgoFMV)-(numVmwShares*vmwBasis),
MAX(gain,0))</f>
        <v>0</v>
      </c>
      <c r="AG79" s="322">
        <f>LET(useForFraction,J79, fractionAmount,Summary!$C$41, esppFractionLots,ESPP!$N$5, rsuFractionLots,RSU!J$5, IF(useForFraction, fractionAmount / (esppFractionLots+rsuFractionLots), 0))</f>
        <v>0</v>
      </c>
      <c r="AH79" s="411">
        <f>LET(useForFraction,J79, fractionSaleFMV,Reference!$B$23, postMergerBasis,AT79, lotFractionAmount,AG79, IF(useForFraction, (fractionSaleFMV - postMergerBasis)*lotFractionAmount, 0))</f>
        <v>0</v>
      </c>
      <c r="AI79" s="412">
        <f t="shared" si="11"/>
        <v>0</v>
      </c>
      <c r="AJ79" s="413">
        <f>LET(
purchaseDate,C79,
mergerDate,Reference!$B$28,
lotFractionGain,AH79,
mergerGain,AI79,
IF(DATEDIF(purchaseDate,mergerDate,"Y")&gt;=1,
  0,
  lotFractionGain + mergerGain
))</f>
        <v>0</v>
      </c>
      <c r="AK79" s="413">
        <f>LET(
purchaseDate,C79,
mergerDate,Reference!$B$28,
lotFractionGain,AH79,
mergerGain,AI79,
IF(DATEDIF(purchaseDate,mergerDate,"Y")&gt;=1,
  lotFractionGain+mergerGain,
  0
))</f>
        <v>0</v>
      </c>
      <c r="AL79" s="414" t="str">
        <f>IF(DATEDIF(C79,Reference!$B$28,"Y")&gt;=1,"Part II Box E","Part I Box B")</f>
        <v>Part II Box E</v>
      </c>
      <c r="AM79" s="344" t="str">
        <f t="shared" si="12"/>
        <v/>
      </c>
      <c r="AN79" s="330">
        <f t="shared" si="13"/>
        <v>0</v>
      </c>
      <c r="AO79" s="330">
        <f>LET(
cashReceived,W79, 
avgoQty,AE79, 
proceedsStyle,Reference!$E$9, 
avgoFMV,Reference!$B$18, 
SWITCH(proceedsStyle, "combined", cashReceived +(avgoQty*avgoFMV), "cashOnly", cashReceived))</f>
        <v>0</v>
      </c>
      <c r="AP79" s="345">
        <f>LET(
proceedsStyle,Reference!$E$9,
proceeds,AO79,
gain,AS79,
numVmwShares,D79, 
vmwBasis, Z79, 
avgoQty,AE79, 
avgoFMV,Reference!$B$18, 
cashReceived,W79, 
avgoTotalValue, avgoFMV*avgoQty, 
vmwTotalBasis, vmwBasis*numVmwShares,
alternateGainAmount,AF79, 
SWITCH(proceedsStyle,
  "cashOnly",
    proceeds - gain,
  "combined",
    IF(cashReceived&lt;alternateGainAmount,
      avgoTotalValue,
      vmwTotalBasis
    )
  )
)</f>
        <v>0</v>
      </c>
      <c r="AQ79" s="345" t="str">
        <f t="shared" si="14"/>
        <v/>
      </c>
      <c r="AR79" s="345">
        <v>0.0</v>
      </c>
      <c r="AS79" s="331">
        <f>LET(
proceedsStyle,Reference!$E$9,
proceeds,AO79,
basis1099B,AP79,
adjustment,AR79,
mergerGain,AI79,
SWITCH(proceedsStyle,
  "cashOnly",
    mergerGain,
  "combined",
    MAX(proceeds - basis1099B + adjustment, 0)
))</f>
        <v>0</v>
      </c>
      <c r="AT79" s="415" t="str">
        <f t="shared" si="15"/>
        <v>n/a</v>
      </c>
      <c r="AU79" s="333">
        <f>LET(saleFMV,Reference!$B$10, postMergerBasis,AT79, avgoQty,AE79, lotFractionAmount,AG79, iferror((saleFMV - postMergerBasis) * (avgoQty - lotFractionAmount), 0))</f>
        <v>0</v>
      </c>
      <c r="AV79" s="333">
        <f>LET(
avgoQty,AE79, 
purchaseDate,C79,
postMergerSaleDate,Reference!$B$29,
saleFMV,Reference!$B$10,
postMergerBasis,AT79, 
IFERROR(IF(DATEDIF(purchaseDate,postMergerSaleDate,"Y")&gt;=1,
  0,
  avgoQty * (saleFMV - postMergerBasis)
),0))</f>
        <v>0</v>
      </c>
      <c r="AW79" s="336">
        <f>LET(
avgoQty,AE79, 
purchaseDate,C79,
postMergerSaleDate,Reference!$B$29,
saleFMV,Reference!$B$10,
postMergerBasis,AT79, 
IFERROR(IF(DATEDIF(purchaseDate,postMergerSaleDate,"Y")&gt;=1,
  avgoQty * (saleFMV - postMergerBasis),
  0
),0))</f>
        <v>0</v>
      </c>
      <c r="AX79" s="337"/>
    </row>
    <row r="80">
      <c r="A80" s="405"/>
      <c r="B80" s="406"/>
      <c r="C80" s="307"/>
      <c r="D80" s="338"/>
      <c r="E80" s="321" t="str">
        <f t="array" ref="E80">IF(C80&lt;&gt;"", IFERROR(VLOOKUP(C80, SORT(PriceReference!$A$1:$B1014), 2, TRUE), "price unavailable"), "")</f>
        <v/>
      </c>
      <c r="F80" s="416"/>
      <c r="G80" s="309">
        <f t="shared" si="6"/>
        <v>0</v>
      </c>
      <c r="H80" s="321">
        <f t="shared" si="7"/>
        <v>0</v>
      </c>
      <c r="I80" s="417"/>
      <c r="J80" s="348" t="b">
        <v>0</v>
      </c>
      <c r="K80" s="409"/>
      <c r="L80" s="315">
        <v>0.0</v>
      </c>
      <c r="M80" s="315">
        <v>0.0</v>
      </c>
      <c r="N80" s="315">
        <v>0.0</v>
      </c>
      <c r="O80" s="315">
        <v>0.0</v>
      </c>
      <c r="P80" s="315">
        <v>0.0</v>
      </c>
      <c r="Q80" s="317">
        <f t="shared" si="8"/>
        <v>0</v>
      </c>
      <c r="R80" s="317" t="str">
        <f>SWITCH(S80,"cash",Reference!E$5,"shares",Reference!$E$6,"balance",Reference!$E$7,"pro-rata",Reference!$B$5)</f>
        <v>#DIV/0!</v>
      </c>
      <c r="S80" s="318" t="s">
        <v>207</v>
      </c>
      <c r="T80" s="319">
        <f>LET(numVmwShares,D80, cashRatio,Reference!$B$4, vmwFinalPrice,Reference!$B$3, numVmwShares * cashRatio * vmwFinalPrice)</f>
        <v>0</v>
      </c>
      <c r="U80" s="319">
        <f>iferror(LET(numVmwShares,$D80, stockRatio,Q80, vmwFinalPrice,Reference!$B$3, (1 - stockRatio) * vmwFinalPrice * numVmwShares),0)</f>
        <v>0</v>
      </c>
      <c r="V80" s="319">
        <f>iferror(LET(numVmwShares,$D80, stockRatio,R80, vmwFinalPrice,Reference!$B$3, (1 - stockRatio) * vmwFinalPrice * numVmwShares),0)</f>
        <v>0</v>
      </c>
      <c r="W80" s="319">
        <f>SWITCH(Reference!$E$4,"eTradeTransactionLog", T80, "eTradeHoldingRatio",T80, "eTradeLotQtyRatio",U80,"manualLotRatio",V80)</f>
        <v>0</v>
      </c>
      <c r="X80" s="309">
        <f>LET(purchaseDate,C80, dateOfRecord,Reference!$B$26, returnOfCapital,Reference!$C$26, IF(purchaseDate &lt; dateOfRecord, returnOfCapital,0))</f>
        <v>10.18</v>
      </c>
      <c r="Y80" s="309">
        <f>LET(purchaseDate,C80, dateOfRecord,Reference!$B$27, returnOfCapital,Reference!$C$27, IF(purchaseDate &lt; dateOfRecord, returnOfCapital,0))</f>
        <v>16.58</v>
      </c>
      <c r="Z80" s="309">
        <f t="shared" si="9"/>
        <v>-26.76</v>
      </c>
      <c r="AA80" s="309">
        <f t="shared" si="10"/>
        <v>0</v>
      </c>
      <c r="AB80" s="320">
        <f>LET(numVmwShares,D80, stockRatio,Reference!$B$5, vmwToAvgoRatio,Reference!$B$6, numVmwShares * stockRatio * vmwToAvgoRatio)</f>
        <v>0</v>
      </c>
      <c r="AC80" s="320">
        <f>LET(numVmwShares,D80, stockRatio,Q80, vmwToAvgoRatio,Reference!$B$6, numVmwShares * stockRatio * vmwToAvgoRatio)</f>
        <v>0</v>
      </c>
      <c r="AD80" s="320" t="str">
        <f>LET(numVmwShares,D80, stockRatio,R80, vmwToAvgoRatio,Reference!$B$6, numVmwShares * stockRatio * vmwToAvgoRatio)</f>
        <v>#DIV/0!</v>
      </c>
      <c r="AE80" s="320">
        <f>SWITCH(Reference!$E$4, "eTradeTransactionLog", AB80, "eTradeHoldingRatio",AB80, "eTradeLotQtyRatio",AC80,"manualLotRatio",AD80)</f>
        <v>0</v>
      </c>
      <c r="AF80" s="321">
        <f>LET(numVmwShares,D80, vmwBasis,Z80, avgoQty,AE80, avgoFMV,Reference!$B$18, cashReceived,W80, gain,cashReceived+(avgoQty*avgoFMV)-(numVmwShares*vmwBasis),
MAX(gain,0))</f>
        <v>0</v>
      </c>
      <c r="AG80" s="322">
        <f>LET(useForFraction,J80, fractionAmount,Summary!$C$41, esppFractionLots,ESPP!$N$5, rsuFractionLots,RSU!J$5, IF(useForFraction, fractionAmount / (esppFractionLots+rsuFractionLots), 0))</f>
        <v>0</v>
      </c>
      <c r="AH80" s="411">
        <f>LET(useForFraction,J80, fractionSaleFMV,Reference!$B$23, postMergerBasis,AT80, lotFractionAmount,AG80, IF(useForFraction, (fractionSaleFMV - postMergerBasis)*lotFractionAmount, 0))</f>
        <v>0</v>
      </c>
      <c r="AI80" s="412">
        <f t="shared" si="11"/>
        <v>0</v>
      </c>
      <c r="AJ80" s="413">
        <f>LET(
purchaseDate,C80,
mergerDate,Reference!$B$28,
lotFractionGain,AH80,
mergerGain,AI80,
IF(DATEDIF(purchaseDate,mergerDate,"Y")&gt;=1,
  0,
  lotFractionGain + mergerGain
))</f>
        <v>0</v>
      </c>
      <c r="AK80" s="413">
        <f>LET(
purchaseDate,C80,
mergerDate,Reference!$B$28,
lotFractionGain,AH80,
mergerGain,AI80,
IF(DATEDIF(purchaseDate,mergerDate,"Y")&gt;=1,
  lotFractionGain+mergerGain,
  0
))</f>
        <v>0</v>
      </c>
      <c r="AL80" s="414" t="str">
        <f>IF(DATEDIF(C80,Reference!$B$28,"Y")&gt;=1,"Part II Box E","Part I Box B")</f>
        <v>Part II Box E</v>
      </c>
      <c r="AM80" s="344" t="str">
        <f t="shared" si="12"/>
        <v/>
      </c>
      <c r="AN80" s="330">
        <f t="shared" si="13"/>
        <v>0</v>
      </c>
      <c r="AO80" s="330">
        <f>LET(
cashReceived,W80, 
avgoQty,AE80, 
proceedsStyle,Reference!$E$9, 
avgoFMV,Reference!$B$18, 
SWITCH(proceedsStyle, "combined", cashReceived +(avgoQty*avgoFMV), "cashOnly", cashReceived))</f>
        <v>0</v>
      </c>
      <c r="AP80" s="345">
        <f>LET(
proceedsStyle,Reference!$E$9,
proceeds,AO80,
gain,AS80,
numVmwShares,D80, 
vmwBasis, Z80, 
avgoQty,AE80, 
avgoFMV,Reference!$B$18, 
cashReceived,W80, 
avgoTotalValue, avgoFMV*avgoQty, 
vmwTotalBasis, vmwBasis*numVmwShares,
alternateGainAmount,AF80, 
SWITCH(proceedsStyle,
  "cashOnly",
    proceeds - gain,
  "combined",
    IF(cashReceived&lt;alternateGainAmount,
      avgoTotalValue,
      vmwTotalBasis
    )
  )
)</f>
        <v>0</v>
      </c>
      <c r="AQ80" s="345" t="str">
        <f t="shared" si="14"/>
        <v/>
      </c>
      <c r="AR80" s="345">
        <v>0.0</v>
      </c>
      <c r="AS80" s="331">
        <f>LET(
proceedsStyle,Reference!$E$9,
proceeds,AO80,
basis1099B,AP80,
adjustment,AR80,
mergerGain,AI80,
SWITCH(proceedsStyle,
  "cashOnly",
    mergerGain,
  "combined",
    MAX(proceeds - basis1099B + adjustment, 0)
))</f>
        <v>0</v>
      </c>
      <c r="AT80" s="415" t="str">
        <f t="shared" si="15"/>
        <v>n/a</v>
      </c>
      <c r="AU80" s="333">
        <f>LET(saleFMV,Reference!$B$10, postMergerBasis,AT80, avgoQty,AE80, lotFractionAmount,AG80, iferror((saleFMV - postMergerBasis) * (avgoQty - lotFractionAmount), 0))</f>
        <v>0</v>
      </c>
      <c r="AV80" s="333">
        <f>LET(
avgoQty,AE80, 
purchaseDate,C80,
postMergerSaleDate,Reference!$B$29,
saleFMV,Reference!$B$10,
postMergerBasis,AT80, 
IFERROR(IF(DATEDIF(purchaseDate,postMergerSaleDate,"Y")&gt;=1,
  0,
  avgoQty * (saleFMV - postMergerBasis)
),0))</f>
        <v>0</v>
      </c>
      <c r="AW80" s="336">
        <f>LET(
avgoQty,AE80, 
purchaseDate,C80,
postMergerSaleDate,Reference!$B$29,
saleFMV,Reference!$B$10,
postMergerBasis,AT80, 
IFERROR(IF(DATEDIF(purchaseDate,postMergerSaleDate,"Y")&gt;=1,
  avgoQty * (saleFMV - postMergerBasis),
  0
),0))</f>
        <v>0</v>
      </c>
      <c r="AX80" s="337"/>
    </row>
    <row r="81">
      <c r="A81" s="405"/>
      <c r="B81" s="406"/>
      <c r="C81" s="307"/>
      <c r="D81" s="338"/>
      <c r="E81" s="321" t="str">
        <f t="array" ref="E81">IF(C81&lt;&gt;"", IFERROR(VLOOKUP(C81, SORT(PriceReference!$A$1:$B1014), 2, TRUE), "price unavailable"), "")</f>
        <v/>
      </c>
      <c r="F81" s="416"/>
      <c r="G81" s="309">
        <f t="shared" si="6"/>
        <v>0</v>
      </c>
      <c r="H81" s="321">
        <f t="shared" si="7"/>
        <v>0</v>
      </c>
      <c r="I81" s="417"/>
      <c r="J81" s="348" t="b">
        <v>0</v>
      </c>
      <c r="K81" s="409"/>
      <c r="L81" s="315">
        <v>0.0</v>
      </c>
      <c r="M81" s="315">
        <v>0.0</v>
      </c>
      <c r="N81" s="315">
        <v>0.0</v>
      </c>
      <c r="O81" s="315">
        <v>0.0</v>
      </c>
      <c r="P81" s="315">
        <v>0.0</v>
      </c>
      <c r="Q81" s="317">
        <f t="shared" si="8"/>
        <v>0</v>
      </c>
      <c r="R81" s="317" t="str">
        <f>SWITCH(S81,"cash",Reference!E$5,"shares",Reference!$E$6,"balance",Reference!$E$7,"pro-rata",Reference!$B$5)</f>
        <v>#DIV/0!</v>
      </c>
      <c r="S81" s="318" t="s">
        <v>207</v>
      </c>
      <c r="T81" s="319">
        <f>LET(numVmwShares,D81, cashRatio,Reference!$B$4, vmwFinalPrice,Reference!$B$3, numVmwShares * cashRatio * vmwFinalPrice)</f>
        <v>0</v>
      </c>
      <c r="U81" s="319">
        <f>iferror(LET(numVmwShares,$D81, stockRatio,Q81, vmwFinalPrice,Reference!$B$3, (1 - stockRatio) * vmwFinalPrice * numVmwShares),0)</f>
        <v>0</v>
      </c>
      <c r="V81" s="319">
        <f>iferror(LET(numVmwShares,$D81, stockRatio,R81, vmwFinalPrice,Reference!$B$3, (1 - stockRatio) * vmwFinalPrice * numVmwShares),0)</f>
        <v>0</v>
      </c>
      <c r="W81" s="319">
        <f>SWITCH(Reference!$E$4,"eTradeTransactionLog", T81, "eTradeHoldingRatio",T81, "eTradeLotQtyRatio",U81,"manualLotRatio",V81)</f>
        <v>0</v>
      </c>
      <c r="X81" s="309">
        <f>LET(purchaseDate,C81, dateOfRecord,Reference!$B$26, returnOfCapital,Reference!$C$26, IF(purchaseDate &lt; dateOfRecord, returnOfCapital,0))</f>
        <v>10.18</v>
      </c>
      <c r="Y81" s="309">
        <f>LET(purchaseDate,C81, dateOfRecord,Reference!$B$27, returnOfCapital,Reference!$C$27, IF(purchaseDate &lt; dateOfRecord, returnOfCapital,0))</f>
        <v>16.58</v>
      </c>
      <c r="Z81" s="309">
        <f t="shared" si="9"/>
        <v>-26.76</v>
      </c>
      <c r="AA81" s="309">
        <f t="shared" si="10"/>
        <v>0</v>
      </c>
      <c r="AB81" s="320">
        <f>LET(numVmwShares,D81, stockRatio,Reference!$B$5, vmwToAvgoRatio,Reference!$B$6, numVmwShares * stockRatio * vmwToAvgoRatio)</f>
        <v>0</v>
      </c>
      <c r="AC81" s="320">
        <f>LET(numVmwShares,D81, stockRatio,Q81, vmwToAvgoRatio,Reference!$B$6, numVmwShares * stockRatio * vmwToAvgoRatio)</f>
        <v>0</v>
      </c>
      <c r="AD81" s="320" t="str">
        <f>LET(numVmwShares,D81, stockRatio,R81, vmwToAvgoRatio,Reference!$B$6, numVmwShares * stockRatio * vmwToAvgoRatio)</f>
        <v>#DIV/0!</v>
      </c>
      <c r="AE81" s="320">
        <f>SWITCH(Reference!$E$4, "eTradeTransactionLog", AB81, "eTradeHoldingRatio",AB81, "eTradeLotQtyRatio",AC81,"manualLotRatio",AD81)</f>
        <v>0</v>
      </c>
      <c r="AF81" s="321">
        <f>LET(numVmwShares,D81, vmwBasis,Z81, avgoQty,AE81, avgoFMV,Reference!$B$18, cashReceived,W81, gain,cashReceived+(avgoQty*avgoFMV)-(numVmwShares*vmwBasis),
MAX(gain,0))</f>
        <v>0</v>
      </c>
      <c r="AG81" s="322">
        <f>LET(useForFraction,J81, fractionAmount,Summary!$C$41, esppFractionLots,ESPP!$N$5, rsuFractionLots,RSU!J$5, IF(useForFraction, fractionAmount / (esppFractionLots+rsuFractionLots), 0))</f>
        <v>0</v>
      </c>
      <c r="AH81" s="411">
        <f>LET(useForFraction,J81, fractionSaleFMV,Reference!$B$23, postMergerBasis,AT81, lotFractionAmount,AG81, IF(useForFraction, (fractionSaleFMV - postMergerBasis)*lotFractionAmount, 0))</f>
        <v>0</v>
      </c>
      <c r="AI81" s="412">
        <f t="shared" si="11"/>
        <v>0</v>
      </c>
      <c r="AJ81" s="413">
        <f>LET(
purchaseDate,C81,
mergerDate,Reference!$B$28,
lotFractionGain,AH81,
mergerGain,AI81,
IF(DATEDIF(purchaseDate,mergerDate,"Y")&gt;=1,
  0,
  lotFractionGain + mergerGain
))</f>
        <v>0</v>
      </c>
      <c r="AK81" s="413">
        <f>LET(
purchaseDate,C81,
mergerDate,Reference!$B$28,
lotFractionGain,AH81,
mergerGain,AI81,
IF(DATEDIF(purchaseDate,mergerDate,"Y")&gt;=1,
  lotFractionGain+mergerGain,
  0
))</f>
        <v>0</v>
      </c>
      <c r="AL81" s="414" t="str">
        <f>IF(DATEDIF(C81,Reference!$B$28,"Y")&gt;=1,"Part II Box E","Part I Box B")</f>
        <v>Part II Box E</v>
      </c>
      <c r="AM81" s="344" t="str">
        <f t="shared" si="12"/>
        <v/>
      </c>
      <c r="AN81" s="330">
        <f t="shared" si="13"/>
        <v>0</v>
      </c>
      <c r="AO81" s="330">
        <f>LET(
cashReceived,W81, 
avgoQty,AE81, 
proceedsStyle,Reference!$E$9, 
avgoFMV,Reference!$B$18, 
SWITCH(proceedsStyle, "combined", cashReceived +(avgoQty*avgoFMV), "cashOnly", cashReceived))</f>
        <v>0</v>
      </c>
      <c r="AP81" s="345">
        <f>LET(
proceedsStyle,Reference!$E$9,
proceeds,AO81,
gain,AS81,
numVmwShares,D81, 
vmwBasis, Z81, 
avgoQty,AE81, 
avgoFMV,Reference!$B$18, 
cashReceived,W81, 
avgoTotalValue, avgoFMV*avgoQty, 
vmwTotalBasis, vmwBasis*numVmwShares,
alternateGainAmount,AF81, 
SWITCH(proceedsStyle,
  "cashOnly",
    proceeds - gain,
  "combined",
    IF(cashReceived&lt;alternateGainAmount,
      avgoTotalValue,
      vmwTotalBasis
    )
  )
)</f>
        <v>0</v>
      </c>
      <c r="AQ81" s="345" t="str">
        <f t="shared" si="14"/>
        <v/>
      </c>
      <c r="AR81" s="345">
        <v>0.0</v>
      </c>
      <c r="AS81" s="331">
        <f>LET(
proceedsStyle,Reference!$E$9,
proceeds,AO81,
basis1099B,AP81,
adjustment,AR81,
mergerGain,AI81,
SWITCH(proceedsStyle,
  "cashOnly",
    mergerGain,
  "combined",
    MAX(proceeds - basis1099B + adjustment, 0)
))</f>
        <v>0</v>
      </c>
      <c r="AT81" s="415" t="str">
        <f t="shared" si="15"/>
        <v>n/a</v>
      </c>
      <c r="AU81" s="333">
        <f>LET(saleFMV,Reference!$B$10, postMergerBasis,AT81, avgoQty,AE81, lotFractionAmount,AG81, iferror((saleFMV - postMergerBasis) * (avgoQty - lotFractionAmount), 0))</f>
        <v>0</v>
      </c>
      <c r="AV81" s="333">
        <f>LET(
avgoQty,AE81, 
purchaseDate,C81,
postMergerSaleDate,Reference!$B$29,
saleFMV,Reference!$B$10,
postMergerBasis,AT81, 
IFERROR(IF(DATEDIF(purchaseDate,postMergerSaleDate,"Y")&gt;=1,
  0,
  avgoQty * (saleFMV - postMergerBasis)
),0))</f>
        <v>0</v>
      </c>
      <c r="AW81" s="336">
        <f>LET(
avgoQty,AE81, 
purchaseDate,C81,
postMergerSaleDate,Reference!$B$29,
saleFMV,Reference!$B$10,
postMergerBasis,AT81, 
IFERROR(IF(DATEDIF(purchaseDate,postMergerSaleDate,"Y")&gt;=1,
  avgoQty * (saleFMV - postMergerBasis),
  0
),0))</f>
        <v>0</v>
      </c>
      <c r="AX81" s="337"/>
    </row>
    <row r="82">
      <c r="A82" s="405"/>
      <c r="B82" s="406"/>
      <c r="C82" s="307"/>
      <c r="D82" s="338"/>
      <c r="E82" s="321" t="str">
        <f t="array" ref="E82">IF(C82&lt;&gt;"", IFERROR(VLOOKUP(C82, SORT(PriceReference!$A$1:$B1014), 2, TRUE), "price unavailable"), "")</f>
        <v/>
      </c>
      <c r="F82" s="416"/>
      <c r="G82" s="309">
        <f t="shared" si="6"/>
        <v>0</v>
      </c>
      <c r="H82" s="321">
        <f t="shared" si="7"/>
        <v>0</v>
      </c>
      <c r="I82" s="419"/>
      <c r="J82" s="348" t="b">
        <v>0</v>
      </c>
      <c r="K82" s="409"/>
      <c r="L82" s="315">
        <v>0.0</v>
      </c>
      <c r="M82" s="315">
        <v>0.0</v>
      </c>
      <c r="N82" s="315">
        <v>0.0</v>
      </c>
      <c r="O82" s="315">
        <v>0.0</v>
      </c>
      <c r="P82" s="315">
        <v>0.0</v>
      </c>
      <c r="Q82" s="317">
        <f t="shared" si="8"/>
        <v>0</v>
      </c>
      <c r="R82" s="317" t="str">
        <f>SWITCH(S82,"cash",Reference!E$5,"shares",Reference!$E$6,"balance",Reference!$E$7,"pro-rata",Reference!$B$5)</f>
        <v>#DIV/0!</v>
      </c>
      <c r="S82" s="318" t="s">
        <v>207</v>
      </c>
      <c r="T82" s="319">
        <f>LET(numVmwShares,D82, cashRatio,Reference!$B$4, vmwFinalPrice,Reference!$B$3, numVmwShares * cashRatio * vmwFinalPrice)</f>
        <v>0</v>
      </c>
      <c r="U82" s="319">
        <f>iferror(LET(numVmwShares,$D82, stockRatio,Q82, vmwFinalPrice,Reference!$B$3, (1 - stockRatio) * vmwFinalPrice * numVmwShares),0)</f>
        <v>0</v>
      </c>
      <c r="V82" s="319">
        <f>iferror(LET(numVmwShares,$D82, stockRatio,R82, vmwFinalPrice,Reference!$B$3, (1 - stockRatio) * vmwFinalPrice * numVmwShares),0)</f>
        <v>0</v>
      </c>
      <c r="W82" s="319">
        <f>SWITCH(Reference!$E$4,"eTradeTransactionLog", T82, "eTradeHoldingRatio",T82, "eTradeLotQtyRatio",U82,"manualLotRatio",V82)</f>
        <v>0</v>
      </c>
      <c r="X82" s="309">
        <f>LET(purchaseDate,C82, dateOfRecord,Reference!$B$26, returnOfCapital,Reference!$C$26, IF(purchaseDate &lt; dateOfRecord, returnOfCapital,0))</f>
        <v>10.18</v>
      </c>
      <c r="Y82" s="309">
        <f>LET(purchaseDate,C82, dateOfRecord,Reference!$B$27, returnOfCapital,Reference!$C$27, IF(purchaseDate &lt; dateOfRecord, returnOfCapital,0))</f>
        <v>16.58</v>
      </c>
      <c r="Z82" s="309">
        <f t="shared" si="9"/>
        <v>-26.76</v>
      </c>
      <c r="AA82" s="309">
        <f t="shared" si="10"/>
        <v>0</v>
      </c>
      <c r="AB82" s="320">
        <f>LET(numVmwShares,D82, stockRatio,Reference!$B$5, vmwToAvgoRatio,Reference!$B$6, numVmwShares * stockRatio * vmwToAvgoRatio)</f>
        <v>0</v>
      </c>
      <c r="AC82" s="320">
        <f>LET(numVmwShares,D82, stockRatio,Q82, vmwToAvgoRatio,Reference!$B$6, numVmwShares * stockRatio * vmwToAvgoRatio)</f>
        <v>0</v>
      </c>
      <c r="AD82" s="320" t="str">
        <f>LET(numVmwShares,D82, stockRatio,R82, vmwToAvgoRatio,Reference!$B$6, numVmwShares * stockRatio * vmwToAvgoRatio)</f>
        <v>#DIV/0!</v>
      </c>
      <c r="AE82" s="320">
        <f>SWITCH(Reference!$E$4, "eTradeTransactionLog", AB82, "eTradeHoldingRatio",AB82, "eTradeLotQtyRatio",AC82,"manualLotRatio",AD82)</f>
        <v>0</v>
      </c>
      <c r="AF82" s="321">
        <f>LET(numVmwShares,D82, vmwBasis,Z82, avgoQty,AE82, avgoFMV,Reference!$B$18, cashReceived,W82, gain,cashReceived+(avgoQty*avgoFMV)-(numVmwShares*vmwBasis),
MAX(gain,0))</f>
        <v>0</v>
      </c>
      <c r="AG82" s="322">
        <f>LET(useForFraction,J82, fractionAmount,Summary!$C$41, esppFractionLots,ESPP!$N$5, rsuFractionLots,RSU!J$5, IF(useForFraction, fractionAmount / (esppFractionLots+rsuFractionLots), 0))</f>
        <v>0</v>
      </c>
      <c r="AH82" s="411">
        <f>LET(useForFraction,J82, fractionSaleFMV,Reference!$B$23, postMergerBasis,AT82, lotFractionAmount,AG82, IF(useForFraction, (fractionSaleFMV - postMergerBasis)*lotFractionAmount, 0))</f>
        <v>0</v>
      </c>
      <c r="AI82" s="412">
        <f t="shared" si="11"/>
        <v>0</v>
      </c>
      <c r="AJ82" s="413">
        <f>LET(
purchaseDate,C82,
mergerDate,Reference!$B$28,
lotFractionGain,AH82,
mergerGain,AI82,
IF(DATEDIF(purchaseDate,mergerDate,"Y")&gt;=1,
  0,
  lotFractionGain + mergerGain
))</f>
        <v>0</v>
      </c>
      <c r="AK82" s="413">
        <f>LET(
purchaseDate,C82,
mergerDate,Reference!$B$28,
lotFractionGain,AH82,
mergerGain,AI82,
IF(DATEDIF(purchaseDate,mergerDate,"Y")&gt;=1,
  lotFractionGain+mergerGain,
  0
))</f>
        <v>0</v>
      </c>
      <c r="AL82" s="414" t="str">
        <f>IF(DATEDIF(C82,Reference!$B$28,"Y")&gt;=1,"Part II Box E","Part I Box B")</f>
        <v>Part II Box E</v>
      </c>
      <c r="AM82" s="344" t="str">
        <f t="shared" si="12"/>
        <v/>
      </c>
      <c r="AN82" s="330">
        <f t="shared" si="13"/>
        <v>0</v>
      </c>
      <c r="AO82" s="330">
        <f>LET(
cashReceived,W82, 
avgoQty,AE82, 
proceedsStyle,Reference!$E$9, 
avgoFMV,Reference!$B$18, 
SWITCH(proceedsStyle, "combined", cashReceived +(avgoQty*avgoFMV), "cashOnly", cashReceived))</f>
        <v>0</v>
      </c>
      <c r="AP82" s="345">
        <f>LET(
proceedsStyle,Reference!$E$9,
proceeds,AO82,
gain,AS82,
numVmwShares,D82, 
vmwBasis, Z82, 
avgoQty,AE82, 
avgoFMV,Reference!$B$18, 
cashReceived,W82, 
avgoTotalValue, avgoFMV*avgoQty, 
vmwTotalBasis, vmwBasis*numVmwShares,
alternateGainAmount,AF82, 
SWITCH(proceedsStyle,
  "cashOnly",
    proceeds - gain,
  "combined",
    IF(cashReceived&lt;alternateGainAmount,
      avgoTotalValue,
      vmwTotalBasis
    )
  )
)</f>
        <v>0</v>
      </c>
      <c r="AQ82" s="345" t="str">
        <f t="shared" si="14"/>
        <v/>
      </c>
      <c r="AR82" s="345">
        <v>0.0</v>
      </c>
      <c r="AS82" s="331">
        <f>LET(
proceedsStyle,Reference!$E$9,
proceeds,AO82,
basis1099B,AP82,
adjustment,AR82,
mergerGain,AI82,
SWITCH(proceedsStyle,
  "cashOnly",
    mergerGain,
  "combined",
    MAX(proceeds - basis1099B + adjustment, 0)
))</f>
        <v>0</v>
      </c>
      <c r="AT82" s="415" t="str">
        <f t="shared" si="15"/>
        <v>n/a</v>
      </c>
      <c r="AU82" s="333">
        <f>LET(saleFMV,Reference!$B$10, postMergerBasis,AT82, avgoQty,AE82, lotFractionAmount,AG82, iferror((saleFMV - postMergerBasis) * (avgoQty - lotFractionAmount), 0))</f>
        <v>0</v>
      </c>
      <c r="AV82" s="333">
        <f>LET(
avgoQty,AE82, 
purchaseDate,C82,
postMergerSaleDate,Reference!$B$29,
saleFMV,Reference!$B$10,
postMergerBasis,AT82, 
IFERROR(IF(DATEDIF(purchaseDate,postMergerSaleDate,"Y")&gt;=1,
  0,
  avgoQty * (saleFMV - postMergerBasis)
),0))</f>
        <v>0</v>
      </c>
      <c r="AW82" s="336">
        <f>LET(
avgoQty,AE82, 
purchaseDate,C82,
postMergerSaleDate,Reference!$B$29,
saleFMV,Reference!$B$10,
postMergerBasis,AT82, 
IFERROR(IF(DATEDIF(purchaseDate,postMergerSaleDate,"Y")&gt;=1,
  avgoQty * (saleFMV - postMergerBasis),
  0
),0))</f>
        <v>0</v>
      </c>
      <c r="AX82" s="337"/>
    </row>
    <row r="83">
      <c r="A83" s="405"/>
      <c r="B83" s="406"/>
      <c r="C83" s="307"/>
      <c r="D83" s="338"/>
      <c r="E83" s="321" t="str">
        <f t="array" ref="E83">IF(C83&lt;&gt;"", IFERROR(VLOOKUP(C83, SORT(PriceReference!$A$1:$B1014), 2, TRUE), "price unavailable"), "")</f>
        <v/>
      </c>
      <c r="F83" s="416"/>
      <c r="G83" s="309">
        <f t="shared" si="6"/>
        <v>0</v>
      </c>
      <c r="H83" s="321">
        <f t="shared" si="7"/>
        <v>0</v>
      </c>
      <c r="I83" s="417"/>
      <c r="J83" s="348" t="b">
        <v>0</v>
      </c>
      <c r="K83" s="409"/>
      <c r="L83" s="315">
        <v>0.0</v>
      </c>
      <c r="M83" s="315">
        <v>0.0</v>
      </c>
      <c r="N83" s="315">
        <v>0.0</v>
      </c>
      <c r="O83" s="315">
        <v>0.0</v>
      </c>
      <c r="P83" s="315">
        <v>0.0</v>
      </c>
      <c r="Q83" s="317">
        <f t="shared" si="8"/>
        <v>0</v>
      </c>
      <c r="R83" s="317" t="str">
        <f>SWITCH(S83,"cash",Reference!E$5,"shares",Reference!$E$6,"balance",Reference!$E$7,"pro-rata",Reference!$B$5)</f>
        <v>#DIV/0!</v>
      </c>
      <c r="S83" s="318" t="s">
        <v>207</v>
      </c>
      <c r="T83" s="319">
        <f>LET(numVmwShares,D83, cashRatio,Reference!$B$4, vmwFinalPrice,Reference!$B$3, numVmwShares * cashRatio * vmwFinalPrice)</f>
        <v>0</v>
      </c>
      <c r="U83" s="319">
        <f>iferror(LET(numVmwShares,$D83, stockRatio,Q83, vmwFinalPrice,Reference!$B$3, (1 - stockRatio) * vmwFinalPrice * numVmwShares),0)</f>
        <v>0</v>
      </c>
      <c r="V83" s="319">
        <f>iferror(LET(numVmwShares,$D83, stockRatio,R83, vmwFinalPrice,Reference!$B$3, (1 - stockRatio) * vmwFinalPrice * numVmwShares),0)</f>
        <v>0</v>
      </c>
      <c r="W83" s="319">
        <f>SWITCH(Reference!$E$4,"eTradeTransactionLog", T83, "eTradeHoldingRatio",T83, "eTradeLotQtyRatio",U83,"manualLotRatio",V83)</f>
        <v>0</v>
      </c>
      <c r="X83" s="309">
        <f>LET(purchaseDate,C83, dateOfRecord,Reference!$B$26, returnOfCapital,Reference!$C$26, IF(purchaseDate &lt; dateOfRecord, returnOfCapital,0))</f>
        <v>10.18</v>
      </c>
      <c r="Y83" s="309">
        <f>LET(purchaseDate,C83, dateOfRecord,Reference!$B$27, returnOfCapital,Reference!$C$27, IF(purchaseDate &lt; dateOfRecord, returnOfCapital,0))</f>
        <v>16.58</v>
      </c>
      <c r="Z83" s="309">
        <f t="shared" si="9"/>
        <v>-26.76</v>
      </c>
      <c r="AA83" s="309">
        <f t="shared" si="10"/>
        <v>0</v>
      </c>
      <c r="AB83" s="320">
        <f>LET(numVmwShares,D83, stockRatio,Reference!$B$5, vmwToAvgoRatio,Reference!$B$6, numVmwShares * stockRatio * vmwToAvgoRatio)</f>
        <v>0</v>
      </c>
      <c r="AC83" s="320">
        <f>LET(numVmwShares,D83, stockRatio,Q83, vmwToAvgoRatio,Reference!$B$6, numVmwShares * stockRatio * vmwToAvgoRatio)</f>
        <v>0</v>
      </c>
      <c r="AD83" s="320" t="str">
        <f>LET(numVmwShares,D83, stockRatio,R83, vmwToAvgoRatio,Reference!$B$6, numVmwShares * stockRatio * vmwToAvgoRatio)</f>
        <v>#DIV/0!</v>
      </c>
      <c r="AE83" s="320">
        <f>SWITCH(Reference!$E$4, "eTradeTransactionLog", AB83, "eTradeHoldingRatio",AB83, "eTradeLotQtyRatio",AC83,"manualLotRatio",AD83)</f>
        <v>0</v>
      </c>
      <c r="AF83" s="321">
        <f>LET(numVmwShares,D83, vmwBasis,Z83, avgoQty,AE83, avgoFMV,Reference!$B$18, cashReceived,W83, gain,cashReceived+(avgoQty*avgoFMV)-(numVmwShares*vmwBasis),
MAX(gain,0))</f>
        <v>0</v>
      </c>
      <c r="AG83" s="322">
        <f>LET(useForFraction,J83, fractionAmount,Summary!$C$41, esppFractionLots,ESPP!$N$5, rsuFractionLots,RSU!J$5, IF(useForFraction, fractionAmount / (esppFractionLots+rsuFractionLots), 0))</f>
        <v>0</v>
      </c>
      <c r="AH83" s="411">
        <f>LET(useForFraction,J83, fractionSaleFMV,Reference!$B$23, postMergerBasis,AT83, lotFractionAmount,AG83, IF(useForFraction, (fractionSaleFMV - postMergerBasis)*lotFractionAmount, 0))</f>
        <v>0</v>
      </c>
      <c r="AI83" s="412">
        <f t="shared" si="11"/>
        <v>0</v>
      </c>
      <c r="AJ83" s="413">
        <f>LET(
purchaseDate,C83,
mergerDate,Reference!$B$28,
lotFractionGain,AH83,
mergerGain,AI83,
IF(DATEDIF(purchaseDate,mergerDate,"Y")&gt;=1,
  0,
  lotFractionGain + mergerGain
))</f>
        <v>0</v>
      </c>
      <c r="AK83" s="413">
        <f>LET(
purchaseDate,C83,
mergerDate,Reference!$B$28,
lotFractionGain,AH83,
mergerGain,AI83,
IF(DATEDIF(purchaseDate,mergerDate,"Y")&gt;=1,
  lotFractionGain+mergerGain,
  0
))</f>
        <v>0</v>
      </c>
      <c r="AL83" s="414" t="str">
        <f>IF(DATEDIF(C83,Reference!$B$28,"Y")&gt;=1,"Part II Box E","Part I Box B")</f>
        <v>Part II Box E</v>
      </c>
      <c r="AM83" s="344" t="str">
        <f t="shared" si="12"/>
        <v/>
      </c>
      <c r="AN83" s="330">
        <f t="shared" si="13"/>
        <v>0</v>
      </c>
      <c r="AO83" s="330">
        <f>LET(
cashReceived,W83, 
avgoQty,AE83, 
proceedsStyle,Reference!$E$9, 
avgoFMV,Reference!$B$18, 
SWITCH(proceedsStyle, "combined", cashReceived +(avgoQty*avgoFMV), "cashOnly", cashReceived))</f>
        <v>0</v>
      </c>
      <c r="AP83" s="345">
        <f>LET(
proceedsStyle,Reference!$E$9,
proceeds,AO83,
gain,AS83,
numVmwShares,D83, 
vmwBasis, Z83, 
avgoQty,AE83, 
avgoFMV,Reference!$B$18, 
cashReceived,W83, 
avgoTotalValue, avgoFMV*avgoQty, 
vmwTotalBasis, vmwBasis*numVmwShares,
alternateGainAmount,AF83, 
SWITCH(proceedsStyle,
  "cashOnly",
    proceeds - gain,
  "combined",
    IF(cashReceived&lt;alternateGainAmount,
      avgoTotalValue,
      vmwTotalBasis
    )
  )
)</f>
        <v>0</v>
      </c>
      <c r="AQ83" s="345" t="str">
        <f t="shared" si="14"/>
        <v/>
      </c>
      <c r="AR83" s="345">
        <v>0.0</v>
      </c>
      <c r="AS83" s="331">
        <f>LET(
proceedsStyle,Reference!$E$9,
proceeds,AO83,
basis1099B,AP83,
adjustment,AR83,
mergerGain,AI83,
SWITCH(proceedsStyle,
  "cashOnly",
    mergerGain,
  "combined",
    MAX(proceeds - basis1099B + adjustment, 0)
))</f>
        <v>0</v>
      </c>
      <c r="AT83" s="415" t="str">
        <f t="shared" si="15"/>
        <v>n/a</v>
      </c>
      <c r="AU83" s="333">
        <f>LET(saleFMV,Reference!$B$10, postMergerBasis,AT83, avgoQty,AE83, lotFractionAmount,AG83, iferror((saleFMV - postMergerBasis) * (avgoQty - lotFractionAmount), 0))</f>
        <v>0</v>
      </c>
      <c r="AV83" s="333">
        <f>LET(
avgoQty,AE83, 
purchaseDate,C83,
postMergerSaleDate,Reference!$B$29,
saleFMV,Reference!$B$10,
postMergerBasis,AT83, 
IFERROR(IF(DATEDIF(purchaseDate,postMergerSaleDate,"Y")&gt;=1,
  0,
  avgoQty * (saleFMV - postMergerBasis)
),0))</f>
        <v>0</v>
      </c>
      <c r="AW83" s="336">
        <f>LET(
avgoQty,AE83, 
purchaseDate,C83,
postMergerSaleDate,Reference!$B$29,
saleFMV,Reference!$B$10,
postMergerBasis,AT83, 
IFERROR(IF(DATEDIF(purchaseDate,postMergerSaleDate,"Y")&gt;=1,
  avgoQty * (saleFMV - postMergerBasis),
  0
),0))</f>
        <v>0</v>
      </c>
      <c r="AX83" s="337"/>
    </row>
    <row r="84">
      <c r="A84" s="405"/>
      <c r="B84" s="406"/>
      <c r="C84" s="307"/>
      <c r="D84" s="338"/>
      <c r="E84" s="321" t="str">
        <f t="array" ref="E84">IF(C84&lt;&gt;"", IFERROR(VLOOKUP(C84, SORT(PriceReference!$A$1:$B1014), 2, TRUE), "price unavailable"), "")</f>
        <v/>
      </c>
      <c r="F84" s="416"/>
      <c r="G84" s="309">
        <f t="shared" si="6"/>
        <v>0</v>
      </c>
      <c r="H84" s="321">
        <f t="shared" si="7"/>
        <v>0</v>
      </c>
      <c r="I84" s="417"/>
      <c r="J84" s="348" t="b">
        <v>0</v>
      </c>
      <c r="K84" s="409"/>
      <c r="L84" s="315">
        <v>0.0</v>
      </c>
      <c r="M84" s="315">
        <v>0.0</v>
      </c>
      <c r="N84" s="315">
        <v>0.0</v>
      </c>
      <c r="O84" s="315">
        <v>0.0</v>
      </c>
      <c r="P84" s="315">
        <v>0.0</v>
      </c>
      <c r="Q84" s="317">
        <f t="shared" si="8"/>
        <v>0</v>
      </c>
      <c r="R84" s="317" t="str">
        <f>SWITCH(S84,"cash",Reference!E$5,"shares",Reference!$E$6,"balance",Reference!$E$7,"pro-rata",Reference!$B$5)</f>
        <v>#DIV/0!</v>
      </c>
      <c r="S84" s="318" t="s">
        <v>207</v>
      </c>
      <c r="T84" s="319">
        <f>LET(numVmwShares,D84, cashRatio,Reference!$B$4, vmwFinalPrice,Reference!$B$3, numVmwShares * cashRatio * vmwFinalPrice)</f>
        <v>0</v>
      </c>
      <c r="U84" s="319">
        <f>iferror(LET(numVmwShares,$D84, stockRatio,Q84, vmwFinalPrice,Reference!$B$3, (1 - stockRatio) * vmwFinalPrice * numVmwShares),0)</f>
        <v>0</v>
      </c>
      <c r="V84" s="319">
        <f>iferror(LET(numVmwShares,$D84, stockRatio,R84, vmwFinalPrice,Reference!$B$3, (1 - stockRatio) * vmwFinalPrice * numVmwShares),0)</f>
        <v>0</v>
      </c>
      <c r="W84" s="319">
        <f>SWITCH(Reference!$E$4,"eTradeTransactionLog", T84, "eTradeHoldingRatio",T84, "eTradeLotQtyRatio",U84,"manualLotRatio",V84)</f>
        <v>0</v>
      </c>
      <c r="X84" s="309">
        <f>LET(purchaseDate,C84, dateOfRecord,Reference!$B$26, returnOfCapital,Reference!$C$26, IF(purchaseDate &lt; dateOfRecord, returnOfCapital,0))</f>
        <v>10.18</v>
      </c>
      <c r="Y84" s="309">
        <f>LET(purchaseDate,C84, dateOfRecord,Reference!$B$27, returnOfCapital,Reference!$C$27, IF(purchaseDate &lt; dateOfRecord, returnOfCapital,0))</f>
        <v>16.58</v>
      </c>
      <c r="Z84" s="309">
        <f t="shared" si="9"/>
        <v>-26.76</v>
      </c>
      <c r="AA84" s="309">
        <f t="shared" si="10"/>
        <v>0</v>
      </c>
      <c r="AB84" s="320">
        <f>LET(numVmwShares,D84, stockRatio,Reference!$B$5, vmwToAvgoRatio,Reference!$B$6, numVmwShares * stockRatio * vmwToAvgoRatio)</f>
        <v>0</v>
      </c>
      <c r="AC84" s="320">
        <f>LET(numVmwShares,D84, stockRatio,Q84, vmwToAvgoRatio,Reference!$B$6, numVmwShares * stockRatio * vmwToAvgoRatio)</f>
        <v>0</v>
      </c>
      <c r="AD84" s="320" t="str">
        <f>LET(numVmwShares,D84, stockRatio,R84, vmwToAvgoRatio,Reference!$B$6, numVmwShares * stockRatio * vmwToAvgoRatio)</f>
        <v>#DIV/0!</v>
      </c>
      <c r="AE84" s="320">
        <f>SWITCH(Reference!$E$4, "eTradeTransactionLog", AB84, "eTradeHoldingRatio",AB84, "eTradeLotQtyRatio",AC84,"manualLotRatio",AD84)</f>
        <v>0</v>
      </c>
      <c r="AF84" s="321">
        <f>LET(numVmwShares,D84, vmwBasis,Z84, avgoQty,AE84, avgoFMV,Reference!$B$18, cashReceived,W84, gain,cashReceived+(avgoQty*avgoFMV)-(numVmwShares*vmwBasis),
MAX(gain,0))</f>
        <v>0</v>
      </c>
      <c r="AG84" s="322">
        <f>LET(useForFraction,J84, fractionAmount,Summary!$C$41, esppFractionLots,ESPP!$N$5, rsuFractionLots,RSU!J$5, IF(useForFraction, fractionAmount / (esppFractionLots+rsuFractionLots), 0))</f>
        <v>0</v>
      </c>
      <c r="AH84" s="411">
        <f>LET(useForFraction,J84, fractionSaleFMV,Reference!$B$23, postMergerBasis,AT84, lotFractionAmount,AG84, IF(useForFraction, (fractionSaleFMV - postMergerBasis)*lotFractionAmount, 0))</f>
        <v>0</v>
      </c>
      <c r="AI84" s="412">
        <f t="shared" si="11"/>
        <v>0</v>
      </c>
      <c r="AJ84" s="413">
        <f>LET(
purchaseDate,C84,
mergerDate,Reference!$B$28,
lotFractionGain,AH84,
mergerGain,AI84,
IF(DATEDIF(purchaseDate,mergerDate,"Y")&gt;=1,
  0,
  lotFractionGain + mergerGain
))</f>
        <v>0</v>
      </c>
      <c r="AK84" s="413">
        <f>LET(
purchaseDate,C84,
mergerDate,Reference!$B$28,
lotFractionGain,AH84,
mergerGain,AI84,
IF(DATEDIF(purchaseDate,mergerDate,"Y")&gt;=1,
  lotFractionGain+mergerGain,
  0
))</f>
        <v>0</v>
      </c>
      <c r="AL84" s="414" t="str">
        <f>IF(DATEDIF(C84,Reference!$B$28,"Y")&gt;=1,"Part II Box E","Part I Box B")</f>
        <v>Part II Box E</v>
      </c>
      <c r="AM84" s="344" t="str">
        <f t="shared" si="12"/>
        <v/>
      </c>
      <c r="AN84" s="330">
        <f t="shared" si="13"/>
        <v>0</v>
      </c>
      <c r="AO84" s="330">
        <f>LET(
cashReceived,W84, 
avgoQty,AE84, 
proceedsStyle,Reference!$E$9, 
avgoFMV,Reference!$B$18, 
SWITCH(proceedsStyle, "combined", cashReceived +(avgoQty*avgoFMV), "cashOnly", cashReceived))</f>
        <v>0</v>
      </c>
      <c r="AP84" s="345">
        <f>LET(
proceedsStyle,Reference!$E$9,
proceeds,AO84,
gain,AS84,
numVmwShares,D84, 
vmwBasis, Z84, 
avgoQty,AE84, 
avgoFMV,Reference!$B$18, 
cashReceived,W84, 
avgoTotalValue, avgoFMV*avgoQty, 
vmwTotalBasis, vmwBasis*numVmwShares,
alternateGainAmount,AF84, 
SWITCH(proceedsStyle,
  "cashOnly",
    proceeds - gain,
  "combined",
    IF(cashReceived&lt;alternateGainAmount,
      avgoTotalValue,
      vmwTotalBasis
    )
  )
)</f>
        <v>0</v>
      </c>
      <c r="AQ84" s="345" t="str">
        <f t="shared" si="14"/>
        <v/>
      </c>
      <c r="AR84" s="345">
        <v>0.0</v>
      </c>
      <c r="AS84" s="331">
        <f>LET(
proceedsStyle,Reference!$E$9,
proceeds,AO84,
basis1099B,AP84,
adjustment,AR84,
mergerGain,AI84,
SWITCH(proceedsStyle,
  "cashOnly",
    mergerGain,
  "combined",
    MAX(proceeds - basis1099B + adjustment, 0)
))</f>
        <v>0</v>
      </c>
      <c r="AT84" s="415" t="str">
        <f t="shared" si="15"/>
        <v>n/a</v>
      </c>
      <c r="AU84" s="333">
        <f>LET(saleFMV,Reference!$B$10, postMergerBasis,AT84, avgoQty,AE84, lotFractionAmount,AG84, iferror((saleFMV - postMergerBasis) * (avgoQty - lotFractionAmount), 0))</f>
        <v>0</v>
      </c>
      <c r="AV84" s="333">
        <f>LET(
avgoQty,AE84, 
purchaseDate,C84,
postMergerSaleDate,Reference!$B$29,
saleFMV,Reference!$B$10,
postMergerBasis,AT84, 
IFERROR(IF(DATEDIF(purchaseDate,postMergerSaleDate,"Y")&gt;=1,
  0,
  avgoQty * (saleFMV - postMergerBasis)
),0))</f>
        <v>0</v>
      </c>
      <c r="AW84" s="336">
        <f>LET(
avgoQty,AE84, 
purchaseDate,C84,
postMergerSaleDate,Reference!$B$29,
saleFMV,Reference!$B$10,
postMergerBasis,AT84, 
IFERROR(IF(DATEDIF(purchaseDate,postMergerSaleDate,"Y")&gt;=1,
  avgoQty * (saleFMV - postMergerBasis),
  0
),0))</f>
        <v>0</v>
      </c>
      <c r="AX84" s="337"/>
    </row>
    <row r="85">
      <c r="A85" s="421"/>
      <c r="B85" s="406"/>
      <c r="C85" s="351"/>
      <c r="D85" s="352"/>
      <c r="E85" s="321" t="str">
        <f t="array" ref="E85">IF(C85&lt;&gt;"", IFERROR(VLOOKUP(C85, SORT(PriceReference!$A$1:$B1014), 2, TRUE), "price unavailable"), "")</f>
        <v/>
      </c>
      <c r="F85" s="416"/>
      <c r="G85" s="309">
        <f t="shared" si="6"/>
        <v>0</v>
      </c>
      <c r="H85" s="321">
        <f t="shared" si="7"/>
        <v>0</v>
      </c>
      <c r="I85" s="417"/>
      <c r="J85" s="348" t="b">
        <v>0</v>
      </c>
      <c r="K85" s="409"/>
      <c r="L85" s="315">
        <v>0.0</v>
      </c>
      <c r="M85" s="315">
        <v>0.0</v>
      </c>
      <c r="N85" s="315">
        <v>0.0</v>
      </c>
      <c r="O85" s="315">
        <v>0.0</v>
      </c>
      <c r="P85" s="315">
        <v>0.0</v>
      </c>
      <c r="Q85" s="317">
        <f t="shared" si="8"/>
        <v>0</v>
      </c>
      <c r="R85" s="317" t="str">
        <f>SWITCH(S85,"cash",Reference!E$5,"shares",Reference!$E$6,"balance",Reference!$E$7,"pro-rata",Reference!$B$5)</f>
        <v>#DIV/0!</v>
      </c>
      <c r="S85" s="318" t="s">
        <v>207</v>
      </c>
      <c r="T85" s="319">
        <f>LET(numVmwShares,D85, cashRatio,Reference!$B$4, vmwFinalPrice,Reference!$B$3, numVmwShares * cashRatio * vmwFinalPrice)</f>
        <v>0</v>
      </c>
      <c r="U85" s="319">
        <f>iferror(LET(numVmwShares,$D85, stockRatio,Q85, vmwFinalPrice,Reference!$B$3, (1 - stockRatio) * vmwFinalPrice * numVmwShares),0)</f>
        <v>0</v>
      </c>
      <c r="V85" s="319">
        <f>iferror(LET(numVmwShares,$D85, stockRatio,R85, vmwFinalPrice,Reference!$B$3, (1 - stockRatio) * vmwFinalPrice * numVmwShares),0)</f>
        <v>0</v>
      </c>
      <c r="W85" s="319">
        <f>SWITCH(Reference!$E$4,"eTradeTransactionLog", T85, "eTradeHoldingRatio",T85, "eTradeLotQtyRatio",U85,"manualLotRatio",V85)</f>
        <v>0</v>
      </c>
      <c r="X85" s="309">
        <f>LET(purchaseDate,C85, dateOfRecord,Reference!$B$26, returnOfCapital,Reference!$C$26, IF(purchaseDate &lt; dateOfRecord, returnOfCapital,0))</f>
        <v>10.18</v>
      </c>
      <c r="Y85" s="309">
        <f>LET(purchaseDate,C85, dateOfRecord,Reference!$B$27, returnOfCapital,Reference!$C$27, IF(purchaseDate &lt; dateOfRecord, returnOfCapital,0))</f>
        <v>16.58</v>
      </c>
      <c r="Z85" s="309">
        <f t="shared" si="9"/>
        <v>-26.76</v>
      </c>
      <c r="AA85" s="309">
        <f t="shared" si="10"/>
        <v>0</v>
      </c>
      <c r="AB85" s="320">
        <f>LET(numVmwShares,D85, stockRatio,Reference!$B$5, vmwToAvgoRatio,Reference!$B$6, numVmwShares * stockRatio * vmwToAvgoRatio)</f>
        <v>0</v>
      </c>
      <c r="AC85" s="320">
        <f>LET(numVmwShares,D85, stockRatio,Q85, vmwToAvgoRatio,Reference!$B$6, numVmwShares * stockRatio * vmwToAvgoRatio)</f>
        <v>0</v>
      </c>
      <c r="AD85" s="320" t="str">
        <f>LET(numVmwShares,D85, stockRatio,R85, vmwToAvgoRatio,Reference!$B$6, numVmwShares * stockRatio * vmwToAvgoRatio)</f>
        <v>#DIV/0!</v>
      </c>
      <c r="AE85" s="320">
        <f>SWITCH(Reference!$E$4, "eTradeTransactionLog", AB85, "eTradeHoldingRatio",AB85, "eTradeLotQtyRatio",AC85,"manualLotRatio",AD85)</f>
        <v>0</v>
      </c>
      <c r="AF85" s="321">
        <f>LET(numVmwShares,D85, vmwBasis,Z85, avgoQty,AE85, avgoFMV,Reference!$B$18, cashReceived,W85, gain,cashReceived+(avgoQty*avgoFMV)-(numVmwShares*vmwBasis),
MAX(gain,0))</f>
        <v>0</v>
      </c>
      <c r="AG85" s="322">
        <f>LET(useForFraction,J85, fractionAmount,Summary!$C$41, esppFractionLots,ESPP!$N$5, rsuFractionLots,RSU!J$5, IF(useForFraction, fractionAmount / (esppFractionLots+rsuFractionLots), 0))</f>
        <v>0</v>
      </c>
      <c r="AH85" s="411">
        <f>LET(useForFraction,J85, fractionSaleFMV,Reference!$B$23, postMergerBasis,AT85, lotFractionAmount,AG85, IF(useForFraction, (fractionSaleFMV - postMergerBasis)*lotFractionAmount, 0))</f>
        <v>0</v>
      </c>
      <c r="AI85" s="412">
        <f t="shared" si="11"/>
        <v>0</v>
      </c>
      <c r="AJ85" s="413">
        <f>LET(
purchaseDate,C85,
mergerDate,Reference!$B$28,
lotFractionGain,AH85,
mergerGain,AI85,
IF(DATEDIF(purchaseDate,mergerDate,"Y")&gt;=1,
  0,
  lotFractionGain + mergerGain
))</f>
        <v>0</v>
      </c>
      <c r="AK85" s="413">
        <f>LET(
purchaseDate,C85,
mergerDate,Reference!$B$28,
lotFractionGain,AH85,
mergerGain,AI85,
IF(DATEDIF(purchaseDate,mergerDate,"Y")&gt;=1,
  lotFractionGain+mergerGain,
  0
))</f>
        <v>0</v>
      </c>
      <c r="AL85" s="414" t="str">
        <f>IF(DATEDIF(C85,Reference!$B$28,"Y")&gt;=1,"Part II Box E","Part I Box B")</f>
        <v>Part II Box E</v>
      </c>
      <c r="AM85" s="344" t="str">
        <f t="shared" si="12"/>
        <v/>
      </c>
      <c r="AN85" s="330">
        <f t="shared" si="13"/>
        <v>0</v>
      </c>
      <c r="AO85" s="330">
        <f>LET(
cashReceived,W85, 
avgoQty,AE85, 
proceedsStyle,Reference!$E$9, 
avgoFMV,Reference!$B$18, 
SWITCH(proceedsStyle, "combined", cashReceived +(avgoQty*avgoFMV), "cashOnly", cashReceived))</f>
        <v>0</v>
      </c>
      <c r="AP85" s="345">
        <f>LET(
proceedsStyle,Reference!$E$9,
proceeds,AO85,
gain,AS85,
numVmwShares,D85, 
vmwBasis, Z85, 
avgoQty,AE85, 
avgoFMV,Reference!$B$18, 
cashReceived,W85, 
avgoTotalValue, avgoFMV*avgoQty, 
vmwTotalBasis, vmwBasis*numVmwShares,
alternateGainAmount,AF85, 
SWITCH(proceedsStyle,
  "cashOnly",
    proceeds - gain,
  "combined",
    IF(cashReceived&lt;alternateGainAmount,
      avgoTotalValue,
      vmwTotalBasis
    )
  )
)</f>
        <v>0</v>
      </c>
      <c r="AQ85" s="345" t="str">
        <f t="shared" si="14"/>
        <v/>
      </c>
      <c r="AR85" s="345">
        <v>0.0</v>
      </c>
      <c r="AS85" s="331">
        <f>LET(
proceedsStyle,Reference!$E$9,
proceeds,AO85,
basis1099B,AP85,
adjustment,AR85,
mergerGain,AI85,
SWITCH(proceedsStyle,
  "cashOnly",
    mergerGain,
  "combined",
    MAX(proceeds - basis1099B + adjustment, 0)
))</f>
        <v>0</v>
      </c>
      <c r="AT85" s="415" t="str">
        <f t="shared" si="15"/>
        <v>n/a</v>
      </c>
      <c r="AU85" s="333">
        <f>LET(saleFMV,Reference!$B$10, postMergerBasis,AT85, avgoQty,AE85, lotFractionAmount,AG85, iferror((saleFMV - postMergerBasis) * (avgoQty - lotFractionAmount), 0))</f>
        <v>0</v>
      </c>
      <c r="AV85" s="333">
        <f>LET(
avgoQty,AE85, 
purchaseDate,C85,
postMergerSaleDate,Reference!$B$29,
saleFMV,Reference!$B$10,
postMergerBasis,AT85, 
IFERROR(IF(DATEDIF(purchaseDate,postMergerSaleDate,"Y")&gt;=1,
  0,
  avgoQty * (saleFMV - postMergerBasis)
),0))</f>
        <v>0</v>
      </c>
      <c r="AW85" s="336">
        <f>LET(
avgoQty,AE85, 
purchaseDate,C85,
postMergerSaleDate,Reference!$B$29,
saleFMV,Reference!$B$10,
postMergerBasis,AT85, 
IFERROR(IF(DATEDIF(purchaseDate,postMergerSaleDate,"Y")&gt;=1,
  avgoQty * (saleFMV - postMergerBasis),
  0
),0))</f>
        <v>0</v>
      </c>
      <c r="AX85" s="337"/>
    </row>
    <row r="86">
      <c r="A86" s="422"/>
      <c r="B86" s="423"/>
      <c r="C86" s="351"/>
      <c r="D86" s="352"/>
      <c r="E86" s="321" t="str">
        <f t="array" ref="E86">IF(C86&lt;&gt;"", IFERROR(VLOOKUP(C86, SORT(PriceReference!$A$1:$B1014), 2, TRUE), "price unavailable"), "")</f>
        <v/>
      </c>
      <c r="F86" s="416"/>
      <c r="G86" s="309">
        <f t="shared" si="6"/>
        <v>0</v>
      </c>
      <c r="H86" s="321">
        <f t="shared" si="7"/>
        <v>0</v>
      </c>
      <c r="I86" s="417"/>
      <c r="J86" s="348" t="b">
        <v>0</v>
      </c>
      <c r="K86" s="409"/>
      <c r="L86" s="315">
        <v>0.0</v>
      </c>
      <c r="M86" s="315">
        <v>0.0</v>
      </c>
      <c r="N86" s="315">
        <v>0.0</v>
      </c>
      <c r="O86" s="315">
        <v>0.0</v>
      </c>
      <c r="P86" s="315">
        <v>0.0</v>
      </c>
      <c r="Q86" s="317">
        <f t="shared" si="8"/>
        <v>0</v>
      </c>
      <c r="R86" s="317" t="str">
        <f>SWITCH(S86,"cash",Reference!E$5,"shares",Reference!$E$6,"balance",Reference!$E$7,"pro-rata",Reference!$B$5)</f>
        <v>#DIV/0!</v>
      </c>
      <c r="S86" s="318" t="s">
        <v>207</v>
      </c>
      <c r="T86" s="319">
        <f>LET(numVmwShares,D86, cashRatio,Reference!$B$4, vmwFinalPrice,Reference!$B$3, numVmwShares * cashRatio * vmwFinalPrice)</f>
        <v>0</v>
      </c>
      <c r="U86" s="319">
        <f>iferror(LET(numVmwShares,$D86, stockRatio,Q86, vmwFinalPrice,Reference!$B$3, (1 - stockRatio) * vmwFinalPrice * numVmwShares),0)</f>
        <v>0</v>
      </c>
      <c r="V86" s="319">
        <f>iferror(LET(numVmwShares,$D86, stockRatio,R86, vmwFinalPrice,Reference!$B$3, (1 - stockRatio) * vmwFinalPrice * numVmwShares),0)</f>
        <v>0</v>
      </c>
      <c r="W86" s="319">
        <f>SWITCH(Reference!$E$4,"eTradeTransactionLog", T86, "eTradeHoldingRatio",T86, "eTradeLotQtyRatio",U86,"manualLotRatio",V86)</f>
        <v>0</v>
      </c>
      <c r="X86" s="309">
        <f>LET(purchaseDate,C86, dateOfRecord,Reference!$B$26, returnOfCapital,Reference!$C$26, IF(purchaseDate &lt; dateOfRecord, returnOfCapital,0))</f>
        <v>10.18</v>
      </c>
      <c r="Y86" s="309">
        <f>LET(purchaseDate,C86, dateOfRecord,Reference!$B$27, returnOfCapital,Reference!$C$27, IF(purchaseDate &lt; dateOfRecord, returnOfCapital,0))</f>
        <v>16.58</v>
      </c>
      <c r="Z86" s="309">
        <f t="shared" si="9"/>
        <v>-26.76</v>
      </c>
      <c r="AA86" s="309">
        <f t="shared" si="10"/>
        <v>0</v>
      </c>
      <c r="AB86" s="320">
        <f>LET(numVmwShares,D86, stockRatio,Reference!$B$5, vmwToAvgoRatio,Reference!$B$6, numVmwShares * stockRatio * vmwToAvgoRatio)</f>
        <v>0</v>
      </c>
      <c r="AC86" s="320">
        <f>LET(numVmwShares,D86, stockRatio,Q86, vmwToAvgoRatio,Reference!$B$6, numVmwShares * stockRatio * vmwToAvgoRatio)</f>
        <v>0</v>
      </c>
      <c r="AD86" s="320" t="str">
        <f>LET(numVmwShares,D86, stockRatio,R86, vmwToAvgoRatio,Reference!$B$6, numVmwShares * stockRatio * vmwToAvgoRatio)</f>
        <v>#DIV/0!</v>
      </c>
      <c r="AE86" s="320">
        <f>SWITCH(Reference!$E$4, "eTradeTransactionLog", AB86, "eTradeHoldingRatio",AB86, "eTradeLotQtyRatio",AC86,"manualLotRatio",AD86)</f>
        <v>0</v>
      </c>
      <c r="AF86" s="321">
        <f>LET(numVmwShares,D86, vmwBasis,Z86, avgoQty,AE86, avgoFMV,Reference!$B$18, cashReceived,W86, gain,cashReceived+(avgoQty*avgoFMV)-(numVmwShares*vmwBasis),
MAX(gain,0))</f>
        <v>0</v>
      </c>
      <c r="AG86" s="322">
        <f>LET(useForFraction,J86, fractionAmount,Summary!$C$41, esppFractionLots,ESPP!$N$5, rsuFractionLots,RSU!J$5, IF(useForFraction, fractionAmount / (esppFractionLots+rsuFractionLots), 0))</f>
        <v>0</v>
      </c>
      <c r="AH86" s="411">
        <f>LET(useForFraction,J86, fractionSaleFMV,Reference!$B$23, postMergerBasis,AT86, lotFractionAmount,AG86, IF(useForFraction, (fractionSaleFMV - postMergerBasis)*lotFractionAmount, 0))</f>
        <v>0</v>
      </c>
      <c r="AI86" s="412">
        <f t="shared" si="11"/>
        <v>0</v>
      </c>
      <c r="AJ86" s="413">
        <f>LET(
purchaseDate,C86,
mergerDate,Reference!$B$28,
lotFractionGain,AH86,
mergerGain,AI86,
IF(DATEDIF(purchaseDate,mergerDate,"Y")&gt;=1,
  0,
  lotFractionGain + mergerGain
))</f>
        <v>0</v>
      </c>
      <c r="AK86" s="413">
        <f>LET(
purchaseDate,C86,
mergerDate,Reference!$B$28,
lotFractionGain,AH86,
mergerGain,AI86,
IF(DATEDIF(purchaseDate,mergerDate,"Y")&gt;=1,
  lotFractionGain+mergerGain,
  0
))</f>
        <v>0</v>
      </c>
      <c r="AL86" s="414" t="str">
        <f>IF(DATEDIF(C86,Reference!$B$28,"Y")&gt;=1,"Part II Box E","Part I Box B")</f>
        <v>Part II Box E</v>
      </c>
      <c r="AM86" s="344" t="str">
        <f t="shared" si="12"/>
        <v/>
      </c>
      <c r="AN86" s="330">
        <f t="shared" si="13"/>
        <v>0</v>
      </c>
      <c r="AO86" s="330">
        <f>LET(
cashReceived,W86, 
avgoQty,AE86, 
proceedsStyle,Reference!$E$9, 
avgoFMV,Reference!$B$18, 
SWITCH(proceedsStyle, "combined", cashReceived +(avgoQty*avgoFMV), "cashOnly", cashReceived))</f>
        <v>0</v>
      </c>
      <c r="AP86" s="345">
        <f>LET(
proceedsStyle,Reference!$E$9,
proceeds,AO86,
gain,AS86,
numVmwShares,D86, 
vmwBasis, Z86, 
avgoQty,AE86, 
avgoFMV,Reference!$B$18, 
cashReceived,W86, 
avgoTotalValue, avgoFMV*avgoQty, 
vmwTotalBasis, vmwBasis*numVmwShares,
alternateGainAmount,AF86, 
SWITCH(proceedsStyle,
  "cashOnly",
    proceeds - gain,
  "combined",
    IF(cashReceived&lt;alternateGainAmount,
      avgoTotalValue,
      vmwTotalBasis
    )
  )
)</f>
        <v>0</v>
      </c>
      <c r="AQ86" s="345" t="str">
        <f t="shared" si="14"/>
        <v/>
      </c>
      <c r="AR86" s="345">
        <v>0.0</v>
      </c>
      <c r="AS86" s="331">
        <f>LET(
proceedsStyle,Reference!$E$9,
proceeds,AO86,
basis1099B,AP86,
adjustment,AR86,
mergerGain,AI86,
SWITCH(proceedsStyle,
  "cashOnly",
    mergerGain,
  "combined",
    MAX(proceeds - basis1099B + adjustment, 0)
))</f>
        <v>0</v>
      </c>
      <c r="AT86" s="415" t="str">
        <f t="shared" si="15"/>
        <v>n/a</v>
      </c>
      <c r="AU86" s="333">
        <f>LET(saleFMV,Reference!$B$10, postMergerBasis,AT86, avgoQty,AE86, lotFractionAmount,AG86, iferror((saleFMV - postMergerBasis) * (avgoQty - lotFractionAmount), 0))</f>
        <v>0</v>
      </c>
      <c r="AV86" s="333">
        <f>LET(
avgoQty,AE86, 
purchaseDate,C86,
postMergerSaleDate,Reference!$B$29,
saleFMV,Reference!$B$10,
postMergerBasis,AT86, 
IFERROR(IF(DATEDIF(purchaseDate,postMergerSaleDate,"Y")&gt;=1,
  0,
  avgoQty * (saleFMV - postMergerBasis)
),0))</f>
        <v>0</v>
      </c>
      <c r="AW86" s="336">
        <f>LET(
avgoQty,AE86, 
purchaseDate,C86,
postMergerSaleDate,Reference!$B$29,
saleFMV,Reference!$B$10,
postMergerBasis,AT86, 
IFERROR(IF(DATEDIF(purchaseDate,postMergerSaleDate,"Y")&gt;=1,
  avgoQty * (saleFMV - postMergerBasis),
  0
),0))</f>
        <v>0</v>
      </c>
    </row>
    <row r="87">
      <c r="A87" s="422"/>
      <c r="B87" s="423"/>
      <c r="C87" s="351"/>
      <c r="D87" s="352"/>
      <c r="E87" s="321" t="str">
        <f t="array" ref="E87">IF(C87&lt;&gt;"", IFERROR(VLOOKUP(C87, SORT(PriceReference!$A$1:$B1014), 2, TRUE), "price unavailable"), "")</f>
        <v/>
      </c>
      <c r="F87" s="416"/>
      <c r="G87" s="309">
        <f t="shared" si="6"/>
        <v>0</v>
      </c>
      <c r="H87" s="321">
        <f t="shared" si="7"/>
        <v>0</v>
      </c>
      <c r="I87" s="417"/>
      <c r="J87" s="348" t="b">
        <v>0</v>
      </c>
      <c r="K87" s="409"/>
      <c r="L87" s="315">
        <v>0.0</v>
      </c>
      <c r="M87" s="315">
        <v>0.0</v>
      </c>
      <c r="N87" s="315">
        <v>0.0</v>
      </c>
      <c r="O87" s="315">
        <v>0.0</v>
      </c>
      <c r="P87" s="315">
        <v>0.0</v>
      </c>
      <c r="Q87" s="317">
        <f t="shared" si="8"/>
        <v>0</v>
      </c>
      <c r="R87" s="317" t="str">
        <f>SWITCH(S87,"cash",Reference!E$5,"shares",Reference!$E$6,"balance",Reference!$E$7,"pro-rata",Reference!$B$5)</f>
        <v>#DIV/0!</v>
      </c>
      <c r="S87" s="318" t="s">
        <v>207</v>
      </c>
      <c r="T87" s="319">
        <f>LET(numVmwShares,D87, cashRatio,Reference!$B$4, vmwFinalPrice,Reference!$B$3, numVmwShares * cashRatio * vmwFinalPrice)</f>
        <v>0</v>
      </c>
      <c r="U87" s="319">
        <f>iferror(LET(numVmwShares,$D87, stockRatio,Q87, vmwFinalPrice,Reference!$B$3, (1 - stockRatio) * vmwFinalPrice * numVmwShares),0)</f>
        <v>0</v>
      </c>
      <c r="V87" s="319">
        <f>iferror(LET(numVmwShares,$D87, stockRatio,R87, vmwFinalPrice,Reference!$B$3, (1 - stockRatio) * vmwFinalPrice * numVmwShares),0)</f>
        <v>0</v>
      </c>
      <c r="W87" s="319">
        <f>SWITCH(Reference!$E$4,"eTradeTransactionLog", T87, "eTradeHoldingRatio",T87, "eTradeLotQtyRatio",U87,"manualLotRatio",V87)</f>
        <v>0</v>
      </c>
      <c r="X87" s="309">
        <f>LET(purchaseDate,C87, dateOfRecord,Reference!$B$26, returnOfCapital,Reference!$C$26, IF(purchaseDate &lt; dateOfRecord, returnOfCapital,0))</f>
        <v>10.18</v>
      </c>
      <c r="Y87" s="309">
        <f>LET(purchaseDate,C87, dateOfRecord,Reference!$B$27, returnOfCapital,Reference!$C$27, IF(purchaseDate &lt; dateOfRecord, returnOfCapital,0))</f>
        <v>16.58</v>
      </c>
      <c r="Z87" s="309">
        <f t="shared" si="9"/>
        <v>-26.76</v>
      </c>
      <c r="AA87" s="309">
        <f t="shared" si="10"/>
        <v>0</v>
      </c>
      <c r="AB87" s="320">
        <f>LET(numVmwShares,D87, stockRatio,Reference!$B$5, vmwToAvgoRatio,Reference!$B$6, numVmwShares * stockRatio * vmwToAvgoRatio)</f>
        <v>0</v>
      </c>
      <c r="AC87" s="320">
        <f>LET(numVmwShares,D87, stockRatio,Q87, vmwToAvgoRatio,Reference!$B$6, numVmwShares * stockRatio * vmwToAvgoRatio)</f>
        <v>0</v>
      </c>
      <c r="AD87" s="320" t="str">
        <f>LET(numVmwShares,D87, stockRatio,R87, vmwToAvgoRatio,Reference!$B$6, numVmwShares * stockRatio * vmwToAvgoRatio)</f>
        <v>#DIV/0!</v>
      </c>
      <c r="AE87" s="320">
        <f>SWITCH(Reference!$E$4, "eTradeTransactionLog", AB87, "eTradeHoldingRatio",AB87, "eTradeLotQtyRatio",AC87,"manualLotRatio",AD87)</f>
        <v>0</v>
      </c>
      <c r="AF87" s="321">
        <f>LET(numVmwShares,D87, vmwBasis,Z87, avgoQty,AE87, avgoFMV,Reference!$B$18, cashReceived,W87, gain,cashReceived+(avgoQty*avgoFMV)-(numVmwShares*vmwBasis),
MAX(gain,0))</f>
        <v>0</v>
      </c>
      <c r="AG87" s="322">
        <f>LET(useForFraction,J87, fractionAmount,Summary!$C$41, esppFractionLots,ESPP!$N$5, rsuFractionLots,RSU!J$5, IF(useForFraction, fractionAmount / (esppFractionLots+rsuFractionLots), 0))</f>
        <v>0</v>
      </c>
      <c r="AH87" s="411">
        <f>LET(useForFraction,J87, fractionSaleFMV,Reference!$B$23, postMergerBasis,AT87, lotFractionAmount,AG87, IF(useForFraction, (fractionSaleFMV - postMergerBasis)*lotFractionAmount, 0))</f>
        <v>0</v>
      </c>
      <c r="AI87" s="412">
        <f t="shared" si="11"/>
        <v>0</v>
      </c>
      <c r="AJ87" s="413">
        <f>LET(
purchaseDate,C87,
mergerDate,Reference!$B$28,
lotFractionGain,AH87,
mergerGain,AI87,
IF(DATEDIF(purchaseDate,mergerDate,"Y")&gt;=1,
  0,
  lotFractionGain + mergerGain
))</f>
        <v>0</v>
      </c>
      <c r="AK87" s="413">
        <f>LET(
purchaseDate,C87,
mergerDate,Reference!$B$28,
lotFractionGain,AH87,
mergerGain,AI87,
IF(DATEDIF(purchaseDate,mergerDate,"Y")&gt;=1,
  lotFractionGain+mergerGain,
  0
))</f>
        <v>0</v>
      </c>
      <c r="AL87" s="414" t="str">
        <f>IF(DATEDIF(C87,Reference!$B$28,"Y")&gt;=1,"Part II Box E","Part I Box B")</f>
        <v>Part II Box E</v>
      </c>
      <c r="AM87" s="344" t="str">
        <f t="shared" si="12"/>
        <v/>
      </c>
      <c r="AN87" s="330">
        <f t="shared" si="13"/>
        <v>0</v>
      </c>
      <c r="AO87" s="330">
        <f>LET(
cashReceived,W87, 
avgoQty,AE87, 
proceedsStyle,Reference!$E$9, 
avgoFMV,Reference!$B$18, 
SWITCH(proceedsStyle, "combined", cashReceived +(avgoQty*avgoFMV), "cashOnly", cashReceived))</f>
        <v>0</v>
      </c>
      <c r="AP87" s="345">
        <f>LET(
proceedsStyle,Reference!$E$9,
proceeds,AO87,
gain,AS87,
numVmwShares,D87, 
vmwBasis, Z87, 
avgoQty,AE87, 
avgoFMV,Reference!$B$18, 
cashReceived,W87, 
avgoTotalValue, avgoFMV*avgoQty, 
vmwTotalBasis, vmwBasis*numVmwShares,
alternateGainAmount,AF87, 
SWITCH(proceedsStyle,
  "cashOnly",
    proceeds - gain,
  "combined",
    IF(cashReceived&lt;alternateGainAmount,
      avgoTotalValue,
      vmwTotalBasis
    )
  )
)</f>
        <v>0</v>
      </c>
      <c r="AQ87" s="345" t="str">
        <f t="shared" si="14"/>
        <v/>
      </c>
      <c r="AR87" s="345">
        <v>0.0</v>
      </c>
      <c r="AS87" s="331">
        <f>LET(
proceedsStyle,Reference!$E$9,
proceeds,AO87,
basis1099B,AP87,
adjustment,AR87,
mergerGain,AI87,
SWITCH(proceedsStyle,
  "cashOnly",
    mergerGain,
  "combined",
    MAX(proceeds - basis1099B + adjustment, 0)
))</f>
        <v>0</v>
      </c>
      <c r="AT87" s="415" t="str">
        <f t="shared" si="15"/>
        <v>n/a</v>
      </c>
      <c r="AU87" s="333">
        <f>LET(saleFMV,Reference!$B$10, postMergerBasis,AT87, avgoQty,AE87, lotFractionAmount,AG87, iferror((saleFMV - postMergerBasis) * (avgoQty - lotFractionAmount), 0))</f>
        <v>0</v>
      </c>
      <c r="AV87" s="333">
        <f>LET(
avgoQty,AE87, 
purchaseDate,C87,
postMergerSaleDate,Reference!$B$29,
saleFMV,Reference!$B$10,
postMergerBasis,AT87, 
IFERROR(IF(DATEDIF(purchaseDate,postMergerSaleDate,"Y")&gt;=1,
  0,
  avgoQty * (saleFMV - postMergerBasis)
),0))</f>
        <v>0</v>
      </c>
      <c r="AW87" s="336">
        <f>LET(
avgoQty,AE87, 
purchaseDate,C87,
postMergerSaleDate,Reference!$B$29,
saleFMV,Reference!$B$10,
postMergerBasis,AT87, 
IFERROR(IF(DATEDIF(purchaseDate,postMergerSaleDate,"Y")&gt;=1,
  avgoQty * (saleFMV - postMergerBasis),
  0
),0))</f>
        <v>0</v>
      </c>
    </row>
    <row r="88">
      <c r="A88" s="422"/>
      <c r="B88" s="423"/>
      <c r="C88" s="351"/>
      <c r="D88" s="352"/>
      <c r="E88" s="321" t="str">
        <f t="array" ref="E88">IF(C88&lt;&gt;"", IFERROR(VLOOKUP(C88, SORT(PriceReference!$A$1:$B1014), 2, TRUE), "price unavailable"), "")</f>
        <v/>
      </c>
      <c r="F88" s="416"/>
      <c r="G88" s="309">
        <f t="shared" si="6"/>
        <v>0</v>
      </c>
      <c r="H88" s="321">
        <f t="shared" si="7"/>
        <v>0</v>
      </c>
      <c r="I88" s="417"/>
      <c r="J88" s="348" t="b">
        <v>0</v>
      </c>
      <c r="K88" s="409"/>
      <c r="L88" s="315">
        <v>0.0</v>
      </c>
      <c r="M88" s="315">
        <v>0.0</v>
      </c>
      <c r="N88" s="315">
        <v>0.0</v>
      </c>
      <c r="O88" s="315">
        <v>0.0</v>
      </c>
      <c r="P88" s="315">
        <v>0.0</v>
      </c>
      <c r="Q88" s="317">
        <f t="shared" si="8"/>
        <v>0</v>
      </c>
      <c r="R88" s="317" t="str">
        <f>SWITCH(S88,"cash",Reference!E$5,"shares",Reference!$E$6,"balance",Reference!$E$7,"pro-rata",Reference!$B$5)</f>
        <v>#DIV/0!</v>
      </c>
      <c r="S88" s="318" t="s">
        <v>207</v>
      </c>
      <c r="T88" s="319">
        <f>LET(numVmwShares,D88, cashRatio,Reference!$B$4, vmwFinalPrice,Reference!$B$3, numVmwShares * cashRatio * vmwFinalPrice)</f>
        <v>0</v>
      </c>
      <c r="U88" s="319">
        <f>iferror(LET(numVmwShares,$D88, stockRatio,Q88, vmwFinalPrice,Reference!$B$3, (1 - stockRatio) * vmwFinalPrice * numVmwShares),0)</f>
        <v>0</v>
      </c>
      <c r="V88" s="319">
        <f>iferror(LET(numVmwShares,$D88, stockRatio,R88, vmwFinalPrice,Reference!$B$3, (1 - stockRatio) * vmwFinalPrice * numVmwShares),0)</f>
        <v>0</v>
      </c>
      <c r="W88" s="319">
        <f>SWITCH(Reference!$E$4,"eTradeTransactionLog", T88, "eTradeHoldingRatio",T88, "eTradeLotQtyRatio",U88,"manualLotRatio",V88)</f>
        <v>0</v>
      </c>
      <c r="X88" s="309">
        <f>LET(purchaseDate,C88, dateOfRecord,Reference!$B$26, returnOfCapital,Reference!$C$26, IF(purchaseDate &lt; dateOfRecord, returnOfCapital,0))</f>
        <v>10.18</v>
      </c>
      <c r="Y88" s="309">
        <f>LET(purchaseDate,C88, dateOfRecord,Reference!$B$27, returnOfCapital,Reference!$C$27, IF(purchaseDate &lt; dateOfRecord, returnOfCapital,0))</f>
        <v>16.58</v>
      </c>
      <c r="Z88" s="309">
        <f t="shared" si="9"/>
        <v>-26.76</v>
      </c>
      <c r="AA88" s="309">
        <f t="shared" si="10"/>
        <v>0</v>
      </c>
      <c r="AB88" s="320">
        <f>LET(numVmwShares,D88, stockRatio,Reference!$B$5, vmwToAvgoRatio,Reference!$B$6, numVmwShares * stockRatio * vmwToAvgoRatio)</f>
        <v>0</v>
      </c>
      <c r="AC88" s="320">
        <f>LET(numVmwShares,D88, stockRatio,Q88, vmwToAvgoRatio,Reference!$B$6, numVmwShares * stockRatio * vmwToAvgoRatio)</f>
        <v>0</v>
      </c>
      <c r="AD88" s="320" t="str">
        <f>LET(numVmwShares,D88, stockRatio,R88, vmwToAvgoRatio,Reference!$B$6, numVmwShares * stockRatio * vmwToAvgoRatio)</f>
        <v>#DIV/0!</v>
      </c>
      <c r="AE88" s="320">
        <f>SWITCH(Reference!$E$4, "eTradeTransactionLog", AB88, "eTradeHoldingRatio",AB88, "eTradeLotQtyRatio",AC88,"manualLotRatio",AD88)</f>
        <v>0</v>
      </c>
      <c r="AF88" s="321">
        <f>LET(numVmwShares,D88, vmwBasis,Z88, avgoQty,AE88, avgoFMV,Reference!$B$18, cashReceived,W88, gain,cashReceived+(avgoQty*avgoFMV)-(numVmwShares*vmwBasis),
MAX(gain,0))</f>
        <v>0</v>
      </c>
      <c r="AG88" s="322">
        <f>LET(useForFraction,J88, fractionAmount,Summary!$C$41, esppFractionLots,ESPP!$N$5, rsuFractionLots,RSU!J$5, IF(useForFraction, fractionAmount / (esppFractionLots+rsuFractionLots), 0))</f>
        <v>0</v>
      </c>
      <c r="AH88" s="411">
        <f>LET(useForFraction,J88, fractionSaleFMV,Reference!$B$23, postMergerBasis,AT88, lotFractionAmount,AG88, IF(useForFraction, (fractionSaleFMV - postMergerBasis)*lotFractionAmount, 0))</f>
        <v>0</v>
      </c>
      <c r="AI88" s="412">
        <f t="shared" si="11"/>
        <v>0</v>
      </c>
      <c r="AJ88" s="413">
        <f>LET(
purchaseDate,C88,
mergerDate,Reference!$B$28,
lotFractionGain,AH88,
mergerGain,AI88,
IF(DATEDIF(purchaseDate,mergerDate,"Y")&gt;=1,
  0,
  lotFractionGain + mergerGain
))</f>
        <v>0</v>
      </c>
      <c r="AK88" s="413">
        <f>LET(
purchaseDate,C88,
mergerDate,Reference!$B$28,
lotFractionGain,AH88,
mergerGain,AI88,
IF(DATEDIF(purchaseDate,mergerDate,"Y")&gt;=1,
  lotFractionGain+mergerGain,
  0
))</f>
        <v>0</v>
      </c>
      <c r="AL88" s="414" t="str">
        <f>IF(DATEDIF(C88,Reference!$B$28,"Y")&gt;=1,"Part II Box E","Part I Box B")</f>
        <v>Part II Box E</v>
      </c>
      <c r="AM88" s="344" t="str">
        <f t="shared" si="12"/>
        <v/>
      </c>
      <c r="AN88" s="330">
        <f t="shared" si="13"/>
        <v>0</v>
      </c>
      <c r="AO88" s="330">
        <f>LET(
cashReceived,W88, 
avgoQty,AE88, 
proceedsStyle,Reference!$E$9, 
avgoFMV,Reference!$B$18, 
SWITCH(proceedsStyle, "combined", cashReceived +(avgoQty*avgoFMV), "cashOnly", cashReceived))</f>
        <v>0</v>
      </c>
      <c r="AP88" s="345">
        <f>LET(
proceedsStyle,Reference!$E$9,
proceeds,AO88,
gain,AS88,
numVmwShares,D88, 
vmwBasis, Z88, 
avgoQty,AE88, 
avgoFMV,Reference!$B$18, 
cashReceived,W88, 
avgoTotalValue, avgoFMV*avgoQty, 
vmwTotalBasis, vmwBasis*numVmwShares,
alternateGainAmount,AF88, 
SWITCH(proceedsStyle,
  "cashOnly",
    proceeds - gain,
  "combined",
    IF(cashReceived&lt;alternateGainAmount,
      avgoTotalValue,
      vmwTotalBasis
    )
  )
)</f>
        <v>0</v>
      </c>
      <c r="AQ88" s="345" t="str">
        <f t="shared" si="14"/>
        <v/>
      </c>
      <c r="AR88" s="345">
        <v>0.0</v>
      </c>
      <c r="AS88" s="331">
        <f>LET(
proceedsStyle,Reference!$E$9,
proceeds,AO88,
basis1099B,AP88,
adjustment,AR88,
mergerGain,AI88,
SWITCH(proceedsStyle,
  "cashOnly",
    mergerGain,
  "combined",
    MAX(proceeds - basis1099B + adjustment, 0)
))</f>
        <v>0</v>
      </c>
      <c r="AT88" s="415" t="str">
        <f t="shared" si="15"/>
        <v>n/a</v>
      </c>
      <c r="AU88" s="333">
        <f>LET(saleFMV,Reference!$B$10, postMergerBasis,AT88, avgoQty,AE88, lotFractionAmount,AG88, iferror((saleFMV - postMergerBasis) * (avgoQty - lotFractionAmount), 0))</f>
        <v>0</v>
      </c>
      <c r="AV88" s="333">
        <f>LET(
avgoQty,AE88, 
purchaseDate,C88,
postMergerSaleDate,Reference!$B$29,
saleFMV,Reference!$B$10,
postMergerBasis,AT88, 
IFERROR(IF(DATEDIF(purchaseDate,postMergerSaleDate,"Y")&gt;=1,
  0,
  avgoQty * (saleFMV - postMergerBasis)
),0))</f>
        <v>0</v>
      </c>
      <c r="AW88" s="336">
        <f>LET(
avgoQty,AE88, 
purchaseDate,C88,
postMergerSaleDate,Reference!$B$29,
saleFMV,Reference!$B$10,
postMergerBasis,AT88, 
IFERROR(IF(DATEDIF(purchaseDate,postMergerSaleDate,"Y")&gt;=1,
  avgoQty * (saleFMV - postMergerBasis),
  0
),0))</f>
        <v>0</v>
      </c>
    </row>
    <row r="89">
      <c r="A89" s="422"/>
      <c r="B89" s="423"/>
      <c r="C89" s="351"/>
      <c r="D89" s="352"/>
      <c r="E89" s="321" t="str">
        <f t="array" ref="E89">IF(C89&lt;&gt;"", IFERROR(VLOOKUP(C89, SORT(PriceReference!$A$1:$B1014), 2, TRUE), "price unavailable"), "")</f>
        <v/>
      </c>
      <c r="F89" s="416"/>
      <c r="G89" s="309">
        <f t="shared" si="6"/>
        <v>0</v>
      </c>
      <c r="H89" s="321">
        <f t="shared" si="7"/>
        <v>0</v>
      </c>
      <c r="I89" s="417"/>
      <c r="J89" s="348" t="b">
        <v>0</v>
      </c>
      <c r="K89" s="409"/>
      <c r="L89" s="315">
        <v>0.0</v>
      </c>
      <c r="M89" s="315">
        <v>0.0</v>
      </c>
      <c r="N89" s="315">
        <v>0.0</v>
      </c>
      <c r="O89" s="315">
        <v>0.0</v>
      </c>
      <c r="P89" s="315">
        <v>0.0</v>
      </c>
      <c r="Q89" s="317">
        <f t="shared" si="8"/>
        <v>0</v>
      </c>
      <c r="R89" s="317" t="str">
        <f>SWITCH(S89,"cash",Reference!E$5,"shares",Reference!$E$6,"balance",Reference!$E$7,"pro-rata",Reference!$B$5)</f>
        <v>#DIV/0!</v>
      </c>
      <c r="S89" s="318" t="s">
        <v>207</v>
      </c>
      <c r="T89" s="319">
        <f>LET(numVmwShares,D89, cashRatio,Reference!$B$4, vmwFinalPrice,Reference!$B$3, numVmwShares * cashRatio * vmwFinalPrice)</f>
        <v>0</v>
      </c>
      <c r="U89" s="319">
        <f>iferror(LET(numVmwShares,$D89, stockRatio,Q89, vmwFinalPrice,Reference!$B$3, (1 - stockRatio) * vmwFinalPrice * numVmwShares),0)</f>
        <v>0</v>
      </c>
      <c r="V89" s="319">
        <f>iferror(LET(numVmwShares,$D89, stockRatio,R89, vmwFinalPrice,Reference!$B$3, (1 - stockRatio) * vmwFinalPrice * numVmwShares),0)</f>
        <v>0</v>
      </c>
      <c r="W89" s="319">
        <f>SWITCH(Reference!$E$4,"eTradeTransactionLog", T89, "eTradeHoldingRatio",T89, "eTradeLotQtyRatio",U89,"manualLotRatio",V89)</f>
        <v>0</v>
      </c>
      <c r="X89" s="309">
        <f>LET(purchaseDate,C89, dateOfRecord,Reference!$B$26, returnOfCapital,Reference!$C$26, IF(purchaseDate &lt; dateOfRecord, returnOfCapital,0))</f>
        <v>10.18</v>
      </c>
      <c r="Y89" s="309">
        <f>LET(purchaseDate,C89, dateOfRecord,Reference!$B$27, returnOfCapital,Reference!$C$27, IF(purchaseDate &lt; dateOfRecord, returnOfCapital,0))</f>
        <v>16.58</v>
      </c>
      <c r="Z89" s="309">
        <f t="shared" si="9"/>
        <v>-26.76</v>
      </c>
      <c r="AA89" s="309">
        <f t="shared" si="10"/>
        <v>0</v>
      </c>
      <c r="AB89" s="320">
        <f>LET(numVmwShares,D89, stockRatio,Reference!$B$5, vmwToAvgoRatio,Reference!$B$6, numVmwShares * stockRatio * vmwToAvgoRatio)</f>
        <v>0</v>
      </c>
      <c r="AC89" s="320">
        <f>LET(numVmwShares,D89, stockRatio,Q89, vmwToAvgoRatio,Reference!$B$6, numVmwShares * stockRatio * vmwToAvgoRatio)</f>
        <v>0</v>
      </c>
      <c r="AD89" s="320" t="str">
        <f>LET(numVmwShares,D89, stockRatio,R89, vmwToAvgoRatio,Reference!$B$6, numVmwShares * stockRatio * vmwToAvgoRatio)</f>
        <v>#DIV/0!</v>
      </c>
      <c r="AE89" s="320">
        <f>SWITCH(Reference!$E$4, "eTradeTransactionLog", AB89, "eTradeHoldingRatio",AB89, "eTradeLotQtyRatio",AC89,"manualLotRatio",AD89)</f>
        <v>0</v>
      </c>
      <c r="AF89" s="321">
        <f>LET(numVmwShares,D89, vmwBasis,Z89, avgoQty,AE89, avgoFMV,Reference!$B$18, cashReceived,W89, gain,cashReceived+(avgoQty*avgoFMV)-(numVmwShares*vmwBasis),
MAX(gain,0))</f>
        <v>0</v>
      </c>
      <c r="AG89" s="322">
        <f>LET(useForFraction,J89, fractionAmount,Summary!$C$41, esppFractionLots,ESPP!$N$5, rsuFractionLots,RSU!J$5, IF(useForFraction, fractionAmount / (esppFractionLots+rsuFractionLots), 0))</f>
        <v>0</v>
      </c>
      <c r="AH89" s="411">
        <f>LET(useForFraction,J89, fractionSaleFMV,Reference!$B$23, postMergerBasis,AT89, lotFractionAmount,AG89, IF(useForFraction, (fractionSaleFMV - postMergerBasis)*lotFractionAmount, 0))</f>
        <v>0</v>
      </c>
      <c r="AI89" s="412">
        <f t="shared" si="11"/>
        <v>0</v>
      </c>
      <c r="AJ89" s="413">
        <f>LET(
purchaseDate,C89,
mergerDate,Reference!$B$28,
lotFractionGain,AH89,
mergerGain,AI89,
IF(DATEDIF(purchaseDate,mergerDate,"Y")&gt;=1,
  0,
  lotFractionGain + mergerGain
))</f>
        <v>0</v>
      </c>
      <c r="AK89" s="413">
        <f>LET(
purchaseDate,C89,
mergerDate,Reference!$B$28,
lotFractionGain,AH89,
mergerGain,AI89,
IF(DATEDIF(purchaseDate,mergerDate,"Y")&gt;=1,
  lotFractionGain+mergerGain,
  0
))</f>
        <v>0</v>
      </c>
      <c r="AL89" s="414" t="str">
        <f>IF(DATEDIF(C89,Reference!$B$28,"Y")&gt;=1,"Part II Box E","Part I Box B")</f>
        <v>Part II Box E</v>
      </c>
      <c r="AM89" s="344" t="str">
        <f t="shared" si="12"/>
        <v/>
      </c>
      <c r="AN89" s="330">
        <f t="shared" si="13"/>
        <v>0</v>
      </c>
      <c r="AO89" s="330">
        <f>LET(
cashReceived,W89, 
avgoQty,AE89, 
proceedsStyle,Reference!$E$9, 
avgoFMV,Reference!$B$18, 
SWITCH(proceedsStyle, "combined", cashReceived +(avgoQty*avgoFMV), "cashOnly", cashReceived))</f>
        <v>0</v>
      </c>
      <c r="AP89" s="345">
        <f>LET(
proceedsStyle,Reference!$E$9,
proceeds,AO89,
gain,AS89,
numVmwShares,D89, 
vmwBasis, Z89, 
avgoQty,AE89, 
avgoFMV,Reference!$B$18, 
cashReceived,W89, 
avgoTotalValue, avgoFMV*avgoQty, 
vmwTotalBasis, vmwBasis*numVmwShares,
alternateGainAmount,AF89, 
SWITCH(proceedsStyle,
  "cashOnly",
    proceeds - gain,
  "combined",
    IF(cashReceived&lt;alternateGainAmount,
      avgoTotalValue,
      vmwTotalBasis
    )
  )
)</f>
        <v>0</v>
      </c>
      <c r="AQ89" s="345" t="str">
        <f t="shared" si="14"/>
        <v/>
      </c>
      <c r="AR89" s="345">
        <v>0.0</v>
      </c>
      <c r="AS89" s="331">
        <f>LET(
proceedsStyle,Reference!$E$9,
proceeds,AO89,
basis1099B,AP89,
adjustment,AR89,
mergerGain,AI89,
SWITCH(proceedsStyle,
  "cashOnly",
    mergerGain,
  "combined",
    MAX(proceeds - basis1099B + adjustment, 0)
))</f>
        <v>0</v>
      </c>
      <c r="AT89" s="415" t="str">
        <f t="shared" si="15"/>
        <v>n/a</v>
      </c>
      <c r="AU89" s="333">
        <f>LET(saleFMV,Reference!$B$10, postMergerBasis,AT89, avgoQty,AE89, lotFractionAmount,AG89, iferror((saleFMV - postMergerBasis) * (avgoQty - lotFractionAmount), 0))</f>
        <v>0</v>
      </c>
      <c r="AV89" s="333">
        <f>LET(
avgoQty,AE89, 
purchaseDate,C89,
postMergerSaleDate,Reference!$B$29,
saleFMV,Reference!$B$10,
postMergerBasis,AT89, 
IFERROR(IF(DATEDIF(purchaseDate,postMergerSaleDate,"Y")&gt;=1,
  0,
  avgoQty * (saleFMV - postMergerBasis)
),0))</f>
        <v>0</v>
      </c>
      <c r="AW89" s="336">
        <f>LET(
avgoQty,AE89, 
purchaseDate,C89,
postMergerSaleDate,Reference!$B$29,
saleFMV,Reference!$B$10,
postMergerBasis,AT89, 
IFERROR(IF(DATEDIF(purchaseDate,postMergerSaleDate,"Y")&gt;=1,
  avgoQty * (saleFMV - postMergerBasis),
  0
),0))</f>
        <v>0</v>
      </c>
    </row>
    <row r="90">
      <c r="A90" s="422"/>
      <c r="B90" s="423"/>
      <c r="C90" s="351"/>
      <c r="D90" s="352"/>
      <c r="E90" s="321" t="str">
        <f t="array" ref="E90">IF(C90&lt;&gt;"", IFERROR(VLOOKUP(C90, SORT(PriceReference!$A$1:$B1014), 2, TRUE), "price unavailable"), "")</f>
        <v/>
      </c>
      <c r="F90" s="416"/>
      <c r="G90" s="309">
        <f t="shared" si="6"/>
        <v>0</v>
      </c>
      <c r="H90" s="321">
        <f t="shared" si="7"/>
        <v>0</v>
      </c>
      <c r="I90" s="417"/>
      <c r="J90" s="348" t="b">
        <v>0</v>
      </c>
      <c r="K90" s="409"/>
      <c r="L90" s="315">
        <v>0.0</v>
      </c>
      <c r="M90" s="315">
        <v>0.0</v>
      </c>
      <c r="N90" s="315">
        <v>0.0</v>
      </c>
      <c r="O90" s="315">
        <v>0.0</v>
      </c>
      <c r="P90" s="315">
        <v>0.0</v>
      </c>
      <c r="Q90" s="317">
        <f t="shared" si="8"/>
        <v>0</v>
      </c>
      <c r="R90" s="317" t="str">
        <f>SWITCH(S90,"cash",Reference!E$5,"shares",Reference!$E$6,"balance",Reference!$E$7,"pro-rata",Reference!$B$5)</f>
        <v>#DIV/0!</v>
      </c>
      <c r="S90" s="318" t="s">
        <v>207</v>
      </c>
      <c r="T90" s="319">
        <f>LET(numVmwShares,D90, cashRatio,Reference!$B$4, vmwFinalPrice,Reference!$B$3, numVmwShares * cashRatio * vmwFinalPrice)</f>
        <v>0</v>
      </c>
      <c r="U90" s="319">
        <f>iferror(LET(numVmwShares,$D90, stockRatio,Q90, vmwFinalPrice,Reference!$B$3, (1 - stockRatio) * vmwFinalPrice * numVmwShares),0)</f>
        <v>0</v>
      </c>
      <c r="V90" s="319">
        <f>iferror(LET(numVmwShares,$D90, stockRatio,R90, vmwFinalPrice,Reference!$B$3, (1 - stockRatio) * vmwFinalPrice * numVmwShares),0)</f>
        <v>0</v>
      </c>
      <c r="W90" s="319">
        <f>SWITCH(Reference!$E$4,"eTradeTransactionLog", T90, "eTradeHoldingRatio",T90, "eTradeLotQtyRatio",U90,"manualLotRatio",V90)</f>
        <v>0</v>
      </c>
      <c r="X90" s="309">
        <f>LET(purchaseDate,C90, dateOfRecord,Reference!$B$26, returnOfCapital,Reference!$C$26, IF(purchaseDate &lt; dateOfRecord, returnOfCapital,0))</f>
        <v>10.18</v>
      </c>
      <c r="Y90" s="309">
        <f>LET(purchaseDate,C90, dateOfRecord,Reference!$B$27, returnOfCapital,Reference!$C$27, IF(purchaseDate &lt; dateOfRecord, returnOfCapital,0))</f>
        <v>16.58</v>
      </c>
      <c r="Z90" s="309">
        <f t="shared" si="9"/>
        <v>-26.76</v>
      </c>
      <c r="AA90" s="309">
        <f t="shared" si="10"/>
        <v>0</v>
      </c>
      <c r="AB90" s="320">
        <f>LET(numVmwShares,D90, stockRatio,Reference!$B$5, vmwToAvgoRatio,Reference!$B$6, numVmwShares * stockRatio * vmwToAvgoRatio)</f>
        <v>0</v>
      </c>
      <c r="AC90" s="320">
        <f>LET(numVmwShares,D90, stockRatio,Q90, vmwToAvgoRatio,Reference!$B$6, numVmwShares * stockRatio * vmwToAvgoRatio)</f>
        <v>0</v>
      </c>
      <c r="AD90" s="320" t="str">
        <f>LET(numVmwShares,D90, stockRatio,R90, vmwToAvgoRatio,Reference!$B$6, numVmwShares * stockRatio * vmwToAvgoRatio)</f>
        <v>#DIV/0!</v>
      </c>
      <c r="AE90" s="320">
        <f>SWITCH(Reference!$E$4, "eTradeTransactionLog", AB90, "eTradeHoldingRatio",AB90, "eTradeLotQtyRatio",AC90,"manualLotRatio",AD90)</f>
        <v>0</v>
      </c>
      <c r="AF90" s="321">
        <f>LET(numVmwShares,D90, vmwBasis,Z90, avgoQty,AE90, avgoFMV,Reference!$B$18, cashReceived,W90, gain,cashReceived+(avgoQty*avgoFMV)-(numVmwShares*vmwBasis),
MAX(gain,0))</f>
        <v>0</v>
      </c>
      <c r="AG90" s="322">
        <f>LET(useForFraction,J90, fractionAmount,Summary!$C$41, esppFractionLots,ESPP!$N$5, rsuFractionLots,RSU!J$5, IF(useForFraction, fractionAmount / (esppFractionLots+rsuFractionLots), 0))</f>
        <v>0</v>
      </c>
      <c r="AH90" s="411">
        <f>LET(useForFraction,J90, fractionSaleFMV,Reference!$B$23, postMergerBasis,AT90, lotFractionAmount,AG90, IF(useForFraction, (fractionSaleFMV - postMergerBasis)*lotFractionAmount, 0))</f>
        <v>0</v>
      </c>
      <c r="AI90" s="412">
        <f t="shared" si="11"/>
        <v>0</v>
      </c>
      <c r="AJ90" s="413">
        <f>LET(
purchaseDate,C90,
mergerDate,Reference!$B$28,
lotFractionGain,AH90,
mergerGain,AI90,
IF(DATEDIF(purchaseDate,mergerDate,"Y")&gt;=1,
  0,
  lotFractionGain + mergerGain
))</f>
        <v>0</v>
      </c>
      <c r="AK90" s="413">
        <f>LET(
purchaseDate,C90,
mergerDate,Reference!$B$28,
lotFractionGain,AH90,
mergerGain,AI90,
IF(DATEDIF(purchaseDate,mergerDate,"Y")&gt;=1,
  lotFractionGain+mergerGain,
  0
))</f>
        <v>0</v>
      </c>
      <c r="AL90" s="414" t="str">
        <f>IF(DATEDIF(C90,Reference!$B$28,"Y")&gt;=1,"Part II Box E","Part I Box B")</f>
        <v>Part II Box E</v>
      </c>
      <c r="AM90" s="344" t="str">
        <f t="shared" si="12"/>
        <v/>
      </c>
      <c r="AN90" s="330">
        <f t="shared" si="13"/>
        <v>0</v>
      </c>
      <c r="AO90" s="330">
        <f>LET(
cashReceived,W90, 
avgoQty,AE90, 
proceedsStyle,Reference!$E$9, 
avgoFMV,Reference!$B$18, 
SWITCH(proceedsStyle, "combined", cashReceived +(avgoQty*avgoFMV), "cashOnly", cashReceived))</f>
        <v>0</v>
      </c>
      <c r="AP90" s="345">
        <f>LET(
proceedsStyle,Reference!$E$9,
proceeds,AO90,
gain,AS90,
numVmwShares,D90, 
vmwBasis, Z90, 
avgoQty,AE90, 
avgoFMV,Reference!$B$18, 
cashReceived,W90, 
avgoTotalValue, avgoFMV*avgoQty, 
vmwTotalBasis, vmwBasis*numVmwShares,
alternateGainAmount,AF90, 
SWITCH(proceedsStyle,
  "cashOnly",
    proceeds - gain,
  "combined",
    IF(cashReceived&lt;alternateGainAmount,
      avgoTotalValue,
      vmwTotalBasis
    )
  )
)</f>
        <v>0</v>
      </c>
      <c r="AQ90" s="345" t="str">
        <f t="shared" si="14"/>
        <v/>
      </c>
      <c r="AR90" s="345">
        <v>0.0</v>
      </c>
      <c r="AS90" s="331">
        <f>LET(
proceedsStyle,Reference!$E$9,
proceeds,AO90,
basis1099B,AP90,
adjustment,AR90,
mergerGain,AI90,
SWITCH(proceedsStyle,
  "cashOnly",
    mergerGain,
  "combined",
    MAX(proceeds - basis1099B + adjustment, 0)
))</f>
        <v>0</v>
      </c>
      <c r="AT90" s="415" t="str">
        <f t="shared" si="15"/>
        <v>n/a</v>
      </c>
      <c r="AU90" s="333">
        <f>LET(saleFMV,Reference!$B$10, postMergerBasis,AT90, avgoQty,AE90, lotFractionAmount,AG90, iferror((saleFMV - postMergerBasis) * (avgoQty - lotFractionAmount), 0))</f>
        <v>0</v>
      </c>
      <c r="AV90" s="333">
        <f>LET(
avgoQty,AE90, 
purchaseDate,C90,
postMergerSaleDate,Reference!$B$29,
saleFMV,Reference!$B$10,
postMergerBasis,AT90, 
IFERROR(IF(DATEDIF(purchaseDate,postMergerSaleDate,"Y")&gt;=1,
  0,
  avgoQty * (saleFMV - postMergerBasis)
),0))</f>
        <v>0</v>
      </c>
      <c r="AW90" s="336">
        <f>LET(
avgoQty,AE90, 
purchaseDate,C90,
postMergerSaleDate,Reference!$B$29,
saleFMV,Reference!$B$10,
postMergerBasis,AT90, 
IFERROR(IF(DATEDIF(purchaseDate,postMergerSaleDate,"Y")&gt;=1,
  avgoQty * (saleFMV - postMergerBasis),
  0
),0))</f>
        <v>0</v>
      </c>
    </row>
    <row r="91">
      <c r="A91" s="422"/>
      <c r="B91" s="423"/>
      <c r="C91" s="351"/>
      <c r="D91" s="352"/>
      <c r="E91" s="321" t="str">
        <f t="array" ref="E91">IF(C91&lt;&gt;"", IFERROR(VLOOKUP(C91, SORT(PriceReference!$A$1:$B1014), 2, TRUE), "price unavailable"), "")</f>
        <v/>
      </c>
      <c r="F91" s="416"/>
      <c r="G91" s="309">
        <f t="shared" si="6"/>
        <v>0</v>
      </c>
      <c r="H91" s="321">
        <f t="shared" si="7"/>
        <v>0</v>
      </c>
      <c r="I91" s="417"/>
      <c r="J91" s="348" t="b">
        <v>0</v>
      </c>
      <c r="K91" s="409"/>
      <c r="L91" s="315">
        <v>0.0</v>
      </c>
      <c r="M91" s="315">
        <v>0.0</v>
      </c>
      <c r="N91" s="315">
        <v>0.0</v>
      </c>
      <c r="O91" s="315">
        <v>0.0</v>
      </c>
      <c r="P91" s="315">
        <v>0.0</v>
      </c>
      <c r="Q91" s="317">
        <f t="shared" si="8"/>
        <v>0</v>
      </c>
      <c r="R91" s="317" t="str">
        <f>SWITCH(S91,"cash",Reference!E$5,"shares",Reference!$E$6,"balance",Reference!$E$7,"pro-rata",Reference!$B$5)</f>
        <v>#DIV/0!</v>
      </c>
      <c r="S91" s="318" t="s">
        <v>207</v>
      </c>
      <c r="T91" s="319">
        <f>LET(numVmwShares,D91, cashRatio,Reference!$B$4, vmwFinalPrice,Reference!$B$3, numVmwShares * cashRatio * vmwFinalPrice)</f>
        <v>0</v>
      </c>
      <c r="U91" s="319">
        <f>iferror(LET(numVmwShares,$D91, stockRatio,Q91, vmwFinalPrice,Reference!$B$3, (1 - stockRatio) * vmwFinalPrice * numVmwShares),0)</f>
        <v>0</v>
      </c>
      <c r="V91" s="319">
        <f>iferror(LET(numVmwShares,$D91, stockRatio,R91, vmwFinalPrice,Reference!$B$3, (1 - stockRatio) * vmwFinalPrice * numVmwShares),0)</f>
        <v>0</v>
      </c>
      <c r="W91" s="319">
        <f>SWITCH(Reference!$E$4,"eTradeTransactionLog", T91, "eTradeHoldingRatio",T91, "eTradeLotQtyRatio",U91,"manualLotRatio",V91)</f>
        <v>0</v>
      </c>
      <c r="X91" s="309">
        <f>LET(purchaseDate,C91, dateOfRecord,Reference!$B$26, returnOfCapital,Reference!$C$26, IF(purchaseDate &lt; dateOfRecord, returnOfCapital,0))</f>
        <v>10.18</v>
      </c>
      <c r="Y91" s="309">
        <f>LET(purchaseDate,C91, dateOfRecord,Reference!$B$27, returnOfCapital,Reference!$C$27, IF(purchaseDate &lt; dateOfRecord, returnOfCapital,0))</f>
        <v>16.58</v>
      </c>
      <c r="Z91" s="309">
        <f t="shared" si="9"/>
        <v>-26.76</v>
      </c>
      <c r="AA91" s="309">
        <f t="shared" si="10"/>
        <v>0</v>
      </c>
      <c r="AB91" s="320">
        <f>LET(numVmwShares,D91, stockRatio,Reference!$B$5, vmwToAvgoRatio,Reference!$B$6, numVmwShares * stockRatio * vmwToAvgoRatio)</f>
        <v>0</v>
      </c>
      <c r="AC91" s="320">
        <f>LET(numVmwShares,D91, stockRatio,Q91, vmwToAvgoRatio,Reference!$B$6, numVmwShares * stockRatio * vmwToAvgoRatio)</f>
        <v>0</v>
      </c>
      <c r="AD91" s="320" t="str">
        <f>LET(numVmwShares,D91, stockRatio,R91, vmwToAvgoRatio,Reference!$B$6, numVmwShares * stockRatio * vmwToAvgoRatio)</f>
        <v>#DIV/0!</v>
      </c>
      <c r="AE91" s="320">
        <f>SWITCH(Reference!$E$4, "eTradeTransactionLog", AB91, "eTradeHoldingRatio",AB91, "eTradeLotQtyRatio",AC91,"manualLotRatio",AD91)</f>
        <v>0</v>
      </c>
      <c r="AF91" s="321">
        <f>LET(numVmwShares,D91, vmwBasis,Z91, avgoQty,AE91, avgoFMV,Reference!$B$18, cashReceived,W91, gain,cashReceived+(avgoQty*avgoFMV)-(numVmwShares*vmwBasis),
MAX(gain,0))</f>
        <v>0</v>
      </c>
      <c r="AG91" s="322">
        <f>LET(useForFraction,J91, fractionAmount,Summary!$C$41, esppFractionLots,ESPP!$N$5, rsuFractionLots,RSU!J$5, IF(useForFraction, fractionAmount / (esppFractionLots+rsuFractionLots), 0))</f>
        <v>0</v>
      </c>
      <c r="AH91" s="411">
        <f>LET(useForFraction,J91, fractionSaleFMV,Reference!$B$23, postMergerBasis,AT91, lotFractionAmount,AG91, IF(useForFraction, (fractionSaleFMV - postMergerBasis)*lotFractionAmount, 0))</f>
        <v>0</v>
      </c>
      <c r="AI91" s="412">
        <f t="shared" si="11"/>
        <v>0</v>
      </c>
      <c r="AJ91" s="413">
        <f>LET(
purchaseDate,C91,
mergerDate,Reference!$B$28,
lotFractionGain,AH91,
mergerGain,AI91,
IF(DATEDIF(purchaseDate,mergerDate,"Y")&gt;=1,
  0,
  lotFractionGain + mergerGain
))</f>
        <v>0</v>
      </c>
      <c r="AK91" s="413">
        <f>LET(
purchaseDate,C91,
mergerDate,Reference!$B$28,
lotFractionGain,AH91,
mergerGain,AI91,
IF(DATEDIF(purchaseDate,mergerDate,"Y")&gt;=1,
  lotFractionGain+mergerGain,
  0
))</f>
        <v>0</v>
      </c>
      <c r="AL91" s="414" t="str">
        <f>IF(DATEDIF(C91,Reference!$B$28,"Y")&gt;=1,"Part II Box E","Part I Box B")</f>
        <v>Part II Box E</v>
      </c>
      <c r="AM91" s="344" t="str">
        <f t="shared" si="12"/>
        <v/>
      </c>
      <c r="AN91" s="330">
        <f t="shared" si="13"/>
        <v>0</v>
      </c>
      <c r="AO91" s="330">
        <f>LET(
cashReceived,W91, 
avgoQty,AE91, 
proceedsStyle,Reference!$E$9, 
avgoFMV,Reference!$B$18, 
SWITCH(proceedsStyle, "combined", cashReceived +(avgoQty*avgoFMV), "cashOnly", cashReceived))</f>
        <v>0</v>
      </c>
      <c r="AP91" s="345">
        <f>LET(
proceedsStyle,Reference!$E$9,
proceeds,AO91,
gain,AS91,
numVmwShares,D91, 
vmwBasis, Z91, 
avgoQty,AE91, 
avgoFMV,Reference!$B$18, 
cashReceived,W91, 
avgoTotalValue, avgoFMV*avgoQty, 
vmwTotalBasis, vmwBasis*numVmwShares,
alternateGainAmount,AF91, 
SWITCH(proceedsStyle,
  "cashOnly",
    proceeds - gain,
  "combined",
    IF(cashReceived&lt;alternateGainAmount,
      avgoTotalValue,
      vmwTotalBasis
    )
  )
)</f>
        <v>0</v>
      </c>
      <c r="AQ91" s="345" t="str">
        <f t="shared" si="14"/>
        <v/>
      </c>
      <c r="AR91" s="345">
        <v>0.0</v>
      </c>
      <c r="AS91" s="331">
        <f>LET(
proceedsStyle,Reference!$E$9,
proceeds,AO91,
basis1099B,AP91,
adjustment,AR91,
mergerGain,AI91,
SWITCH(proceedsStyle,
  "cashOnly",
    mergerGain,
  "combined",
    MAX(proceeds - basis1099B + adjustment, 0)
))</f>
        <v>0</v>
      </c>
      <c r="AT91" s="415" t="str">
        <f t="shared" si="15"/>
        <v>n/a</v>
      </c>
      <c r="AU91" s="333">
        <f>LET(saleFMV,Reference!$B$10, postMergerBasis,AT91, avgoQty,AE91, lotFractionAmount,AG91, iferror((saleFMV - postMergerBasis) * (avgoQty - lotFractionAmount), 0))</f>
        <v>0</v>
      </c>
      <c r="AV91" s="333">
        <f>LET(
avgoQty,AE91, 
purchaseDate,C91,
postMergerSaleDate,Reference!$B$29,
saleFMV,Reference!$B$10,
postMergerBasis,AT91, 
IFERROR(IF(DATEDIF(purchaseDate,postMergerSaleDate,"Y")&gt;=1,
  0,
  avgoQty * (saleFMV - postMergerBasis)
),0))</f>
        <v>0</v>
      </c>
      <c r="AW91" s="336">
        <f>LET(
avgoQty,AE91, 
purchaseDate,C91,
postMergerSaleDate,Reference!$B$29,
saleFMV,Reference!$B$10,
postMergerBasis,AT91, 
IFERROR(IF(DATEDIF(purchaseDate,postMergerSaleDate,"Y")&gt;=1,
  avgoQty * (saleFMV - postMergerBasis),
  0
),0))</f>
        <v>0</v>
      </c>
    </row>
    <row r="92">
      <c r="A92" s="422"/>
      <c r="B92" s="423"/>
      <c r="C92" s="351"/>
      <c r="D92" s="352"/>
      <c r="E92" s="321" t="str">
        <f t="array" ref="E92">IF(C92&lt;&gt;"", IFERROR(VLOOKUP(C92, SORT(PriceReference!$A$1:$B1014), 2, TRUE), "price unavailable"), "")</f>
        <v/>
      </c>
      <c r="F92" s="416"/>
      <c r="G92" s="309">
        <f t="shared" si="6"/>
        <v>0</v>
      </c>
      <c r="H92" s="321">
        <f t="shared" si="7"/>
        <v>0</v>
      </c>
      <c r="I92" s="417"/>
      <c r="J92" s="348" t="b">
        <v>0</v>
      </c>
      <c r="K92" s="409"/>
      <c r="L92" s="315">
        <v>0.0</v>
      </c>
      <c r="M92" s="315">
        <v>0.0</v>
      </c>
      <c r="N92" s="315">
        <v>0.0</v>
      </c>
      <c r="O92" s="315">
        <v>0.0</v>
      </c>
      <c r="P92" s="315">
        <v>0.0</v>
      </c>
      <c r="Q92" s="317">
        <f t="shared" si="8"/>
        <v>0</v>
      </c>
      <c r="R92" s="317" t="str">
        <f>SWITCH(S92,"cash",Reference!E$5,"shares",Reference!$E$6,"balance",Reference!$E$7,"pro-rata",Reference!$B$5)</f>
        <v>#DIV/0!</v>
      </c>
      <c r="S92" s="318" t="s">
        <v>207</v>
      </c>
      <c r="T92" s="319">
        <f>LET(numVmwShares,D92, cashRatio,Reference!$B$4, vmwFinalPrice,Reference!$B$3, numVmwShares * cashRatio * vmwFinalPrice)</f>
        <v>0</v>
      </c>
      <c r="U92" s="319">
        <f>iferror(LET(numVmwShares,$D92, stockRatio,Q92, vmwFinalPrice,Reference!$B$3, (1 - stockRatio) * vmwFinalPrice * numVmwShares),0)</f>
        <v>0</v>
      </c>
      <c r="V92" s="319">
        <f>iferror(LET(numVmwShares,$D92, stockRatio,R92, vmwFinalPrice,Reference!$B$3, (1 - stockRatio) * vmwFinalPrice * numVmwShares),0)</f>
        <v>0</v>
      </c>
      <c r="W92" s="319">
        <f>SWITCH(Reference!$E$4,"eTradeTransactionLog", T92, "eTradeHoldingRatio",T92, "eTradeLotQtyRatio",U92,"manualLotRatio",V92)</f>
        <v>0</v>
      </c>
      <c r="X92" s="309">
        <f>LET(purchaseDate,C92, dateOfRecord,Reference!$B$26, returnOfCapital,Reference!$C$26, IF(purchaseDate &lt; dateOfRecord, returnOfCapital,0))</f>
        <v>10.18</v>
      </c>
      <c r="Y92" s="309">
        <f>LET(purchaseDate,C92, dateOfRecord,Reference!$B$27, returnOfCapital,Reference!$C$27, IF(purchaseDate &lt; dateOfRecord, returnOfCapital,0))</f>
        <v>16.58</v>
      </c>
      <c r="Z92" s="309">
        <f t="shared" si="9"/>
        <v>-26.76</v>
      </c>
      <c r="AA92" s="309">
        <f t="shared" si="10"/>
        <v>0</v>
      </c>
      <c r="AB92" s="320">
        <f>LET(numVmwShares,D92, stockRatio,Reference!$B$5, vmwToAvgoRatio,Reference!$B$6, numVmwShares * stockRatio * vmwToAvgoRatio)</f>
        <v>0</v>
      </c>
      <c r="AC92" s="320">
        <f>LET(numVmwShares,D92, stockRatio,Q92, vmwToAvgoRatio,Reference!$B$6, numVmwShares * stockRatio * vmwToAvgoRatio)</f>
        <v>0</v>
      </c>
      <c r="AD92" s="320" t="str">
        <f>LET(numVmwShares,D92, stockRatio,R92, vmwToAvgoRatio,Reference!$B$6, numVmwShares * stockRatio * vmwToAvgoRatio)</f>
        <v>#DIV/0!</v>
      </c>
      <c r="AE92" s="320">
        <f>SWITCH(Reference!$E$4, "eTradeTransactionLog", AB92, "eTradeHoldingRatio",AB92, "eTradeLotQtyRatio",AC92,"manualLotRatio",AD92)</f>
        <v>0</v>
      </c>
      <c r="AF92" s="321">
        <f>LET(numVmwShares,D92, vmwBasis,Z92, avgoQty,AE92, avgoFMV,Reference!$B$18, cashReceived,W92, gain,cashReceived+(avgoQty*avgoFMV)-(numVmwShares*vmwBasis),
MAX(gain,0))</f>
        <v>0</v>
      </c>
      <c r="AG92" s="322">
        <f>LET(useForFraction,J92, fractionAmount,Summary!$C$41, esppFractionLots,ESPP!$N$5, rsuFractionLots,RSU!J$5, IF(useForFraction, fractionAmount / (esppFractionLots+rsuFractionLots), 0))</f>
        <v>0</v>
      </c>
      <c r="AH92" s="411">
        <f>LET(useForFraction,J92, fractionSaleFMV,Reference!$B$23, postMergerBasis,AT92, lotFractionAmount,AG92, IF(useForFraction, (fractionSaleFMV - postMergerBasis)*lotFractionAmount, 0))</f>
        <v>0</v>
      </c>
      <c r="AI92" s="412">
        <f t="shared" si="11"/>
        <v>0</v>
      </c>
      <c r="AJ92" s="413">
        <f>LET(
purchaseDate,C92,
mergerDate,Reference!$B$28,
lotFractionGain,AH92,
mergerGain,AI92,
IF(DATEDIF(purchaseDate,mergerDate,"Y")&gt;=1,
  0,
  lotFractionGain + mergerGain
))</f>
        <v>0</v>
      </c>
      <c r="AK92" s="413">
        <f>LET(
purchaseDate,C92,
mergerDate,Reference!$B$28,
lotFractionGain,AH92,
mergerGain,AI92,
IF(DATEDIF(purchaseDate,mergerDate,"Y")&gt;=1,
  lotFractionGain+mergerGain,
  0
))</f>
        <v>0</v>
      </c>
      <c r="AL92" s="414" t="str">
        <f>IF(DATEDIF(C92,Reference!$B$28,"Y")&gt;=1,"Part II Box E","Part I Box B")</f>
        <v>Part II Box E</v>
      </c>
      <c r="AM92" s="344" t="str">
        <f t="shared" si="12"/>
        <v/>
      </c>
      <c r="AN92" s="330">
        <f t="shared" si="13"/>
        <v>0</v>
      </c>
      <c r="AO92" s="330">
        <f>LET(
cashReceived,W92, 
avgoQty,AE92, 
proceedsStyle,Reference!$E$9, 
avgoFMV,Reference!$B$18, 
SWITCH(proceedsStyle, "combined", cashReceived +(avgoQty*avgoFMV), "cashOnly", cashReceived))</f>
        <v>0</v>
      </c>
      <c r="AP92" s="345">
        <f>LET(
proceedsStyle,Reference!$E$9,
proceeds,AO92,
gain,AS92,
numVmwShares,D92, 
vmwBasis, Z92, 
avgoQty,AE92, 
avgoFMV,Reference!$B$18, 
cashReceived,W92, 
avgoTotalValue, avgoFMV*avgoQty, 
vmwTotalBasis, vmwBasis*numVmwShares,
alternateGainAmount,AF92, 
SWITCH(proceedsStyle,
  "cashOnly",
    proceeds - gain,
  "combined",
    IF(cashReceived&lt;alternateGainAmount,
      avgoTotalValue,
      vmwTotalBasis
    )
  )
)</f>
        <v>0</v>
      </c>
      <c r="AQ92" s="345" t="str">
        <f t="shared" si="14"/>
        <v/>
      </c>
      <c r="AR92" s="345">
        <v>0.0</v>
      </c>
      <c r="AS92" s="331">
        <f>LET(
proceedsStyle,Reference!$E$9,
proceeds,AO92,
basis1099B,AP92,
adjustment,AR92,
mergerGain,AI92,
SWITCH(proceedsStyle,
  "cashOnly",
    mergerGain,
  "combined",
    MAX(proceeds - basis1099B + adjustment, 0)
))</f>
        <v>0</v>
      </c>
      <c r="AT92" s="415" t="str">
        <f t="shared" si="15"/>
        <v>n/a</v>
      </c>
      <c r="AU92" s="333">
        <f>LET(saleFMV,Reference!$B$10, postMergerBasis,AT92, avgoQty,AE92, lotFractionAmount,AG92, iferror((saleFMV - postMergerBasis) * (avgoQty - lotFractionAmount), 0))</f>
        <v>0</v>
      </c>
      <c r="AV92" s="333">
        <f>LET(
avgoQty,AE92, 
purchaseDate,C92,
postMergerSaleDate,Reference!$B$29,
saleFMV,Reference!$B$10,
postMergerBasis,AT92, 
IFERROR(IF(DATEDIF(purchaseDate,postMergerSaleDate,"Y")&gt;=1,
  0,
  avgoQty * (saleFMV - postMergerBasis)
),0))</f>
        <v>0</v>
      </c>
      <c r="AW92" s="336">
        <f>LET(
avgoQty,AE92, 
purchaseDate,C92,
postMergerSaleDate,Reference!$B$29,
saleFMV,Reference!$B$10,
postMergerBasis,AT92, 
IFERROR(IF(DATEDIF(purchaseDate,postMergerSaleDate,"Y")&gt;=1,
  avgoQty * (saleFMV - postMergerBasis),
  0
),0))</f>
        <v>0</v>
      </c>
    </row>
    <row r="93">
      <c r="A93" s="422"/>
      <c r="B93" s="423"/>
      <c r="C93" s="351"/>
      <c r="D93" s="352"/>
      <c r="E93" s="321" t="str">
        <f t="array" ref="E93">IF(C93&lt;&gt;"", IFERROR(VLOOKUP(C93, SORT(PriceReference!$A$1:$B1014), 2, TRUE), "price unavailable"), "")</f>
        <v/>
      </c>
      <c r="F93" s="416"/>
      <c r="G93" s="309">
        <f t="shared" si="6"/>
        <v>0</v>
      </c>
      <c r="H93" s="321">
        <f t="shared" si="7"/>
        <v>0</v>
      </c>
      <c r="I93" s="417"/>
      <c r="J93" s="348" t="b">
        <v>0</v>
      </c>
      <c r="K93" s="409"/>
      <c r="L93" s="315">
        <v>0.0</v>
      </c>
      <c r="M93" s="315">
        <v>0.0</v>
      </c>
      <c r="N93" s="315">
        <v>0.0</v>
      </c>
      <c r="O93" s="315">
        <v>0.0</v>
      </c>
      <c r="P93" s="315">
        <v>0.0</v>
      </c>
      <c r="Q93" s="317">
        <f t="shared" si="8"/>
        <v>0</v>
      </c>
      <c r="R93" s="317" t="str">
        <f>SWITCH(S93,"cash",Reference!E$5,"shares",Reference!$E$6,"balance",Reference!$E$7,"pro-rata",Reference!$B$5)</f>
        <v>#DIV/0!</v>
      </c>
      <c r="S93" s="318" t="s">
        <v>207</v>
      </c>
      <c r="T93" s="319">
        <f>LET(numVmwShares,D93, cashRatio,Reference!$B$4, vmwFinalPrice,Reference!$B$3, numVmwShares * cashRatio * vmwFinalPrice)</f>
        <v>0</v>
      </c>
      <c r="U93" s="319">
        <f>iferror(LET(numVmwShares,$D93, stockRatio,Q93, vmwFinalPrice,Reference!$B$3, (1 - stockRatio) * vmwFinalPrice * numVmwShares),0)</f>
        <v>0</v>
      </c>
      <c r="V93" s="319">
        <f>iferror(LET(numVmwShares,$D93, stockRatio,R93, vmwFinalPrice,Reference!$B$3, (1 - stockRatio) * vmwFinalPrice * numVmwShares),0)</f>
        <v>0</v>
      </c>
      <c r="W93" s="319">
        <f>SWITCH(Reference!$E$4,"eTradeTransactionLog", T93, "eTradeHoldingRatio",T93, "eTradeLotQtyRatio",U93,"manualLotRatio",V93)</f>
        <v>0</v>
      </c>
      <c r="X93" s="309">
        <f>LET(purchaseDate,C93, dateOfRecord,Reference!$B$26, returnOfCapital,Reference!$C$26, IF(purchaseDate &lt; dateOfRecord, returnOfCapital,0))</f>
        <v>10.18</v>
      </c>
      <c r="Y93" s="309">
        <f>LET(purchaseDate,C93, dateOfRecord,Reference!$B$27, returnOfCapital,Reference!$C$27, IF(purchaseDate &lt; dateOfRecord, returnOfCapital,0))</f>
        <v>16.58</v>
      </c>
      <c r="Z93" s="309">
        <f t="shared" si="9"/>
        <v>-26.76</v>
      </c>
      <c r="AA93" s="309">
        <f t="shared" si="10"/>
        <v>0</v>
      </c>
      <c r="AB93" s="320">
        <f>LET(numVmwShares,D93, stockRatio,Reference!$B$5, vmwToAvgoRatio,Reference!$B$6, numVmwShares * stockRatio * vmwToAvgoRatio)</f>
        <v>0</v>
      </c>
      <c r="AC93" s="320">
        <f>LET(numVmwShares,D93, stockRatio,Q93, vmwToAvgoRatio,Reference!$B$6, numVmwShares * stockRatio * vmwToAvgoRatio)</f>
        <v>0</v>
      </c>
      <c r="AD93" s="320" t="str">
        <f>LET(numVmwShares,D93, stockRatio,R93, vmwToAvgoRatio,Reference!$B$6, numVmwShares * stockRatio * vmwToAvgoRatio)</f>
        <v>#DIV/0!</v>
      </c>
      <c r="AE93" s="320">
        <f>SWITCH(Reference!$E$4, "eTradeTransactionLog", AB93, "eTradeHoldingRatio",AB93, "eTradeLotQtyRatio",AC93,"manualLotRatio",AD93)</f>
        <v>0</v>
      </c>
      <c r="AF93" s="321">
        <f>LET(numVmwShares,D93, vmwBasis,Z93, avgoQty,AE93, avgoFMV,Reference!$B$18, cashReceived,W93, gain,cashReceived+(avgoQty*avgoFMV)-(numVmwShares*vmwBasis),
MAX(gain,0))</f>
        <v>0</v>
      </c>
      <c r="AG93" s="322">
        <f>LET(useForFraction,J93, fractionAmount,Summary!$C$41, esppFractionLots,ESPP!$N$5, rsuFractionLots,RSU!J$5, IF(useForFraction, fractionAmount / (esppFractionLots+rsuFractionLots), 0))</f>
        <v>0</v>
      </c>
      <c r="AH93" s="411">
        <f>LET(useForFraction,J93, fractionSaleFMV,Reference!$B$23, postMergerBasis,AT93, lotFractionAmount,AG93, IF(useForFraction, (fractionSaleFMV - postMergerBasis)*lotFractionAmount, 0))</f>
        <v>0</v>
      </c>
      <c r="AI93" s="412">
        <f t="shared" si="11"/>
        <v>0</v>
      </c>
      <c r="AJ93" s="413">
        <f>LET(
purchaseDate,C93,
mergerDate,Reference!$B$28,
lotFractionGain,AH93,
mergerGain,AI93,
IF(DATEDIF(purchaseDate,mergerDate,"Y")&gt;=1,
  0,
  lotFractionGain + mergerGain
))</f>
        <v>0</v>
      </c>
      <c r="AK93" s="413">
        <f>LET(
purchaseDate,C93,
mergerDate,Reference!$B$28,
lotFractionGain,AH93,
mergerGain,AI93,
IF(DATEDIF(purchaseDate,mergerDate,"Y")&gt;=1,
  lotFractionGain+mergerGain,
  0
))</f>
        <v>0</v>
      </c>
      <c r="AL93" s="414" t="str">
        <f>IF(DATEDIF(C93,Reference!$B$28,"Y")&gt;=1,"Part II Box E","Part I Box B")</f>
        <v>Part II Box E</v>
      </c>
      <c r="AM93" s="344" t="str">
        <f t="shared" si="12"/>
        <v/>
      </c>
      <c r="AN93" s="330">
        <f t="shared" si="13"/>
        <v>0</v>
      </c>
      <c r="AO93" s="330">
        <f>LET(
cashReceived,W93, 
avgoQty,AE93, 
proceedsStyle,Reference!$E$9, 
avgoFMV,Reference!$B$18, 
SWITCH(proceedsStyle, "combined", cashReceived +(avgoQty*avgoFMV), "cashOnly", cashReceived))</f>
        <v>0</v>
      </c>
      <c r="AP93" s="345">
        <f>LET(
proceedsStyle,Reference!$E$9,
proceeds,AO93,
gain,AS93,
numVmwShares,D93, 
vmwBasis, Z93, 
avgoQty,AE93, 
avgoFMV,Reference!$B$18, 
cashReceived,W93, 
avgoTotalValue, avgoFMV*avgoQty, 
vmwTotalBasis, vmwBasis*numVmwShares,
alternateGainAmount,AF93, 
SWITCH(proceedsStyle,
  "cashOnly",
    proceeds - gain,
  "combined",
    IF(cashReceived&lt;alternateGainAmount,
      avgoTotalValue,
      vmwTotalBasis
    )
  )
)</f>
        <v>0</v>
      </c>
      <c r="AQ93" s="345" t="str">
        <f t="shared" si="14"/>
        <v/>
      </c>
      <c r="AR93" s="345">
        <v>0.0</v>
      </c>
      <c r="AS93" s="331">
        <f>LET(
proceedsStyle,Reference!$E$9,
proceeds,AO93,
basis1099B,AP93,
adjustment,AR93,
mergerGain,AI93,
SWITCH(proceedsStyle,
  "cashOnly",
    mergerGain,
  "combined",
    MAX(proceeds - basis1099B + adjustment, 0)
))</f>
        <v>0</v>
      </c>
      <c r="AT93" s="415" t="str">
        <f t="shared" si="15"/>
        <v>n/a</v>
      </c>
      <c r="AU93" s="333">
        <f>LET(saleFMV,Reference!$B$10, postMergerBasis,AT93, avgoQty,AE93, lotFractionAmount,AG93, iferror((saleFMV - postMergerBasis) * (avgoQty - lotFractionAmount), 0))</f>
        <v>0</v>
      </c>
      <c r="AV93" s="333">
        <f>LET(
avgoQty,AE93, 
purchaseDate,C93,
postMergerSaleDate,Reference!$B$29,
saleFMV,Reference!$B$10,
postMergerBasis,AT93, 
IFERROR(IF(DATEDIF(purchaseDate,postMergerSaleDate,"Y")&gt;=1,
  0,
  avgoQty * (saleFMV - postMergerBasis)
),0))</f>
        <v>0</v>
      </c>
      <c r="AW93" s="336">
        <f>LET(
avgoQty,AE93, 
purchaseDate,C93,
postMergerSaleDate,Reference!$B$29,
saleFMV,Reference!$B$10,
postMergerBasis,AT93, 
IFERROR(IF(DATEDIF(purchaseDate,postMergerSaleDate,"Y")&gt;=1,
  avgoQty * (saleFMV - postMergerBasis),
  0
),0))</f>
        <v>0</v>
      </c>
    </row>
    <row r="94">
      <c r="A94" s="422"/>
      <c r="B94" s="423"/>
      <c r="C94" s="351"/>
      <c r="D94" s="352"/>
      <c r="E94" s="321" t="str">
        <f t="array" ref="E94">IF(C94&lt;&gt;"", IFERROR(VLOOKUP(C94, SORT(PriceReference!$A$1:$B1014), 2, TRUE), "price unavailable"), "")</f>
        <v/>
      </c>
      <c r="F94" s="416"/>
      <c r="G94" s="309">
        <f t="shared" si="6"/>
        <v>0</v>
      </c>
      <c r="H94" s="321">
        <f t="shared" si="7"/>
        <v>0</v>
      </c>
      <c r="I94" s="417"/>
      <c r="J94" s="348" t="b">
        <v>0</v>
      </c>
      <c r="K94" s="409"/>
      <c r="L94" s="315">
        <v>0.0</v>
      </c>
      <c r="M94" s="315">
        <v>0.0</v>
      </c>
      <c r="N94" s="315">
        <v>0.0</v>
      </c>
      <c r="O94" s="315">
        <v>0.0</v>
      </c>
      <c r="P94" s="315">
        <v>0.0</v>
      </c>
      <c r="Q94" s="317">
        <f t="shared" si="8"/>
        <v>0</v>
      </c>
      <c r="R94" s="317" t="str">
        <f>SWITCH(S94,"cash",Reference!E$5,"shares",Reference!$E$6,"balance",Reference!$E$7,"pro-rata",Reference!$B$5)</f>
        <v>#DIV/0!</v>
      </c>
      <c r="S94" s="318" t="s">
        <v>207</v>
      </c>
      <c r="T94" s="319">
        <f>LET(numVmwShares,D94, cashRatio,Reference!$B$4, vmwFinalPrice,Reference!$B$3, numVmwShares * cashRatio * vmwFinalPrice)</f>
        <v>0</v>
      </c>
      <c r="U94" s="319">
        <f>iferror(LET(numVmwShares,$D94, stockRatio,Q94, vmwFinalPrice,Reference!$B$3, (1 - stockRatio) * vmwFinalPrice * numVmwShares),0)</f>
        <v>0</v>
      </c>
      <c r="V94" s="319">
        <f>iferror(LET(numVmwShares,$D94, stockRatio,R94, vmwFinalPrice,Reference!$B$3, (1 - stockRatio) * vmwFinalPrice * numVmwShares),0)</f>
        <v>0</v>
      </c>
      <c r="W94" s="319">
        <f>SWITCH(Reference!$E$4,"eTradeTransactionLog", T94, "eTradeHoldingRatio",T94, "eTradeLotQtyRatio",U94,"manualLotRatio",V94)</f>
        <v>0</v>
      </c>
      <c r="X94" s="309">
        <f>LET(purchaseDate,C94, dateOfRecord,Reference!$B$26, returnOfCapital,Reference!$C$26, IF(purchaseDate &lt; dateOfRecord, returnOfCapital,0))</f>
        <v>10.18</v>
      </c>
      <c r="Y94" s="309">
        <f>LET(purchaseDate,C94, dateOfRecord,Reference!$B$27, returnOfCapital,Reference!$C$27, IF(purchaseDate &lt; dateOfRecord, returnOfCapital,0))</f>
        <v>16.58</v>
      </c>
      <c r="Z94" s="309">
        <f t="shared" si="9"/>
        <v>-26.76</v>
      </c>
      <c r="AA94" s="309">
        <f t="shared" si="10"/>
        <v>0</v>
      </c>
      <c r="AB94" s="320">
        <f>LET(numVmwShares,D94, stockRatio,Reference!$B$5, vmwToAvgoRatio,Reference!$B$6, numVmwShares * stockRatio * vmwToAvgoRatio)</f>
        <v>0</v>
      </c>
      <c r="AC94" s="320">
        <f>LET(numVmwShares,D94, stockRatio,Q94, vmwToAvgoRatio,Reference!$B$6, numVmwShares * stockRatio * vmwToAvgoRatio)</f>
        <v>0</v>
      </c>
      <c r="AD94" s="320" t="str">
        <f>LET(numVmwShares,D94, stockRatio,R94, vmwToAvgoRatio,Reference!$B$6, numVmwShares * stockRatio * vmwToAvgoRatio)</f>
        <v>#DIV/0!</v>
      </c>
      <c r="AE94" s="320">
        <f>SWITCH(Reference!$E$4, "eTradeTransactionLog", AB94, "eTradeHoldingRatio",AB94, "eTradeLotQtyRatio",AC94,"manualLotRatio",AD94)</f>
        <v>0</v>
      </c>
      <c r="AF94" s="321">
        <f>LET(numVmwShares,D94, vmwBasis,Z94, avgoQty,AE94, avgoFMV,Reference!$B$18, cashReceived,W94, gain,cashReceived+(avgoQty*avgoFMV)-(numVmwShares*vmwBasis),
MAX(gain,0))</f>
        <v>0</v>
      </c>
      <c r="AG94" s="322">
        <f>LET(useForFraction,J94, fractionAmount,Summary!$C$41, esppFractionLots,ESPP!$N$5, rsuFractionLots,RSU!J$5, IF(useForFraction, fractionAmount / (esppFractionLots+rsuFractionLots), 0))</f>
        <v>0</v>
      </c>
      <c r="AH94" s="411">
        <f>LET(useForFraction,J94, fractionSaleFMV,Reference!$B$23, postMergerBasis,AT94, lotFractionAmount,AG94, IF(useForFraction, (fractionSaleFMV - postMergerBasis)*lotFractionAmount, 0))</f>
        <v>0</v>
      </c>
      <c r="AI94" s="412">
        <f t="shared" si="11"/>
        <v>0</v>
      </c>
      <c r="AJ94" s="413">
        <f>LET(
purchaseDate,C94,
mergerDate,Reference!$B$28,
lotFractionGain,AH94,
mergerGain,AI94,
IF(DATEDIF(purchaseDate,mergerDate,"Y")&gt;=1,
  0,
  lotFractionGain + mergerGain
))</f>
        <v>0</v>
      </c>
      <c r="AK94" s="413">
        <f>LET(
purchaseDate,C94,
mergerDate,Reference!$B$28,
lotFractionGain,AH94,
mergerGain,AI94,
IF(DATEDIF(purchaseDate,mergerDate,"Y")&gt;=1,
  lotFractionGain+mergerGain,
  0
))</f>
        <v>0</v>
      </c>
      <c r="AL94" s="414" t="str">
        <f>IF(DATEDIF(C94,Reference!$B$28,"Y")&gt;=1,"Part II Box E","Part I Box B")</f>
        <v>Part II Box E</v>
      </c>
      <c r="AM94" s="344" t="str">
        <f t="shared" si="12"/>
        <v/>
      </c>
      <c r="AN94" s="330">
        <f t="shared" si="13"/>
        <v>0</v>
      </c>
      <c r="AO94" s="330">
        <f>LET(
cashReceived,W94, 
avgoQty,AE94, 
proceedsStyle,Reference!$E$9, 
avgoFMV,Reference!$B$18, 
SWITCH(proceedsStyle, "combined", cashReceived +(avgoQty*avgoFMV), "cashOnly", cashReceived))</f>
        <v>0</v>
      </c>
      <c r="AP94" s="345">
        <f>LET(
proceedsStyle,Reference!$E$9,
proceeds,AO94,
gain,AS94,
numVmwShares,D94, 
vmwBasis, Z94, 
avgoQty,AE94, 
avgoFMV,Reference!$B$18, 
cashReceived,W94, 
avgoTotalValue, avgoFMV*avgoQty, 
vmwTotalBasis, vmwBasis*numVmwShares,
alternateGainAmount,AF94, 
SWITCH(proceedsStyle,
  "cashOnly",
    proceeds - gain,
  "combined",
    IF(cashReceived&lt;alternateGainAmount,
      avgoTotalValue,
      vmwTotalBasis
    )
  )
)</f>
        <v>0</v>
      </c>
      <c r="AQ94" s="345" t="str">
        <f t="shared" si="14"/>
        <v/>
      </c>
      <c r="AR94" s="345">
        <v>0.0</v>
      </c>
      <c r="AS94" s="331">
        <f>LET(
proceedsStyle,Reference!$E$9,
proceeds,AO94,
basis1099B,AP94,
adjustment,AR94,
mergerGain,AI94,
SWITCH(proceedsStyle,
  "cashOnly",
    mergerGain,
  "combined",
    MAX(proceeds - basis1099B + adjustment, 0)
))</f>
        <v>0</v>
      </c>
      <c r="AT94" s="415" t="str">
        <f t="shared" si="15"/>
        <v>n/a</v>
      </c>
      <c r="AU94" s="333">
        <f>LET(saleFMV,Reference!$B$10, postMergerBasis,AT94, avgoQty,AE94, lotFractionAmount,AG94, iferror((saleFMV - postMergerBasis) * (avgoQty - lotFractionAmount), 0))</f>
        <v>0</v>
      </c>
      <c r="AV94" s="333">
        <f>LET(
avgoQty,AE94, 
purchaseDate,C94,
postMergerSaleDate,Reference!$B$29,
saleFMV,Reference!$B$10,
postMergerBasis,AT94, 
IFERROR(IF(DATEDIF(purchaseDate,postMergerSaleDate,"Y")&gt;=1,
  0,
  avgoQty * (saleFMV - postMergerBasis)
),0))</f>
        <v>0</v>
      </c>
      <c r="AW94" s="336">
        <f>LET(
avgoQty,AE94, 
purchaseDate,C94,
postMergerSaleDate,Reference!$B$29,
saleFMV,Reference!$B$10,
postMergerBasis,AT94, 
IFERROR(IF(DATEDIF(purchaseDate,postMergerSaleDate,"Y")&gt;=1,
  avgoQty * (saleFMV - postMergerBasis),
  0
),0))</f>
        <v>0</v>
      </c>
    </row>
    <row r="95">
      <c r="A95" s="422"/>
      <c r="B95" s="423"/>
      <c r="C95" s="351"/>
      <c r="D95" s="352"/>
      <c r="E95" s="321" t="str">
        <f t="array" ref="E95">IF(C95&lt;&gt;"", IFERROR(VLOOKUP(C95, SORT(PriceReference!$A$1:$B1014), 2, TRUE), "price unavailable"), "")</f>
        <v/>
      </c>
      <c r="F95" s="416"/>
      <c r="G95" s="309">
        <f t="shared" si="6"/>
        <v>0</v>
      </c>
      <c r="H95" s="321">
        <f t="shared" si="7"/>
        <v>0</v>
      </c>
      <c r="I95" s="417"/>
      <c r="J95" s="348" t="b">
        <v>0</v>
      </c>
      <c r="K95" s="409"/>
      <c r="L95" s="315">
        <v>0.0</v>
      </c>
      <c r="M95" s="315">
        <v>0.0</v>
      </c>
      <c r="N95" s="315">
        <v>0.0</v>
      </c>
      <c r="O95" s="315">
        <v>0.0</v>
      </c>
      <c r="P95" s="315">
        <v>0.0</v>
      </c>
      <c r="Q95" s="317">
        <f t="shared" si="8"/>
        <v>0</v>
      </c>
      <c r="R95" s="317" t="str">
        <f>SWITCH(S95,"cash",Reference!E$5,"shares",Reference!$E$6,"balance",Reference!$E$7,"pro-rata",Reference!$B$5)</f>
        <v>#DIV/0!</v>
      </c>
      <c r="S95" s="318" t="s">
        <v>207</v>
      </c>
      <c r="T95" s="319">
        <f>LET(numVmwShares,D95, cashRatio,Reference!$B$4, vmwFinalPrice,Reference!$B$3, numVmwShares * cashRatio * vmwFinalPrice)</f>
        <v>0</v>
      </c>
      <c r="U95" s="319">
        <f>iferror(LET(numVmwShares,$D95, stockRatio,Q95, vmwFinalPrice,Reference!$B$3, (1 - stockRatio) * vmwFinalPrice * numVmwShares),0)</f>
        <v>0</v>
      </c>
      <c r="V95" s="319">
        <f>iferror(LET(numVmwShares,$D95, stockRatio,R95, vmwFinalPrice,Reference!$B$3, (1 - stockRatio) * vmwFinalPrice * numVmwShares),0)</f>
        <v>0</v>
      </c>
      <c r="W95" s="319">
        <f>SWITCH(Reference!$E$4,"eTradeTransactionLog", T95, "eTradeHoldingRatio",T95, "eTradeLotQtyRatio",U95,"manualLotRatio",V95)</f>
        <v>0</v>
      </c>
      <c r="X95" s="309">
        <f>LET(purchaseDate,C95, dateOfRecord,Reference!$B$26, returnOfCapital,Reference!$C$26, IF(purchaseDate &lt; dateOfRecord, returnOfCapital,0))</f>
        <v>10.18</v>
      </c>
      <c r="Y95" s="309">
        <f>LET(purchaseDate,C95, dateOfRecord,Reference!$B$27, returnOfCapital,Reference!$C$27, IF(purchaseDate &lt; dateOfRecord, returnOfCapital,0))</f>
        <v>16.58</v>
      </c>
      <c r="Z95" s="309">
        <f t="shared" si="9"/>
        <v>-26.76</v>
      </c>
      <c r="AA95" s="309">
        <f t="shared" si="10"/>
        <v>0</v>
      </c>
      <c r="AB95" s="320">
        <f>LET(numVmwShares,D95, stockRatio,Reference!$B$5, vmwToAvgoRatio,Reference!$B$6, numVmwShares * stockRatio * vmwToAvgoRatio)</f>
        <v>0</v>
      </c>
      <c r="AC95" s="320">
        <f>LET(numVmwShares,D95, stockRatio,Q95, vmwToAvgoRatio,Reference!$B$6, numVmwShares * stockRatio * vmwToAvgoRatio)</f>
        <v>0</v>
      </c>
      <c r="AD95" s="320" t="str">
        <f>LET(numVmwShares,D95, stockRatio,R95, vmwToAvgoRatio,Reference!$B$6, numVmwShares * stockRatio * vmwToAvgoRatio)</f>
        <v>#DIV/0!</v>
      </c>
      <c r="AE95" s="320">
        <f>SWITCH(Reference!$E$4, "eTradeTransactionLog", AB95, "eTradeHoldingRatio",AB95, "eTradeLotQtyRatio",AC95,"manualLotRatio",AD95)</f>
        <v>0</v>
      </c>
      <c r="AF95" s="321">
        <f>LET(numVmwShares,D95, vmwBasis,Z95, avgoQty,AE95, avgoFMV,Reference!$B$18, cashReceived,W95, gain,cashReceived+(avgoQty*avgoFMV)-(numVmwShares*vmwBasis),
MAX(gain,0))</f>
        <v>0</v>
      </c>
      <c r="AG95" s="322">
        <f>LET(useForFraction,J95, fractionAmount,Summary!$C$41, esppFractionLots,ESPP!$N$5, rsuFractionLots,RSU!J$5, IF(useForFraction, fractionAmount / (esppFractionLots+rsuFractionLots), 0))</f>
        <v>0</v>
      </c>
      <c r="AH95" s="411">
        <f>LET(useForFraction,J95, fractionSaleFMV,Reference!$B$23, postMergerBasis,AT95, lotFractionAmount,AG95, IF(useForFraction, (fractionSaleFMV - postMergerBasis)*lotFractionAmount, 0))</f>
        <v>0</v>
      </c>
      <c r="AI95" s="412">
        <f t="shared" si="11"/>
        <v>0</v>
      </c>
      <c r="AJ95" s="413">
        <f>LET(
purchaseDate,C95,
mergerDate,Reference!$B$28,
lotFractionGain,AH95,
mergerGain,AI95,
IF(DATEDIF(purchaseDate,mergerDate,"Y")&gt;=1,
  0,
  lotFractionGain + mergerGain
))</f>
        <v>0</v>
      </c>
      <c r="AK95" s="413">
        <f>LET(
purchaseDate,C95,
mergerDate,Reference!$B$28,
lotFractionGain,AH95,
mergerGain,AI95,
IF(DATEDIF(purchaseDate,mergerDate,"Y")&gt;=1,
  lotFractionGain+mergerGain,
  0
))</f>
        <v>0</v>
      </c>
      <c r="AL95" s="414" t="str">
        <f>IF(DATEDIF(C95,Reference!$B$28,"Y")&gt;=1,"Part II Box E","Part I Box B")</f>
        <v>Part II Box E</v>
      </c>
      <c r="AM95" s="344" t="str">
        <f t="shared" si="12"/>
        <v/>
      </c>
      <c r="AN95" s="330">
        <f t="shared" si="13"/>
        <v>0</v>
      </c>
      <c r="AO95" s="330">
        <f>LET(
cashReceived,W95, 
avgoQty,AE95, 
proceedsStyle,Reference!$E$9, 
avgoFMV,Reference!$B$18, 
SWITCH(proceedsStyle, "combined", cashReceived +(avgoQty*avgoFMV), "cashOnly", cashReceived))</f>
        <v>0</v>
      </c>
      <c r="AP95" s="345">
        <f>LET(
proceedsStyle,Reference!$E$9,
proceeds,AO95,
gain,AS95,
numVmwShares,D95, 
vmwBasis, Z95, 
avgoQty,AE95, 
avgoFMV,Reference!$B$18, 
cashReceived,W95, 
avgoTotalValue, avgoFMV*avgoQty, 
vmwTotalBasis, vmwBasis*numVmwShares,
alternateGainAmount,AF95, 
SWITCH(proceedsStyle,
  "cashOnly",
    proceeds - gain,
  "combined",
    IF(cashReceived&lt;alternateGainAmount,
      avgoTotalValue,
      vmwTotalBasis
    )
  )
)</f>
        <v>0</v>
      </c>
      <c r="AQ95" s="345" t="str">
        <f t="shared" si="14"/>
        <v/>
      </c>
      <c r="AR95" s="345">
        <v>0.0</v>
      </c>
      <c r="AS95" s="331">
        <f>LET(
proceedsStyle,Reference!$E$9,
proceeds,AO95,
basis1099B,AP95,
adjustment,AR95,
mergerGain,AI95,
SWITCH(proceedsStyle,
  "cashOnly",
    mergerGain,
  "combined",
    MAX(proceeds - basis1099B + adjustment, 0)
))</f>
        <v>0</v>
      </c>
      <c r="AT95" s="415" t="str">
        <f t="shared" si="15"/>
        <v>n/a</v>
      </c>
      <c r="AU95" s="333">
        <f>LET(saleFMV,Reference!$B$10, postMergerBasis,AT95, avgoQty,AE95, lotFractionAmount,AG95, iferror((saleFMV - postMergerBasis) * (avgoQty - lotFractionAmount), 0))</f>
        <v>0</v>
      </c>
      <c r="AV95" s="333">
        <f>LET(
avgoQty,AE95, 
purchaseDate,C95,
postMergerSaleDate,Reference!$B$29,
saleFMV,Reference!$B$10,
postMergerBasis,AT95, 
IFERROR(IF(DATEDIF(purchaseDate,postMergerSaleDate,"Y")&gt;=1,
  0,
  avgoQty * (saleFMV - postMergerBasis)
),0))</f>
        <v>0</v>
      </c>
      <c r="AW95" s="336">
        <f>LET(
avgoQty,AE95, 
purchaseDate,C95,
postMergerSaleDate,Reference!$B$29,
saleFMV,Reference!$B$10,
postMergerBasis,AT95, 
IFERROR(IF(DATEDIF(purchaseDate,postMergerSaleDate,"Y")&gt;=1,
  avgoQty * (saleFMV - postMergerBasis),
  0
),0))</f>
        <v>0</v>
      </c>
    </row>
    <row r="96">
      <c r="A96" s="422"/>
      <c r="B96" s="423"/>
      <c r="C96" s="351"/>
      <c r="D96" s="352"/>
      <c r="E96" s="321" t="str">
        <f t="array" ref="E96">IF(C96&lt;&gt;"", IFERROR(VLOOKUP(C96, SORT(PriceReference!$A$1:$B1014), 2, TRUE), "price unavailable"), "")</f>
        <v/>
      </c>
      <c r="F96" s="416"/>
      <c r="G96" s="309">
        <f t="shared" si="6"/>
        <v>0</v>
      </c>
      <c r="H96" s="321">
        <f t="shared" si="7"/>
        <v>0</v>
      </c>
      <c r="I96" s="417"/>
      <c r="J96" s="348" t="b">
        <v>0</v>
      </c>
      <c r="K96" s="409"/>
      <c r="L96" s="315">
        <v>0.0</v>
      </c>
      <c r="M96" s="315">
        <v>0.0</v>
      </c>
      <c r="N96" s="315">
        <v>0.0</v>
      </c>
      <c r="O96" s="315">
        <v>0.0</v>
      </c>
      <c r="P96" s="315">
        <v>0.0</v>
      </c>
      <c r="Q96" s="317">
        <f t="shared" si="8"/>
        <v>0</v>
      </c>
      <c r="R96" s="317" t="str">
        <f>SWITCH(S96,"cash",Reference!E$5,"shares",Reference!$E$6,"balance",Reference!$E$7,"pro-rata",Reference!$B$5)</f>
        <v>#DIV/0!</v>
      </c>
      <c r="S96" s="318" t="s">
        <v>207</v>
      </c>
      <c r="T96" s="319">
        <f>LET(numVmwShares,D96, cashRatio,Reference!$B$4, vmwFinalPrice,Reference!$B$3, numVmwShares * cashRatio * vmwFinalPrice)</f>
        <v>0</v>
      </c>
      <c r="U96" s="319">
        <f>iferror(LET(numVmwShares,$D96, stockRatio,Q96, vmwFinalPrice,Reference!$B$3, (1 - stockRatio) * vmwFinalPrice * numVmwShares),0)</f>
        <v>0</v>
      </c>
      <c r="V96" s="319">
        <f>iferror(LET(numVmwShares,$D96, stockRatio,R96, vmwFinalPrice,Reference!$B$3, (1 - stockRatio) * vmwFinalPrice * numVmwShares),0)</f>
        <v>0</v>
      </c>
      <c r="W96" s="319">
        <f>SWITCH(Reference!$E$4,"eTradeTransactionLog", T96, "eTradeHoldingRatio",T96, "eTradeLotQtyRatio",U96,"manualLotRatio",V96)</f>
        <v>0</v>
      </c>
      <c r="X96" s="309">
        <f>LET(purchaseDate,C96, dateOfRecord,Reference!$B$26, returnOfCapital,Reference!$C$26, IF(purchaseDate &lt; dateOfRecord, returnOfCapital,0))</f>
        <v>10.18</v>
      </c>
      <c r="Y96" s="309">
        <f>LET(purchaseDate,C96, dateOfRecord,Reference!$B$27, returnOfCapital,Reference!$C$27, IF(purchaseDate &lt; dateOfRecord, returnOfCapital,0))</f>
        <v>16.58</v>
      </c>
      <c r="Z96" s="309">
        <f t="shared" si="9"/>
        <v>-26.76</v>
      </c>
      <c r="AA96" s="309">
        <f t="shared" si="10"/>
        <v>0</v>
      </c>
      <c r="AB96" s="320">
        <f>LET(numVmwShares,D96, stockRatio,Reference!$B$5, vmwToAvgoRatio,Reference!$B$6, numVmwShares * stockRatio * vmwToAvgoRatio)</f>
        <v>0</v>
      </c>
      <c r="AC96" s="320">
        <f>LET(numVmwShares,D96, stockRatio,Q96, vmwToAvgoRatio,Reference!$B$6, numVmwShares * stockRatio * vmwToAvgoRatio)</f>
        <v>0</v>
      </c>
      <c r="AD96" s="320" t="str">
        <f>LET(numVmwShares,D96, stockRatio,R96, vmwToAvgoRatio,Reference!$B$6, numVmwShares * stockRatio * vmwToAvgoRatio)</f>
        <v>#DIV/0!</v>
      </c>
      <c r="AE96" s="320">
        <f>SWITCH(Reference!$E$4, "eTradeTransactionLog", AB96, "eTradeHoldingRatio",AB96, "eTradeLotQtyRatio",AC96,"manualLotRatio",AD96)</f>
        <v>0</v>
      </c>
      <c r="AF96" s="321">
        <f>LET(numVmwShares,D96, vmwBasis,Z96, avgoQty,AE96, avgoFMV,Reference!$B$18, cashReceived,W96, gain,cashReceived+(avgoQty*avgoFMV)-(numVmwShares*vmwBasis),
MAX(gain,0))</f>
        <v>0</v>
      </c>
      <c r="AG96" s="322">
        <f>LET(useForFraction,J96, fractionAmount,Summary!$C$41, esppFractionLots,ESPP!$N$5, rsuFractionLots,RSU!J$5, IF(useForFraction, fractionAmount / (esppFractionLots+rsuFractionLots), 0))</f>
        <v>0</v>
      </c>
      <c r="AH96" s="411">
        <f>LET(useForFraction,J96, fractionSaleFMV,Reference!$B$23, postMergerBasis,AT96, lotFractionAmount,AG96, IF(useForFraction, (fractionSaleFMV - postMergerBasis)*lotFractionAmount, 0))</f>
        <v>0</v>
      </c>
      <c r="AI96" s="412">
        <f t="shared" si="11"/>
        <v>0</v>
      </c>
      <c r="AJ96" s="413">
        <f>LET(
purchaseDate,C96,
mergerDate,Reference!$B$28,
lotFractionGain,AH96,
mergerGain,AI96,
IF(DATEDIF(purchaseDate,mergerDate,"Y")&gt;=1,
  0,
  lotFractionGain + mergerGain
))</f>
        <v>0</v>
      </c>
      <c r="AK96" s="413">
        <f>LET(
purchaseDate,C96,
mergerDate,Reference!$B$28,
lotFractionGain,AH96,
mergerGain,AI96,
IF(DATEDIF(purchaseDate,mergerDate,"Y")&gt;=1,
  lotFractionGain+mergerGain,
  0
))</f>
        <v>0</v>
      </c>
      <c r="AL96" s="414" t="str">
        <f>IF(DATEDIF(C96,Reference!$B$28,"Y")&gt;=1,"Part II Box E","Part I Box B")</f>
        <v>Part II Box E</v>
      </c>
      <c r="AM96" s="344" t="str">
        <f t="shared" si="12"/>
        <v/>
      </c>
      <c r="AN96" s="330">
        <f t="shared" si="13"/>
        <v>0</v>
      </c>
      <c r="AO96" s="330">
        <f>LET(
cashReceived,W96, 
avgoQty,AE96, 
proceedsStyle,Reference!$E$9, 
avgoFMV,Reference!$B$18, 
SWITCH(proceedsStyle, "combined", cashReceived +(avgoQty*avgoFMV), "cashOnly", cashReceived))</f>
        <v>0</v>
      </c>
      <c r="AP96" s="345">
        <f>LET(
proceedsStyle,Reference!$E$9,
proceeds,AO96,
gain,AS96,
numVmwShares,D96, 
vmwBasis, Z96, 
avgoQty,AE96, 
avgoFMV,Reference!$B$18, 
cashReceived,W96, 
avgoTotalValue, avgoFMV*avgoQty, 
vmwTotalBasis, vmwBasis*numVmwShares,
alternateGainAmount,AF96, 
SWITCH(proceedsStyle,
  "cashOnly",
    proceeds - gain,
  "combined",
    IF(cashReceived&lt;alternateGainAmount,
      avgoTotalValue,
      vmwTotalBasis
    )
  )
)</f>
        <v>0</v>
      </c>
      <c r="AQ96" s="345" t="str">
        <f t="shared" si="14"/>
        <v/>
      </c>
      <c r="AR96" s="345">
        <v>0.0</v>
      </c>
      <c r="AS96" s="331">
        <f>LET(
proceedsStyle,Reference!$E$9,
proceeds,AO96,
basis1099B,AP96,
adjustment,AR96,
mergerGain,AI96,
SWITCH(proceedsStyle,
  "cashOnly",
    mergerGain,
  "combined",
    MAX(proceeds - basis1099B + adjustment, 0)
))</f>
        <v>0</v>
      </c>
      <c r="AT96" s="415" t="str">
        <f t="shared" si="15"/>
        <v>n/a</v>
      </c>
      <c r="AU96" s="333">
        <f>LET(saleFMV,Reference!$B$10, postMergerBasis,AT96, avgoQty,AE96, lotFractionAmount,AG96, iferror((saleFMV - postMergerBasis) * (avgoQty - lotFractionAmount), 0))</f>
        <v>0</v>
      </c>
      <c r="AV96" s="333">
        <f>LET(
avgoQty,AE96, 
purchaseDate,C96,
postMergerSaleDate,Reference!$B$29,
saleFMV,Reference!$B$10,
postMergerBasis,AT96, 
IFERROR(IF(DATEDIF(purchaseDate,postMergerSaleDate,"Y")&gt;=1,
  0,
  avgoQty * (saleFMV - postMergerBasis)
),0))</f>
        <v>0</v>
      </c>
      <c r="AW96" s="336">
        <f>LET(
avgoQty,AE96, 
purchaseDate,C96,
postMergerSaleDate,Reference!$B$29,
saleFMV,Reference!$B$10,
postMergerBasis,AT96, 
IFERROR(IF(DATEDIF(purchaseDate,postMergerSaleDate,"Y")&gt;=1,
  avgoQty * (saleFMV - postMergerBasis),
  0
),0))</f>
        <v>0</v>
      </c>
    </row>
    <row r="97">
      <c r="A97" s="422"/>
      <c r="B97" s="423"/>
      <c r="C97" s="351"/>
      <c r="D97" s="352"/>
      <c r="E97" s="321" t="str">
        <f t="array" ref="E97">IF(C97&lt;&gt;"", IFERROR(VLOOKUP(C97, SORT(PriceReference!$A$1:$B1014), 2, TRUE), "price unavailable"), "")</f>
        <v/>
      </c>
      <c r="F97" s="416"/>
      <c r="G97" s="309">
        <f t="shared" si="6"/>
        <v>0</v>
      </c>
      <c r="H97" s="321">
        <f t="shared" si="7"/>
        <v>0</v>
      </c>
      <c r="I97" s="417"/>
      <c r="J97" s="348" t="b">
        <v>0</v>
      </c>
      <c r="K97" s="409"/>
      <c r="L97" s="315">
        <v>0.0</v>
      </c>
      <c r="M97" s="315">
        <v>0.0</v>
      </c>
      <c r="N97" s="315">
        <v>0.0</v>
      </c>
      <c r="O97" s="315">
        <v>0.0</v>
      </c>
      <c r="P97" s="315">
        <v>0.0</v>
      </c>
      <c r="Q97" s="317">
        <f t="shared" si="8"/>
        <v>0</v>
      </c>
      <c r="R97" s="317" t="str">
        <f>SWITCH(S97,"cash",Reference!E$5,"shares",Reference!$E$6,"balance",Reference!$E$7,"pro-rata",Reference!$B$5)</f>
        <v>#DIV/0!</v>
      </c>
      <c r="S97" s="318" t="s">
        <v>207</v>
      </c>
      <c r="T97" s="319">
        <f>LET(numVmwShares,D97, cashRatio,Reference!$B$4, vmwFinalPrice,Reference!$B$3, numVmwShares * cashRatio * vmwFinalPrice)</f>
        <v>0</v>
      </c>
      <c r="U97" s="319">
        <f>iferror(LET(numVmwShares,$D97, stockRatio,Q97, vmwFinalPrice,Reference!$B$3, (1 - stockRatio) * vmwFinalPrice * numVmwShares),0)</f>
        <v>0</v>
      </c>
      <c r="V97" s="319">
        <f>iferror(LET(numVmwShares,$D97, stockRatio,R97, vmwFinalPrice,Reference!$B$3, (1 - stockRatio) * vmwFinalPrice * numVmwShares),0)</f>
        <v>0</v>
      </c>
      <c r="W97" s="319">
        <f>SWITCH(Reference!$E$4,"eTradeTransactionLog", T97, "eTradeHoldingRatio",T97, "eTradeLotQtyRatio",U97,"manualLotRatio",V97)</f>
        <v>0</v>
      </c>
      <c r="X97" s="309">
        <f>LET(purchaseDate,C97, dateOfRecord,Reference!$B$26, returnOfCapital,Reference!$C$26, IF(purchaseDate &lt; dateOfRecord, returnOfCapital,0))</f>
        <v>10.18</v>
      </c>
      <c r="Y97" s="309">
        <f>LET(purchaseDate,C97, dateOfRecord,Reference!$B$27, returnOfCapital,Reference!$C$27, IF(purchaseDate &lt; dateOfRecord, returnOfCapital,0))</f>
        <v>16.58</v>
      </c>
      <c r="Z97" s="309">
        <f t="shared" si="9"/>
        <v>-26.76</v>
      </c>
      <c r="AA97" s="309">
        <f t="shared" si="10"/>
        <v>0</v>
      </c>
      <c r="AB97" s="320">
        <f>LET(numVmwShares,D97, stockRatio,Reference!$B$5, vmwToAvgoRatio,Reference!$B$6, numVmwShares * stockRatio * vmwToAvgoRatio)</f>
        <v>0</v>
      </c>
      <c r="AC97" s="320">
        <f>LET(numVmwShares,D97, stockRatio,Q97, vmwToAvgoRatio,Reference!$B$6, numVmwShares * stockRatio * vmwToAvgoRatio)</f>
        <v>0</v>
      </c>
      <c r="AD97" s="320" t="str">
        <f>LET(numVmwShares,D97, stockRatio,R97, vmwToAvgoRatio,Reference!$B$6, numVmwShares * stockRatio * vmwToAvgoRatio)</f>
        <v>#DIV/0!</v>
      </c>
      <c r="AE97" s="320">
        <f>SWITCH(Reference!$E$4, "eTradeTransactionLog", AB97, "eTradeHoldingRatio",AB97, "eTradeLotQtyRatio",AC97,"manualLotRatio",AD97)</f>
        <v>0</v>
      </c>
      <c r="AF97" s="321">
        <f>LET(numVmwShares,D97, vmwBasis,Z97, avgoQty,AE97, avgoFMV,Reference!$B$18, cashReceived,W97, gain,cashReceived+(avgoQty*avgoFMV)-(numVmwShares*vmwBasis),
MAX(gain,0))</f>
        <v>0</v>
      </c>
      <c r="AG97" s="322">
        <f>LET(useForFraction,J97, fractionAmount,Summary!$C$41, esppFractionLots,ESPP!$N$5, rsuFractionLots,RSU!J$5, IF(useForFraction, fractionAmount / (esppFractionLots+rsuFractionLots), 0))</f>
        <v>0</v>
      </c>
      <c r="AH97" s="411">
        <f>LET(useForFraction,J97, fractionSaleFMV,Reference!$B$23, postMergerBasis,AT97, lotFractionAmount,AG97, IF(useForFraction, (fractionSaleFMV - postMergerBasis)*lotFractionAmount, 0))</f>
        <v>0</v>
      </c>
      <c r="AI97" s="412">
        <f t="shared" si="11"/>
        <v>0</v>
      </c>
      <c r="AJ97" s="413">
        <f>LET(
purchaseDate,C97,
mergerDate,Reference!$B$28,
lotFractionGain,AH97,
mergerGain,AI97,
IF(DATEDIF(purchaseDate,mergerDate,"Y")&gt;=1,
  0,
  lotFractionGain + mergerGain
))</f>
        <v>0</v>
      </c>
      <c r="AK97" s="413">
        <f>LET(
purchaseDate,C97,
mergerDate,Reference!$B$28,
lotFractionGain,AH97,
mergerGain,AI97,
IF(DATEDIF(purchaseDate,mergerDate,"Y")&gt;=1,
  lotFractionGain+mergerGain,
  0
))</f>
        <v>0</v>
      </c>
      <c r="AL97" s="414" t="str">
        <f>IF(DATEDIF(C97,Reference!$B$28,"Y")&gt;=1,"Part II Box E","Part I Box B")</f>
        <v>Part II Box E</v>
      </c>
      <c r="AM97" s="344" t="str">
        <f t="shared" si="12"/>
        <v/>
      </c>
      <c r="AN97" s="330">
        <f t="shared" si="13"/>
        <v>0</v>
      </c>
      <c r="AO97" s="330">
        <f>LET(
cashReceived,W97, 
avgoQty,AE97, 
proceedsStyle,Reference!$E$9, 
avgoFMV,Reference!$B$18, 
SWITCH(proceedsStyle, "combined", cashReceived +(avgoQty*avgoFMV), "cashOnly", cashReceived))</f>
        <v>0</v>
      </c>
      <c r="AP97" s="345">
        <f>LET(
proceedsStyle,Reference!$E$9,
proceeds,AO97,
gain,AS97,
numVmwShares,D97, 
vmwBasis, Z97, 
avgoQty,AE97, 
avgoFMV,Reference!$B$18, 
cashReceived,W97, 
avgoTotalValue, avgoFMV*avgoQty, 
vmwTotalBasis, vmwBasis*numVmwShares,
alternateGainAmount,AF97, 
SWITCH(proceedsStyle,
  "cashOnly",
    proceeds - gain,
  "combined",
    IF(cashReceived&lt;alternateGainAmount,
      avgoTotalValue,
      vmwTotalBasis
    )
  )
)</f>
        <v>0</v>
      </c>
      <c r="AQ97" s="345" t="str">
        <f t="shared" si="14"/>
        <v/>
      </c>
      <c r="AR97" s="345">
        <v>0.0</v>
      </c>
      <c r="AS97" s="331">
        <f>LET(
proceedsStyle,Reference!$E$9,
proceeds,AO97,
basis1099B,AP97,
adjustment,AR97,
mergerGain,AI97,
SWITCH(proceedsStyle,
  "cashOnly",
    mergerGain,
  "combined",
    MAX(proceeds - basis1099B + adjustment, 0)
))</f>
        <v>0</v>
      </c>
      <c r="AT97" s="415" t="str">
        <f t="shared" si="15"/>
        <v>n/a</v>
      </c>
      <c r="AU97" s="333">
        <f>LET(saleFMV,Reference!$B$10, postMergerBasis,AT97, avgoQty,AE97, lotFractionAmount,AG97, iferror((saleFMV - postMergerBasis) * (avgoQty - lotFractionAmount), 0))</f>
        <v>0</v>
      </c>
      <c r="AV97" s="333">
        <f>LET(
avgoQty,AE97, 
purchaseDate,C97,
postMergerSaleDate,Reference!$B$29,
saleFMV,Reference!$B$10,
postMergerBasis,AT97, 
IFERROR(IF(DATEDIF(purchaseDate,postMergerSaleDate,"Y")&gt;=1,
  0,
  avgoQty * (saleFMV - postMergerBasis)
),0))</f>
        <v>0</v>
      </c>
      <c r="AW97" s="336">
        <f>LET(
avgoQty,AE97, 
purchaseDate,C97,
postMergerSaleDate,Reference!$B$29,
saleFMV,Reference!$B$10,
postMergerBasis,AT97, 
IFERROR(IF(DATEDIF(purchaseDate,postMergerSaleDate,"Y")&gt;=1,
  avgoQty * (saleFMV - postMergerBasis),
  0
),0))</f>
        <v>0</v>
      </c>
    </row>
    <row r="98">
      <c r="A98" s="422"/>
      <c r="B98" s="423"/>
      <c r="C98" s="351"/>
      <c r="D98" s="352"/>
      <c r="E98" s="321" t="str">
        <f t="array" ref="E98">IF(C98&lt;&gt;"", IFERROR(VLOOKUP(C98, SORT(PriceReference!$A$1:$B1014), 2, TRUE), "price unavailable"), "")</f>
        <v/>
      </c>
      <c r="F98" s="416"/>
      <c r="G98" s="309">
        <f t="shared" si="6"/>
        <v>0</v>
      </c>
      <c r="H98" s="321">
        <f t="shared" si="7"/>
        <v>0</v>
      </c>
      <c r="I98" s="417"/>
      <c r="J98" s="348" t="b">
        <v>0</v>
      </c>
      <c r="K98" s="409"/>
      <c r="L98" s="315">
        <v>0.0</v>
      </c>
      <c r="M98" s="315">
        <v>0.0</v>
      </c>
      <c r="N98" s="315">
        <v>0.0</v>
      </c>
      <c r="O98" s="315">
        <v>0.0</v>
      </c>
      <c r="P98" s="315">
        <v>0.0</v>
      </c>
      <c r="Q98" s="317">
        <f t="shared" si="8"/>
        <v>0</v>
      </c>
      <c r="R98" s="317" t="str">
        <f>SWITCH(S98,"cash",Reference!E$5,"shares",Reference!$E$6,"balance",Reference!$E$7,"pro-rata",Reference!$B$5)</f>
        <v>#DIV/0!</v>
      </c>
      <c r="S98" s="318" t="s">
        <v>207</v>
      </c>
      <c r="T98" s="319">
        <f>LET(numVmwShares,D98, cashRatio,Reference!$B$4, vmwFinalPrice,Reference!$B$3, numVmwShares * cashRatio * vmwFinalPrice)</f>
        <v>0</v>
      </c>
      <c r="U98" s="319">
        <f>iferror(LET(numVmwShares,$D98, stockRatio,Q98, vmwFinalPrice,Reference!$B$3, (1 - stockRatio) * vmwFinalPrice * numVmwShares),0)</f>
        <v>0</v>
      </c>
      <c r="V98" s="319">
        <f>iferror(LET(numVmwShares,$D98, stockRatio,R98, vmwFinalPrice,Reference!$B$3, (1 - stockRatio) * vmwFinalPrice * numVmwShares),0)</f>
        <v>0</v>
      </c>
      <c r="W98" s="319">
        <f>SWITCH(Reference!$E$4,"eTradeTransactionLog", T98, "eTradeHoldingRatio",T98, "eTradeLotQtyRatio",U98,"manualLotRatio",V98)</f>
        <v>0</v>
      </c>
      <c r="X98" s="309">
        <f>LET(purchaseDate,C98, dateOfRecord,Reference!$B$26, returnOfCapital,Reference!$C$26, IF(purchaseDate &lt; dateOfRecord, returnOfCapital,0))</f>
        <v>10.18</v>
      </c>
      <c r="Y98" s="309">
        <f>LET(purchaseDate,C98, dateOfRecord,Reference!$B$27, returnOfCapital,Reference!$C$27, IF(purchaseDate &lt; dateOfRecord, returnOfCapital,0))</f>
        <v>16.58</v>
      </c>
      <c r="Z98" s="309">
        <f t="shared" si="9"/>
        <v>-26.76</v>
      </c>
      <c r="AA98" s="309">
        <f t="shared" si="10"/>
        <v>0</v>
      </c>
      <c r="AB98" s="320">
        <f>LET(numVmwShares,D98, stockRatio,Reference!$B$5, vmwToAvgoRatio,Reference!$B$6, numVmwShares * stockRatio * vmwToAvgoRatio)</f>
        <v>0</v>
      </c>
      <c r="AC98" s="320">
        <f>LET(numVmwShares,D98, stockRatio,Q98, vmwToAvgoRatio,Reference!$B$6, numVmwShares * stockRatio * vmwToAvgoRatio)</f>
        <v>0</v>
      </c>
      <c r="AD98" s="320" t="str">
        <f>LET(numVmwShares,D98, stockRatio,R98, vmwToAvgoRatio,Reference!$B$6, numVmwShares * stockRatio * vmwToAvgoRatio)</f>
        <v>#DIV/0!</v>
      </c>
      <c r="AE98" s="320">
        <f>SWITCH(Reference!$E$4, "eTradeTransactionLog", AB98, "eTradeHoldingRatio",AB98, "eTradeLotQtyRatio",AC98,"manualLotRatio",AD98)</f>
        <v>0</v>
      </c>
      <c r="AF98" s="321">
        <f>LET(numVmwShares,D98, vmwBasis,Z98, avgoQty,AE98, avgoFMV,Reference!$B$18, cashReceived,W98, gain,cashReceived+(avgoQty*avgoFMV)-(numVmwShares*vmwBasis),
MAX(gain,0))</f>
        <v>0</v>
      </c>
      <c r="AG98" s="322">
        <f>LET(useForFraction,J98, fractionAmount,Summary!$C$41, esppFractionLots,ESPP!$N$5, rsuFractionLots,RSU!J$5, IF(useForFraction, fractionAmount / (esppFractionLots+rsuFractionLots), 0))</f>
        <v>0</v>
      </c>
      <c r="AH98" s="411">
        <f>LET(useForFraction,J98, fractionSaleFMV,Reference!$B$23, postMergerBasis,AT98, lotFractionAmount,AG98, IF(useForFraction, (fractionSaleFMV - postMergerBasis)*lotFractionAmount, 0))</f>
        <v>0</v>
      </c>
      <c r="AI98" s="412">
        <f t="shared" si="11"/>
        <v>0</v>
      </c>
      <c r="AJ98" s="413">
        <f>LET(
purchaseDate,C98,
mergerDate,Reference!$B$28,
lotFractionGain,AH98,
mergerGain,AI98,
IF(DATEDIF(purchaseDate,mergerDate,"Y")&gt;=1,
  0,
  lotFractionGain + mergerGain
))</f>
        <v>0</v>
      </c>
      <c r="AK98" s="413">
        <f>LET(
purchaseDate,C98,
mergerDate,Reference!$B$28,
lotFractionGain,AH98,
mergerGain,AI98,
IF(DATEDIF(purchaseDate,mergerDate,"Y")&gt;=1,
  lotFractionGain+mergerGain,
  0
))</f>
        <v>0</v>
      </c>
      <c r="AL98" s="414" t="str">
        <f>IF(DATEDIF(C98,Reference!$B$28,"Y")&gt;=1,"Part II Box E","Part I Box B")</f>
        <v>Part II Box E</v>
      </c>
      <c r="AM98" s="344" t="str">
        <f t="shared" si="12"/>
        <v/>
      </c>
      <c r="AN98" s="330">
        <f t="shared" si="13"/>
        <v>0</v>
      </c>
      <c r="AO98" s="330">
        <f>LET(
cashReceived,W98, 
avgoQty,AE98, 
proceedsStyle,Reference!$E$9, 
avgoFMV,Reference!$B$18, 
SWITCH(proceedsStyle, "combined", cashReceived +(avgoQty*avgoFMV), "cashOnly", cashReceived))</f>
        <v>0</v>
      </c>
      <c r="AP98" s="345">
        <f>LET(
proceedsStyle,Reference!$E$9,
proceeds,AO98,
gain,AS98,
numVmwShares,D98, 
vmwBasis, Z98, 
avgoQty,AE98, 
avgoFMV,Reference!$B$18, 
cashReceived,W98, 
avgoTotalValue, avgoFMV*avgoQty, 
vmwTotalBasis, vmwBasis*numVmwShares,
alternateGainAmount,AF98, 
SWITCH(proceedsStyle,
  "cashOnly",
    proceeds - gain,
  "combined",
    IF(cashReceived&lt;alternateGainAmount,
      avgoTotalValue,
      vmwTotalBasis
    )
  )
)</f>
        <v>0</v>
      </c>
      <c r="AQ98" s="345" t="str">
        <f t="shared" si="14"/>
        <v/>
      </c>
      <c r="AR98" s="345">
        <v>0.0</v>
      </c>
      <c r="AS98" s="331">
        <f>LET(
proceedsStyle,Reference!$E$9,
proceeds,AO98,
basis1099B,AP98,
adjustment,AR98,
mergerGain,AI98,
SWITCH(proceedsStyle,
  "cashOnly",
    mergerGain,
  "combined",
    MAX(proceeds - basis1099B + adjustment, 0)
))</f>
        <v>0</v>
      </c>
      <c r="AT98" s="415" t="str">
        <f t="shared" si="15"/>
        <v>n/a</v>
      </c>
      <c r="AU98" s="333">
        <f>LET(saleFMV,Reference!$B$10, postMergerBasis,AT98, avgoQty,AE98, lotFractionAmount,AG98, iferror((saleFMV - postMergerBasis) * (avgoQty - lotFractionAmount), 0))</f>
        <v>0</v>
      </c>
      <c r="AV98" s="333">
        <f>LET(
avgoQty,AE98, 
purchaseDate,C98,
postMergerSaleDate,Reference!$B$29,
saleFMV,Reference!$B$10,
postMergerBasis,AT98, 
IFERROR(IF(DATEDIF(purchaseDate,postMergerSaleDate,"Y")&gt;=1,
  0,
  avgoQty * (saleFMV - postMergerBasis)
),0))</f>
        <v>0</v>
      </c>
      <c r="AW98" s="336">
        <f>LET(
avgoQty,AE98, 
purchaseDate,C98,
postMergerSaleDate,Reference!$B$29,
saleFMV,Reference!$B$10,
postMergerBasis,AT98, 
IFERROR(IF(DATEDIF(purchaseDate,postMergerSaleDate,"Y")&gt;=1,
  avgoQty * (saleFMV - postMergerBasis),
  0
),0))</f>
        <v>0</v>
      </c>
    </row>
    <row r="99">
      <c r="A99" s="422"/>
      <c r="B99" s="423"/>
      <c r="C99" s="351"/>
      <c r="D99" s="352"/>
      <c r="E99" s="321" t="str">
        <f t="array" ref="E99">IF(C99&lt;&gt;"", IFERROR(VLOOKUP(C99, SORT(PriceReference!$A$1:$B1014), 2, TRUE), "price unavailable"), "")</f>
        <v/>
      </c>
      <c r="F99" s="416"/>
      <c r="G99" s="309">
        <f t="shared" si="6"/>
        <v>0</v>
      </c>
      <c r="H99" s="321">
        <f t="shared" si="7"/>
        <v>0</v>
      </c>
      <c r="I99" s="417"/>
      <c r="J99" s="348" t="b">
        <v>0</v>
      </c>
      <c r="K99" s="409"/>
      <c r="L99" s="315">
        <v>0.0</v>
      </c>
      <c r="M99" s="315">
        <v>0.0</v>
      </c>
      <c r="N99" s="315">
        <v>0.0</v>
      </c>
      <c r="O99" s="315">
        <v>0.0</v>
      </c>
      <c r="P99" s="315">
        <v>0.0</v>
      </c>
      <c r="Q99" s="317">
        <f t="shared" si="8"/>
        <v>0</v>
      </c>
      <c r="R99" s="317" t="str">
        <f>SWITCH(S99,"cash",Reference!E$5,"shares",Reference!$E$6,"balance",Reference!$E$7,"pro-rata",Reference!$B$5)</f>
        <v>#DIV/0!</v>
      </c>
      <c r="S99" s="318" t="s">
        <v>207</v>
      </c>
      <c r="T99" s="319">
        <f>LET(numVmwShares,D99, cashRatio,Reference!$B$4, vmwFinalPrice,Reference!$B$3, numVmwShares * cashRatio * vmwFinalPrice)</f>
        <v>0</v>
      </c>
      <c r="U99" s="319">
        <f>iferror(LET(numVmwShares,$D99, stockRatio,Q99, vmwFinalPrice,Reference!$B$3, (1 - stockRatio) * vmwFinalPrice * numVmwShares),0)</f>
        <v>0</v>
      </c>
      <c r="V99" s="319">
        <f>iferror(LET(numVmwShares,$D99, stockRatio,R99, vmwFinalPrice,Reference!$B$3, (1 - stockRatio) * vmwFinalPrice * numVmwShares),0)</f>
        <v>0</v>
      </c>
      <c r="W99" s="319">
        <f>SWITCH(Reference!$E$4,"eTradeTransactionLog", T99, "eTradeHoldingRatio",T99, "eTradeLotQtyRatio",U99,"manualLotRatio",V99)</f>
        <v>0</v>
      </c>
      <c r="X99" s="309">
        <f>LET(purchaseDate,C99, dateOfRecord,Reference!$B$26, returnOfCapital,Reference!$C$26, IF(purchaseDate &lt; dateOfRecord, returnOfCapital,0))</f>
        <v>10.18</v>
      </c>
      <c r="Y99" s="309">
        <f>LET(purchaseDate,C99, dateOfRecord,Reference!$B$27, returnOfCapital,Reference!$C$27, IF(purchaseDate &lt; dateOfRecord, returnOfCapital,0))</f>
        <v>16.58</v>
      </c>
      <c r="Z99" s="309">
        <f t="shared" si="9"/>
        <v>-26.76</v>
      </c>
      <c r="AA99" s="309">
        <f t="shared" si="10"/>
        <v>0</v>
      </c>
      <c r="AB99" s="320">
        <f>LET(numVmwShares,D99, stockRatio,Reference!$B$5, vmwToAvgoRatio,Reference!$B$6, numVmwShares * stockRatio * vmwToAvgoRatio)</f>
        <v>0</v>
      </c>
      <c r="AC99" s="320">
        <f>LET(numVmwShares,D99, stockRatio,Q99, vmwToAvgoRatio,Reference!$B$6, numVmwShares * stockRatio * vmwToAvgoRatio)</f>
        <v>0</v>
      </c>
      <c r="AD99" s="320" t="str">
        <f>LET(numVmwShares,D99, stockRatio,R99, vmwToAvgoRatio,Reference!$B$6, numVmwShares * stockRatio * vmwToAvgoRatio)</f>
        <v>#DIV/0!</v>
      </c>
      <c r="AE99" s="320">
        <f>SWITCH(Reference!$E$4, "eTradeTransactionLog", AB99, "eTradeHoldingRatio",AB99, "eTradeLotQtyRatio",AC99,"manualLotRatio",AD99)</f>
        <v>0</v>
      </c>
      <c r="AF99" s="321">
        <f>LET(numVmwShares,D99, vmwBasis,Z99, avgoQty,AE99, avgoFMV,Reference!$B$18, cashReceived,W99, gain,cashReceived+(avgoQty*avgoFMV)-(numVmwShares*vmwBasis),
MAX(gain,0))</f>
        <v>0</v>
      </c>
      <c r="AG99" s="322">
        <f>LET(useForFraction,J99, fractionAmount,Summary!$C$41, esppFractionLots,ESPP!$N$5, rsuFractionLots,RSU!J$5, IF(useForFraction, fractionAmount / (esppFractionLots+rsuFractionLots), 0))</f>
        <v>0</v>
      </c>
      <c r="AH99" s="411">
        <f>LET(useForFraction,J99, fractionSaleFMV,Reference!$B$23, postMergerBasis,AT99, lotFractionAmount,AG99, IF(useForFraction, (fractionSaleFMV - postMergerBasis)*lotFractionAmount, 0))</f>
        <v>0</v>
      </c>
      <c r="AI99" s="412">
        <f t="shared" si="11"/>
        <v>0</v>
      </c>
      <c r="AJ99" s="413">
        <f>LET(
purchaseDate,C99,
mergerDate,Reference!$B$28,
lotFractionGain,AH99,
mergerGain,AI99,
IF(DATEDIF(purchaseDate,mergerDate,"Y")&gt;=1,
  0,
  lotFractionGain + mergerGain
))</f>
        <v>0</v>
      </c>
      <c r="AK99" s="413">
        <f>LET(
purchaseDate,C99,
mergerDate,Reference!$B$28,
lotFractionGain,AH99,
mergerGain,AI99,
IF(DATEDIF(purchaseDate,mergerDate,"Y")&gt;=1,
  lotFractionGain+mergerGain,
  0
))</f>
        <v>0</v>
      </c>
      <c r="AL99" s="414" t="str">
        <f>IF(DATEDIF(C99,Reference!$B$28,"Y")&gt;=1,"Part II Box E","Part I Box B")</f>
        <v>Part II Box E</v>
      </c>
      <c r="AM99" s="344" t="str">
        <f t="shared" si="12"/>
        <v/>
      </c>
      <c r="AN99" s="330">
        <f t="shared" si="13"/>
        <v>0</v>
      </c>
      <c r="AO99" s="330">
        <f>LET(
cashReceived,W99, 
avgoQty,AE99, 
proceedsStyle,Reference!$E$9, 
avgoFMV,Reference!$B$18, 
SWITCH(proceedsStyle, "combined", cashReceived +(avgoQty*avgoFMV), "cashOnly", cashReceived))</f>
        <v>0</v>
      </c>
      <c r="AP99" s="345">
        <f>LET(
proceedsStyle,Reference!$E$9,
proceeds,AO99,
gain,AS99,
numVmwShares,D99, 
vmwBasis, Z99, 
avgoQty,AE99, 
avgoFMV,Reference!$B$18, 
cashReceived,W99, 
avgoTotalValue, avgoFMV*avgoQty, 
vmwTotalBasis, vmwBasis*numVmwShares,
alternateGainAmount,AF99, 
SWITCH(proceedsStyle,
  "cashOnly",
    proceeds - gain,
  "combined",
    IF(cashReceived&lt;alternateGainAmount,
      avgoTotalValue,
      vmwTotalBasis
    )
  )
)</f>
        <v>0</v>
      </c>
      <c r="AQ99" s="345" t="str">
        <f t="shared" si="14"/>
        <v/>
      </c>
      <c r="AR99" s="345">
        <v>0.0</v>
      </c>
      <c r="AS99" s="331">
        <f>LET(
proceedsStyle,Reference!$E$9,
proceeds,AO99,
basis1099B,AP99,
adjustment,AR99,
mergerGain,AI99,
SWITCH(proceedsStyle,
  "cashOnly",
    mergerGain,
  "combined",
    MAX(proceeds - basis1099B + adjustment, 0)
))</f>
        <v>0</v>
      </c>
      <c r="AT99" s="415" t="str">
        <f t="shared" si="15"/>
        <v>n/a</v>
      </c>
      <c r="AU99" s="333">
        <f>LET(saleFMV,Reference!$B$10, postMergerBasis,AT99, avgoQty,AE99, lotFractionAmount,AG99, iferror((saleFMV - postMergerBasis) * (avgoQty - lotFractionAmount), 0))</f>
        <v>0</v>
      </c>
      <c r="AV99" s="333">
        <f>LET(
avgoQty,AE99, 
purchaseDate,C99,
postMergerSaleDate,Reference!$B$29,
saleFMV,Reference!$B$10,
postMergerBasis,AT99, 
IFERROR(IF(DATEDIF(purchaseDate,postMergerSaleDate,"Y")&gt;=1,
  0,
  avgoQty * (saleFMV - postMergerBasis)
),0))</f>
        <v>0</v>
      </c>
      <c r="AW99" s="336">
        <f>LET(
avgoQty,AE99, 
purchaseDate,C99,
postMergerSaleDate,Reference!$B$29,
saleFMV,Reference!$B$10,
postMergerBasis,AT99, 
IFERROR(IF(DATEDIF(purchaseDate,postMergerSaleDate,"Y")&gt;=1,
  avgoQty * (saleFMV - postMergerBasis),
  0
),0))</f>
        <v>0</v>
      </c>
    </row>
    <row r="100">
      <c r="A100" s="422"/>
      <c r="B100" s="423"/>
      <c r="C100" s="351"/>
      <c r="D100" s="352"/>
      <c r="E100" s="321" t="str">
        <f t="array" ref="E100">IF(C100&lt;&gt;"", IFERROR(VLOOKUP(C100, SORT(PriceReference!$A$1:$B1014), 2, TRUE), "price unavailable"), "")</f>
        <v/>
      </c>
      <c r="F100" s="416"/>
      <c r="G100" s="309">
        <f t="shared" si="6"/>
        <v>0</v>
      </c>
      <c r="H100" s="321">
        <f t="shared" si="7"/>
        <v>0</v>
      </c>
      <c r="I100" s="417"/>
      <c r="J100" s="348" t="b">
        <v>0</v>
      </c>
      <c r="K100" s="409"/>
      <c r="L100" s="315">
        <v>0.0</v>
      </c>
      <c r="M100" s="315">
        <v>0.0</v>
      </c>
      <c r="N100" s="315">
        <v>0.0</v>
      </c>
      <c r="O100" s="315">
        <v>0.0</v>
      </c>
      <c r="P100" s="315">
        <v>0.0</v>
      </c>
      <c r="Q100" s="317">
        <f t="shared" si="8"/>
        <v>0</v>
      </c>
      <c r="R100" s="317" t="str">
        <f>SWITCH(S100,"cash",Reference!E$5,"shares",Reference!$E$6,"balance",Reference!$E$7,"pro-rata",Reference!$B$5)</f>
        <v>#DIV/0!</v>
      </c>
      <c r="S100" s="318" t="s">
        <v>207</v>
      </c>
      <c r="T100" s="319">
        <f>LET(numVmwShares,D100, cashRatio,Reference!$B$4, vmwFinalPrice,Reference!$B$3, numVmwShares * cashRatio * vmwFinalPrice)</f>
        <v>0</v>
      </c>
      <c r="U100" s="319">
        <f>iferror(LET(numVmwShares,$D100, stockRatio,Q100, vmwFinalPrice,Reference!$B$3, (1 - stockRatio) * vmwFinalPrice * numVmwShares),0)</f>
        <v>0</v>
      </c>
      <c r="V100" s="319">
        <f>iferror(LET(numVmwShares,$D100, stockRatio,R100, vmwFinalPrice,Reference!$B$3, (1 - stockRatio) * vmwFinalPrice * numVmwShares),0)</f>
        <v>0</v>
      </c>
      <c r="W100" s="319">
        <f>SWITCH(Reference!$E$4,"eTradeTransactionLog", T100, "eTradeHoldingRatio",T100, "eTradeLotQtyRatio",U100,"manualLotRatio",V100)</f>
        <v>0</v>
      </c>
      <c r="X100" s="309">
        <f>LET(purchaseDate,C100, dateOfRecord,Reference!$B$26, returnOfCapital,Reference!$C$26, IF(purchaseDate &lt; dateOfRecord, returnOfCapital,0))</f>
        <v>10.18</v>
      </c>
      <c r="Y100" s="309">
        <f>LET(purchaseDate,C100, dateOfRecord,Reference!$B$27, returnOfCapital,Reference!$C$27, IF(purchaseDate &lt; dateOfRecord, returnOfCapital,0))</f>
        <v>16.58</v>
      </c>
      <c r="Z100" s="309">
        <f t="shared" si="9"/>
        <v>-26.76</v>
      </c>
      <c r="AA100" s="309">
        <f t="shared" si="10"/>
        <v>0</v>
      </c>
      <c r="AB100" s="320">
        <f>LET(numVmwShares,D100, stockRatio,Reference!$B$5, vmwToAvgoRatio,Reference!$B$6, numVmwShares * stockRatio * vmwToAvgoRatio)</f>
        <v>0</v>
      </c>
      <c r="AC100" s="320">
        <f>LET(numVmwShares,D100, stockRatio,Q100, vmwToAvgoRatio,Reference!$B$6, numVmwShares * stockRatio * vmwToAvgoRatio)</f>
        <v>0</v>
      </c>
      <c r="AD100" s="320" t="str">
        <f>LET(numVmwShares,D100, stockRatio,R100, vmwToAvgoRatio,Reference!$B$6, numVmwShares * stockRatio * vmwToAvgoRatio)</f>
        <v>#DIV/0!</v>
      </c>
      <c r="AE100" s="320">
        <f>SWITCH(Reference!$E$4, "eTradeTransactionLog", AB100, "eTradeHoldingRatio",AB100, "eTradeLotQtyRatio",AC100,"manualLotRatio",AD100)</f>
        <v>0</v>
      </c>
      <c r="AF100" s="321">
        <f>LET(numVmwShares,D100, vmwBasis,Z100, avgoQty,AE100, avgoFMV,Reference!$B$18, cashReceived,W100, gain,cashReceived+(avgoQty*avgoFMV)-(numVmwShares*vmwBasis),
MAX(gain,0))</f>
        <v>0</v>
      </c>
      <c r="AG100" s="322">
        <f>LET(useForFraction,J100, fractionAmount,Summary!$C$41, esppFractionLots,ESPP!$N$5, rsuFractionLots,RSU!J$5, IF(useForFraction, fractionAmount / (esppFractionLots+rsuFractionLots), 0))</f>
        <v>0</v>
      </c>
      <c r="AH100" s="411">
        <f>LET(useForFraction,J100, fractionSaleFMV,Reference!$B$23, postMergerBasis,AT100, lotFractionAmount,AG100, IF(useForFraction, (fractionSaleFMV - postMergerBasis)*lotFractionAmount, 0))</f>
        <v>0</v>
      </c>
      <c r="AI100" s="412">
        <f t="shared" si="11"/>
        <v>0</v>
      </c>
      <c r="AJ100" s="413">
        <f>LET(
purchaseDate,C100,
mergerDate,Reference!$B$28,
lotFractionGain,AH100,
mergerGain,AI100,
IF(DATEDIF(purchaseDate,mergerDate,"Y")&gt;=1,
  0,
  lotFractionGain + mergerGain
))</f>
        <v>0</v>
      </c>
      <c r="AK100" s="413">
        <f>LET(
purchaseDate,C100,
mergerDate,Reference!$B$28,
lotFractionGain,AH100,
mergerGain,AI100,
IF(DATEDIF(purchaseDate,mergerDate,"Y")&gt;=1,
  lotFractionGain+mergerGain,
  0
))</f>
        <v>0</v>
      </c>
      <c r="AL100" s="414" t="str">
        <f>IF(DATEDIF(C100,Reference!$B$28,"Y")&gt;=1,"Part II Box E","Part I Box B")</f>
        <v>Part II Box E</v>
      </c>
      <c r="AM100" s="344" t="str">
        <f t="shared" si="12"/>
        <v/>
      </c>
      <c r="AN100" s="330">
        <f t="shared" si="13"/>
        <v>0</v>
      </c>
      <c r="AO100" s="330">
        <f>LET(
cashReceived,W100, 
avgoQty,AE100, 
proceedsStyle,Reference!$E$9, 
avgoFMV,Reference!$B$18, 
SWITCH(proceedsStyle, "combined", cashReceived +(avgoQty*avgoFMV), "cashOnly", cashReceived))</f>
        <v>0</v>
      </c>
      <c r="AP100" s="345">
        <f>LET(
proceedsStyle,Reference!$E$9,
proceeds,AO100,
gain,AS100,
numVmwShares,D100, 
vmwBasis, Z100, 
avgoQty,AE100, 
avgoFMV,Reference!$B$18, 
cashReceived,W100, 
avgoTotalValue, avgoFMV*avgoQty, 
vmwTotalBasis, vmwBasis*numVmwShares,
alternateGainAmount,AF100, 
SWITCH(proceedsStyle,
  "cashOnly",
    proceeds - gain,
  "combined",
    IF(cashReceived&lt;alternateGainAmount,
      avgoTotalValue,
      vmwTotalBasis
    )
  )
)</f>
        <v>0</v>
      </c>
      <c r="AQ100" s="345" t="str">
        <f t="shared" si="14"/>
        <v/>
      </c>
      <c r="AR100" s="345">
        <v>0.0</v>
      </c>
      <c r="AS100" s="331">
        <f>LET(
proceedsStyle,Reference!$E$9,
proceeds,AO100,
basis1099B,AP100,
adjustment,AR100,
mergerGain,AI100,
SWITCH(proceedsStyle,
  "cashOnly",
    mergerGain,
  "combined",
    MAX(proceeds - basis1099B + adjustment, 0)
))</f>
        <v>0</v>
      </c>
      <c r="AT100" s="415" t="str">
        <f t="shared" si="15"/>
        <v>n/a</v>
      </c>
      <c r="AU100" s="333">
        <f>LET(saleFMV,Reference!$B$10, postMergerBasis,AT100, avgoQty,AE100, lotFractionAmount,AG100, iferror((saleFMV - postMergerBasis) * (avgoQty - lotFractionAmount), 0))</f>
        <v>0</v>
      </c>
      <c r="AV100" s="333">
        <f>LET(
avgoQty,AE100, 
purchaseDate,C100,
postMergerSaleDate,Reference!$B$29,
saleFMV,Reference!$B$10,
postMergerBasis,AT100, 
IFERROR(IF(DATEDIF(purchaseDate,postMergerSaleDate,"Y")&gt;=1,
  0,
  avgoQty * (saleFMV - postMergerBasis)
),0))</f>
        <v>0</v>
      </c>
      <c r="AW100" s="336">
        <f>LET(
avgoQty,AE100, 
purchaseDate,C100,
postMergerSaleDate,Reference!$B$29,
saleFMV,Reference!$B$10,
postMergerBasis,AT100, 
IFERROR(IF(DATEDIF(purchaseDate,postMergerSaleDate,"Y")&gt;=1,
  avgoQty * (saleFMV - postMergerBasis),
  0
),0))</f>
        <v>0</v>
      </c>
    </row>
    <row r="101">
      <c r="A101" s="422"/>
      <c r="B101" s="423"/>
      <c r="C101" s="351"/>
      <c r="D101" s="352"/>
      <c r="E101" s="321" t="str">
        <f t="array" ref="E101">IF(C101&lt;&gt;"", IFERROR(VLOOKUP(C101, SORT(PriceReference!$A$1:$B1014), 2, TRUE), "price unavailable"), "")</f>
        <v/>
      </c>
      <c r="F101" s="416"/>
      <c r="G101" s="309">
        <f t="shared" si="6"/>
        <v>0</v>
      </c>
      <c r="H101" s="321">
        <f t="shared" si="7"/>
        <v>0</v>
      </c>
      <c r="I101" s="417"/>
      <c r="J101" s="348" t="b">
        <v>0</v>
      </c>
      <c r="K101" s="409"/>
      <c r="L101" s="315">
        <v>0.0</v>
      </c>
      <c r="M101" s="315">
        <v>0.0</v>
      </c>
      <c r="N101" s="315">
        <v>0.0</v>
      </c>
      <c r="O101" s="315">
        <v>0.0</v>
      </c>
      <c r="P101" s="315">
        <v>0.0</v>
      </c>
      <c r="Q101" s="317">
        <f t="shared" si="8"/>
        <v>0</v>
      </c>
      <c r="R101" s="317" t="str">
        <f>SWITCH(S101,"cash",Reference!E$5,"shares",Reference!$E$6,"balance",Reference!$E$7,"pro-rata",Reference!$B$5)</f>
        <v>#DIV/0!</v>
      </c>
      <c r="S101" s="318" t="s">
        <v>207</v>
      </c>
      <c r="T101" s="319">
        <f>LET(numVmwShares,D101, cashRatio,Reference!$B$4, vmwFinalPrice,Reference!$B$3, numVmwShares * cashRatio * vmwFinalPrice)</f>
        <v>0</v>
      </c>
      <c r="U101" s="319">
        <f>iferror(LET(numVmwShares,$D101, stockRatio,Q101, vmwFinalPrice,Reference!$B$3, (1 - stockRatio) * vmwFinalPrice * numVmwShares),0)</f>
        <v>0</v>
      </c>
      <c r="V101" s="319">
        <f>iferror(LET(numVmwShares,$D101, stockRatio,R101, vmwFinalPrice,Reference!$B$3, (1 - stockRatio) * vmwFinalPrice * numVmwShares),0)</f>
        <v>0</v>
      </c>
      <c r="W101" s="319">
        <f>SWITCH(Reference!$E$4,"eTradeTransactionLog", T101, "eTradeHoldingRatio",T101, "eTradeLotQtyRatio",U101,"manualLotRatio",V101)</f>
        <v>0</v>
      </c>
      <c r="X101" s="309">
        <f>LET(purchaseDate,C101, dateOfRecord,Reference!$B$26, returnOfCapital,Reference!$C$26, IF(purchaseDate &lt; dateOfRecord, returnOfCapital,0))</f>
        <v>10.18</v>
      </c>
      <c r="Y101" s="309">
        <f>LET(purchaseDate,C101, dateOfRecord,Reference!$B$27, returnOfCapital,Reference!$C$27, IF(purchaseDate &lt; dateOfRecord, returnOfCapital,0))</f>
        <v>16.58</v>
      </c>
      <c r="Z101" s="309">
        <f t="shared" si="9"/>
        <v>-26.76</v>
      </c>
      <c r="AA101" s="309">
        <f t="shared" si="10"/>
        <v>0</v>
      </c>
      <c r="AB101" s="320">
        <f>LET(numVmwShares,D101, stockRatio,Reference!$B$5, vmwToAvgoRatio,Reference!$B$6, numVmwShares * stockRatio * vmwToAvgoRatio)</f>
        <v>0</v>
      </c>
      <c r="AC101" s="320">
        <f>LET(numVmwShares,D101, stockRatio,Q101, vmwToAvgoRatio,Reference!$B$6, numVmwShares * stockRatio * vmwToAvgoRatio)</f>
        <v>0</v>
      </c>
      <c r="AD101" s="320" t="str">
        <f>LET(numVmwShares,D101, stockRatio,R101, vmwToAvgoRatio,Reference!$B$6, numVmwShares * stockRatio * vmwToAvgoRatio)</f>
        <v>#DIV/0!</v>
      </c>
      <c r="AE101" s="320">
        <f>SWITCH(Reference!$E$4, "eTradeTransactionLog", AB101, "eTradeHoldingRatio",AB101, "eTradeLotQtyRatio",AC101,"manualLotRatio",AD101)</f>
        <v>0</v>
      </c>
      <c r="AF101" s="321">
        <f>LET(numVmwShares,D101, vmwBasis,Z101, avgoQty,AE101, avgoFMV,Reference!$B$18, cashReceived,W101, gain,cashReceived+(avgoQty*avgoFMV)-(numVmwShares*vmwBasis),
MAX(gain,0))</f>
        <v>0</v>
      </c>
      <c r="AG101" s="322">
        <f>LET(useForFraction,J101, fractionAmount,Summary!$C$41, esppFractionLots,ESPP!$N$5, rsuFractionLots,RSU!J$5, IF(useForFraction, fractionAmount / (esppFractionLots+rsuFractionLots), 0))</f>
        <v>0</v>
      </c>
      <c r="AH101" s="411">
        <f>LET(useForFraction,J101, fractionSaleFMV,Reference!$B$23, postMergerBasis,AT101, lotFractionAmount,AG101, IF(useForFraction, (fractionSaleFMV - postMergerBasis)*lotFractionAmount, 0))</f>
        <v>0</v>
      </c>
      <c r="AI101" s="412">
        <f t="shared" si="11"/>
        <v>0</v>
      </c>
      <c r="AJ101" s="413">
        <f>LET(
purchaseDate,C101,
mergerDate,Reference!$B$28,
lotFractionGain,AH101,
mergerGain,AI101,
IF(DATEDIF(purchaseDate,mergerDate,"Y")&gt;=1,
  0,
  lotFractionGain + mergerGain
))</f>
        <v>0</v>
      </c>
      <c r="AK101" s="413">
        <f>LET(
purchaseDate,C101,
mergerDate,Reference!$B$28,
lotFractionGain,AH101,
mergerGain,AI101,
IF(DATEDIF(purchaseDate,mergerDate,"Y")&gt;=1,
  lotFractionGain+mergerGain,
  0
))</f>
        <v>0</v>
      </c>
      <c r="AL101" s="414" t="str">
        <f>IF(DATEDIF(C101,Reference!$B$28,"Y")&gt;=1,"Part II Box E","Part I Box B")</f>
        <v>Part II Box E</v>
      </c>
      <c r="AM101" s="344" t="str">
        <f t="shared" si="12"/>
        <v/>
      </c>
      <c r="AN101" s="330">
        <f t="shared" si="13"/>
        <v>0</v>
      </c>
      <c r="AO101" s="330">
        <f>LET(
cashReceived,W101, 
avgoQty,AE101, 
proceedsStyle,Reference!$E$9, 
avgoFMV,Reference!$B$18, 
SWITCH(proceedsStyle, "combined", cashReceived +(avgoQty*avgoFMV), "cashOnly", cashReceived))</f>
        <v>0</v>
      </c>
      <c r="AP101" s="345">
        <f>LET(
proceedsStyle,Reference!$E$9,
proceeds,AO101,
gain,AS101,
numVmwShares,D101, 
vmwBasis, Z101, 
avgoQty,AE101, 
avgoFMV,Reference!$B$18, 
cashReceived,W101, 
avgoTotalValue, avgoFMV*avgoQty, 
vmwTotalBasis, vmwBasis*numVmwShares,
alternateGainAmount,AF101, 
SWITCH(proceedsStyle,
  "cashOnly",
    proceeds - gain,
  "combined",
    IF(cashReceived&lt;alternateGainAmount,
      avgoTotalValue,
      vmwTotalBasis
    )
  )
)</f>
        <v>0</v>
      </c>
      <c r="AQ101" s="345" t="str">
        <f t="shared" si="14"/>
        <v/>
      </c>
      <c r="AR101" s="345">
        <v>0.0</v>
      </c>
      <c r="AS101" s="331">
        <f>LET(
proceedsStyle,Reference!$E$9,
proceeds,AO101,
basis1099B,AP101,
adjustment,AR101,
mergerGain,AI101,
SWITCH(proceedsStyle,
  "cashOnly",
    mergerGain,
  "combined",
    MAX(proceeds - basis1099B + adjustment, 0)
))</f>
        <v>0</v>
      </c>
      <c r="AT101" s="415" t="str">
        <f t="shared" si="15"/>
        <v>n/a</v>
      </c>
      <c r="AU101" s="333">
        <f>LET(saleFMV,Reference!$B$10, postMergerBasis,AT101, avgoQty,AE101, lotFractionAmount,AG101, iferror((saleFMV - postMergerBasis) * (avgoQty - lotFractionAmount), 0))</f>
        <v>0</v>
      </c>
      <c r="AV101" s="333">
        <f>LET(
avgoQty,AE101, 
purchaseDate,C101,
postMergerSaleDate,Reference!$B$29,
saleFMV,Reference!$B$10,
postMergerBasis,AT101, 
IFERROR(IF(DATEDIF(purchaseDate,postMergerSaleDate,"Y")&gt;=1,
  0,
  avgoQty * (saleFMV - postMergerBasis)
),0))</f>
        <v>0</v>
      </c>
      <c r="AW101" s="336">
        <f>LET(
avgoQty,AE101, 
purchaseDate,C101,
postMergerSaleDate,Reference!$B$29,
saleFMV,Reference!$B$10,
postMergerBasis,AT101, 
IFERROR(IF(DATEDIF(purchaseDate,postMergerSaleDate,"Y")&gt;=1,
  avgoQty * (saleFMV - postMergerBasis),
  0
),0))</f>
        <v>0</v>
      </c>
    </row>
    <row r="102">
      <c r="A102" s="422"/>
      <c r="B102" s="423"/>
      <c r="C102" s="351"/>
      <c r="D102" s="352"/>
      <c r="E102" s="321" t="str">
        <f t="array" ref="E102">IF(C102&lt;&gt;"", IFERROR(VLOOKUP(C102, SORT(PriceReference!$A$1:$B1014), 2, TRUE), "price unavailable"), "")</f>
        <v/>
      </c>
      <c r="F102" s="416"/>
      <c r="G102" s="309">
        <f t="shared" si="6"/>
        <v>0</v>
      </c>
      <c r="H102" s="321">
        <f t="shared" si="7"/>
        <v>0</v>
      </c>
      <c r="I102" s="417"/>
      <c r="J102" s="348" t="b">
        <v>0</v>
      </c>
      <c r="K102" s="409"/>
      <c r="L102" s="315">
        <v>0.0</v>
      </c>
      <c r="M102" s="315">
        <v>0.0</v>
      </c>
      <c r="N102" s="315">
        <v>0.0</v>
      </c>
      <c r="O102" s="315">
        <v>0.0</v>
      </c>
      <c r="P102" s="315">
        <v>0.0</v>
      </c>
      <c r="Q102" s="317">
        <f t="shared" si="8"/>
        <v>0</v>
      </c>
      <c r="R102" s="317" t="str">
        <f>SWITCH(S102,"cash",Reference!E$5,"shares",Reference!$E$6,"balance",Reference!$E$7,"pro-rata",Reference!$B$5)</f>
        <v>#DIV/0!</v>
      </c>
      <c r="S102" s="318" t="s">
        <v>207</v>
      </c>
      <c r="T102" s="319">
        <f>LET(numVmwShares,D102, cashRatio,Reference!$B$4, vmwFinalPrice,Reference!$B$3, numVmwShares * cashRatio * vmwFinalPrice)</f>
        <v>0</v>
      </c>
      <c r="U102" s="319">
        <f>iferror(LET(numVmwShares,$D102, stockRatio,Q102, vmwFinalPrice,Reference!$B$3, (1 - stockRatio) * vmwFinalPrice * numVmwShares),0)</f>
        <v>0</v>
      </c>
      <c r="V102" s="319">
        <f>iferror(LET(numVmwShares,$D102, stockRatio,R102, vmwFinalPrice,Reference!$B$3, (1 - stockRatio) * vmwFinalPrice * numVmwShares),0)</f>
        <v>0</v>
      </c>
      <c r="W102" s="319">
        <f>SWITCH(Reference!$E$4,"eTradeTransactionLog", T102, "eTradeHoldingRatio",T102, "eTradeLotQtyRatio",U102,"manualLotRatio",V102)</f>
        <v>0</v>
      </c>
      <c r="X102" s="309">
        <f>LET(purchaseDate,C102, dateOfRecord,Reference!$B$26, returnOfCapital,Reference!$C$26, IF(purchaseDate &lt; dateOfRecord, returnOfCapital,0))</f>
        <v>10.18</v>
      </c>
      <c r="Y102" s="309">
        <f>LET(purchaseDate,C102, dateOfRecord,Reference!$B$27, returnOfCapital,Reference!$C$27, IF(purchaseDate &lt; dateOfRecord, returnOfCapital,0))</f>
        <v>16.58</v>
      </c>
      <c r="Z102" s="309">
        <f t="shared" si="9"/>
        <v>-26.76</v>
      </c>
      <c r="AA102" s="309">
        <f t="shared" si="10"/>
        <v>0</v>
      </c>
      <c r="AB102" s="320">
        <f>LET(numVmwShares,D102, stockRatio,Reference!$B$5, vmwToAvgoRatio,Reference!$B$6, numVmwShares * stockRatio * vmwToAvgoRatio)</f>
        <v>0</v>
      </c>
      <c r="AC102" s="320">
        <f>LET(numVmwShares,D102, stockRatio,Q102, vmwToAvgoRatio,Reference!$B$6, numVmwShares * stockRatio * vmwToAvgoRatio)</f>
        <v>0</v>
      </c>
      <c r="AD102" s="320" t="str">
        <f>LET(numVmwShares,D102, stockRatio,R102, vmwToAvgoRatio,Reference!$B$6, numVmwShares * stockRatio * vmwToAvgoRatio)</f>
        <v>#DIV/0!</v>
      </c>
      <c r="AE102" s="320">
        <f>SWITCH(Reference!$E$4, "eTradeTransactionLog", AB102, "eTradeHoldingRatio",AB102, "eTradeLotQtyRatio",AC102,"manualLotRatio",AD102)</f>
        <v>0</v>
      </c>
      <c r="AF102" s="321">
        <f>LET(numVmwShares,D102, vmwBasis,Z102, avgoQty,AE102, avgoFMV,Reference!$B$18, cashReceived,W102, gain,cashReceived+(avgoQty*avgoFMV)-(numVmwShares*vmwBasis),
MAX(gain,0))</f>
        <v>0</v>
      </c>
      <c r="AG102" s="322">
        <f>LET(useForFraction,J102, fractionAmount,Summary!$C$41, esppFractionLots,ESPP!$N$5, rsuFractionLots,RSU!J$5, IF(useForFraction, fractionAmount / (esppFractionLots+rsuFractionLots), 0))</f>
        <v>0</v>
      </c>
      <c r="AH102" s="411">
        <f>LET(useForFraction,J102, fractionSaleFMV,Reference!$B$23, postMergerBasis,AT102, lotFractionAmount,AG102, IF(useForFraction, (fractionSaleFMV - postMergerBasis)*lotFractionAmount, 0))</f>
        <v>0</v>
      </c>
      <c r="AI102" s="412">
        <f t="shared" si="11"/>
        <v>0</v>
      </c>
      <c r="AJ102" s="413">
        <f>LET(
purchaseDate,C102,
mergerDate,Reference!$B$28,
lotFractionGain,AH102,
mergerGain,AI102,
IF(DATEDIF(purchaseDate,mergerDate,"Y")&gt;=1,
  0,
  lotFractionGain + mergerGain
))</f>
        <v>0</v>
      </c>
      <c r="AK102" s="413">
        <f>LET(
purchaseDate,C102,
mergerDate,Reference!$B$28,
lotFractionGain,AH102,
mergerGain,AI102,
IF(DATEDIF(purchaseDate,mergerDate,"Y")&gt;=1,
  lotFractionGain+mergerGain,
  0
))</f>
        <v>0</v>
      </c>
      <c r="AL102" s="414" t="str">
        <f>IF(DATEDIF(C102,Reference!$B$28,"Y")&gt;=1,"Part II Box E","Part I Box B")</f>
        <v>Part II Box E</v>
      </c>
      <c r="AM102" s="344" t="str">
        <f t="shared" si="12"/>
        <v/>
      </c>
      <c r="AN102" s="330">
        <f t="shared" si="13"/>
        <v>0</v>
      </c>
      <c r="AO102" s="330">
        <f>LET(
cashReceived,W102, 
avgoQty,AE102, 
proceedsStyle,Reference!$E$9, 
avgoFMV,Reference!$B$18, 
SWITCH(proceedsStyle, "combined", cashReceived +(avgoQty*avgoFMV), "cashOnly", cashReceived))</f>
        <v>0</v>
      </c>
      <c r="AP102" s="345">
        <f>LET(
proceedsStyle,Reference!$E$9,
proceeds,AO102,
gain,AS102,
numVmwShares,D102, 
vmwBasis, Z102, 
avgoQty,AE102, 
avgoFMV,Reference!$B$18, 
cashReceived,W102, 
avgoTotalValue, avgoFMV*avgoQty, 
vmwTotalBasis, vmwBasis*numVmwShares,
alternateGainAmount,AF102, 
SWITCH(proceedsStyle,
  "cashOnly",
    proceeds - gain,
  "combined",
    IF(cashReceived&lt;alternateGainAmount,
      avgoTotalValue,
      vmwTotalBasis
    )
  )
)</f>
        <v>0</v>
      </c>
      <c r="AQ102" s="345" t="str">
        <f t="shared" si="14"/>
        <v/>
      </c>
      <c r="AR102" s="345">
        <v>0.0</v>
      </c>
      <c r="AS102" s="331">
        <f>LET(
proceedsStyle,Reference!$E$9,
proceeds,AO102,
basis1099B,AP102,
adjustment,AR102,
mergerGain,AI102,
SWITCH(proceedsStyle,
  "cashOnly",
    mergerGain,
  "combined",
    MAX(proceeds - basis1099B + adjustment, 0)
))</f>
        <v>0</v>
      </c>
      <c r="AT102" s="415" t="str">
        <f t="shared" si="15"/>
        <v>n/a</v>
      </c>
      <c r="AU102" s="333">
        <f>LET(saleFMV,Reference!$B$10, postMergerBasis,AT102, avgoQty,AE102, lotFractionAmount,AG102, iferror((saleFMV - postMergerBasis) * (avgoQty - lotFractionAmount), 0))</f>
        <v>0</v>
      </c>
      <c r="AV102" s="333">
        <f>LET(
avgoQty,AE102, 
purchaseDate,C102,
postMergerSaleDate,Reference!$B$29,
saleFMV,Reference!$B$10,
postMergerBasis,AT102, 
IFERROR(IF(DATEDIF(purchaseDate,postMergerSaleDate,"Y")&gt;=1,
  0,
  avgoQty * (saleFMV - postMergerBasis)
),0))</f>
        <v>0</v>
      </c>
      <c r="AW102" s="336">
        <f>LET(
avgoQty,AE102, 
purchaseDate,C102,
postMergerSaleDate,Reference!$B$29,
saleFMV,Reference!$B$10,
postMergerBasis,AT102, 
IFERROR(IF(DATEDIF(purchaseDate,postMergerSaleDate,"Y")&gt;=1,
  avgoQty * (saleFMV - postMergerBasis),
  0
),0))</f>
        <v>0</v>
      </c>
    </row>
    <row r="103">
      <c r="A103" s="422"/>
      <c r="B103" s="423"/>
      <c r="C103" s="351"/>
      <c r="D103" s="352"/>
      <c r="E103" s="321" t="str">
        <f t="array" ref="E103">IF(C103&lt;&gt;"", IFERROR(VLOOKUP(C103, SORT(PriceReference!$A$1:$B1014), 2, TRUE), "price unavailable"), "")</f>
        <v/>
      </c>
      <c r="F103" s="416"/>
      <c r="G103" s="309">
        <f t="shared" si="6"/>
        <v>0</v>
      </c>
      <c r="H103" s="321">
        <f t="shared" si="7"/>
        <v>0</v>
      </c>
      <c r="I103" s="417"/>
      <c r="J103" s="348" t="b">
        <v>0</v>
      </c>
      <c r="K103" s="409"/>
      <c r="L103" s="315">
        <v>0.0</v>
      </c>
      <c r="M103" s="315">
        <v>0.0</v>
      </c>
      <c r="N103" s="315">
        <v>0.0</v>
      </c>
      <c r="O103" s="315">
        <v>0.0</v>
      </c>
      <c r="P103" s="315">
        <v>0.0</v>
      </c>
      <c r="Q103" s="317">
        <f t="shared" si="8"/>
        <v>0</v>
      </c>
      <c r="R103" s="317" t="str">
        <f>SWITCH(S103,"cash",Reference!E$5,"shares",Reference!$E$6,"balance",Reference!$E$7,"pro-rata",Reference!$B$5)</f>
        <v>#DIV/0!</v>
      </c>
      <c r="S103" s="318" t="s">
        <v>207</v>
      </c>
      <c r="T103" s="319">
        <f>LET(numVmwShares,D103, cashRatio,Reference!$B$4, vmwFinalPrice,Reference!$B$3, numVmwShares * cashRatio * vmwFinalPrice)</f>
        <v>0</v>
      </c>
      <c r="U103" s="319">
        <f>iferror(LET(numVmwShares,$D103, stockRatio,Q103, vmwFinalPrice,Reference!$B$3, (1 - stockRatio) * vmwFinalPrice * numVmwShares),0)</f>
        <v>0</v>
      </c>
      <c r="V103" s="319">
        <f>iferror(LET(numVmwShares,$D103, stockRatio,R103, vmwFinalPrice,Reference!$B$3, (1 - stockRatio) * vmwFinalPrice * numVmwShares),0)</f>
        <v>0</v>
      </c>
      <c r="W103" s="319">
        <f>SWITCH(Reference!$E$4,"eTradeTransactionLog", T103, "eTradeHoldingRatio",T103, "eTradeLotQtyRatio",U103,"manualLotRatio",V103)</f>
        <v>0</v>
      </c>
      <c r="X103" s="309">
        <f>LET(purchaseDate,C103, dateOfRecord,Reference!$B$26, returnOfCapital,Reference!$C$26, IF(purchaseDate &lt; dateOfRecord, returnOfCapital,0))</f>
        <v>10.18</v>
      </c>
      <c r="Y103" s="309">
        <f>LET(purchaseDate,C103, dateOfRecord,Reference!$B$27, returnOfCapital,Reference!$C$27, IF(purchaseDate &lt; dateOfRecord, returnOfCapital,0))</f>
        <v>16.58</v>
      </c>
      <c r="Z103" s="309">
        <f t="shared" si="9"/>
        <v>-26.76</v>
      </c>
      <c r="AA103" s="309">
        <f t="shared" si="10"/>
        <v>0</v>
      </c>
      <c r="AB103" s="320">
        <f>LET(numVmwShares,D103, stockRatio,Reference!$B$5, vmwToAvgoRatio,Reference!$B$6, numVmwShares * stockRatio * vmwToAvgoRatio)</f>
        <v>0</v>
      </c>
      <c r="AC103" s="320">
        <f>LET(numVmwShares,D103, stockRatio,Q103, vmwToAvgoRatio,Reference!$B$6, numVmwShares * stockRatio * vmwToAvgoRatio)</f>
        <v>0</v>
      </c>
      <c r="AD103" s="320" t="str">
        <f>LET(numVmwShares,D103, stockRatio,R103, vmwToAvgoRatio,Reference!$B$6, numVmwShares * stockRatio * vmwToAvgoRatio)</f>
        <v>#DIV/0!</v>
      </c>
      <c r="AE103" s="320">
        <f>SWITCH(Reference!$E$4, "eTradeTransactionLog", AB103, "eTradeHoldingRatio",AB103, "eTradeLotQtyRatio",AC103,"manualLotRatio",AD103)</f>
        <v>0</v>
      </c>
      <c r="AF103" s="321">
        <f>LET(numVmwShares,D103, vmwBasis,Z103, avgoQty,AE103, avgoFMV,Reference!$B$18, cashReceived,W103, gain,cashReceived+(avgoQty*avgoFMV)-(numVmwShares*vmwBasis),
MAX(gain,0))</f>
        <v>0</v>
      </c>
      <c r="AG103" s="322">
        <f>LET(useForFraction,J103, fractionAmount,Summary!$C$41, esppFractionLots,ESPP!$N$5, rsuFractionLots,RSU!J$5, IF(useForFraction, fractionAmount / (esppFractionLots+rsuFractionLots), 0))</f>
        <v>0</v>
      </c>
      <c r="AH103" s="411">
        <f>LET(useForFraction,J103, fractionSaleFMV,Reference!$B$23, postMergerBasis,AT103, lotFractionAmount,AG103, IF(useForFraction, (fractionSaleFMV - postMergerBasis)*lotFractionAmount, 0))</f>
        <v>0</v>
      </c>
      <c r="AI103" s="412">
        <f t="shared" si="11"/>
        <v>0</v>
      </c>
      <c r="AJ103" s="413">
        <f>LET(
purchaseDate,C103,
mergerDate,Reference!$B$28,
lotFractionGain,AH103,
mergerGain,AI103,
IF(DATEDIF(purchaseDate,mergerDate,"Y")&gt;=1,
  0,
  lotFractionGain + mergerGain
))</f>
        <v>0</v>
      </c>
      <c r="AK103" s="413">
        <f>LET(
purchaseDate,C103,
mergerDate,Reference!$B$28,
lotFractionGain,AH103,
mergerGain,AI103,
IF(DATEDIF(purchaseDate,mergerDate,"Y")&gt;=1,
  lotFractionGain+mergerGain,
  0
))</f>
        <v>0</v>
      </c>
      <c r="AL103" s="414" t="str">
        <f>IF(DATEDIF(C103,Reference!$B$28,"Y")&gt;=1,"Part II Box E","Part I Box B")</f>
        <v>Part II Box E</v>
      </c>
      <c r="AM103" s="344" t="str">
        <f t="shared" si="12"/>
        <v/>
      </c>
      <c r="AN103" s="330">
        <f t="shared" si="13"/>
        <v>0</v>
      </c>
      <c r="AO103" s="330">
        <f>LET(
cashReceived,W103, 
avgoQty,AE103, 
proceedsStyle,Reference!$E$9, 
avgoFMV,Reference!$B$18, 
SWITCH(proceedsStyle, "combined", cashReceived +(avgoQty*avgoFMV), "cashOnly", cashReceived))</f>
        <v>0</v>
      </c>
      <c r="AP103" s="345">
        <f>LET(
proceedsStyle,Reference!$E$9,
proceeds,AO103,
gain,AS103,
numVmwShares,D103, 
vmwBasis, Z103, 
avgoQty,AE103, 
avgoFMV,Reference!$B$18, 
cashReceived,W103, 
avgoTotalValue, avgoFMV*avgoQty, 
vmwTotalBasis, vmwBasis*numVmwShares,
alternateGainAmount,AF103, 
SWITCH(proceedsStyle,
  "cashOnly",
    proceeds - gain,
  "combined",
    IF(cashReceived&lt;alternateGainAmount,
      avgoTotalValue,
      vmwTotalBasis
    )
  )
)</f>
        <v>0</v>
      </c>
      <c r="AQ103" s="345" t="str">
        <f t="shared" si="14"/>
        <v/>
      </c>
      <c r="AR103" s="345">
        <v>0.0</v>
      </c>
      <c r="AS103" s="331">
        <f>LET(
proceedsStyle,Reference!$E$9,
proceeds,AO103,
basis1099B,AP103,
adjustment,AR103,
mergerGain,AI103,
SWITCH(proceedsStyle,
  "cashOnly",
    mergerGain,
  "combined",
    MAX(proceeds - basis1099B + adjustment, 0)
))</f>
        <v>0</v>
      </c>
      <c r="AT103" s="415" t="str">
        <f t="shared" si="15"/>
        <v>n/a</v>
      </c>
      <c r="AU103" s="333">
        <f>LET(saleFMV,Reference!$B$10, postMergerBasis,AT103, avgoQty,AE103, lotFractionAmount,AG103, iferror((saleFMV - postMergerBasis) * (avgoQty - lotFractionAmount), 0))</f>
        <v>0</v>
      </c>
      <c r="AV103" s="333">
        <f>LET(
avgoQty,AE103, 
purchaseDate,C103,
postMergerSaleDate,Reference!$B$29,
saleFMV,Reference!$B$10,
postMergerBasis,AT103, 
IFERROR(IF(DATEDIF(purchaseDate,postMergerSaleDate,"Y")&gt;=1,
  0,
  avgoQty * (saleFMV - postMergerBasis)
),0))</f>
        <v>0</v>
      </c>
      <c r="AW103" s="336">
        <f>LET(
avgoQty,AE103, 
purchaseDate,C103,
postMergerSaleDate,Reference!$B$29,
saleFMV,Reference!$B$10,
postMergerBasis,AT103, 
IFERROR(IF(DATEDIF(purchaseDate,postMergerSaleDate,"Y")&gt;=1,
  avgoQty * (saleFMV - postMergerBasis),
  0
),0))</f>
        <v>0</v>
      </c>
    </row>
    <row r="104">
      <c r="A104" s="422"/>
      <c r="B104" s="423"/>
      <c r="C104" s="351"/>
      <c r="D104" s="352"/>
      <c r="E104" s="321" t="str">
        <f t="array" ref="E104">IF(C104&lt;&gt;"", IFERROR(VLOOKUP(C104, SORT(PriceReference!$A$1:$B1014), 2, TRUE), "price unavailable"), "")</f>
        <v/>
      </c>
      <c r="F104" s="416"/>
      <c r="G104" s="309">
        <f t="shared" si="6"/>
        <v>0</v>
      </c>
      <c r="H104" s="321">
        <f t="shared" si="7"/>
        <v>0</v>
      </c>
      <c r="I104" s="417"/>
      <c r="J104" s="348" t="b">
        <v>0</v>
      </c>
      <c r="K104" s="409"/>
      <c r="L104" s="315">
        <v>0.0</v>
      </c>
      <c r="M104" s="315">
        <v>0.0</v>
      </c>
      <c r="N104" s="315">
        <v>0.0</v>
      </c>
      <c r="O104" s="315">
        <v>0.0</v>
      </c>
      <c r="P104" s="315">
        <v>0.0</v>
      </c>
      <c r="Q104" s="317">
        <f t="shared" si="8"/>
        <v>0</v>
      </c>
      <c r="R104" s="317" t="str">
        <f>SWITCH(S104,"cash",Reference!E$5,"shares",Reference!$E$6,"balance",Reference!$E$7,"pro-rata",Reference!$B$5)</f>
        <v>#DIV/0!</v>
      </c>
      <c r="S104" s="318" t="s">
        <v>207</v>
      </c>
      <c r="T104" s="319">
        <f>LET(numVmwShares,D104, cashRatio,Reference!$B$4, vmwFinalPrice,Reference!$B$3, numVmwShares * cashRatio * vmwFinalPrice)</f>
        <v>0</v>
      </c>
      <c r="U104" s="319">
        <f>iferror(LET(numVmwShares,$D104, stockRatio,Q104, vmwFinalPrice,Reference!$B$3, (1 - stockRatio) * vmwFinalPrice * numVmwShares),0)</f>
        <v>0</v>
      </c>
      <c r="V104" s="319">
        <f>iferror(LET(numVmwShares,$D104, stockRatio,R104, vmwFinalPrice,Reference!$B$3, (1 - stockRatio) * vmwFinalPrice * numVmwShares),0)</f>
        <v>0</v>
      </c>
      <c r="W104" s="319">
        <f>SWITCH(Reference!$E$4,"eTradeTransactionLog", T104, "eTradeHoldingRatio",T104, "eTradeLotQtyRatio",U104,"manualLotRatio",V104)</f>
        <v>0</v>
      </c>
      <c r="X104" s="309">
        <f>LET(purchaseDate,C104, dateOfRecord,Reference!$B$26, returnOfCapital,Reference!$C$26, IF(purchaseDate &lt; dateOfRecord, returnOfCapital,0))</f>
        <v>10.18</v>
      </c>
      <c r="Y104" s="309">
        <f>LET(purchaseDate,C104, dateOfRecord,Reference!$B$27, returnOfCapital,Reference!$C$27, IF(purchaseDate &lt; dateOfRecord, returnOfCapital,0))</f>
        <v>16.58</v>
      </c>
      <c r="Z104" s="309">
        <f t="shared" si="9"/>
        <v>-26.76</v>
      </c>
      <c r="AA104" s="309">
        <f t="shared" si="10"/>
        <v>0</v>
      </c>
      <c r="AB104" s="320">
        <f>LET(numVmwShares,D104, stockRatio,Reference!$B$5, vmwToAvgoRatio,Reference!$B$6, numVmwShares * stockRatio * vmwToAvgoRatio)</f>
        <v>0</v>
      </c>
      <c r="AC104" s="320">
        <f>LET(numVmwShares,D104, stockRatio,Q104, vmwToAvgoRatio,Reference!$B$6, numVmwShares * stockRatio * vmwToAvgoRatio)</f>
        <v>0</v>
      </c>
      <c r="AD104" s="320" t="str">
        <f>LET(numVmwShares,D104, stockRatio,R104, vmwToAvgoRatio,Reference!$B$6, numVmwShares * stockRatio * vmwToAvgoRatio)</f>
        <v>#DIV/0!</v>
      </c>
      <c r="AE104" s="320">
        <f>SWITCH(Reference!$E$4, "eTradeTransactionLog", AB104, "eTradeHoldingRatio",AB104, "eTradeLotQtyRatio",AC104,"manualLotRatio",AD104)</f>
        <v>0</v>
      </c>
      <c r="AF104" s="321">
        <f>LET(numVmwShares,D104, vmwBasis,Z104, avgoQty,AE104, avgoFMV,Reference!$B$18, cashReceived,W104, gain,cashReceived+(avgoQty*avgoFMV)-(numVmwShares*vmwBasis),
MAX(gain,0))</f>
        <v>0</v>
      </c>
      <c r="AG104" s="322">
        <f>LET(useForFraction,J104, fractionAmount,Summary!$C$41, esppFractionLots,ESPP!$N$5, rsuFractionLots,RSU!J$5, IF(useForFraction, fractionAmount / (esppFractionLots+rsuFractionLots), 0))</f>
        <v>0</v>
      </c>
      <c r="AH104" s="411">
        <f>LET(useForFraction,J104, fractionSaleFMV,Reference!$B$23, postMergerBasis,AT104, lotFractionAmount,AG104, IF(useForFraction, (fractionSaleFMV - postMergerBasis)*lotFractionAmount, 0))</f>
        <v>0</v>
      </c>
      <c r="AI104" s="412">
        <f t="shared" si="11"/>
        <v>0</v>
      </c>
      <c r="AJ104" s="413">
        <f>LET(
purchaseDate,C104,
mergerDate,Reference!$B$28,
lotFractionGain,AH104,
mergerGain,AI104,
IF(DATEDIF(purchaseDate,mergerDate,"Y")&gt;=1,
  0,
  lotFractionGain + mergerGain
))</f>
        <v>0</v>
      </c>
      <c r="AK104" s="413">
        <f>LET(
purchaseDate,C104,
mergerDate,Reference!$B$28,
lotFractionGain,AH104,
mergerGain,AI104,
IF(DATEDIF(purchaseDate,mergerDate,"Y")&gt;=1,
  lotFractionGain+mergerGain,
  0
))</f>
        <v>0</v>
      </c>
      <c r="AL104" s="414" t="str">
        <f>IF(DATEDIF(C104,Reference!$B$28,"Y")&gt;=1,"Part II Box E","Part I Box B")</f>
        <v>Part II Box E</v>
      </c>
      <c r="AM104" s="344" t="str">
        <f t="shared" si="12"/>
        <v/>
      </c>
      <c r="AN104" s="330">
        <f t="shared" si="13"/>
        <v>0</v>
      </c>
      <c r="AO104" s="330">
        <f>LET(
cashReceived,W104, 
avgoQty,AE104, 
proceedsStyle,Reference!$E$9, 
avgoFMV,Reference!$B$18, 
SWITCH(proceedsStyle, "combined", cashReceived +(avgoQty*avgoFMV), "cashOnly", cashReceived))</f>
        <v>0</v>
      </c>
      <c r="AP104" s="345">
        <f>LET(
proceedsStyle,Reference!$E$9,
proceeds,AO104,
gain,AS104,
numVmwShares,D104, 
vmwBasis, Z104, 
avgoQty,AE104, 
avgoFMV,Reference!$B$18, 
cashReceived,W104, 
avgoTotalValue, avgoFMV*avgoQty, 
vmwTotalBasis, vmwBasis*numVmwShares,
alternateGainAmount,AF104, 
SWITCH(proceedsStyle,
  "cashOnly",
    proceeds - gain,
  "combined",
    IF(cashReceived&lt;alternateGainAmount,
      avgoTotalValue,
      vmwTotalBasis
    )
  )
)</f>
        <v>0</v>
      </c>
      <c r="AQ104" s="345" t="str">
        <f t="shared" si="14"/>
        <v/>
      </c>
      <c r="AR104" s="345">
        <v>0.0</v>
      </c>
      <c r="AS104" s="331">
        <f>LET(
proceedsStyle,Reference!$E$9,
proceeds,AO104,
basis1099B,AP104,
adjustment,AR104,
mergerGain,AI104,
SWITCH(proceedsStyle,
  "cashOnly",
    mergerGain,
  "combined",
    MAX(proceeds - basis1099B + adjustment, 0)
))</f>
        <v>0</v>
      </c>
      <c r="AT104" s="415" t="str">
        <f t="shared" si="15"/>
        <v>n/a</v>
      </c>
      <c r="AU104" s="333">
        <f>LET(saleFMV,Reference!$B$10, postMergerBasis,AT104, avgoQty,AE104, lotFractionAmount,AG104, iferror((saleFMV - postMergerBasis) * (avgoQty - lotFractionAmount), 0))</f>
        <v>0</v>
      </c>
      <c r="AV104" s="333">
        <f>LET(
avgoQty,AE104, 
purchaseDate,C104,
postMergerSaleDate,Reference!$B$29,
saleFMV,Reference!$B$10,
postMergerBasis,AT104, 
IFERROR(IF(DATEDIF(purchaseDate,postMergerSaleDate,"Y")&gt;=1,
  0,
  avgoQty * (saleFMV - postMergerBasis)
),0))</f>
        <v>0</v>
      </c>
      <c r="AW104" s="336">
        <f>LET(
avgoQty,AE104, 
purchaseDate,C104,
postMergerSaleDate,Reference!$B$29,
saleFMV,Reference!$B$10,
postMergerBasis,AT104, 
IFERROR(IF(DATEDIF(purchaseDate,postMergerSaleDate,"Y")&gt;=1,
  avgoQty * (saleFMV - postMergerBasis),
  0
),0))</f>
        <v>0</v>
      </c>
    </row>
    <row r="105">
      <c r="A105" s="422"/>
      <c r="B105" s="423"/>
      <c r="C105" s="351"/>
      <c r="D105" s="352"/>
      <c r="E105" s="321" t="str">
        <f t="array" ref="E105">IF(C105&lt;&gt;"", IFERROR(VLOOKUP(C105, SORT(PriceReference!$A$1:$B1014), 2, TRUE), "price unavailable"), "")</f>
        <v/>
      </c>
      <c r="F105" s="416"/>
      <c r="G105" s="309">
        <f t="shared" si="6"/>
        <v>0</v>
      </c>
      <c r="H105" s="321">
        <f t="shared" si="7"/>
        <v>0</v>
      </c>
      <c r="I105" s="417"/>
      <c r="J105" s="348" t="b">
        <v>0</v>
      </c>
      <c r="K105" s="409"/>
      <c r="L105" s="315">
        <v>0.0</v>
      </c>
      <c r="M105" s="315">
        <v>0.0</v>
      </c>
      <c r="N105" s="315">
        <v>0.0</v>
      </c>
      <c r="O105" s="315">
        <v>0.0</v>
      </c>
      <c r="P105" s="315">
        <v>0.0</v>
      </c>
      <c r="Q105" s="317">
        <f t="shared" si="8"/>
        <v>0</v>
      </c>
      <c r="R105" s="317" t="str">
        <f>SWITCH(S105,"cash",Reference!E$5,"shares",Reference!$E$6,"balance",Reference!$E$7,"pro-rata",Reference!$B$5)</f>
        <v>#DIV/0!</v>
      </c>
      <c r="S105" s="318" t="s">
        <v>207</v>
      </c>
      <c r="T105" s="319">
        <f>LET(numVmwShares,D105, cashRatio,Reference!$B$4, vmwFinalPrice,Reference!$B$3, numVmwShares * cashRatio * vmwFinalPrice)</f>
        <v>0</v>
      </c>
      <c r="U105" s="319">
        <f>iferror(LET(numVmwShares,$D105, stockRatio,Q105, vmwFinalPrice,Reference!$B$3, (1 - stockRatio) * vmwFinalPrice * numVmwShares),0)</f>
        <v>0</v>
      </c>
      <c r="V105" s="319">
        <f>iferror(LET(numVmwShares,$D105, stockRatio,R105, vmwFinalPrice,Reference!$B$3, (1 - stockRatio) * vmwFinalPrice * numVmwShares),0)</f>
        <v>0</v>
      </c>
      <c r="W105" s="319">
        <f>SWITCH(Reference!$E$4,"eTradeTransactionLog", T105, "eTradeHoldingRatio",T105, "eTradeLotQtyRatio",U105,"manualLotRatio",V105)</f>
        <v>0</v>
      </c>
      <c r="X105" s="309">
        <f>LET(purchaseDate,C105, dateOfRecord,Reference!$B$26, returnOfCapital,Reference!$C$26, IF(purchaseDate &lt; dateOfRecord, returnOfCapital,0))</f>
        <v>10.18</v>
      </c>
      <c r="Y105" s="309">
        <f>LET(purchaseDate,C105, dateOfRecord,Reference!$B$27, returnOfCapital,Reference!$C$27, IF(purchaseDate &lt; dateOfRecord, returnOfCapital,0))</f>
        <v>16.58</v>
      </c>
      <c r="Z105" s="309">
        <f t="shared" si="9"/>
        <v>-26.76</v>
      </c>
      <c r="AA105" s="309">
        <f t="shared" si="10"/>
        <v>0</v>
      </c>
      <c r="AB105" s="320">
        <f>LET(numVmwShares,D105, stockRatio,Reference!$B$5, vmwToAvgoRatio,Reference!$B$6, numVmwShares * stockRatio * vmwToAvgoRatio)</f>
        <v>0</v>
      </c>
      <c r="AC105" s="320">
        <f>LET(numVmwShares,D105, stockRatio,Q105, vmwToAvgoRatio,Reference!$B$6, numVmwShares * stockRatio * vmwToAvgoRatio)</f>
        <v>0</v>
      </c>
      <c r="AD105" s="320" t="str">
        <f>LET(numVmwShares,D105, stockRatio,R105, vmwToAvgoRatio,Reference!$B$6, numVmwShares * stockRatio * vmwToAvgoRatio)</f>
        <v>#DIV/0!</v>
      </c>
      <c r="AE105" s="320">
        <f>SWITCH(Reference!$E$4, "eTradeTransactionLog", AB105, "eTradeHoldingRatio",AB105, "eTradeLotQtyRatio",AC105,"manualLotRatio",AD105)</f>
        <v>0</v>
      </c>
      <c r="AF105" s="321">
        <f>LET(numVmwShares,D105, vmwBasis,Z105, avgoQty,AE105, avgoFMV,Reference!$B$18, cashReceived,W105, gain,cashReceived+(avgoQty*avgoFMV)-(numVmwShares*vmwBasis),
MAX(gain,0))</f>
        <v>0</v>
      </c>
      <c r="AG105" s="322">
        <f>LET(useForFraction,J105, fractionAmount,Summary!$C$41, esppFractionLots,ESPP!$N$5, rsuFractionLots,RSU!J$5, IF(useForFraction, fractionAmount / (esppFractionLots+rsuFractionLots), 0))</f>
        <v>0</v>
      </c>
      <c r="AH105" s="411">
        <f>LET(useForFraction,J105, fractionSaleFMV,Reference!$B$23, postMergerBasis,AT105, lotFractionAmount,AG105, IF(useForFraction, (fractionSaleFMV - postMergerBasis)*lotFractionAmount, 0))</f>
        <v>0</v>
      </c>
      <c r="AI105" s="412">
        <f t="shared" si="11"/>
        <v>0</v>
      </c>
      <c r="AJ105" s="413">
        <f>LET(
purchaseDate,C105,
mergerDate,Reference!$B$28,
lotFractionGain,AH105,
mergerGain,AI105,
IF(DATEDIF(purchaseDate,mergerDate,"Y")&gt;=1,
  0,
  lotFractionGain + mergerGain
))</f>
        <v>0</v>
      </c>
      <c r="AK105" s="413">
        <f>LET(
purchaseDate,C105,
mergerDate,Reference!$B$28,
lotFractionGain,AH105,
mergerGain,AI105,
IF(DATEDIF(purchaseDate,mergerDate,"Y")&gt;=1,
  lotFractionGain+mergerGain,
  0
))</f>
        <v>0</v>
      </c>
      <c r="AL105" s="414" t="str">
        <f>IF(DATEDIF(C105,Reference!$B$28,"Y")&gt;=1,"Part II Box E","Part I Box B")</f>
        <v>Part II Box E</v>
      </c>
      <c r="AM105" s="344" t="str">
        <f t="shared" si="12"/>
        <v/>
      </c>
      <c r="AN105" s="330">
        <f t="shared" si="13"/>
        <v>0</v>
      </c>
      <c r="AO105" s="330">
        <f>LET(
cashReceived,W105, 
avgoQty,AE105, 
proceedsStyle,Reference!$E$9, 
avgoFMV,Reference!$B$18, 
SWITCH(proceedsStyle, "combined", cashReceived +(avgoQty*avgoFMV), "cashOnly", cashReceived))</f>
        <v>0</v>
      </c>
      <c r="AP105" s="345">
        <f>LET(
proceedsStyle,Reference!$E$9,
proceeds,AO105,
gain,AS105,
numVmwShares,D105, 
vmwBasis, Z105, 
avgoQty,AE105, 
avgoFMV,Reference!$B$18, 
cashReceived,W105, 
avgoTotalValue, avgoFMV*avgoQty, 
vmwTotalBasis, vmwBasis*numVmwShares,
alternateGainAmount,AF105, 
SWITCH(proceedsStyle,
  "cashOnly",
    proceeds - gain,
  "combined",
    IF(cashReceived&lt;alternateGainAmount,
      avgoTotalValue,
      vmwTotalBasis
    )
  )
)</f>
        <v>0</v>
      </c>
      <c r="AQ105" s="345" t="str">
        <f t="shared" si="14"/>
        <v/>
      </c>
      <c r="AR105" s="345">
        <v>0.0</v>
      </c>
      <c r="AS105" s="331">
        <f>LET(
proceedsStyle,Reference!$E$9,
proceeds,AO105,
basis1099B,AP105,
adjustment,AR105,
mergerGain,AI105,
SWITCH(proceedsStyle,
  "cashOnly",
    mergerGain,
  "combined",
    MAX(proceeds - basis1099B + adjustment, 0)
))</f>
        <v>0</v>
      </c>
      <c r="AT105" s="415" t="str">
        <f t="shared" si="15"/>
        <v>n/a</v>
      </c>
      <c r="AU105" s="333">
        <f>LET(saleFMV,Reference!$B$10, postMergerBasis,AT105, avgoQty,AE105, lotFractionAmount,AG105, iferror((saleFMV - postMergerBasis) * (avgoQty - lotFractionAmount), 0))</f>
        <v>0</v>
      </c>
      <c r="AV105" s="333">
        <f>LET(
avgoQty,AE105, 
purchaseDate,C105,
postMergerSaleDate,Reference!$B$29,
saleFMV,Reference!$B$10,
postMergerBasis,AT105, 
IFERROR(IF(DATEDIF(purchaseDate,postMergerSaleDate,"Y")&gt;=1,
  0,
  avgoQty * (saleFMV - postMergerBasis)
),0))</f>
        <v>0</v>
      </c>
      <c r="AW105" s="336">
        <f>LET(
avgoQty,AE105, 
purchaseDate,C105,
postMergerSaleDate,Reference!$B$29,
saleFMV,Reference!$B$10,
postMergerBasis,AT105, 
IFERROR(IF(DATEDIF(purchaseDate,postMergerSaleDate,"Y")&gt;=1,
  avgoQty * (saleFMV - postMergerBasis),
  0
),0))</f>
        <v>0</v>
      </c>
    </row>
    <row r="106">
      <c r="A106" s="422"/>
      <c r="B106" s="423"/>
      <c r="C106" s="351"/>
      <c r="D106" s="352"/>
      <c r="E106" s="321" t="str">
        <f t="array" ref="E106">IF(C106&lt;&gt;"", IFERROR(VLOOKUP(C106, SORT(PriceReference!$A$1:$B1014), 2, TRUE), "price unavailable"), "")</f>
        <v/>
      </c>
      <c r="F106" s="416"/>
      <c r="G106" s="309">
        <f t="shared" si="6"/>
        <v>0</v>
      </c>
      <c r="H106" s="321">
        <f t="shared" si="7"/>
        <v>0</v>
      </c>
      <c r="I106" s="417"/>
      <c r="J106" s="348" t="b">
        <v>0</v>
      </c>
      <c r="K106" s="409"/>
      <c r="L106" s="315">
        <v>0.0</v>
      </c>
      <c r="M106" s="315">
        <v>0.0</v>
      </c>
      <c r="N106" s="315">
        <v>0.0</v>
      </c>
      <c r="O106" s="315">
        <v>0.0</v>
      </c>
      <c r="P106" s="315">
        <v>0.0</v>
      </c>
      <c r="Q106" s="317">
        <f t="shared" si="8"/>
        <v>0</v>
      </c>
      <c r="R106" s="317" t="str">
        <f>SWITCH(S106,"cash",Reference!E$5,"shares",Reference!$E$6,"balance",Reference!$E$7,"pro-rata",Reference!$B$5)</f>
        <v>#DIV/0!</v>
      </c>
      <c r="S106" s="318" t="s">
        <v>207</v>
      </c>
      <c r="T106" s="319">
        <f>LET(numVmwShares,D106, cashRatio,Reference!$B$4, vmwFinalPrice,Reference!$B$3, numVmwShares * cashRatio * vmwFinalPrice)</f>
        <v>0</v>
      </c>
      <c r="U106" s="319">
        <f>iferror(LET(numVmwShares,$D106, stockRatio,Q106, vmwFinalPrice,Reference!$B$3, (1 - stockRatio) * vmwFinalPrice * numVmwShares),0)</f>
        <v>0</v>
      </c>
      <c r="V106" s="319">
        <f>iferror(LET(numVmwShares,$D106, stockRatio,R106, vmwFinalPrice,Reference!$B$3, (1 - stockRatio) * vmwFinalPrice * numVmwShares),0)</f>
        <v>0</v>
      </c>
      <c r="W106" s="319">
        <f>SWITCH(Reference!$E$4,"eTradeTransactionLog", T106, "eTradeHoldingRatio",T106, "eTradeLotQtyRatio",U106,"manualLotRatio",V106)</f>
        <v>0</v>
      </c>
      <c r="X106" s="309">
        <f>LET(purchaseDate,C106, dateOfRecord,Reference!$B$26, returnOfCapital,Reference!$C$26, IF(purchaseDate &lt; dateOfRecord, returnOfCapital,0))</f>
        <v>10.18</v>
      </c>
      <c r="Y106" s="309">
        <f>LET(purchaseDate,C106, dateOfRecord,Reference!$B$27, returnOfCapital,Reference!$C$27, IF(purchaseDate &lt; dateOfRecord, returnOfCapital,0))</f>
        <v>16.58</v>
      </c>
      <c r="Z106" s="309">
        <f t="shared" si="9"/>
        <v>-26.76</v>
      </c>
      <c r="AA106" s="309">
        <f t="shared" si="10"/>
        <v>0</v>
      </c>
      <c r="AB106" s="320">
        <f>LET(numVmwShares,D106, stockRatio,Reference!$B$5, vmwToAvgoRatio,Reference!$B$6, numVmwShares * stockRatio * vmwToAvgoRatio)</f>
        <v>0</v>
      </c>
      <c r="AC106" s="320">
        <f>LET(numVmwShares,D106, stockRatio,Q106, vmwToAvgoRatio,Reference!$B$6, numVmwShares * stockRatio * vmwToAvgoRatio)</f>
        <v>0</v>
      </c>
      <c r="AD106" s="320" t="str">
        <f>LET(numVmwShares,D106, stockRatio,R106, vmwToAvgoRatio,Reference!$B$6, numVmwShares * stockRatio * vmwToAvgoRatio)</f>
        <v>#DIV/0!</v>
      </c>
      <c r="AE106" s="320">
        <f>SWITCH(Reference!$E$4, "eTradeTransactionLog", AB106, "eTradeHoldingRatio",AB106, "eTradeLotQtyRatio",AC106,"manualLotRatio",AD106)</f>
        <v>0</v>
      </c>
      <c r="AF106" s="321">
        <f>LET(numVmwShares,D106, vmwBasis,Z106, avgoQty,AE106, avgoFMV,Reference!$B$18, cashReceived,W106, gain,cashReceived+(avgoQty*avgoFMV)-(numVmwShares*vmwBasis),
MAX(gain,0))</f>
        <v>0</v>
      </c>
      <c r="AG106" s="322">
        <f>LET(useForFraction,J106, fractionAmount,Summary!$C$41, esppFractionLots,ESPP!$N$5, rsuFractionLots,RSU!J$5, IF(useForFraction, fractionAmount / (esppFractionLots+rsuFractionLots), 0))</f>
        <v>0</v>
      </c>
      <c r="AH106" s="411">
        <f>LET(useForFraction,J106, fractionSaleFMV,Reference!$B$23, postMergerBasis,AT106, lotFractionAmount,AG106, IF(useForFraction, (fractionSaleFMV - postMergerBasis)*lotFractionAmount, 0))</f>
        <v>0</v>
      </c>
      <c r="AI106" s="412">
        <f t="shared" si="11"/>
        <v>0</v>
      </c>
      <c r="AJ106" s="413">
        <f>LET(
purchaseDate,C106,
mergerDate,Reference!$B$28,
lotFractionGain,AH106,
mergerGain,AI106,
IF(DATEDIF(purchaseDate,mergerDate,"Y")&gt;=1,
  0,
  lotFractionGain + mergerGain
))</f>
        <v>0</v>
      </c>
      <c r="AK106" s="413">
        <f>LET(
purchaseDate,C106,
mergerDate,Reference!$B$28,
lotFractionGain,AH106,
mergerGain,AI106,
IF(DATEDIF(purchaseDate,mergerDate,"Y")&gt;=1,
  lotFractionGain+mergerGain,
  0
))</f>
        <v>0</v>
      </c>
      <c r="AL106" s="414" t="str">
        <f>IF(DATEDIF(C106,Reference!$B$28,"Y")&gt;=1,"Part II Box E","Part I Box B")</f>
        <v>Part II Box E</v>
      </c>
      <c r="AM106" s="344" t="str">
        <f t="shared" si="12"/>
        <v/>
      </c>
      <c r="AN106" s="330">
        <f t="shared" si="13"/>
        <v>0</v>
      </c>
      <c r="AO106" s="330">
        <f>LET(
cashReceived,W106, 
avgoQty,AE106, 
proceedsStyle,Reference!$E$9, 
avgoFMV,Reference!$B$18, 
SWITCH(proceedsStyle, "combined", cashReceived +(avgoQty*avgoFMV), "cashOnly", cashReceived))</f>
        <v>0</v>
      </c>
      <c r="AP106" s="345">
        <f>LET(
proceedsStyle,Reference!$E$9,
proceeds,AO106,
gain,AS106,
numVmwShares,D106, 
vmwBasis, Z106, 
avgoQty,AE106, 
avgoFMV,Reference!$B$18, 
cashReceived,W106, 
avgoTotalValue, avgoFMV*avgoQty, 
vmwTotalBasis, vmwBasis*numVmwShares,
alternateGainAmount,AF106, 
SWITCH(proceedsStyle,
  "cashOnly",
    proceeds - gain,
  "combined",
    IF(cashReceived&lt;alternateGainAmount,
      avgoTotalValue,
      vmwTotalBasis
    )
  )
)</f>
        <v>0</v>
      </c>
      <c r="AQ106" s="345" t="str">
        <f t="shared" si="14"/>
        <v/>
      </c>
      <c r="AR106" s="345">
        <v>0.0</v>
      </c>
      <c r="AS106" s="331">
        <f>LET(
proceedsStyle,Reference!$E$9,
proceeds,AO106,
basis1099B,AP106,
adjustment,AR106,
mergerGain,AI106,
SWITCH(proceedsStyle,
  "cashOnly",
    mergerGain,
  "combined",
    MAX(proceeds - basis1099B + adjustment, 0)
))</f>
        <v>0</v>
      </c>
      <c r="AT106" s="415" t="str">
        <f t="shared" si="15"/>
        <v>n/a</v>
      </c>
      <c r="AU106" s="333">
        <f>LET(saleFMV,Reference!$B$10, postMergerBasis,AT106, avgoQty,AE106, lotFractionAmount,AG106, iferror((saleFMV - postMergerBasis) * (avgoQty - lotFractionAmount), 0))</f>
        <v>0</v>
      </c>
      <c r="AV106" s="333">
        <f>LET(
avgoQty,AE106, 
purchaseDate,C106,
postMergerSaleDate,Reference!$B$29,
saleFMV,Reference!$B$10,
postMergerBasis,AT106, 
IFERROR(IF(DATEDIF(purchaseDate,postMergerSaleDate,"Y")&gt;=1,
  0,
  avgoQty * (saleFMV - postMergerBasis)
),0))</f>
        <v>0</v>
      </c>
      <c r="AW106" s="336">
        <f>LET(
avgoQty,AE106, 
purchaseDate,C106,
postMergerSaleDate,Reference!$B$29,
saleFMV,Reference!$B$10,
postMergerBasis,AT106, 
IFERROR(IF(DATEDIF(purchaseDate,postMergerSaleDate,"Y")&gt;=1,
  avgoQty * (saleFMV - postMergerBasis),
  0
),0))</f>
        <v>0</v>
      </c>
    </row>
    <row r="107">
      <c r="A107" s="422"/>
      <c r="B107" s="423"/>
      <c r="C107" s="351"/>
      <c r="D107" s="352"/>
      <c r="E107" s="321" t="str">
        <f t="array" ref="E107">IF(C107&lt;&gt;"", IFERROR(VLOOKUP(C107, SORT(PriceReference!$A$1:$B1014), 2, TRUE), "price unavailable"), "")</f>
        <v/>
      </c>
      <c r="F107" s="416"/>
      <c r="G107" s="309">
        <f t="shared" si="6"/>
        <v>0</v>
      </c>
      <c r="H107" s="321">
        <f t="shared" si="7"/>
        <v>0</v>
      </c>
      <c r="I107" s="417"/>
      <c r="J107" s="348" t="b">
        <v>0</v>
      </c>
      <c r="K107" s="409"/>
      <c r="L107" s="315">
        <v>0.0</v>
      </c>
      <c r="M107" s="315">
        <v>0.0</v>
      </c>
      <c r="N107" s="315">
        <v>0.0</v>
      </c>
      <c r="O107" s="315">
        <v>0.0</v>
      </c>
      <c r="P107" s="315">
        <v>0.0</v>
      </c>
      <c r="Q107" s="317">
        <f t="shared" si="8"/>
        <v>0</v>
      </c>
      <c r="R107" s="317" t="str">
        <f>SWITCH(S107,"cash",Reference!E$5,"shares",Reference!$E$6,"balance",Reference!$E$7,"pro-rata",Reference!$B$5)</f>
        <v>#DIV/0!</v>
      </c>
      <c r="S107" s="318" t="s">
        <v>207</v>
      </c>
      <c r="T107" s="319">
        <f>LET(numVmwShares,D107, cashRatio,Reference!$B$4, vmwFinalPrice,Reference!$B$3, numVmwShares * cashRatio * vmwFinalPrice)</f>
        <v>0</v>
      </c>
      <c r="U107" s="319">
        <f>iferror(LET(numVmwShares,$D107, stockRatio,Q107, vmwFinalPrice,Reference!$B$3, (1 - stockRatio) * vmwFinalPrice * numVmwShares),0)</f>
        <v>0</v>
      </c>
      <c r="V107" s="319">
        <f>iferror(LET(numVmwShares,$D107, stockRatio,R107, vmwFinalPrice,Reference!$B$3, (1 - stockRatio) * vmwFinalPrice * numVmwShares),0)</f>
        <v>0</v>
      </c>
      <c r="W107" s="319">
        <f>SWITCH(Reference!$E$4,"eTradeTransactionLog", T107, "eTradeHoldingRatio",T107, "eTradeLotQtyRatio",U107,"manualLotRatio",V107)</f>
        <v>0</v>
      </c>
      <c r="X107" s="309">
        <f>LET(purchaseDate,C107, dateOfRecord,Reference!$B$26, returnOfCapital,Reference!$C$26, IF(purchaseDate &lt; dateOfRecord, returnOfCapital,0))</f>
        <v>10.18</v>
      </c>
      <c r="Y107" s="309">
        <f>LET(purchaseDate,C107, dateOfRecord,Reference!$B$27, returnOfCapital,Reference!$C$27, IF(purchaseDate &lt; dateOfRecord, returnOfCapital,0))</f>
        <v>16.58</v>
      </c>
      <c r="Z107" s="309">
        <f t="shared" si="9"/>
        <v>-26.76</v>
      </c>
      <c r="AA107" s="309">
        <f t="shared" si="10"/>
        <v>0</v>
      </c>
      <c r="AB107" s="320">
        <f>LET(numVmwShares,D107, stockRatio,Reference!$B$5, vmwToAvgoRatio,Reference!$B$6, numVmwShares * stockRatio * vmwToAvgoRatio)</f>
        <v>0</v>
      </c>
      <c r="AC107" s="320">
        <f>LET(numVmwShares,D107, stockRatio,Q107, vmwToAvgoRatio,Reference!$B$6, numVmwShares * stockRatio * vmwToAvgoRatio)</f>
        <v>0</v>
      </c>
      <c r="AD107" s="320" t="str">
        <f>LET(numVmwShares,D107, stockRatio,R107, vmwToAvgoRatio,Reference!$B$6, numVmwShares * stockRatio * vmwToAvgoRatio)</f>
        <v>#DIV/0!</v>
      </c>
      <c r="AE107" s="320">
        <f>SWITCH(Reference!$E$4, "eTradeTransactionLog", AB107, "eTradeHoldingRatio",AB107, "eTradeLotQtyRatio",AC107,"manualLotRatio",AD107)</f>
        <v>0</v>
      </c>
      <c r="AF107" s="321">
        <f>LET(numVmwShares,D107, vmwBasis,Z107, avgoQty,AE107, avgoFMV,Reference!$B$18, cashReceived,W107, gain,cashReceived+(avgoQty*avgoFMV)-(numVmwShares*vmwBasis),
MAX(gain,0))</f>
        <v>0</v>
      </c>
      <c r="AG107" s="322">
        <f>LET(useForFraction,J107, fractionAmount,Summary!$C$41, esppFractionLots,ESPP!$N$5, rsuFractionLots,RSU!J$5, IF(useForFraction, fractionAmount / (esppFractionLots+rsuFractionLots), 0))</f>
        <v>0</v>
      </c>
      <c r="AH107" s="411">
        <f>LET(useForFraction,J107, fractionSaleFMV,Reference!$B$23, postMergerBasis,AT107, lotFractionAmount,AG107, IF(useForFraction, (fractionSaleFMV - postMergerBasis)*lotFractionAmount, 0))</f>
        <v>0</v>
      </c>
      <c r="AI107" s="412">
        <f t="shared" si="11"/>
        <v>0</v>
      </c>
      <c r="AJ107" s="413">
        <f>LET(
purchaseDate,C107,
mergerDate,Reference!$B$28,
lotFractionGain,AH107,
mergerGain,AI107,
IF(DATEDIF(purchaseDate,mergerDate,"Y")&gt;=1,
  0,
  lotFractionGain + mergerGain
))</f>
        <v>0</v>
      </c>
      <c r="AK107" s="413">
        <f>LET(
purchaseDate,C107,
mergerDate,Reference!$B$28,
lotFractionGain,AH107,
mergerGain,AI107,
IF(DATEDIF(purchaseDate,mergerDate,"Y")&gt;=1,
  lotFractionGain+mergerGain,
  0
))</f>
        <v>0</v>
      </c>
      <c r="AL107" s="414" t="str">
        <f>IF(DATEDIF(C107,Reference!$B$28,"Y")&gt;=1,"Part II Box E","Part I Box B")</f>
        <v>Part II Box E</v>
      </c>
      <c r="AM107" s="344" t="str">
        <f t="shared" si="12"/>
        <v/>
      </c>
      <c r="AN107" s="330">
        <f t="shared" si="13"/>
        <v>0</v>
      </c>
      <c r="AO107" s="330">
        <f>LET(
cashReceived,W107, 
avgoQty,AE107, 
proceedsStyle,Reference!$E$9, 
avgoFMV,Reference!$B$18, 
SWITCH(proceedsStyle, "combined", cashReceived +(avgoQty*avgoFMV), "cashOnly", cashReceived))</f>
        <v>0</v>
      </c>
      <c r="AP107" s="345">
        <f>LET(
proceedsStyle,Reference!$E$9,
proceeds,AO107,
gain,AS107,
numVmwShares,D107, 
vmwBasis, Z107, 
avgoQty,AE107, 
avgoFMV,Reference!$B$18, 
cashReceived,W107, 
avgoTotalValue, avgoFMV*avgoQty, 
vmwTotalBasis, vmwBasis*numVmwShares,
alternateGainAmount,AF107, 
SWITCH(proceedsStyle,
  "cashOnly",
    proceeds - gain,
  "combined",
    IF(cashReceived&lt;alternateGainAmount,
      avgoTotalValue,
      vmwTotalBasis
    )
  )
)</f>
        <v>0</v>
      </c>
      <c r="AQ107" s="345" t="str">
        <f t="shared" si="14"/>
        <v/>
      </c>
      <c r="AR107" s="345">
        <v>0.0</v>
      </c>
      <c r="AS107" s="331">
        <f>LET(
proceedsStyle,Reference!$E$9,
proceeds,AO107,
basis1099B,AP107,
adjustment,AR107,
mergerGain,AI107,
SWITCH(proceedsStyle,
  "cashOnly",
    mergerGain,
  "combined",
    MAX(proceeds - basis1099B + adjustment, 0)
))</f>
        <v>0</v>
      </c>
      <c r="AT107" s="415" t="str">
        <f t="shared" si="15"/>
        <v>n/a</v>
      </c>
      <c r="AU107" s="333">
        <f>LET(saleFMV,Reference!$B$10, postMergerBasis,AT107, avgoQty,AE107, lotFractionAmount,AG107, iferror((saleFMV - postMergerBasis) * (avgoQty - lotFractionAmount), 0))</f>
        <v>0</v>
      </c>
      <c r="AV107" s="333">
        <f>LET(
avgoQty,AE107, 
purchaseDate,C107,
postMergerSaleDate,Reference!$B$29,
saleFMV,Reference!$B$10,
postMergerBasis,AT107, 
IFERROR(IF(DATEDIF(purchaseDate,postMergerSaleDate,"Y")&gt;=1,
  0,
  avgoQty * (saleFMV - postMergerBasis)
),0))</f>
        <v>0</v>
      </c>
      <c r="AW107" s="336">
        <f>LET(
avgoQty,AE107, 
purchaseDate,C107,
postMergerSaleDate,Reference!$B$29,
saleFMV,Reference!$B$10,
postMergerBasis,AT107, 
IFERROR(IF(DATEDIF(purchaseDate,postMergerSaleDate,"Y")&gt;=1,
  avgoQty * (saleFMV - postMergerBasis),
  0
),0))</f>
        <v>0</v>
      </c>
    </row>
    <row r="108">
      <c r="A108" s="422"/>
      <c r="B108" s="423"/>
      <c r="C108" s="351"/>
      <c r="D108" s="352"/>
      <c r="E108" s="321" t="str">
        <f t="array" ref="E108">IF(C108&lt;&gt;"", IFERROR(VLOOKUP(C108, SORT(PriceReference!$A$1:$B1014), 2, TRUE), "price unavailable"), "")</f>
        <v/>
      </c>
      <c r="F108" s="416"/>
      <c r="G108" s="309">
        <f t="shared" si="6"/>
        <v>0</v>
      </c>
      <c r="H108" s="321">
        <f t="shared" si="7"/>
        <v>0</v>
      </c>
      <c r="I108" s="417"/>
      <c r="J108" s="348" t="b">
        <v>0</v>
      </c>
      <c r="K108" s="409"/>
      <c r="L108" s="315">
        <v>0.0</v>
      </c>
      <c r="M108" s="315">
        <v>0.0</v>
      </c>
      <c r="N108" s="315">
        <v>0.0</v>
      </c>
      <c r="O108" s="315">
        <v>0.0</v>
      </c>
      <c r="P108" s="315">
        <v>0.0</v>
      </c>
      <c r="Q108" s="317">
        <f t="shared" si="8"/>
        <v>0</v>
      </c>
      <c r="R108" s="317" t="str">
        <f>SWITCH(S108,"cash",Reference!E$5,"shares",Reference!$E$6,"balance",Reference!$E$7,"pro-rata",Reference!$B$5)</f>
        <v>#DIV/0!</v>
      </c>
      <c r="S108" s="318" t="s">
        <v>207</v>
      </c>
      <c r="T108" s="319">
        <f>LET(numVmwShares,D108, cashRatio,Reference!$B$4, vmwFinalPrice,Reference!$B$3, numVmwShares * cashRatio * vmwFinalPrice)</f>
        <v>0</v>
      </c>
      <c r="U108" s="319">
        <f>iferror(LET(numVmwShares,$D108, stockRatio,Q108, vmwFinalPrice,Reference!$B$3, (1 - stockRatio) * vmwFinalPrice * numVmwShares),0)</f>
        <v>0</v>
      </c>
      <c r="V108" s="319">
        <f>iferror(LET(numVmwShares,$D108, stockRatio,R108, vmwFinalPrice,Reference!$B$3, (1 - stockRatio) * vmwFinalPrice * numVmwShares),0)</f>
        <v>0</v>
      </c>
      <c r="W108" s="319">
        <f>SWITCH(Reference!$E$4,"eTradeTransactionLog", T108, "eTradeHoldingRatio",T108, "eTradeLotQtyRatio",U108,"manualLotRatio",V108)</f>
        <v>0</v>
      </c>
      <c r="X108" s="309">
        <f>LET(purchaseDate,C108, dateOfRecord,Reference!$B$26, returnOfCapital,Reference!$C$26, IF(purchaseDate &lt; dateOfRecord, returnOfCapital,0))</f>
        <v>10.18</v>
      </c>
      <c r="Y108" s="309">
        <f>LET(purchaseDate,C108, dateOfRecord,Reference!$B$27, returnOfCapital,Reference!$C$27, IF(purchaseDate &lt; dateOfRecord, returnOfCapital,0))</f>
        <v>16.58</v>
      </c>
      <c r="Z108" s="309">
        <f t="shared" si="9"/>
        <v>-26.76</v>
      </c>
      <c r="AA108" s="309">
        <f t="shared" si="10"/>
        <v>0</v>
      </c>
      <c r="AB108" s="320">
        <f>LET(numVmwShares,D108, stockRatio,Reference!$B$5, vmwToAvgoRatio,Reference!$B$6, numVmwShares * stockRatio * vmwToAvgoRatio)</f>
        <v>0</v>
      </c>
      <c r="AC108" s="320">
        <f>LET(numVmwShares,D108, stockRatio,Q108, vmwToAvgoRatio,Reference!$B$6, numVmwShares * stockRatio * vmwToAvgoRatio)</f>
        <v>0</v>
      </c>
      <c r="AD108" s="320" t="str">
        <f>LET(numVmwShares,D108, stockRatio,R108, vmwToAvgoRatio,Reference!$B$6, numVmwShares * stockRatio * vmwToAvgoRatio)</f>
        <v>#DIV/0!</v>
      </c>
      <c r="AE108" s="320">
        <f>SWITCH(Reference!$E$4, "eTradeTransactionLog", AB108, "eTradeHoldingRatio",AB108, "eTradeLotQtyRatio",AC108,"manualLotRatio",AD108)</f>
        <v>0</v>
      </c>
      <c r="AF108" s="321">
        <f>LET(numVmwShares,D108, vmwBasis,Z108, avgoQty,AE108, avgoFMV,Reference!$B$18, cashReceived,W108, gain,cashReceived+(avgoQty*avgoFMV)-(numVmwShares*vmwBasis),
MAX(gain,0))</f>
        <v>0</v>
      </c>
      <c r="AG108" s="322">
        <f>LET(useForFraction,J108, fractionAmount,Summary!$C$41, esppFractionLots,ESPP!$N$5, rsuFractionLots,RSU!J$5, IF(useForFraction, fractionAmount / (esppFractionLots+rsuFractionLots), 0))</f>
        <v>0</v>
      </c>
      <c r="AH108" s="411">
        <f>LET(useForFraction,J108, fractionSaleFMV,Reference!$B$23, postMergerBasis,AT108, lotFractionAmount,AG108, IF(useForFraction, (fractionSaleFMV - postMergerBasis)*lotFractionAmount, 0))</f>
        <v>0</v>
      </c>
      <c r="AI108" s="412">
        <f t="shared" si="11"/>
        <v>0</v>
      </c>
      <c r="AJ108" s="413">
        <f>LET(
purchaseDate,C108,
mergerDate,Reference!$B$28,
lotFractionGain,AH108,
mergerGain,AI108,
IF(DATEDIF(purchaseDate,mergerDate,"Y")&gt;=1,
  0,
  lotFractionGain + mergerGain
))</f>
        <v>0</v>
      </c>
      <c r="AK108" s="413">
        <f>LET(
purchaseDate,C108,
mergerDate,Reference!$B$28,
lotFractionGain,AH108,
mergerGain,AI108,
IF(DATEDIF(purchaseDate,mergerDate,"Y")&gt;=1,
  lotFractionGain+mergerGain,
  0
))</f>
        <v>0</v>
      </c>
      <c r="AL108" s="414" t="str">
        <f>IF(DATEDIF(C108,Reference!$B$28,"Y")&gt;=1,"Part II Box E","Part I Box B")</f>
        <v>Part II Box E</v>
      </c>
      <c r="AM108" s="344" t="str">
        <f t="shared" si="12"/>
        <v/>
      </c>
      <c r="AN108" s="330">
        <f t="shared" si="13"/>
        <v>0</v>
      </c>
      <c r="AO108" s="330">
        <f>LET(
cashReceived,W108, 
avgoQty,AE108, 
proceedsStyle,Reference!$E$9, 
avgoFMV,Reference!$B$18, 
SWITCH(proceedsStyle, "combined", cashReceived +(avgoQty*avgoFMV), "cashOnly", cashReceived))</f>
        <v>0</v>
      </c>
      <c r="AP108" s="345">
        <f>LET(
proceedsStyle,Reference!$E$9,
proceeds,AO108,
gain,AS108,
numVmwShares,D108, 
vmwBasis, Z108, 
avgoQty,AE108, 
avgoFMV,Reference!$B$18, 
cashReceived,W108, 
avgoTotalValue, avgoFMV*avgoQty, 
vmwTotalBasis, vmwBasis*numVmwShares,
alternateGainAmount,AF108, 
SWITCH(proceedsStyle,
  "cashOnly",
    proceeds - gain,
  "combined",
    IF(cashReceived&lt;alternateGainAmount,
      avgoTotalValue,
      vmwTotalBasis
    )
  )
)</f>
        <v>0</v>
      </c>
      <c r="AQ108" s="345" t="str">
        <f t="shared" si="14"/>
        <v/>
      </c>
      <c r="AR108" s="345">
        <v>0.0</v>
      </c>
      <c r="AS108" s="331">
        <f>LET(
proceedsStyle,Reference!$E$9,
proceeds,AO108,
basis1099B,AP108,
adjustment,AR108,
mergerGain,AI108,
SWITCH(proceedsStyle,
  "cashOnly",
    mergerGain,
  "combined",
    MAX(proceeds - basis1099B + adjustment, 0)
))</f>
        <v>0</v>
      </c>
      <c r="AT108" s="415" t="str">
        <f t="shared" si="15"/>
        <v>n/a</v>
      </c>
      <c r="AU108" s="333">
        <f>LET(saleFMV,Reference!$B$10, postMergerBasis,AT108, avgoQty,AE108, lotFractionAmount,AG108, iferror((saleFMV - postMergerBasis) * (avgoQty - lotFractionAmount), 0))</f>
        <v>0</v>
      </c>
      <c r="AV108" s="333">
        <f>LET(
avgoQty,AE108, 
purchaseDate,C108,
postMergerSaleDate,Reference!$B$29,
saleFMV,Reference!$B$10,
postMergerBasis,AT108, 
IFERROR(IF(DATEDIF(purchaseDate,postMergerSaleDate,"Y")&gt;=1,
  0,
  avgoQty * (saleFMV - postMergerBasis)
),0))</f>
        <v>0</v>
      </c>
      <c r="AW108" s="336">
        <f>LET(
avgoQty,AE108, 
purchaseDate,C108,
postMergerSaleDate,Reference!$B$29,
saleFMV,Reference!$B$10,
postMergerBasis,AT108, 
IFERROR(IF(DATEDIF(purchaseDate,postMergerSaleDate,"Y")&gt;=1,
  avgoQty * (saleFMV - postMergerBasis),
  0
),0))</f>
        <v>0</v>
      </c>
    </row>
    <row r="109">
      <c r="A109" s="422"/>
      <c r="B109" s="423"/>
      <c r="C109" s="351"/>
      <c r="D109" s="352"/>
      <c r="E109" s="321" t="str">
        <f t="array" ref="E109">IF(C109&lt;&gt;"", IFERROR(VLOOKUP(C109, SORT(PriceReference!$A$1:$B1014), 2, TRUE), "price unavailable"), "")</f>
        <v/>
      </c>
      <c r="F109" s="416"/>
      <c r="G109" s="309">
        <f t="shared" si="6"/>
        <v>0</v>
      </c>
      <c r="H109" s="321">
        <f t="shared" si="7"/>
        <v>0</v>
      </c>
      <c r="I109" s="417"/>
      <c r="J109" s="348" t="b">
        <v>0</v>
      </c>
      <c r="K109" s="409"/>
      <c r="L109" s="315">
        <v>0.0</v>
      </c>
      <c r="M109" s="315">
        <v>0.0</v>
      </c>
      <c r="N109" s="315">
        <v>0.0</v>
      </c>
      <c r="O109" s="315">
        <v>0.0</v>
      </c>
      <c r="P109" s="315">
        <v>0.0</v>
      </c>
      <c r="Q109" s="317">
        <f t="shared" si="8"/>
        <v>0</v>
      </c>
      <c r="R109" s="317" t="str">
        <f>SWITCH(S109,"cash",Reference!E$5,"shares",Reference!$E$6,"balance",Reference!$E$7,"pro-rata",Reference!$B$5)</f>
        <v>#DIV/0!</v>
      </c>
      <c r="S109" s="318" t="s">
        <v>207</v>
      </c>
      <c r="T109" s="319">
        <f>LET(numVmwShares,D109, cashRatio,Reference!$B$4, vmwFinalPrice,Reference!$B$3, numVmwShares * cashRatio * vmwFinalPrice)</f>
        <v>0</v>
      </c>
      <c r="U109" s="319">
        <f>iferror(LET(numVmwShares,$D109, stockRatio,Q109, vmwFinalPrice,Reference!$B$3, (1 - stockRatio) * vmwFinalPrice * numVmwShares),0)</f>
        <v>0</v>
      </c>
      <c r="V109" s="319">
        <f>iferror(LET(numVmwShares,$D109, stockRatio,R109, vmwFinalPrice,Reference!$B$3, (1 - stockRatio) * vmwFinalPrice * numVmwShares),0)</f>
        <v>0</v>
      </c>
      <c r="W109" s="319">
        <f>SWITCH(Reference!$E$4,"eTradeTransactionLog", T109, "eTradeHoldingRatio",T109, "eTradeLotQtyRatio",U109,"manualLotRatio",V109)</f>
        <v>0</v>
      </c>
      <c r="X109" s="309">
        <f>LET(purchaseDate,C109, dateOfRecord,Reference!$B$26, returnOfCapital,Reference!$C$26, IF(purchaseDate &lt; dateOfRecord, returnOfCapital,0))</f>
        <v>10.18</v>
      </c>
      <c r="Y109" s="309">
        <f>LET(purchaseDate,C109, dateOfRecord,Reference!$B$27, returnOfCapital,Reference!$C$27, IF(purchaseDate &lt; dateOfRecord, returnOfCapital,0))</f>
        <v>16.58</v>
      </c>
      <c r="Z109" s="309">
        <f t="shared" si="9"/>
        <v>-26.76</v>
      </c>
      <c r="AA109" s="309">
        <f t="shared" si="10"/>
        <v>0</v>
      </c>
      <c r="AB109" s="320">
        <f>LET(numVmwShares,D109, stockRatio,Reference!$B$5, vmwToAvgoRatio,Reference!$B$6, numVmwShares * stockRatio * vmwToAvgoRatio)</f>
        <v>0</v>
      </c>
      <c r="AC109" s="320">
        <f>LET(numVmwShares,D109, stockRatio,Q109, vmwToAvgoRatio,Reference!$B$6, numVmwShares * stockRatio * vmwToAvgoRatio)</f>
        <v>0</v>
      </c>
      <c r="AD109" s="320" t="str">
        <f>LET(numVmwShares,D109, stockRatio,R109, vmwToAvgoRatio,Reference!$B$6, numVmwShares * stockRatio * vmwToAvgoRatio)</f>
        <v>#DIV/0!</v>
      </c>
      <c r="AE109" s="320">
        <f>SWITCH(Reference!$E$4, "eTradeTransactionLog", AB109, "eTradeHoldingRatio",AB109, "eTradeLotQtyRatio",AC109,"manualLotRatio",AD109)</f>
        <v>0</v>
      </c>
      <c r="AF109" s="321">
        <f>LET(numVmwShares,D109, vmwBasis,Z109, avgoQty,AE109, avgoFMV,Reference!$B$18, cashReceived,W109, gain,cashReceived+(avgoQty*avgoFMV)-(numVmwShares*vmwBasis),
MAX(gain,0))</f>
        <v>0</v>
      </c>
      <c r="AG109" s="322">
        <f>LET(useForFraction,J109, fractionAmount,Summary!$C$41, esppFractionLots,ESPP!$N$5, rsuFractionLots,RSU!J$5, IF(useForFraction, fractionAmount / (esppFractionLots+rsuFractionLots), 0))</f>
        <v>0</v>
      </c>
      <c r="AH109" s="411">
        <f>LET(useForFraction,J109, fractionSaleFMV,Reference!$B$23, postMergerBasis,AT109, lotFractionAmount,AG109, IF(useForFraction, (fractionSaleFMV - postMergerBasis)*lotFractionAmount, 0))</f>
        <v>0</v>
      </c>
      <c r="AI109" s="412">
        <f t="shared" si="11"/>
        <v>0</v>
      </c>
      <c r="AJ109" s="413">
        <f>LET(
purchaseDate,C109,
mergerDate,Reference!$B$28,
lotFractionGain,AH109,
mergerGain,AI109,
IF(DATEDIF(purchaseDate,mergerDate,"Y")&gt;=1,
  0,
  lotFractionGain + mergerGain
))</f>
        <v>0</v>
      </c>
      <c r="AK109" s="413">
        <f>LET(
purchaseDate,C109,
mergerDate,Reference!$B$28,
lotFractionGain,AH109,
mergerGain,AI109,
IF(DATEDIF(purchaseDate,mergerDate,"Y")&gt;=1,
  lotFractionGain+mergerGain,
  0
))</f>
        <v>0</v>
      </c>
      <c r="AL109" s="414" t="str">
        <f>IF(DATEDIF(C109,Reference!$B$28,"Y")&gt;=1,"Part II Box E","Part I Box B")</f>
        <v>Part II Box E</v>
      </c>
      <c r="AM109" s="344" t="str">
        <f t="shared" si="12"/>
        <v/>
      </c>
      <c r="AN109" s="330">
        <f t="shared" si="13"/>
        <v>0</v>
      </c>
      <c r="AO109" s="330">
        <f>LET(
cashReceived,W109, 
avgoQty,AE109, 
proceedsStyle,Reference!$E$9, 
avgoFMV,Reference!$B$18, 
SWITCH(proceedsStyle, "combined", cashReceived +(avgoQty*avgoFMV), "cashOnly", cashReceived))</f>
        <v>0</v>
      </c>
      <c r="AP109" s="345">
        <f>LET(
proceedsStyle,Reference!$E$9,
proceeds,AO109,
gain,AS109,
numVmwShares,D109, 
vmwBasis, Z109, 
avgoQty,AE109, 
avgoFMV,Reference!$B$18, 
cashReceived,W109, 
avgoTotalValue, avgoFMV*avgoQty, 
vmwTotalBasis, vmwBasis*numVmwShares,
alternateGainAmount,AF109, 
SWITCH(proceedsStyle,
  "cashOnly",
    proceeds - gain,
  "combined",
    IF(cashReceived&lt;alternateGainAmount,
      avgoTotalValue,
      vmwTotalBasis
    )
  )
)</f>
        <v>0</v>
      </c>
      <c r="AQ109" s="345" t="str">
        <f t="shared" si="14"/>
        <v/>
      </c>
      <c r="AR109" s="345">
        <v>0.0</v>
      </c>
      <c r="AS109" s="331">
        <f>LET(
proceedsStyle,Reference!$E$9,
proceeds,AO109,
basis1099B,AP109,
adjustment,AR109,
mergerGain,AI109,
SWITCH(proceedsStyle,
  "cashOnly",
    mergerGain,
  "combined",
    MAX(proceeds - basis1099B + adjustment, 0)
))</f>
        <v>0</v>
      </c>
      <c r="AT109" s="415" t="str">
        <f t="shared" si="15"/>
        <v>n/a</v>
      </c>
      <c r="AU109" s="333">
        <f>LET(saleFMV,Reference!$B$10, postMergerBasis,AT109, avgoQty,AE109, lotFractionAmount,AG109, iferror((saleFMV - postMergerBasis) * (avgoQty - lotFractionAmount), 0))</f>
        <v>0</v>
      </c>
      <c r="AV109" s="333">
        <f>LET(
avgoQty,AE109, 
purchaseDate,C109,
postMergerSaleDate,Reference!$B$29,
saleFMV,Reference!$B$10,
postMergerBasis,AT109, 
IFERROR(IF(DATEDIF(purchaseDate,postMergerSaleDate,"Y")&gt;=1,
  0,
  avgoQty * (saleFMV - postMergerBasis)
),0))</f>
        <v>0</v>
      </c>
      <c r="AW109" s="336">
        <f>LET(
avgoQty,AE109, 
purchaseDate,C109,
postMergerSaleDate,Reference!$B$29,
saleFMV,Reference!$B$10,
postMergerBasis,AT109, 
IFERROR(IF(DATEDIF(purchaseDate,postMergerSaleDate,"Y")&gt;=1,
  avgoQty * (saleFMV - postMergerBasis),
  0
),0))</f>
        <v>0</v>
      </c>
    </row>
    <row r="110">
      <c r="A110" s="422"/>
      <c r="B110" s="423"/>
      <c r="C110" s="351"/>
      <c r="D110" s="352"/>
      <c r="E110" s="321" t="str">
        <f t="array" ref="E110">IF(C110&lt;&gt;"", IFERROR(VLOOKUP(C110, SORT(PriceReference!$A$1:$B1014), 2, TRUE), "price unavailable"), "")</f>
        <v/>
      </c>
      <c r="F110" s="416"/>
      <c r="G110" s="309">
        <f t="shared" si="6"/>
        <v>0</v>
      </c>
      <c r="H110" s="321">
        <f t="shared" si="7"/>
        <v>0</v>
      </c>
      <c r="I110" s="417"/>
      <c r="J110" s="348" t="b">
        <v>0</v>
      </c>
      <c r="K110" s="409"/>
      <c r="L110" s="315">
        <v>0.0</v>
      </c>
      <c r="M110" s="315">
        <v>0.0</v>
      </c>
      <c r="N110" s="315">
        <v>0.0</v>
      </c>
      <c r="O110" s="315">
        <v>0.0</v>
      </c>
      <c r="P110" s="315">
        <v>0.0</v>
      </c>
      <c r="Q110" s="317">
        <f t="shared" si="8"/>
        <v>0</v>
      </c>
      <c r="R110" s="317" t="str">
        <f>SWITCH(S110,"cash",Reference!E$5,"shares",Reference!$E$6,"balance",Reference!$E$7,"pro-rata",Reference!$B$5)</f>
        <v>#DIV/0!</v>
      </c>
      <c r="S110" s="318" t="s">
        <v>207</v>
      </c>
      <c r="T110" s="319">
        <f>LET(numVmwShares,D110, cashRatio,Reference!$B$4, vmwFinalPrice,Reference!$B$3, numVmwShares * cashRatio * vmwFinalPrice)</f>
        <v>0</v>
      </c>
      <c r="U110" s="319">
        <f>iferror(LET(numVmwShares,$D110, stockRatio,Q110, vmwFinalPrice,Reference!$B$3, (1 - stockRatio) * vmwFinalPrice * numVmwShares),0)</f>
        <v>0</v>
      </c>
      <c r="V110" s="319">
        <f>iferror(LET(numVmwShares,$D110, stockRatio,R110, vmwFinalPrice,Reference!$B$3, (1 - stockRatio) * vmwFinalPrice * numVmwShares),0)</f>
        <v>0</v>
      </c>
      <c r="W110" s="319">
        <f>SWITCH(Reference!$E$4,"eTradeTransactionLog", T110, "eTradeHoldingRatio",T110, "eTradeLotQtyRatio",U110,"manualLotRatio",V110)</f>
        <v>0</v>
      </c>
      <c r="X110" s="309">
        <f>LET(purchaseDate,C110, dateOfRecord,Reference!$B$26, returnOfCapital,Reference!$C$26, IF(purchaseDate &lt; dateOfRecord, returnOfCapital,0))</f>
        <v>10.18</v>
      </c>
      <c r="Y110" s="309">
        <f>LET(purchaseDate,C110, dateOfRecord,Reference!$B$27, returnOfCapital,Reference!$C$27, IF(purchaseDate &lt; dateOfRecord, returnOfCapital,0))</f>
        <v>16.58</v>
      </c>
      <c r="Z110" s="309">
        <f t="shared" si="9"/>
        <v>-26.76</v>
      </c>
      <c r="AA110" s="309">
        <f t="shared" si="10"/>
        <v>0</v>
      </c>
      <c r="AB110" s="320">
        <f>LET(numVmwShares,D110, stockRatio,Reference!$B$5, vmwToAvgoRatio,Reference!$B$6, numVmwShares * stockRatio * vmwToAvgoRatio)</f>
        <v>0</v>
      </c>
      <c r="AC110" s="320">
        <f>LET(numVmwShares,D110, stockRatio,Q110, vmwToAvgoRatio,Reference!$B$6, numVmwShares * stockRatio * vmwToAvgoRatio)</f>
        <v>0</v>
      </c>
      <c r="AD110" s="320" t="str">
        <f>LET(numVmwShares,D110, stockRatio,R110, vmwToAvgoRatio,Reference!$B$6, numVmwShares * stockRatio * vmwToAvgoRatio)</f>
        <v>#DIV/0!</v>
      </c>
      <c r="AE110" s="320">
        <f>SWITCH(Reference!$E$4, "eTradeTransactionLog", AB110, "eTradeHoldingRatio",AB110, "eTradeLotQtyRatio",AC110,"manualLotRatio",AD110)</f>
        <v>0</v>
      </c>
      <c r="AF110" s="321">
        <f>LET(numVmwShares,D110, vmwBasis,Z110, avgoQty,AE110, avgoFMV,Reference!$B$18, cashReceived,W110, gain,cashReceived+(avgoQty*avgoFMV)-(numVmwShares*vmwBasis),
MAX(gain,0))</f>
        <v>0</v>
      </c>
      <c r="AG110" s="322">
        <f>LET(useForFraction,J110, fractionAmount,Summary!$C$41, esppFractionLots,ESPP!$N$5, rsuFractionLots,RSU!J$5, IF(useForFraction, fractionAmount / (esppFractionLots+rsuFractionLots), 0))</f>
        <v>0</v>
      </c>
      <c r="AH110" s="411">
        <f>LET(useForFraction,J110, fractionSaleFMV,Reference!$B$23, postMergerBasis,AT110, lotFractionAmount,AG110, IF(useForFraction, (fractionSaleFMV - postMergerBasis)*lotFractionAmount, 0))</f>
        <v>0</v>
      </c>
      <c r="AI110" s="412">
        <f t="shared" si="11"/>
        <v>0</v>
      </c>
      <c r="AJ110" s="413">
        <f>LET(
purchaseDate,C110,
mergerDate,Reference!$B$28,
lotFractionGain,AH110,
mergerGain,AI110,
IF(DATEDIF(purchaseDate,mergerDate,"Y")&gt;=1,
  0,
  lotFractionGain + mergerGain
))</f>
        <v>0</v>
      </c>
      <c r="AK110" s="413">
        <f>LET(
purchaseDate,C110,
mergerDate,Reference!$B$28,
lotFractionGain,AH110,
mergerGain,AI110,
IF(DATEDIF(purchaseDate,mergerDate,"Y")&gt;=1,
  lotFractionGain+mergerGain,
  0
))</f>
        <v>0</v>
      </c>
      <c r="AL110" s="414" t="str">
        <f>IF(DATEDIF(C110,Reference!$B$28,"Y")&gt;=1,"Part II Box E","Part I Box B")</f>
        <v>Part II Box E</v>
      </c>
      <c r="AM110" s="344" t="str">
        <f t="shared" si="12"/>
        <v/>
      </c>
      <c r="AN110" s="330">
        <f t="shared" si="13"/>
        <v>0</v>
      </c>
      <c r="AO110" s="330">
        <f>LET(
cashReceived,W110, 
avgoQty,AE110, 
proceedsStyle,Reference!$E$9, 
avgoFMV,Reference!$B$18, 
SWITCH(proceedsStyle, "combined", cashReceived +(avgoQty*avgoFMV), "cashOnly", cashReceived))</f>
        <v>0</v>
      </c>
      <c r="AP110" s="345">
        <f>LET(
proceedsStyle,Reference!$E$9,
proceeds,AO110,
gain,AS110,
numVmwShares,D110, 
vmwBasis, Z110, 
avgoQty,AE110, 
avgoFMV,Reference!$B$18, 
cashReceived,W110, 
avgoTotalValue, avgoFMV*avgoQty, 
vmwTotalBasis, vmwBasis*numVmwShares,
alternateGainAmount,AF110, 
SWITCH(proceedsStyle,
  "cashOnly",
    proceeds - gain,
  "combined",
    IF(cashReceived&lt;alternateGainAmount,
      avgoTotalValue,
      vmwTotalBasis
    )
  )
)</f>
        <v>0</v>
      </c>
      <c r="AQ110" s="345" t="str">
        <f t="shared" si="14"/>
        <v/>
      </c>
      <c r="AR110" s="345">
        <v>0.0</v>
      </c>
      <c r="AS110" s="331">
        <f>LET(
proceedsStyle,Reference!$E$9,
proceeds,AO110,
basis1099B,AP110,
adjustment,AR110,
mergerGain,AI110,
SWITCH(proceedsStyle,
  "cashOnly",
    mergerGain,
  "combined",
    MAX(proceeds - basis1099B + adjustment, 0)
))</f>
        <v>0</v>
      </c>
      <c r="AT110" s="415" t="str">
        <f t="shared" si="15"/>
        <v>n/a</v>
      </c>
      <c r="AU110" s="333">
        <f>LET(saleFMV,Reference!$B$10, postMergerBasis,AT110, avgoQty,AE110, lotFractionAmount,AG110, iferror((saleFMV - postMergerBasis) * (avgoQty - lotFractionAmount), 0))</f>
        <v>0</v>
      </c>
      <c r="AV110" s="333">
        <f>LET(
avgoQty,AE110, 
purchaseDate,C110,
postMergerSaleDate,Reference!$B$29,
saleFMV,Reference!$B$10,
postMergerBasis,AT110, 
IFERROR(IF(DATEDIF(purchaseDate,postMergerSaleDate,"Y")&gt;=1,
  0,
  avgoQty * (saleFMV - postMergerBasis)
),0))</f>
        <v>0</v>
      </c>
      <c r="AW110" s="336">
        <f>LET(
avgoQty,AE110, 
purchaseDate,C110,
postMergerSaleDate,Reference!$B$29,
saleFMV,Reference!$B$10,
postMergerBasis,AT110, 
IFERROR(IF(DATEDIF(purchaseDate,postMergerSaleDate,"Y")&gt;=1,
  avgoQty * (saleFMV - postMergerBasis),
  0
),0))</f>
        <v>0</v>
      </c>
    </row>
    <row r="111">
      <c r="A111" s="422"/>
      <c r="B111" s="423"/>
      <c r="C111" s="351"/>
      <c r="D111" s="352"/>
      <c r="E111" s="321" t="str">
        <f t="array" ref="E111">IF(C111&lt;&gt;"", IFERROR(VLOOKUP(C111, SORT(PriceReference!$A$1:$B1014), 2, TRUE), "price unavailable"), "")</f>
        <v/>
      </c>
      <c r="F111" s="416"/>
      <c r="G111" s="309">
        <f t="shared" si="6"/>
        <v>0</v>
      </c>
      <c r="H111" s="321">
        <f t="shared" si="7"/>
        <v>0</v>
      </c>
      <c r="I111" s="417"/>
      <c r="J111" s="348" t="b">
        <v>0</v>
      </c>
      <c r="K111" s="409"/>
      <c r="L111" s="315">
        <v>0.0</v>
      </c>
      <c r="M111" s="315">
        <v>0.0</v>
      </c>
      <c r="N111" s="315">
        <v>0.0</v>
      </c>
      <c r="O111" s="315">
        <v>0.0</v>
      </c>
      <c r="P111" s="315">
        <v>0.0</v>
      </c>
      <c r="Q111" s="317">
        <f t="shared" si="8"/>
        <v>0</v>
      </c>
      <c r="R111" s="317" t="str">
        <f>SWITCH(S111,"cash",Reference!E$5,"shares",Reference!$E$6,"balance",Reference!$E$7,"pro-rata",Reference!$B$5)</f>
        <v>#DIV/0!</v>
      </c>
      <c r="S111" s="318" t="s">
        <v>207</v>
      </c>
      <c r="T111" s="319">
        <f>LET(numVmwShares,D111, cashRatio,Reference!$B$4, vmwFinalPrice,Reference!$B$3, numVmwShares * cashRatio * vmwFinalPrice)</f>
        <v>0</v>
      </c>
      <c r="U111" s="319">
        <f>iferror(LET(numVmwShares,$D111, stockRatio,Q111, vmwFinalPrice,Reference!$B$3, (1 - stockRatio) * vmwFinalPrice * numVmwShares),0)</f>
        <v>0</v>
      </c>
      <c r="V111" s="319">
        <f>iferror(LET(numVmwShares,$D111, stockRatio,R111, vmwFinalPrice,Reference!$B$3, (1 - stockRatio) * vmwFinalPrice * numVmwShares),0)</f>
        <v>0</v>
      </c>
      <c r="W111" s="319">
        <f>SWITCH(Reference!$E$4,"eTradeTransactionLog", T111, "eTradeHoldingRatio",T111, "eTradeLotQtyRatio",U111,"manualLotRatio",V111)</f>
        <v>0</v>
      </c>
      <c r="X111" s="309">
        <f>LET(purchaseDate,C111, dateOfRecord,Reference!$B$26, returnOfCapital,Reference!$C$26, IF(purchaseDate &lt; dateOfRecord, returnOfCapital,0))</f>
        <v>10.18</v>
      </c>
      <c r="Y111" s="309">
        <f>LET(purchaseDate,C111, dateOfRecord,Reference!$B$27, returnOfCapital,Reference!$C$27, IF(purchaseDate &lt; dateOfRecord, returnOfCapital,0))</f>
        <v>16.58</v>
      </c>
      <c r="Z111" s="309">
        <f t="shared" si="9"/>
        <v>-26.76</v>
      </c>
      <c r="AA111" s="309">
        <f t="shared" si="10"/>
        <v>0</v>
      </c>
      <c r="AB111" s="320">
        <f>LET(numVmwShares,D111, stockRatio,Reference!$B$5, vmwToAvgoRatio,Reference!$B$6, numVmwShares * stockRatio * vmwToAvgoRatio)</f>
        <v>0</v>
      </c>
      <c r="AC111" s="320">
        <f>LET(numVmwShares,D111, stockRatio,Q111, vmwToAvgoRatio,Reference!$B$6, numVmwShares * stockRatio * vmwToAvgoRatio)</f>
        <v>0</v>
      </c>
      <c r="AD111" s="320" t="str">
        <f>LET(numVmwShares,D111, stockRatio,R111, vmwToAvgoRatio,Reference!$B$6, numVmwShares * stockRatio * vmwToAvgoRatio)</f>
        <v>#DIV/0!</v>
      </c>
      <c r="AE111" s="320">
        <f>SWITCH(Reference!$E$4, "eTradeTransactionLog", AB111, "eTradeHoldingRatio",AB111, "eTradeLotQtyRatio",AC111,"manualLotRatio",AD111)</f>
        <v>0</v>
      </c>
      <c r="AF111" s="321">
        <f>LET(numVmwShares,D111, vmwBasis,Z111, avgoQty,AE111, avgoFMV,Reference!$B$18, cashReceived,W111, gain,cashReceived+(avgoQty*avgoFMV)-(numVmwShares*vmwBasis),
MAX(gain,0))</f>
        <v>0</v>
      </c>
      <c r="AG111" s="322">
        <f>LET(useForFraction,J111, fractionAmount,Summary!$C$41, esppFractionLots,ESPP!$N$5, rsuFractionLots,RSU!J$5, IF(useForFraction, fractionAmount / (esppFractionLots+rsuFractionLots), 0))</f>
        <v>0</v>
      </c>
      <c r="AH111" s="411">
        <f>LET(useForFraction,J111, fractionSaleFMV,Reference!$B$23, postMergerBasis,AT111, lotFractionAmount,AG111, IF(useForFraction, (fractionSaleFMV - postMergerBasis)*lotFractionAmount, 0))</f>
        <v>0</v>
      </c>
      <c r="AI111" s="412">
        <f t="shared" si="11"/>
        <v>0</v>
      </c>
      <c r="AJ111" s="413">
        <f>LET(
purchaseDate,C111,
mergerDate,Reference!$B$28,
lotFractionGain,AH111,
mergerGain,AI111,
IF(DATEDIF(purchaseDate,mergerDate,"Y")&gt;=1,
  0,
  lotFractionGain + mergerGain
))</f>
        <v>0</v>
      </c>
      <c r="AK111" s="413">
        <f>LET(
purchaseDate,C111,
mergerDate,Reference!$B$28,
lotFractionGain,AH111,
mergerGain,AI111,
IF(DATEDIF(purchaseDate,mergerDate,"Y")&gt;=1,
  lotFractionGain+mergerGain,
  0
))</f>
        <v>0</v>
      </c>
      <c r="AL111" s="414" t="str">
        <f>IF(DATEDIF(C111,Reference!$B$28,"Y")&gt;=1,"Part II Box E","Part I Box B")</f>
        <v>Part II Box E</v>
      </c>
      <c r="AM111" s="344" t="str">
        <f t="shared" si="12"/>
        <v/>
      </c>
      <c r="AN111" s="330">
        <f t="shared" si="13"/>
        <v>0</v>
      </c>
      <c r="AO111" s="330">
        <f>LET(
cashReceived,W111, 
avgoQty,AE111, 
proceedsStyle,Reference!$E$9, 
avgoFMV,Reference!$B$18, 
SWITCH(proceedsStyle, "combined", cashReceived +(avgoQty*avgoFMV), "cashOnly", cashReceived))</f>
        <v>0</v>
      </c>
      <c r="AP111" s="345">
        <f>LET(
proceedsStyle,Reference!$E$9,
proceeds,AO111,
gain,AS111,
numVmwShares,D111, 
vmwBasis, Z111, 
avgoQty,AE111, 
avgoFMV,Reference!$B$18, 
cashReceived,W111, 
avgoTotalValue, avgoFMV*avgoQty, 
vmwTotalBasis, vmwBasis*numVmwShares,
alternateGainAmount,AF111, 
SWITCH(proceedsStyle,
  "cashOnly",
    proceeds - gain,
  "combined",
    IF(cashReceived&lt;alternateGainAmount,
      avgoTotalValue,
      vmwTotalBasis
    )
  )
)</f>
        <v>0</v>
      </c>
      <c r="AQ111" s="345" t="str">
        <f t="shared" si="14"/>
        <v/>
      </c>
      <c r="AR111" s="345">
        <v>0.0</v>
      </c>
      <c r="AS111" s="331">
        <f>LET(
proceedsStyle,Reference!$E$9,
proceeds,AO111,
basis1099B,AP111,
adjustment,AR111,
mergerGain,AI111,
SWITCH(proceedsStyle,
  "cashOnly",
    mergerGain,
  "combined",
    MAX(proceeds - basis1099B + adjustment, 0)
))</f>
        <v>0</v>
      </c>
      <c r="AT111" s="415" t="str">
        <f t="shared" si="15"/>
        <v>n/a</v>
      </c>
      <c r="AU111" s="333">
        <f>LET(saleFMV,Reference!$B$10, postMergerBasis,AT111, avgoQty,AE111, lotFractionAmount,AG111, iferror((saleFMV - postMergerBasis) * (avgoQty - lotFractionAmount), 0))</f>
        <v>0</v>
      </c>
      <c r="AV111" s="333">
        <f>LET(
avgoQty,AE111, 
purchaseDate,C111,
postMergerSaleDate,Reference!$B$29,
saleFMV,Reference!$B$10,
postMergerBasis,AT111, 
IFERROR(IF(DATEDIF(purchaseDate,postMergerSaleDate,"Y")&gt;=1,
  0,
  avgoQty * (saleFMV - postMergerBasis)
),0))</f>
        <v>0</v>
      </c>
      <c r="AW111" s="336">
        <f>LET(
avgoQty,AE111, 
purchaseDate,C111,
postMergerSaleDate,Reference!$B$29,
saleFMV,Reference!$B$10,
postMergerBasis,AT111, 
IFERROR(IF(DATEDIF(purchaseDate,postMergerSaleDate,"Y")&gt;=1,
  avgoQty * (saleFMV - postMergerBasis),
  0
),0))</f>
        <v>0</v>
      </c>
    </row>
    <row r="112">
      <c r="A112" s="422"/>
      <c r="B112" s="423"/>
      <c r="C112" s="351"/>
      <c r="D112" s="352"/>
      <c r="E112" s="321" t="str">
        <f t="array" ref="E112">IF(C112&lt;&gt;"", IFERROR(VLOOKUP(C112, SORT(PriceReference!$A$1:$B1014), 2, TRUE), "price unavailable"), "")</f>
        <v/>
      </c>
      <c r="F112" s="416"/>
      <c r="G112" s="309">
        <f t="shared" si="6"/>
        <v>0</v>
      </c>
      <c r="H112" s="321">
        <f t="shared" si="7"/>
        <v>0</v>
      </c>
      <c r="I112" s="417"/>
      <c r="J112" s="348" t="b">
        <v>0</v>
      </c>
      <c r="K112" s="409"/>
      <c r="L112" s="315">
        <v>0.0</v>
      </c>
      <c r="M112" s="315">
        <v>0.0</v>
      </c>
      <c r="N112" s="315">
        <v>0.0</v>
      </c>
      <c r="O112" s="315">
        <v>0.0</v>
      </c>
      <c r="P112" s="315">
        <v>0.0</v>
      </c>
      <c r="Q112" s="317">
        <f t="shared" si="8"/>
        <v>0</v>
      </c>
      <c r="R112" s="317" t="str">
        <f>SWITCH(S112,"cash",Reference!E$5,"shares",Reference!$E$6,"balance",Reference!$E$7,"pro-rata",Reference!$B$5)</f>
        <v>#DIV/0!</v>
      </c>
      <c r="S112" s="318" t="s">
        <v>207</v>
      </c>
      <c r="T112" s="319">
        <f>LET(numVmwShares,D112, cashRatio,Reference!$B$4, vmwFinalPrice,Reference!$B$3, numVmwShares * cashRatio * vmwFinalPrice)</f>
        <v>0</v>
      </c>
      <c r="U112" s="319">
        <f>iferror(LET(numVmwShares,$D112, stockRatio,Q112, vmwFinalPrice,Reference!$B$3, (1 - stockRatio) * vmwFinalPrice * numVmwShares),0)</f>
        <v>0</v>
      </c>
      <c r="V112" s="319">
        <f>iferror(LET(numVmwShares,$D112, stockRatio,R112, vmwFinalPrice,Reference!$B$3, (1 - stockRatio) * vmwFinalPrice * numVmwShares),0)</f>
        <v>0</v>
      </c>
      <c r="W112" s="319">
        <f>SWITCH(Reference!$E$4,"eTradeTransactionLog", T112, "eTradeHoldingRatio",T112, "eTradeLotQtyRatio",U112,"manualLotRatio",V112)</f>
        <v>0</v>
      </c>
      <c r="X112" s="309">
        <f>LET(purchaseDate,C112, dateOfRecord,Reference!$B$26, returnOfCapital,Reference!$C$26, IF(purchaseDate &lt; dateOfRecord, returnOfCapital,0))</f>
        <v>10.18</v>
      </c>
      <c r="Y112" s="309">
        <f>LET(purchaseDate,C112, dateOfRecord,Reference!$B$27, returnOfCapital,Reference!$C$27, IF(purchaseDate &lt; dateOfRecord, returnOfCapital,0))</f>
        <v>16.58</v>
      </c>
      <c r="Z112" s="309">
        <f t="shared" si="9"/>
        <v>-26.76</v>
      </c>
      <c r="AA112" s="309">
        <f t="shared" si="10"/>
        <v>0</v>
      </c>
      <c r="AB112" s="320">
        <f>LET(numVmwShares,D112, stockRatio,Reference!$B$5, vmwToAvgoRatio,Reference!$B$6, numVmwShares * stockRatio * vmwToAvgoRatio)</f>
        <v>0</v>
      </c>
      <c r="AC112" s="320">
        <f>LET(numVmwShares,D112, stockRatio,Q112, vmwToAvgoRatio,Reference!$B$6, numVmwShares * stockRatio * vmwToAvgoRatio)</f>
        <v>0</v>
      </c>
      <c r="AD112" s="320" t="str">
        <f>LET(numVmwShares,D112, stockRatio,R112, vmwToAvgoRatio,Reference!$B$6, numVmwShares * stockRatio * vmwToAvgoRatio)</f>
        <v>#DIV/0!</v>
      </c>
      <c r="AE112" s="320">
        <f>SWITCH(Reference!$E$4, "eTradeTransactionLog", AB112, "eTradeHoldingRatio",AB112, "eTradeLotQtyRatio",AC112,"manualLotRatio",AD112)</f>
        <v>0</v>
      </c>
      <c r="AF112" s="321">
        <f>LET(numVmwShares,D112, vmwBasis,Z112, avgoQty,AE112, avgoFMV,Reference!$B$18, cashReceived,W112, gain,cashReceived+(avgoQty*avgoFMV)-(numVmwShares*vmwBasis),
MAX(gain,0))</f>
        <v>0</v>
      </c>
      <c r="AG112" s="322">
        <f>LET(useForFraction,J112, fractionAmount,Summary!$C$41, esppFractionLots,ESPP!$N$5, rsuFractionLots,RSU!J$5, IF(useForFraction, fractionAmount / (esppFractionLots+rsuFractionLots), 0))</f>
        <v>0</v>
      </c>
      <c r="AH112" s="411">
        <f>LET(useForFraction,J112, fractionSaleFMV,Reference!$B$23, postMergerBasis,AT112, lotFractionAmount,AG112, IF(useForFraction, (fractionSaleFMV - postMergerBasis)*lotFractionAmount, 0))</f>
        <v>0</v>
      </c>
      <c r="AI112" s="412">
        <f t="shared" si="11"/>
        <v>0</v>
      </c>
      <c r="AJ112" s="413">
        <f>LET(
purchaseDate,C112,
mergerDate,Reference!$B$28,
lotFractionGain,AH112,
mergerGain,AI112,
IF(DATEDIF(purchaseDate,mergerDate,"Y")&gt;=1,
  0,
  lotFractionGain + mergerGain
))</f>
        <v>0</v>
      </c>
      <c r="AK112" s="413">
        <f>LET(
purchaseDate,C112,
mergerDate,Reference!$B$28,
lotFractionGain,AH112,
mergerGain,AI112,
IF(DATEDIF(purchaseDate,mergerDate,"Y")&gt;=1,
  lotFractionGain+mergerGain,
  0
))</f>
        <v>0</v>
      </c>
      <c r="AL112" s="414" t="str">
        <f>IF(DATEDIF(C112,Reference!$B$28,"Y")&gt;=1,"Part II Box E","Part I Box B")</f>
        <v>Part II Box E</v>
      </c>
      <c r="AM112" s="344" t="str">
        <f t="shared" si="12"/>
        <v/>
      </c>
      <c r="AN112" s="330">
        <f t="shared" si="13"/>
        <v>0</v>
      </c>
      <c r="AO112" s="330">
        <f>LET(
cashReceived,W112, 
avgoQty,AE112, 
proceedsStyle,Reference!$E$9, 
avgoFMV,Reference!$B$18, 
SWITCH(proceedsStyle, "combined", cashReceived +(avgoQty*avgoFMV), "cashOnly", cashReceived))</f>
        <v>0</v>
      </c>
      <c r="AP112" s="345">
        <f>LET(
proceedsStyle,Reference!$E$9,
proceeds,AO112,
gain,AS112,
numVmwShares,D112, 
vmwBasis, Z112, 
avgoQty,AE112, 
avgoFMV,Reference!$B$18, 
cashReceived,W112, 
avgoTotalValue, avgoFMV*avgoQty, 
vmwTotalBasis, vmwBasis*numVmwShares,
alternateGainAmount,AF112, 
SWITCH(proceedsStyle,
  "cashOnly",
    proceeds - gain,
  "combined",
    IF(cashReceived&lt;alternateGainAmount,
      avgoTotalValue,
      vmwTotalBasis
    )
  )
)</f>
        <v>0</v>
      </c>
      <c r="AQ112" s="345" t="str">
        <f t="shared" si="14"/>
        <v/>
      </c>
      <c r="AR112" s="345">
        <v>0.0</v>
      </c>
      <c r="AS112" s="331">
        <f>LET(
proceedsStyle,Reference!$E$9,
proceeds,AO112,
basis1099B,AP112,
adjustment,AR112,
mergerGain,AI112,
SWITCH(proceedsStyle,
  "cashOnly",
    mergerGain,
  "combined",
    MAX(proceeds - basis1099B + adjustment, 0)
))</f>
        <v>0</v>
      </c>
      <c r="AT112" s="415" t="str">
        <f t="shared" si="15"/>
        <v>n/a</v>
      </c>
      <c r="AU112" s="333">
        <f>LET(saleFMV,Reference!$B$10, postMergerBasis,AT112, avgoQty,AE112, lotFractionAmount,AG112, iferror((saleFMV - postMergerBasis) * (avgoQty - lotFractionAmount), 0))</f>
        <v>0</v>
      </c>
      <c r="AV112" s="333">
        <f>LET(
avgoQty,AE112, 
purchaseDate,C112,
postMergerSaleDate,Reference!$B$29,
saleFMV,Reference!$B$10,
postMergerBasis,AT112, 
IFERROR(IF(DATEDIF(purchaseDate,postMergerSaleDate,"Y")&gt;=1,
  0,
  avgoQty * (saleFMV - postMergerBasis)
),0))</f>
        <v>0</v>
      </c>
      <c r="AW112" s="336">
        <f>LET(
avgoQty,AE112, 
purchaseDate,C112,
postMergerSaleDate,Reference!$B$29,
saleFMV,Reference!$B$10,
postMergerBasis,AT112, 
IFERROR(IF(DATEDIF(purchaseDate,postMergerSaleDate,"Y")&gt;=1,
  avgoQty * (saleFMV - postMergerBasis),
  0
),0))</f>
        <v>0</v>
      </c>
    </row>
    <row r="113">
      <c r="A113" s="422"/>
      <c r="B113" s="423"/>
      <c r="C113" s="351"/>
      <c r="D113" s="352"/>
      <c r="E113" s="321" t="str">
        <f t="array" ref="E113">IF(C113&lt;&gt;"", IFERROR(VLOOKUP(C113, SORT(PriceReference!$A$1:$B1014), 2, TRUE), "price unavailable"), "")</f>
        <v/>
      </c>
      <c r="F113" s="416"/>
      <c r="G113" s="309">
        <f t="shared" si="6"/>
        <v>0</v>
      </c>
      <c r="H113" s="321">
        <f t="shared" si="7"/>
        <v>0</v>
      </c>
      <c r="I113" s="417"/>
      <c r="J113" s="348" t="b">
        <v>0</v>
      </c>
      <c r="K113" s="409"/>
      <c r="L113" s="315">
        <v>0.0</v>
      </c>
      <c r="M113" s="315">
        <v>0.0</v>
      </c>
      <c r="N113" s="315">
        <v>0.0</v>
      </c>
      <c r="O113" s="315">
        <v>0.0</v>
      </c>
      <c r="P113" s="315">
        <v>0.0</v>
      </c>
      <c r="Q113" s="317">
        <f t="shared" si="8"/>
        <v>0</v>
      </c>
      <c r="R113" s="317" t="str">
        <f>SWITCH(S113,"cash",Reference!E$5,"shares",Reference!$E$6,"balance",Reference!$E$7,"pro-rata",Reference!$B$5)</f>
        <v>#DIV/0!</v>
      </c>
      <c r="S113" s="318" t="s">
        <v>207</v>
      </c>
      <c r="T113" s="319">
        <f>LET(numVmwShares,D113, cashRatio,Reference!$B$4, vmwFinalPrice,Reference!$B$3, numVmwShares * cashRatio * vmwFinalPrice)</f>
        <v>0</v>
      </c>
      <c r="U113" s="319">
        <f>iferror(LET(numVmwShares,$D113, stockRatio,Q113, vmwFinalPrice,Reference!$B$3, (1 - stockRatio) * vmwFinalPrice * numVmwShares),0)</f>
        <v>0</v>
      </c>
      <c r="V113" s="319">
        <f>iferror(LET(numVmwShares,$D113, stockRatio,R113, vmwFinalPrice,Reference!$B$3, (1 - stockRatio) * vmwFinalPrice * numVmwShares),0)</f>
        <v>0</v>
      </c>
      <c r="W113" s="319">
        <f>SWITCH(Reference!$E$4,"eTradeTransactionLog", T113, "eTradeHoldingRatio",T113, "eTradeLotQtyRatio",U113,"manualLotRatio",V113)</f>
        <v>0</v>
      </c>
      <c r="X113" s="309">
        <f>LET(purchaseDate,C113, dateOfRecord,Reference!$B$26, returnOfCapital,Reference!$C$26, IF(purchaseDate &lt; dateOfRecord, returnOfCapital,0))</f>
        <v>10.18</v>
      </c>
      <c r="Y113" s="309">
        <f>LET(purchaseDate,C113, dateOfRecord,Reference!$B$27, returnOfCapital,Reference!$C$27, IF(purchaseDate &lt; dateOfRecord, returnOfCapital,0))</f>
        <v>16.58</v>
      </c>
      <c r="Z113" s="309">
        <f t="shared" si="9"/>
        <v>-26.76</v>
      </c>
      <c r="AA113" s="309">
        <f t="shared" si="10"/>
        <v>0</v>
      </c>
      <c r="AB113" s="320">
        <f>LET(numVmwShares,D113, stockRatio,Reference!$B$5, vmwToAvgoRatio,Reference!$B$6, numVmwShares * stockRatio * vmwToAvgoRatio)</f>
        <v>0</v>
      </c>
      <c r="AC113" s="320">
        <f>LET(numVmwShares,D113, stockRatio,Q113, vmwToAvgoRatio,Reference!$B$6, numVmwShares * stockRatio * vmwToAvgoRatio)</f>
        <v>0</v>
      </c>
      <c r="AD113" s="320" t="str">
        <f>LET(numVmwShares,D113, stockRatio,R113, vmwToAvgoRatio,Reference!$B$6, numVmwShares * stockRatio * vmwToAvgoRatio)</f>
        <v>#DIV/0!</v>
      </c>
      <c r="AE113" s="320">
        <f>SWITCH(Reference!$E$4, "eTradeTransactionLog", AB113, "eTradeHoldingRatio",AB113, "eTradeLotQtyRatio",AC113,"manualLotRatio",AD113)</f>
        <v>0</v>
      </c>
      <c r="AF113" s="321">
        <f>LET(numVmwShares,D113, vmwBasis,Z113, avgoQty,AE113, avgoFMV,Reference!$B$18, cashReceived,W113, gain,cashReceived+(avgoQty*avgoFMV)-(numVmwShares*vmwBasis),
MAX(gain,0))</f>
        <v>0</v>
      </c>
      <c r="AG113" s="322">
        <f>LET(useForFraction,J113, fractionAmount,Summary!$C$41, esppFractionLots,ESPP!$N$5, rsuFractionLots,RSU!J$5, IF(useForFraction, fractionAmount / (esppFractionLots+rsuFractionLots), 0))</f>
        <v>0</v>
      </c>
      <c r="AH113" s="411">
        <f>LET(useForFraction,J113, fractionSaleFMV,Reference!$B$23, postMergerBasis,AT113, lotFractionAmount,AG113, IF(useForFraction, (fractionSaleFMV - postMergerBasis)*lotFractionAmount, 0))</f>
        <v>0</v>
      </c>
      <c r="AI113" s="412">
        <f t="shared" si="11"/>
        <v>0</v>
      </c>
      <c r="AJ113" s="413">
        <f>LET(
purchaseDate,C113,
mergerDate,Reference!$B$28,
lotFractionGain,AH113,
mergerGain,AI113,
IF(DATEDIF(purchaseDate,mergerDate,"Y")&gt;=1,
  0,
  lotFractionGain + mergerGain
))</f>
        <v>0</v>
      </c>
      <c r="AK113" s="413">
        <f>LET(
purchaseDate,C113,
mergerDate,Reference!$B$28,
lotFractionGain,AH113,
mergerGain,AI113,
IF(DATEDIF(purchaseDate,mergerDate,"Y")&gt;=1,
  lotFractionGain+mergerGain,
  0
))</f>
        <v>0</v>
      </c>
      <c r="AL113" s="414" t="str">
        <f>IF(DATEDIF(C113,Reference!$B$28,"Y")&gt;=1,"Part II Box E","Part I Box B")</f>
        <v>Part II Box E</v>
      </c>
      <c r="AM113" s="344" t="str">
        <f t="shared" si="12"/>
        <v/>
      </c>
      <c r="AN113" s="330">
        <f t="shared" si="13"/>
        <v>0</v>
      </c>
      <c r="AO113" s="330">
        <f>LET(
cashReceived,W113, 
avgoQty,AE113, 
proceedsStyle,Reference!$E$9, 
avgoFMV,Reference!$B$18, 
SWITCH(proceedsStyle, "combined", cashReceived +(avgoQty*avgoFMV), "cashOnly", cashReceived))</f>
        <v>0</v>
      </c>
      <c r="AP113" s="345">
        <f>LET(
proceedsStyle,Reference!$E$9,
proceeds,AO113,
gain,AS113,
numVmwShares,D113, 
vmwBasis, Z113, 
avgoQty,AE113, 
avgoFMV,Reference!$B$18, 
cashReceived,W113, 
avgoTotalValue, avgoFMV*avgoQty, 
vmwTotalBasis, vmwBasis*numVmwShares,
alternateGainAmount,AF113, 
SWITCH(proceedsStyle,
  "cashOnly",
    proceeds - gain,
  "combined",
    IF(cashReceived&lt;alternateGainAmount,
      avgoTotalValue,
      vmwTotalBasis
    )
  )
)</f>
        <v>0</v>
      </c>
      <c r="AQ113" s="345" t="str">
        <f t="shared" si="14"/>
        <v/>
      </c>
      <c r="AR113" s="345">
        <v>0.0</v>
      </c>
      <c r="AS113" s="331">
        <f>LET(
proceedsStyle,Reference!$E$9,
proceeds,AO113,
basis1099B,AP113,
adjustment,AR113,
mergerGain,AI113,
SWITCH(proceedsStyle,
  "cashOnly",
    mergerGain,
  "combined",
    MAX(proceeds - basis1099B + adjustment, 0)
))</f>
        <v>0</v>
      </c>
      <c r="AT113" s="415" t="str">
        <f t="shared" si="15"/>
        <v>n/a</v>
      </c>
      <c r="AU113" s="333">
        <f>LET(saleFMV,Reference!$B$10, postMergerBasis,AT113, avgoQty,AE113, lotFractionAmount,AG113, iferror((saleFMV - postMergerBasis) * (avgoQty - lotFractionAmount), 0))</f>
        <v>0</v>
      </c>
      <c r="AV113" s="333">
        <f>LET(
avgoQty,AE113, 
purchaseDate,C113,
postMergerSaleDate,Reference!$B$29,
saleFMV,Reference!$B$10,
postMergerBasis,AT113, 
IFERROR(IF(DATEDIF(purchaseDate,postMergerSaleDate,"Y")&gt;=1,
  0,
  avgoQty * (saleFMV - postMergerBasis)
),0))</f>
        <v>0</v>
      </c>
      <c r="AW113" s="336">
        <f>LET(
avgoQty,AE113, 
purchaseDate,C113,
postMergerSaleDate,Reference!$B$29,
saleFMV,Reference!$B$10,
postMergerBasis,AT113, 
IFERROR(IF(DATEDIF(purchaseDate,postMergerSaleDate,"Y")&gt;=1,
  avgoQty * (saleFMV - postMergerBasis),
  0
),0))</f>
        <v>0</v>
      </c>
    </row>
    <row r="114">
      <c r="A114" s="422"/>
      <c r="B114" s="423"/>
      <c r="C114" s="351"/>
      <c r="D114" s="352"/>
      <c r="E114" s="321" t="str">
        <f t="array" ref="E114">IF(C114&lt;&gt;"", IFERROR(VLOOKUP(C114, SORT(PriceReference!$A$1:$B1014), 2, TRUE), "price unavailable"), "")</f>
        <v/>
      </c>
      <c r="F114" s="416"/>
      <c r="G114" s="309">
        <f t="shared" si="6"/>
        <v>0</v>
      </c>
      <c r="H114" s="321">
        <f t="shared" si="7"/>
        <v>0</v>
      </c>
      <c r="I114" s="417"/>
      <c r="J114" s="348" t="b">
        <v>0</v>
      </c>
      <c r="K114" s="409"/>
      <c r="L114" s="315">
        <v>0.0</v>
      </c>
      <c r="M114" s="315">
        <v>0.0</v>
      </c>
      <c r="N114" s="315">
        <v>0.0</v>
      </c>
      <c r="O114" s="315">
        <v>0.0</v>
      </c>
      <c r="P114" s="315">
        <v>0.0</v>
      </c>
      <c r="Q114" s="317">
        <f t="shared" si="8"/>
        <v>0</v>
      </c>
      <c r="R114" s="317" t="str">
        <f>SWITCH(S114,"cash",Reference!E$5,"shares",Reference!$E$6,"balance",Reference!$E$7,"pro-rata",Reference!$B$5)</f>
        <v>#DIV/0!</v>
      </c>
      <c r="S114" s="318" t="s">
        <v>207</v>
      </c>
      <c r="T114" s="319">
        <f>LET(numVmwShares,D114, cashRatio,Reference!$B$4, vmwFinalPrice,Reference!$B$3, numVmwShares * cashRatio * vmwFinalPrice)</f>
        <v>0</v>
      </c>
      <c r="U114" s="319">
        <f>iferror(LET(numVmwShares,$D114, stockRatio,Q114, vmwFinalPrice,Reference!$B$3, (1 - stockRatio) * vmwFinalPrice * numVmwShares),0)</f>
        <v>0</v>
      </c>
      <c r="V114" s="319">
        <f>iferror(LET(numVmwShares,$D114, stockRatio,R114, vmwFinalPrice,Reference!$B$3, (1 - stockRatio) * vmwFinalPrice * numVmwShares),0)</f>
        <v>0</v>
      </c>
      <c r="W114" s="319">
        <f>SWITCH(Reference!$E$4,"eTradeTransactionLog", T114, "eTradeHoldingRatio",T114, "eTradeLotQtyRatio",U114,"manualLotRatio",V114)</f>
        <v>0</v>
      </c>
      <c r="X114" s="309">
        <f>LET(purchaseDate,C114, dateOfRecord,Reference!$B$26, returnOfCapital,Reference!$C$26, IF(purchaseDate &lt; dateOfRecord, returnOfCapital,0))</f>
        <v>10.18</v>
      </c>
      <c r="Y114" s="309">
        <f>LET(purchaseDate,C114, dateOfRecord,Reference!$B$27, returnOfCapital,Reference!$C$27, IF(purchaseDate &lt; dateOfRecord, returnOfCapital,0))</f>
        <v>16.58</v>
      </c>
      <c r="Z114" s="309">
        <f t="shared" si="9"/>
        <v>-26.76</v>
      </c>
      <c r="AA114" s="309">
        <f t="shared" si="10"/>
        <v>0</v>
      </c>
      <c r="AB114" s="320">
        <f>LET(numVmwShares,D114, stockRatio,Reference!$B$5, vmwToAvgoRatio,Reference!$B$6, numVmwShares * stockRatio * vmwToAvgoRatio)</f>
        <v>0</v>
      </c>
      <c r="AC114" s="320">
        <f>LET(numVmwShares,D114, stockRatio,Q114, vmwToAvgoRatio,Reference!$B$6, numVmwShares * stockRatio * vmwToAvgoRatio)</f>
        <v>0</v>
      </c>
      <c r="AD114" s="320" t="str">
        <f>LET(numVmwShares,D114, stockRatio,R114, vmwToAvgoRatio,Reference!$B$6, numVmwShares * stockRatio * vmwToAvgoRatio)</f>
        <v>#DIV/0!</v>
      </c>
      <c r="AE114" s="320">
        <f>SWITCH(Reference!$E$4, "eTradeTransactionLog", AB114, "eTradeHoldingRatio",AB114, "eTradeLotQtyRatio",AC114,"manualLotRatio",AD114)</f>
        <v>0</v>
      </c>
      <c r="AF114" s="321">
        <f>LET(numVmwShares,D114, vmwBasis,Z114, avgoQty,AE114, avgoFMV,Reference!$B$18, cashReceived,W114, gain,cashReceived+(avgoQty*avgoFMV)-(numVmwShares*vmwBasis),
MAX(gain,0))</f>
        <v>0</v>
      </c>
      <c r="AG114" s="322">
        <f>LET(useForFraction,J114, fractionAmount,Summary!$C$41, esppFractionLots,ESPP!$N$5, rsuFractionLots,RSU!J$5, IF(useForFraction, fractionAmount / (esppFractionLots+rsuFractionLots), 0))</f>
        <v>0</v>
      </c>
      <c r="AH114" s="411">
        <f>LET(useForFraction,J114, fractionSaleFMV,Reference!$B$23, postMergerBasis,AT114, lotFractionAmount,AG114, IF(useForFraction, (fractionSaleFMV - postMergerBasis)*lotFractionAmount, 0))</f>
        <v>0</v>
      </c>
      <c r="AI114" s="412">
        <f t="shared" si="11"/>
        <v>0</v>
      </c>
      <c r="AJ114" s="413">
        <f>LET(
purchaseDate,C114,
mergerDate,Reference!$B$28,
lotFractionGain,AH114,
mergerGain,AI114,
IF(DATEDIF(purchaseDate,mergerDate,"Y")&gt;=1,
  0,
  lotFractionGain + mergerGain
))</f>
        <v>0</v>
      </c>
      <c r="AK114" s="413">
        <f>LET(
purchaseDate,C114,
mergerDate,Reference!$B$28,
lotFractionGain,AH114,
mergerGain,AI114,
IF(DATEDIF(purchaseDate,mergerDate,"Y")&gt;=1,
  lotFractionGain+mergerGain,
  0
))</f>
        <v>0</v>
      </c>
      <c r="AL114" s="414" t="str">
        <f>IF(DATEDIF(C114,Reference!$B$28,"Y")&gt;=1,"Part II Box E","Part I Box B")</f>
        <v>Part II Box E</v>
      </c>
      <c r="AM114" s="344" t="str">
        <f t="shared" si="12"/>
        <v/>
      </c>
      <c r="AN114" s="330">
        <f t="shared" si="13"/>
        <v>0</v>
      </c>
      <c r="AO114" s="330">
        <f>LET(
cashReceived,W114, 
avgoQty,AE114, 
proceedsStyle,Reference!$E$9, 
avgoFMV,Reference!$B$18, 
SWITCH(proceedsStyle, "combined", cashReceived +(avgoQty*avgoFMV), "cashOnly", cashReceived))</f>
        <v>0</v>
      </c>
      <c r="AP114" s="345">
        <f>LET(
proceedsStyle,Reference!$E$9,
proceeds,AO114,
gain,AS114,
numVmwShares,D114, 
vmwBasis, Z114, 
avgoQty,AE114, 
avgoFMV,Reference!$B$18, 
cashReceived,W114, 
avgoTotalValue, avgoFMV*avgoQty, 
vmwTotalBasis, vmwBasis*numVmwShares,
alternateGainAmount,AF114, 
SWITCH(proceedsStyle,
  "cashOnly",
    proceeds - gain,
  "combined",
    IF(cashReceived&lt;alternateGainAmount,
      avgoTotalValue,
      vmwTotalBasis
    )
  )
)</f>
        <v>0</v>
      </c>
      <c r="AQ114" s="345" t="str">
        <f t="shared" si="14"/>
        <v/>
      </c>
      <c r="AR114" s="345">
        <v>0.0</v>
      </c>
      <c r="AS114" s="331">
        <f>LET(
proceedsStyle,Reference!$E$9,
proceeds,AO114,
basis1099B,AP114,
adjustment,AR114,
mergerGain,AI114,
SWITCH(proceedsStyle,
  "cashOnly",
    mergerGain,
  "combined",
    MAX(proceeds - basis1099B + adjustment, 0)
))</f>
        <v>0</v>
      </c>
      <c r="AT114" s="415" t="str">
        <f t="shared" si="15"/>
        <v>n/a</v>
      </c>
      <c r="AU114" s="333">
        <f>LET(saleFMV,Reference!$B$10, postMergerBasis,AT114, avgoQty,AE114, lotFractionAmount,AG114, iferror((saleFMV - postMergerBasis) * (avgoQty - lotFractionAmount), 0))</f>
        <v>0</v>
      </c>
      <c r="AV114" s="333">
        <f>LET(
avgoQty,AE114, 
purchaseDate,C114,
postMergerSaleDate,Reference!$B$29,
saleFMV,Reference!$B$10,
postMergerBasis,AT114, 
IFERROR(IF(DATEDIF(purchaseDate,postMergerSaleDate,"Y")&gt;=1,
  0,
  avgoQty * (saleFMV - postMergerBasis)
),0))</f>
        <v>0</v>
      </c>
      <c r="AW114" s="336">
        <f>LET(
avgoQty,AE114, 
purchaseDate,C114,
postMergerSaleDate,Reference!$B$29,
saleFMV,Reference!$B$10,
postMergerBasis,AT114, 
IFERROR(IF(DATEDIF(purchaseDate,postMergerSaleDate,"Y")&gt;=1,
  avgoQty * (saleFMV - postMergerBasis),
  0
),0))</f>
        <v>0</v>
      </c>
    </row>
    <row r="115">
      <c r="A115" s="422"/>
      <c r="B115" s="423"/>
      <c r="C115" s="351"/>
      <c r="D115" s="352"/>
      <c r="E115" s="321" t="str">
        <f t="array" ref="E115">IF(C115&lt;&gt;"", IFERROR(VLOOKUP(C115, SORT(PriceReference!$A$1:$B1014), 2, TRUE), "price unavailable"), "")</f>
        <v/>
      </c>
      <c r="F115" s="416"/>
      <c r="G115" s="309">
        <f t="shared" si="6"/>
        <v>0</v>
      </c>
      <c r="H115" s="321">
        <f t="shared" si="7"/>
        <v>0</v>
      </c>
      <c r="I115" s="417"/>
      <c r="J115" s="348" t="b">
        <v>0</v>
      </c>
      <c r="K115" s="409"/>
      <c r="L115" s="315">
        <v>0.0</v>
      </c>
      <c r="M115" s="315">
        <v>0.0</v>
      </c>
      <c r="N115" s="315">
        <v>0.0</v>
      </c>
      <c r="O115" s="315">
        <v>0.0</v>
      </c>
      <c r="P115" s="315">
        <v>0.0</v>
      </c>
      <c r="Q115" s="317">
        <f t="shared" si="8"/>
        <v>0</v>
      </c>
      <c r="R115" s="317" t="str">
        <f>SWITCH(S115,"cash",Reference!E$5,"shares",Reference!$E$6,"balance",Reference!$E$7,"pro-rata",Reference!$B$5)</f>
        <v>#DIV/0!</v>
      </c>
      <c r="S115" s="318" t="s">
        <v>207</v>
      </c>
      <c r="T115" s="319">
        <f>LET(numVmwShares,D115, cashRatio,Reference!$B$4, vmwFinalPrice,Reference!$B$3, numVmwShares * cashRatio * vmwFinalPrice)</f>
        <v>0</v>
      </c>
      <c r="U115" s="319">
        <f>iferror(LET(numVmwShares,$D115, stockRatio,Q115, vmwFinalPrice,Reference!$B$3, (1 - stockRatio) * vmwFinalPrice * numVmwShares),0)</f>
        <v>0</v>
      </c>
      <c r="V115" s="319">
        <f>iferror(LET(numVmwShares,$D115, stockRatio,R115, vmwFinalPrice,Reference!$B$3, (1 - stockRatio) * vmwFinalPrice * numVmwShares),0)</f>
        <v>0</v>
      </c>
      <c r="W115" s="319">
        <f>SWITCH(Reference!$E$4,"eTradeTransactionLog", T115, "eTradeHoldingRatio",T115, "eTradeLotQtyRatio",U115,"manualLotRatio",V115)</f>
        <v>0</v>
      </c>
      <c r="X115" s="309">
        <f>LET(purchaseDate,C115, dateOfRecord,Reference!$B$26, returnOfCapital,Reference!$C$26, IF(purchaseDate &lt; dateOfRecord, returnOfCapital,0))</f>
        <v>10.18</v>
      </c>
      <c r="Y115" s="309">
        <f>LET(purchaseDate,C115, dateOfRecord,Reference!$B$27, returnOfCapital,Reference!$C$27, IF(purchaseDate &lt; dateOfRecord, returnOfCapital,0))</f>
        <v>16.58</v>
      </c>
      <c r="Z115" s="309">
        <f t="shared" si="9"/>
        <v>-26.76</v>
      </c>
      <c r="AA115" s="309">
        <f t="shared" si="10"/>
        <v>0</v>
      </c>
      <c r="AB115" s="320">
        <f>LET(numVmwShares,D115, stockRatio,Reference!$B$5, vmwToAvgoRatio,Reference!$B$6, numVmwShares * stockRatio * vmwToAvgoRatio)</f>
        <v>0</v>
      </c>
      <c r="AC115" s="320">
        <f>LET(numVmwShares,D115, stockRatio,Q115, vmwToAvgoRatio,Reference!$B$6, numVmwShares * stockRatio * vmwToAvgoRatio)</f>
        <v>0</v>
      </c>
      <c r="AD115" s="320" t="str">
        <f>LET(numVmwShares,D115, stockRatio,R115, vmwToAvgoRatio,Reference!$B$6, numVmwShares * stockRatio * vmwToAvgoRatio)</f>
        <v>#DIV/0!</v>
      </c>
      <c r="AE115" s="320">
        <f>SWITCH(Reference!$E$4, "eTradeTransactionLog", AB115, "eTradeHoldingRatio",AB115, "eTradeLotQtyRatio",AC115,"manualLotRatio",AD115)</f>
        <v>0</v>
      </c>
      <c r="AF115" s="321">
        <f>LET(numVmwShares,D115, vmwBasis,Z115, avgoQty,AE115, avgoFMV,Reference!$B$18, cashReceived,W115, gain,cashReceived+(avgoQty*avgoFMV)-(numVmwShares*vmwBasis),
MAX(gain,0))</f>
        <v>0</v>
      </c>
      <c r="AG115" s="322">
        <f>LET(useForFraction,J115, fractionAmount,Summary!$C$41, esppFractionLots,ESPP!$N$5, rsuFractionLots,RSU!J$5, IF(useForFraction, fractionAmount / (esppFractionLots+rsuFractionLots), 0))</f>
        <v>0</v>
      </c>
      <c r="AH115" s="411">
        <f>LET(useForFraction,J115, fractionSaleFMV,Reference!$B$23, postMergerBasis,AT115, lotFractionAmount,AG115, IF(useForFraction, (fractionSaleFMV - postMergerBasis)*lotFractionAmount, 0))</f>
        <v>0</v>
      </c>
      <c r="AI115" s="412">
        <f t="shared" si="11"/>
        <v>0</v>
      </c>
      <c r="AJ115" s="413">
        <f>LET(
purchaseDate,C115,
mergerDate,Reference!$B$28,
lotFractionGain,AH115,
mergerGain,AI115,
IF(DATEDIF(purchaseDate,mergerDate,"Y")&gt;=1,
  0,
  lotFractionGain + mergerGain
))</f>
        <v>0</v>
      </c>
      <c r="AK115" s="413">
        <f>LET(
purchaseDate,C115,
mergerDate,Reference!$B$28,
lotFractionGain,AH115,
mergerGain,AI115,
IF(DATEDIF(purchaseDate,mergerDate,"Y")&gt;=1,
  lotFractionGain+mergerGain,
  0
))</f>
        <v>0</v>
      </c>
      <c r="AL115" s="414" t="str">
        <f>IF(DATEDIF(C115,Reference!$B$28,"Y")&gt;=1,"Part II Box E","Part I Box B")</f>
        <v>Part II Box E</v>
      </c>
      <c r="AM115" s="344" t="str">
        <f t="shared" si="12"/>
        <v/>
      </c>
      <c r="AN115" s="330">
        <f t="shared" si="13"/>
        <v>0</v>
      </c>
      <c r="AO115" s="330">
        <f>LET(
cashReceived,W115, 
avgoQty,AE115, 
proceedsStyle,Reference!$E$9, 
avgoFMV,Reference!$B$18, 
SWITCH(proceedsStyle, "combined", cashReceived +(avgoQty*avgoFMV), "cashOnly", cashReceived))</f>
        <v>0</v>
      </c>
      <c r="AP115" s="345">
        <f>LET(
proceedsStyle,Reference!$E$9,
proceeds,AO115,
gain,AS115,
numVmwShares,D115, 
vmwBasis, Z115, 
avgoQty,AE115, 
avgoFMV,Reference!$B$18, 
cashReceived,W115, 
avgoTotalValue, avgoFMV*avgoQty, 
vmwTotalBasis, vmwBasis*numVmwShares,
alternateGainAmount,AF115, 
SWITCH(proceedsStyle,
  "cashOnly",
    proceeds - gain,
  "combined",
    IF(cashReceived&lt;alternateGainAmount,
      avgoTotalValue,
      vmwTotalBasis
    )
  )
)</f>
        <v>0</v>
      </c>
      <c r="AQ115" s="345" t="str">
        <f t="shared" si="14"/>
        <v/>
      </c>
      <c r="AR115" s="345">
        <v>0.0</v>
      </c>
      <c r="AS115" s="331">
        <f>LET(
proceedsStyle,Reference!$E$9,
proceeds,AO115,
basis1099B,AP115,
adjustment,AR115,
mergerGain,AI115,
SWITCH(proceedsStyle,
  "cashOnly",
    mergerGain,
  "combined",
    MAX(proceeds - basis1099B + adjustment, 0)
))</f>
        <v>0</v>
      </c>
      <c r="AT115" s="415" t="str">
        <f t="shared" si="15"/>
        <v>n/a</v>
      </c>
      <c r="AU115" s="333">
        <f>LET(saleFMV,Reference!$B$10, postMergerBasis,AT115, avgoQty,AE115, lotFractionAmount,AG115, iferror((saleFMV - postMergerBasis) * (avgoQty - lotFractionAmount), 0))</f>
        <v>0</v>
      </c>
      <c r="AV115" s="333">
        <f>LET(
avgoQty,AE115, 
purchaseDate,C115,
postMergerSaleDate,Reference!$B$29,
saleFMV,Reference!$B$10,
postMergerBasis,AT115, 
IFERROR(IF(DATEDIF(purchaseDate,postMergerSaleDate,"Y")&gt;=1,
  0,
  avgoQty * (saleFMV - postMergerBasis)
),0))</f>
        <v>0</v>
      </c>
      <c r="AW115" s="336">
        <f>LET(
avgoQty,AE115, 
purchaseDate,C115,
postMergerSaleDate,Reference!$B$29,
saleFMV,Reference!$B$10,
postMergerBasis,AT115, 
IFERROR(IF(DATEDIF(purchaseDate,postMergerSaleDate,"Y")&gt;=1,
  avgoQty * (saleFMV - postMergerBasis),
  0
),0))</f>
        <v>0</v>
      </c>
    </row>
    <row r="116">
      <c r="A116" s="422"/>
      <c r="B116" s="423"/>
      <c r="C116" s="351"/>
      <c r="D116" s="352"/>
      <c r="E116" s="321" t="str">
        <f t="array" ref="E116">IF(C116&lt;&gt;"", IFERROR(VLOOKUP(C116, SORT(PriceReference!$A$1:$B1014), 2, TRUE), "price unavailable"), "")</f>
        <v/>
      </c>
      <c r="F116" s="416"/>
      <c r="G116" s="309">
        <f t="shared" si="6"/>
        <v>0</v>
      </c>
      <c r="H116" s="321">
        <f t="shared" si="7"/>
        <v>0</v>
      </c>
      <c r="I116" s="417"/>
      <c r="J116" s="348" t="b">
        <v>0</v>
      </c>
      <c r="K116" s="409"/>
      <c r="L116" s="315">
        <v>0.0</v>
      </c>
      <c r="M116" s="315">
        <v>0.0</v>
      </c>
      <c r="N116" s="315">
        <v>0.0</v>
      </c>
      <c r="O116" s="315">
        <v>0.0</v>
      </c>
      <c r="P116" s="315">
        <v>0.0</v>
      </c>
      <c r="Q116" s="317">
        <f t="shared" si="8"/>
        <v>0</v>
      </c>
      <c r="R116" s="317" t="str">
        <f>SWITCH(S116,"cash",Reference!E$5,"shares",Reference!$E$6,"balance",Reference!$E$7,"pro-rata",Reference!$B$5)</f>
        <v>#DIV/0!</v>
      </c>
      <c r="S116" s="318" t="s">
        <v>207</v>
      </c>
      <c r="T116" s="319">
        <f>LET(numVmwShares,D116, cashRatio,Reference!$B$4, vmwFinalPrice,Reference!$B$3, numVmwShares * cashRatio * vmwFinalPrice)</f>
        <v>0</v>
      </c>
      <c r="U116" s="319">
        <f>iferror(LET(numVmwShares,$D116, stockRatio,Q116, vmwFinalPrice,Reference!$B$3, (1 - stockRatio) * vmwFinalPrice * numVmwShares),0)</f>
        <v>0</v>
      </c>
      <c r="V116" s="319">
        <f>iferror(LET(numVmwShares,$D116, stockRatio,R116, vmwFinalPrice,Reference!$B$3, (1 - stockRatio) * vmwFinalPrice * numVmwShares),0)</f>
        <v>0</v>
      </c>
      <c r="W116" s="319">
        <f>SWITCH(Reference!$E$4,"eTradeTransactionLog", T116, "eTradeHoldingRatio",T116, "eTradeLotQtyRatio",U116,"manualLotRatio",V116)</f>
        <v>0</v>
      </c>
      <c r="X116" s="309">
        <f>LET(purchaseDate,C116, dateOfRecord,Reference!$B$26, returnOfCapital,Reference!$C$26, IF(purchaseDate &lt; dateOfRecord, returnOfCapital,0))</f>
        <v>10.18</v>
      </c>
      <c r="Y116" s="309">
        <f>LET(purchaseDate,C116, dateOfRecord,Reference!$B$27, returnOfCapital,Reference!$C$27, IF(purchaseDate &lt; dateOfRecord, returnOfCapital,0))</f>
        <v>16.58</v>
      </c>
      <c r="Z116" s="309">
        <f t="shared" si="9"/>
        <v>-26.76</v>
      </c>
      <c r="AA116" s="309">
        <f t="shared" si="10"/>
        <v>0</v>
      </c>
      <c r="AB116" s="320">
        <f>LET(numVmwShares,D116, stockRatio,Reference!$B$5, vmwToAvgoRatio,Reference!$B$6, numVmwShares * stockRatio * vmwToAvgoRatio)</f>
        <v>0</v>
      </c>
      <c r="AC116" s="320">
        <f>LET(numVmwShares,D116, stockRatio,Q116, vmwToAvgoRatio,Reference!$B$6, numVmwShares * stockRatio * vmwToAvgoRatio)</f>
        <v>0</v>
      </c>
      <c r="AD116" s="320" t="str">
        <f>LET(numVmwShares,D116, stockRatio,R116, vmwToAvgoRatio,Reference!$B$6, numVmwShares * stockRatio * vmwToAvgoRatio)</f>
        <v>#DIV/0!</v>
      </c>
      <c r="AE116" s="320">
        <f>SWITCH(Reference!$E$4, "eTradeTransactionLog", AB116, "eTradeHoldingRatio",AB116, "eTradeLotQtyRatio",AC116,"manualLotRatio",AD116)</f>
        <v>0</v>
      </c>
      <c r="AF116" s="321">
        <f>LET(numVmwShares,D116, vmwBasis,Z116, avgoQty,AE116, avgoFMV,Reference!$B$18, cashReceived,W116, gain,cashReceived+(avgoQty*avgoFMV)-(numVmwShares*vmwBasis),
MAX(gain,0))</f>
        <v>0</v>
      </c>
      <c r="AG116" s="322">
        <f>LET(useForFraction,J116, fractionAmount,Summary!$C$41, esppFractionLots,ESPP!$N$5, rsuFractionLots,RSU!J$5, IF(useForFraction, fractionAmount / (esppFractionLots+rsuFractionLots), 0))</f>
        <v>0</v>
      </c>
      <c r="AH116" s="411">
        <f>LET(useForFraction,J116, fractionSaleFMV,Reference!$B$23, postMergerBasis,AT116, lotFractionAmount,AG116, IF(useForFraction, (fractionSaleFMV - postMergerBasis)*lotFractionAmount, 0))</f>
        <v>0</v>
      </c>
      <c r="AI116" s="412">
        <f t="shared" si="11"/>
        <v>0</v>
      </c>
      <c r="AJ116" s="413">
        <f>LET(
purchaseDate,C116,
mergerDate,Reference!$B$28,
lotFractionGain,AH116,
mergerGain,AI116,
IF(DATEDIF(purchaseDate,mergerDate,"Y")&gt;=1,
  0,
  lotFractionGain + mergerGain
))</f>
        <v>0</v>
      </c>
      <c r="AK116" s="413">
        <f>LET(
purchaseDate,C116,
mergerDate,Reference!$B$28,
lotFractionGain,AH116,
mergerGain,AI116,
IF(DATEDIF(purchaseDate,mergerDate,"Y")&gt;=1,
  lotFractionGain+mergerGain,
  0
))</f>
        <v>0</v>
      </c>
      <c r="AL116" s="414" t="str">
        <f>IF(DATEDIF(C116,Reference!$B$28,"Y")&gt;=1,"Part II Box E","Part I Box B")</f>
        <v>Part II Box E</v>
      </c>
      <c r="AM116" s="344" t="str">
        <f t="shared" si="12"/>
        <v/>
      </c>
      <c r="AN116" s="330">
        <f t="shared" si="13"/>
        <v>0</v>
      </c>
      <c r="AO116" s="330">
        <f>LET(
cashReceived,W116, 
avgoQty,AE116, 
proceedsStyle,Reference!$E$9, 
avgoFMV,Reference!$B$18, 
SWITCH(proceedsStyle, "combined", cashReceived +(avgoQty*avgoFMV), "cashOnly", cashReceived))</f>
        <v>0</v>
      </c>
      <c r="AP116" s="345">
        <f>LET(
proceedsStyle,Reference!$E$9,
proceeds,AO116,
gain,AS116,
numVmwShares,D116, 
vmwBasis, Z116, 
avgoQty,AE116, 
avgoFMV,Reference!$B$18, 
cashReceived,W116, 
avgoTotalValue, avgoFMV*avgoQty, 
vmwTotalBasis, vmwBasis*numVmwShares,
alternateGainAmount,AF116, 
SWITCH(proceedsStyle,
  "cashOnly",
    proceeds - gain,
  "combined",
    IF(cashReceived&lt;alternateGainAmount,
      avgoTotalValue,
      vmwTotalBasis
    )
  )
)</f>
        <v>0</v>
      </c>
      <c r="AQ116" s="345" t="str">
        <f t="shared" si="14"/>
        <v/>
      </c>
      <c r="AR116" s="345">
        <v>0.0</v>
      </c>
      <c r="AS116" s="331">
        <f>LET(
proceedsStyle,Reference!$E$9,
proceeds,AO116,
basis1099B,AP116,
adjustment,AR116,
mergerGain,AI116,
SWITCH(proceedsStyle,
  "cashOnly",
    mergerGain,
  "combined",
    MAX(proceeds - basis1099B + adjustment, 0)
))</f>
        <v>0</v>
      </c>
      <c r="AT116" s="415" t="str">
        <f t="shared" si="15"/>
        <v>n/a</v>
      </c>
      <c r="AU116" s="333">
        <f>LET(saleFMV,Reference!$B$10, postMergerBasis,AT116, avgoQty,AE116, lotFractionAmount,AG116, iferror((saleFMV - postMergerBasis) * (avgoQty - lotFractionAmount), 0))</f>
        <v>0</v>
      </c>
      <c r="AV116" s="333">
        <f>LET(
avgoQty,AE116, 
purchaseDate,C116,
postMergerSaleDate,Reference!$B$29,
saleFMV,Reference!$B$10,
postMergerBasis,AT116, 
IFERROR(IF(DATEDIF(purchaseDate,postMergerSaleDate,"Y")&gt;=1,
  0,
  avgoQty * (saleFMV - postMergerBasis)
),0))</f>
        <v>0</v>
      </c>
      <c r="AW116" s="336">
        <f>LET(
avgoQty,AE116, 
purchaseDate,C116,
postMergerSaleDate,Reference!$B$29,
saleFMV,Reference!$B$10,
postMergerBasis,AT116, 
IFERROR(IF(DATEDIF(purchaseDate,postMergerSaleDate,"Y")&gt;=1,
  avgoQty * (saleFMV - postMergerBasis),
  0
),0))</f>
        <v>0</v>
      </c>
    </row>
    <row r="117">
      <c r="A117" s="422"/>
      <c r="B117" s="423"/>
      <c r="C117" s="351"/>
      <c r="D117" s="352"/>
      <c r="E117" s="321" t="str">
        <f t="array" ref="E117">IF(C117&lt;&gt;"", IFERROR(VLOOKUP(C117, SORT(PriceReference!$A$1:$B1014), 2, TRUE), "price unavailable"), "")</f>
        <v/>
      </c>
      <c r="F117" s="416"/>
      <c r="G117" s="309">
        <f t="shared" si="6"/>
        <v>0</v>
      </c>
      <c r="H117" s="321">
        <f t="shared" si="7"/>
        <v>0</v>
      </c>
      <c r="I117" s="417"/>
      <c r="J117" s="348" t="b">
        <v>0</v>
      </c>
      <c r="K117" s="409"/>
      <c r="L117" s="315">
        <v>0.0</v>
      </c>
      <c r="M117" s="315">
        <v>0.0</v>
      </c>
      <c r="N117" s="315">
        <v>0.0</v>
      </c>
      <c r="O117" s="315">
        <v>0.0</v>
      </c>
      <c r="P117" s="315">
        <v>0.0</v>
      </c>
      <c r="Q117" s="317">
        <f t="shared" si="8"/>
        <v>0</v>
      </c>
      <c r="R117" s="317" t="str">
        <f>SWITCH(S117,"cash",Reference!E$5,"shares",Reference!$E$6,"balance",Reference!$E$7,"pro-rata",Reference!$B$5)</f>
        <v>#DIV/0!</v>
      </c>
      <c r="S117" s="318" t="s">
        <v>207</v>
      </c>
      <c r="T117" s="319">
        <f>LET(numVmwShares,D117, cashRatio,Reference!$B$4, vmwFinalPrice,Reference!$B$3, numVmwShares * cashRatio * vmwFinalPrice)</f>
        <v>0</v>
      </c>
      <c r="U117" s="319">
        <f>iferror(LET(numVmwShares,$D117, stockRatio,Q117, vmwFinalPrice,Reference!$B$3, (1 - stockRatio) * vmwFinalPrice * numVmwShares),0)</f>
        <v>0</v>
      </c>
      <c r="V117" s="319">
        <f>iferror(LET(numVmwShares,$D117, stockRatio,R117, vmwFinalPrice,Reference!$B$3, (1 - stockRatio) * vmwFinalPrice * numVmwShares),0)</f>
        <v>0</v>
      </c>
      <c r="W117" s="319">
        <f>SWITCH(Reference!$E$4,"eTradeTransactionLog", T117, "eTradeHoldingRatio",T117, "eTradeLotQtyRatio",U117,"manualLotRatio",V117)</f>
        <v>0</v>
      </c>
      <c r="X117" s="309">
        <f>LET(purchaseDate,C117, dateOfRecord,Reference!$B$26, returnOfCapital,Reference!$C$26, IF(purchaseDate &lt; dateOfRecord, returnOfCapital,0))</f>
        <v>10.18</v>
      </c>
      <c r="Y117" s="309">
        <f>LET(purchaseDate,C117, dateOfRecord,Reference!$B$27, returnOfCapital,Reference!$C$27, IF(purchaseDate &lt; dateOfRecord, returnOfCapital,0))</f>
        <v>16.58</v>
      </c>
      <c r="Z117" s="309">
        <f t="shared" si="9"/>
        <v>-26.76</v>
      </c>
      <c r="AA117" s="309">
        <f t="shared" si="10"/>
        <v>0</v>
      </c>
      <c r="AB117" s="320">
        <f>LET(numVmwShares,D117, stockRatio,Reference!$B$5, vmwToAvgoRatio,Reference!$B$6, numVmwShares * stockRatio * vmwToAvgoRatio)</f>
        <v>0</v>
      </c>
      <c r="AC117" s="320">
        <f>LET(numVmwShares,D117, stockRatio,Q117, vmwToAvgoRatio,Reference!$B$6, numVmwShares * stockRatio * vmwToAvgoRatio)</f>
        <v>0</v>
      </c>
      <c r="AD117" s="320" t="str">
        <f>LET(numVmwShares,D117, stockRatio,R117, vmwToAvgoRatio,Reference!$B$6, numVmwShares * stockRatio * vmwToAvgoRatio)</f>
        <v>#DIV/0!</v>
      </c>
      <c r="AE117" s="320">
        <f>SWITCH(Reference!$E$4, "eTradeTransactionLog", AB117, "eTradeHoldingRatio",AB117, "eTradeLotQtyRatio",AC117,"manualLotRatio",AD117)</f>
        <v>0</v>
      </c>
      <c r="AF117" s="321">
        <f>LET(numVmwShares,D117, vmwBasis,Z117, avgoQty,AE117, avgoFMV,Reference!$B$18, cashReceived,W117, gain,cashReceived+(avgoQty*avgoFMV)-(numVmwShares*vmwBasis),
MAX(gain,0))</f>
        <v>0</v>
      </c>
      <c r="AG117" s="322">
        <f>LET(useForFraction,J117, fractionAmount,Summary!$C$41, esppFractionLots,ESPP!$N$5, rsuFractionLots,RSU!J$5, IF(useForFraction, fractionAmount / (esppFractionLots+rsuFractionLots), 0))</f>
        <v>0</v>
      </c>
      <c r="AH117" s="411">
        <f>LET(useForFraction,J117, fractionSaleFMV,Reference!$B$23, postMergerBasis,AT117, lotFractionAmount,AG117, IF(useForFraction, (fractionSaleFMV - postMergerBasis)*lotFractionAmount, 0))</f>
        <v>0</v>
      </c>
      <c r="AI117" s="412">
        <f t="shared" si="11"/>
        <v>0</v>
      </c>
      <c r="AJ117" s="413">
        <f>LET(
purchaseDate,C117,
mergerDate,Reference!$B$28,
lotFractionGain,AH117,
mergerGain,AI117,
IF(DATEDIF(purchaseDate,mergerDate,"Y")&gt;=1,
  0,
  lotFractionGain + mergerGain
))</f>
        <v>0</v>
      </c>
      <c r="AK117" s="413">
        <f>LET(
purchaseDate,C117,
mergerDate,Reference!$B$28,
lotFractionGain,AH117,
mergerGain,AI117,
IF(DATEDIF(purchaseDate,mergerDate,"Y")&gt;=1,
  lotFractionGain+mergerGain,
  0
))</f>
        <v>0</v>
      </c>
      <c r="AL117" s="414" t="str">
        <f>IF(DATEDIF(C117,Reference!$B$28,"Y")&gt;=1,"Part II Box E","Part I Box B")</f>
        <v>Part II Box E</v>
      </c>
      <c r="AM117" s="344" t="str">
        <f t="shared" si="12"/>
        <v/>
      </c>
      <c r="AN117" s="330">
        <f t="shared" si="13"/>
        <v>0</v>
      </c>
      <c r="AO117" s="330">
        <f>LET(
cashReceived,W117, 
avgoQty,AE117, 
proceedsStyle,Reference!$E$9, 
avgoFMV,Reference!$B$18, 
SWITCH(proceedsStyle, "combined", cashReceived +(avgoQty*avgoFMV), "cashOnly", cashReceived))</f>
        <v>0</v>
      </c>
      <c r="AP117" s="345">
        <f>LET(
proceedsStyle,Reference!$E$9,
proceeds,AO117,
gain,AS117,
numVmwShares,D117, 
vmwBasis, Z117, 
avgoQty,AE117, 
avgoFMV,Reference!$B$18, 
cashReceived,W117, 
avgoTotalValue, avgoFMV*avgoQty, 
vmwTotalBasis, vmwBasis*numVmwShares,
alternateGainAmount,AF117, 
SWITCH(proceedsStyle,
  "cashOnly",
    proceeds - gain,
  "combined",
    IF(cashReceived&lt;alternateGainAmount,
      avgoTotalValue,
      vmwTotalBasis
    )
  )
)</f>
        <v>0</v>
      </c>
      <c r="AQ117" s="345" t="str">
        <f t="shared" si="14"/>
        <v/>
      </c>
      <c r="AR117" s="345">
        <v>0.0</v>
      </c>
      <c r="AS117" s="331">
        <f>LET(
proceedsStyle,Reference!$E$9,
proceeds,AO117,
basis1099B,AP117,
adjustment,AR117,
mergerGain,AI117,
SWITCH(proceedsStyle,
  "cashOnly",
    mergerGain,
  "combined",
    MAX(proceeds - basis1099B + adjustment, 0)
))</f>
        <v>0</v>
      </c>
      <c r="AT117" s="415" t="str">
        <f t="shared" si="15"/>
        <v>n/a</v>
      </c>
      <c r="AU117" s="333">
        <f>LET(saleFMV,Reference!$B$10, postMergerBasis,AT117, avgoQty,AE117, lotFractionAmount,AG117, iferror((saleFMV - postMergerBasis) * (avgoQty - lotFractionAmount), 0))</f>
        <v>0</v>
      </c>
      <c r="AV117" s="333">
        <f>LET(
avgoQty,AE117, 
purchaseDate,C117,
postMergerSaleDate,Reference!$B$29,
saleFMV,Reference!$B$10,
postMergerBasis,AT117, 
IFERROR(IF(DATEDIF(purchaseDate,postMergerSaleDate,"Y")&gt;=1,
  0,
  avgoQty * (saleFMV - postMergerBasis)
),0))</f>
        <v>0</v>
      </c>
      <c r="AW117" s="336">
        <f>LET(
avgoQty,AE117, 
purchaseDate,C117,
postMergerSaleDate,Reference!$B$29,
saleFMV,Reference!$B$10,
postMergerBasis,AT117, 
IFERROR(IF(DATEDIF(purchaseDate,postMergerSaleDate,"Y")&gt;=1,
  avgoQty * (saleFMV - postMergerBasis),
  0
),0))</f>
        <v>0</v>
      </c>
    </row>
    <row r="118">
      <c r="A118" s="422"/>
      <c r="B118" s="423"/>
      <c r="C118" s="351"/>
      <c r="D118" s="352"/>
      <c r="E118" s="321" t="str">
        <f t="array" ref="E118">IF(C118&lt;&gt;"", IFERROR(VLOOKUP(C118, SORT(PriceReference!$A$1:$B1014), 2, TRUE), "price unavailable"), "")</f>
        <v/>
      </c>
      <c r="F118" s="416"/>
      <c r="G118" s="309">
        <f t="shared" si="6"/>
        <v>0</v>
      </c>
      <c r="H118" s="321">
        <f t="shared" si="7"/>
        <v>0</v>
      </c>
      <c r="I118" s="417"/>
      <c r="J118" s="348" t="b">
        <v>0</v>
      </c>
      <c r="K118" s="409"/>
      <c r="L118" s="315">
        <v>0.0</v>
      </c>
      <c r="M118" s="315">
        <v>0.0</v>
      </c>
      <c r="N118" s="315">
        <v>0.0</v>
      </c>
      <c r="O118" s="315">
        <v>0.0</v>
      </c>
      <c r="P118" s="315">
        <v>0.0</v>
      </c>
      <c r="Q118" s="317">
        <f t="shared" si="8"/>
        <v>0</v>
      </c>
      <c r="R118" s="317" t="str">
        <f>SWITCH(S118,"cash",Reference!E$5,"shares",Reference!$E$6,"balance",Reference!$E$7,"pro-rata",Reference!$B$5)</f>
        <v>#DIV/0!</v>
      </c>
      <c r="S118" s="318" t="s">
        <v>207</v>
      </c>
      <c r="T118" s="319">
        <f>LET(numVmwShares,D118, cashRatio,Reference!$B$4, vmwFinalPrice,Reference!$B$3, numVmwShares * cashRatio * vmwFinalPrice)</f>
        <v>0</v>
      </c>
      <c r="U118" s="319">
        <f>iferror(LET(numVmwShares,$D118, stockRatio,Q118, vmwFinalPrice,Reference!$B$3, (1 - stockRatio) * vmwFinalPrice * numVmwShares),0)</f>
        <v>0</v>
      </c>
      <c r="V118" s="319">
        <f>iferror(LET(numVmwShares,$D118, stockRatio,R118, vmwFinalPrice,Reference!$B$3, (1 - stockRatio) * vmwFinalPrice * numVmwShares),0)</f>
        <v>0</v>
      </c>
      <c r="W118" s="319">
        <f>SWITCH(Reference!$E$4,"eTradeTransactionLog", T118, "eTradeHoldingRatio",T118, "eTradeLotQtyRatio",U118,"manualLotRatio",V118)</f>
        <v>0</v>
      </c>
      <c r="X118" s="309">
        <f>LET(purchaseDate,C118, dateOfRecord,Reference!$B$26, returnOfCapital,Reference!$C$26, IF(purchaseDate &lt; dateOfRecord, returnOfCapital,0))</f>
        <v>10.18</v>
      </c>
      <c r="Y118" s="309">
        <f>LET(purchaseDate,C118, dateOfRecord,Reference!$B$27, returnOfCapital,Reference!$C$27, IF(purchaseDate &lt; dateOfRecord, returnOfCapital,0))</f>
        <v>16.58</v>
      </c>
      <c r="Z118" s="309">
        <f t="shared" si="9"/>
        <v>-26.76</v>
      </c>
      <c r="AA118" s="309">
        <f t="shared" si="10"/>
        <v>0</v>
      </c>
      <c r="AB118" s="320">
        <f>LET(numVmwShares,D118, stockRatio,Reference!$B$5, vmwToAvgoRatio,Reference!$B$6, numVmwShares * stockRatio * vmwToAvgoRatio)</f>
        <v>0</v>
      </c>
      <c r="AC118" s="320">
        <f>LET(numVmwShares,D118, stockRatio,Q118, vmwToAvgoRatio,Reference!$B$6, numVmwShares * stockRatio * vmwToAvgoRatio)</f>
        <v>0</v>
      </c>
      <c r="AD118" s="320" t="str">
        <f>LET(numVmwShares,D118, stockRatio,R118, vmwToAvgoRatio,Reference!$B$6, numVmwShares * stockRatio * vmwToAvgoRatio)</f>
        <v>#DIV/0!</v>
      </c>
      <c r="AE118" s="320">
        <f>SWITCH(Reference!$E$4, "eTradeTransactionLog", AB118, "eTradeHoldingRatio",AB118, "eTradeLotQtyRatio",AC118,"manualLotRatio",AD118)</f>
        <v>0</v>
      </c>
      <c r="AF118" s="321">
        <f>LET(numVmwShares,D118, vmwBasis,Z118, avgoQty,AE118, avgoFMV,Reference!$B$18, cashReceived,W118, gain,cashReceived+(avgoQty*avgoFMV)-(numVmwShares*vmwBasis),
MAX(gain,0))</f>
        <v>0</v>
      </c>
      <c r="AG118" s="322">
        <f>LET(useForFraction,J118, fractionAmount,Summary!$C$41, esppFractionLots,ESPP!$N$5, rsuFractionLots,RSU!J$5, IF(useForFraction, fractionAmount / (esppFractionLots+rsuFractionLots), 0))</f>
        <v>0</v>
      </c>
      <c r="AH118" s="411">
        <f>LET(useForFraction,J118, fractionSaleFMV,Reference!$B$23, postMergerBasis,AT118, lotFractionAmount,AG118, IF(useForFraction, (fractionSaleFMV - postMergerBasis)*lotFractionAmount, 0))</f>
        <v>0</v>
      </c>
      <c r="AI118" s="412">
        <f t="shared" si="11"/>
        <v>0</v>
      </c>
      <c r="AJ118" s="413">
        <f>LET(
purchaseDate,C118,
mergerDate,Reference!$B$28,
lotFractionGain,AH118,
mergerGain,AI118,
IF(DATEDIF(purchaseDate,mergerDate,"Y")&gt;=1,
  0,
  lotFractionGain + mergerGain
))</f>
        <v>0</v>
      </c>
      <c r="AK118" s="413">
        <f>LET(
purchaseDate,C118,
mergerDate,Reference!$B$28,
lotFractionGain,AH118,
mergerGain,AI118,
IF(DATEDIF(purchaseDate,mergerDate,"Y")&gt;=1,
  lotFractionGain+mergerGain,
  0
))</f>
        <v>0</v>
      </c>
      <c r="AL118" s="414" t="str">
        <f>IF(DATEDIF(C118,Reference!$B$28,"Y")&gt;=1,"Part II Box E","Part I Box B")</f>
        <v>Part II Box E</v>
      </c>
      <c r="AM118" s="344" t="str">
        <f t="shared" si="12"/>
        <v/>
      </c>
      <c r="AN118" s="330">
        <f t="shared" si="13"/>
        <v>0</v>
      </c>
      <c r="AO118" s="330">
        <f>LET(
cashReceived,W118, 
avgoQty,AE118, 
proceedsStyle,Reference!$E$9, 
avgoFMV,Reference!$B$18, 
SWITCH(proceedsStyle, "combined", cashReceived +(avgoQty*avgoFMV), "cashOnly", cashReceived))</f>
        <v>0</v>
      </c>
      <c r="AP118" s="345">
        <f>LET(
proceedsStyle,Reference!$E$9,
proceeds,AO118,
gain,AS118,
numVmwShares,D118, 
vmwBasis, Z118, 
avgoQty,AE118, 
avgoFMV,Reference!$B$18, 
cashReceived,W118, 
avgoTotalValue, avgoFMV*avgoQty, 
vmwTotalBasis, vmwBasis*numVmwShares,
alternateGainAmount,AF118, 
SWITCH(proceedsStyle,
  "cashOnly",
    proceeds - gain,
  "combined",
    IF(cashReceived&lt;alternateGainAmount,
      avgoTotalValue,
      vmwTotalBasis
    )
  )
)</f>
        <v>0</v>
      </c>
      <c r="AQ118" s="345" t="str">
        <f t="shared" si="14"/>
        <v/>
      </c>
      <c r="AR118" s="345">
        <v>0.0</v>
      </c>
      <c r="AS118" s="331">
        <f>LET(
proceedsStyle,Reference!$E$9,
proceeds,AO118,
basis1099B,AP118,
adjustment,AR118,
mergerGain,AI118,
SWITCH(proceedsStyle,
  "cashOnly",
    mergerGain,
  "combined",
    MAX(proceeds - basis1099B + adjustment, 0)
))</f>
        <v>0</v>
      </c>
      <c r="AT118" s="415" t="str">
        <f t="shared" si="15"/>
        <v>n/a</v>
      </c>
      <c r="AU118" s="333">
        <f>LET(saleFMV,Reference!$B$10, postMergerBasis,AT118, avgoQty,AE118, lotFractionAmount,AG118, iferror((saleFMV - postMergerBasis) * (avgoQty - lotFractionAmount), 0))</f>
        <v>0</v>
      </c>
      <c r="AV118" s="333">
        <f>LET(
avgoQty,AE118, 
purchaseDate,C118,
postMergerSaleDate,Reference!$B$29,
saleFMV,Reference!$B$10,
postMergerBasis,AT118, 
IFERROR(IF(DATEDIF(purchaseDate,postMergerSaleDate,"Y")&gt;=1,
  0,
  avgoQty * (saleFMV - postMergerBasis)
),0))</f>
        <v>0</v>
      </c>
      <c r="AW118" s="336">
        <f>LET(
avgoQty,AE118, 
purchaseDate,C118,
postMergerSaleDate,Reference!$B$29,
saleFMV,Reference!$B$10,
postMergerBasis,AT118, 
IFERROR(IF(DATEDIF(purchaseDate,postMergerSaleDate,"Y")&gt;=1,
  avgoQty * (saleFMV - postMergerBasis),
  0
),0))</f>
        <v>0</v>
      </c>
    </row>
    <row r="119">
      <c r="A119" s="422"/>
      <c r="B119" s="423"/>
      <c r="C119" s="351"/>
      <c r="D119" s="352"/>
      <c r="E119" s="321" t="str">
        <f t="array" ref="E119">IF(C119&lt;&gt;"", IFERROR(VLOOKUP(C119, SORT(PriceReference!$A$1:$B1014), 2, TRUE), "price unavailable"), "")</f>
        <v/>
      </c>
      <c r="F119" s="416"/>
      <c r="G119" s="309">
        <f t="shared" si="6"/>
        <v>0</v>
      </c>
      <c r="H119" s="321">
        <f t="shared" si="7"/>
        <v>0</v>
      </c>
      <c r="I119" s="417"/>
      <c r="J119" s="348" t="b">
        <v>0</v>
      </c>
      <c r="K119" s="409"/>
      <c r="L119" s="315">
        <v>0.0</v>
      </c>
      <c r="M119" s="315">
        <v>0.0</v>
      </c>
      <c r="N119" s="315">
        <v>0.0</v>
      </c>
      <c r="O119" s="315">
        <v>0.0</v>
      </c>
      <c r="P119" s="315">
        <v>0.0</v>
      </c>
      <c r="Q119" s="317">
        <f t="shared" si="8"/>
        <v>0</v>
      </c>
      <c r="R119" s="317" t="str">
        <f>SWITCH(S119,"cash",Reference!E$5,"shares",Reference!$E$6,"balance",Reference!$E$7,"pro-rata",Reference!$B$5)</f>
        <v>#DIV/0!</v>
      </c>
      <c r="S119" s="318" t="s">
        <v>207</v>
      </c>
      <c r="T119" s="319">
        <f>LET(numVmwShares,D119, cashRatio,Reference!$B$4, vmwFinalPrice,Reference!$B$3, numVmwShares * cashRatio * vmwFinalPrice)</f>
        <v>0</v>
      </c>
      <c r="U119" s="319">
        <f>iferror(LET(numVmwShares,$D119, stockRatio,Q119, vmwFinalPrice,Reference!$B$3, (1 - stockRatio) * vmwFinalPrice * numVmwShares),0)</f>
        <v>0</v>
      </c>
      <c r="V119" s="319">
        <f>iferror(LET(numVmwShares,$D119, stockRatio,R119, vmwFinalPrice,Reference!$B$3, (1 - stockRatio) * vmwFinalPrice * numVmwShares),0)</f>
        <v>0</v>
      </c>
      <c r="W119" s="319">
        <f>SWITCH(Reference!$E$4,"eTradeTransactionLog", T119, "eTradeHoldingRatio",T119, "eTradeLotQtyRatio",U119,"manualLotRatio",V119)</f>
        <v>0</v>
      </c>
      <c r="X119" s="309">
        <f>LET(purchaseDate,C119, dateOfRecord,Reference!$B$26, returnOfCapital,Reference!$C$26, IF(purchaseDate &lt; dateOfRecord, returnOfCapital,0))</f>
        <v>10.18</v>
      </c>
      <c r="Y119" s="309">
        <f>LET(purchaseDate,C119, dateOfRecord,Reference!$B$27, returnOfCapital,Reference!$C$27, IF(purchaseDate &lt; dateOfRecord, returnOfCapital,0))</f>
        <v>16.58</v>
      </c>
      <c r="Z119" s="309">
        <f t="shared" si="9"/>
        <v>-26.76</v>
      </c>
      <c r="AA119" s="309">
        <f t="shared" si="10"/>
        <v>0</v>
      </c>
      <c r="AB119" s="320">
        <f>LET(numVmwShares,D119, stockRatio,Reference!$B$5, vmwToAvgoRatio,Reference!$B$6, numVmwShares * stockRatio * vmwToAvgoRatio)</f>
        <v>0</v>
      </c>
      <c r="AC119" s="320">
        <f>LET(numVmwShares,D119, stockRatio,Q119, vmwToAvgoRatio,Reference!$B$6, numVmwShares * stockRatio * vmwToAvgoRatio)</f>
        <v>0</v>
      </c>
      <c r="AD119" s="320" t="str">
        <f>LET(numVmwShares,D119, stockRatio,R119, vmwToAvgoRatio,Reference!$B$6, numVmwShares * stockRatio * vmwToAvgoRatio)</f>
        <v>#DIV/0!</v>
      </c>
      <c r="AE119" s="320">
        <f>SWITCH(Reference!$E$4, "eTradeTransactionLog", AB119, "eTradeHoldingRatio",AB119, "eTradeLotQtyRatio",AC119,"manualLotRatio",AD119)</f>
        <v>0</v>
      </c>
      <c r="AF119" s="321">
        <f>LET(numVmwShares,D119, vmwBasis,Z119, avgoQty,AE119, avgoFMV,Reference!$B$18, cashReceived,W119, gain,cashReceived+(avgoQty*avgoFMV)-(numVmwShares*vmwBasis),
MAX(gain,0))</f>
        <v>0</v>
      </c>
      <c r="AG119" s="322">
        <f>LET(useForFraction,J119, fractionAmount,Summary!$C$41, esppFractionLots,ESPP!$N$5, rsuFractionLots,RSU!J$5, IF(useForFraction, fractionAmount / (esppFractionLots+rsuFractionLots), 0))</f>
        <v>0</v>
      </c>
      <c r="AH119" s="411">
        <f>LET(useForFraction,J119, fractionSaleFMV,Reference!$B$23, postMergerBasis,AT119, lotFractionAmount,AG119, IF(useForFraction, (fractionSaleFMV - postMergerBasis)*lotFractionAmount, 0))</f>
        <v>0</v>
      </c>
      <c r="AI119" s="412">
        <f t="shared" si="11"/>
        <v>0</v>
      </c>
      <c r="AJ119" s="413">
        <f>LET(
purchaseDate,C119,
mergerDate,Reference!$B$28,
lotFractionGain,AH119,
mergerGain,AI119,
IF(DATEDIF(purchaseDate,mergerDate,"Y")&gt;=1,
  0,
  lotFractionGain + mergerGain
))</f>
        <v>0</v>
      </c>
      <c r="AK119" s="413">
        <f>LET(
purchaseDate,C119,
mergerDate,Reference!$B$28,
lotFractionGain,AH119,
mergerGain,AI119,
IF(DATEDIF(purchaseDate,mergerDate,"Y")&gt;=1,
  lotFractionGain+mergerGain,
  0
))</f>
        <v>0</v>
      </c>
      <c r="AL119" s="414" t="str">
        <f>IF(DATEDIF(C119,Reference!$B$28,"Y")&gt;=1,"Part II Box E","Part I Box B")</f>
        <v>Part II Box E</v>
      </c>
      <c r="AM119" s="344" t="str">
        <f t="shared" si="12"/>
        <v/>
      </c>
      <c r="AN119" s="330">
        <f t="shared" si="13"/>
        <v>0</v>
      </c>
      <c r="AO119" s="330">
        <f>LET(
cashReceived,W119, 
avgoQty,AE119, 
proceedsStyle,Reference!$E$9, 
avgoFMV,Reference!$B$18, 
SWITCH(proceedsStyle, "combined", cashReceived +(avgoQty*avgoFMV), "cashOnly", cashReceived))</f>
        <v>0</v>
      </c>
      <c r="AP119" s="345">
        <f>LET(
proceedsStyle,Reference!$E$9,
proceeds,AO119,
gain,AS119,
numVmwShares,D119, 
vmwBasis, Z119, 
avgoQty,AE119, 
avgoFMV,Reference!$B$18, 
cashReceived,W119, 
avgoTotalValue, avgoFMV*avgoQty, 
vmwTotalBasis, vmwBasis*numVmwShares,
alternateGainAmount,AF119, 
SWITCH(proceedsStyle,
  "cashOnly",
    proceeds - gain,
  "combined",
    IF(cashReceived&lt;alternateGainAmount,
      avgoTotalValue,
      vmwTotalBasis
    )
  )
)</f>
        <v>0</v>
      </c>
      <c r="AQ119" s="345" t="str">
        <f t="shared" si="14"/>
        <v/>
      </c>
      <c r="AR119" s="345">
        <v>0.0</v>
      </c>
      <c r="AS119" s="331">
        <f>LET(
proceedsStyle,Reference!$E$9,
proceeds,AO119,
basis1099B,AP119,
adjustment,AR119,
mergerGain,AI119,
SWITCH(proceedsStyle,
  "cashOnly",
    mergerGain,
  "combined",
    MAX(proceeds - basis1099B + adjustment, 0)
))</f>
        <v>0</v>
      </c>
      <c r="AT119" s="415" t="str">
        <f t="shared" si="15"/>
        <v>n/a</v>
      </c>
      <c r="AU119" s="333">
        <f>LET(saleFMV,Reference!$B$10, postMergerBasis,AT119, avgoQty,AE119, lotFractionAmount,AG119, iferror((saleFMV - postMergerBasis) * (avgoQty - lotFractionAmount), 0))</f>
        <v>0</v>
      </c>
      <c r="AV119" s="333">
        <f>LET(
avgoQty,AE119, 
purchaseDate,C119,
postMergerSaleDate,Reference!$B$29,
saleFMV,Reference!$B$10,
postMergerBasis,AT119, 
IFERROR(IF(DATEDIF(purchaseDate,postMergerSaleDate,"Y")&gt;=1,
  0,
  avgoQty * (saleFMV - postMergerBasis)
),0))</f>
        <v>0</v>
      </c>
      <c r="AW119" s="336">
        <f>LET(
avgoQty,AE119, 
purchaseDate,C119,
postMergerSaleDate,Reference!$B$29,
saleFMV,Reference!$B$10,
postMergerBasis,AT119, 
IFERROR(IF(DATEDIF(purchaseDate,postMergerSaleDate,"Y")&gt;=1,
  avgoQty * (saleFMV - postMergerBasis),
  0
),0))</f>
        <v>0</v>
      </c>
    </row>
    <row r="120">
      <c r="A120" s="422"/>
      <c r="B120" s="423"/>
      <c r="C120" s="351"/>
      <c r="D120" s="352"/>
      <c r="E120" s="321" t="str">
        <f t="array" ref="E120">IF(C120&lt;&gt;"", IFERROR(VLOOKUP(C120, SORT(PriceReference!$A$1:$B1014), 2, TRUE), "price unavailable"), "")</f>
        <v/>
      </c>
      <c r="F120" s="416"/>
      <c r="G120" s="309">
        <f t="shared" si="6"/>
        <v>0</v>
      </c>
      <c r="H120" s="321">
        <f t="shared" si="7"/>
        <v>0</v>
      </c>
      <c r="I120" s="417"/>
      <c r="J120" s="348" t="b">
        <v>0</v>
      </c>
      <c r="K120" s="409"/>
      <c r="L120" s="315">
        <v>0.0</v>
      </c>
      <c r="M120" s="315">
        <v>0.0</v>
      </c>
      <c r="N120" s="315">
        <v>0.0</v>
      </c>
      <c r="O120" s="315">
        <v>0.0</v>
      </c>
      <c r="P120" s="315">
        <v>0.0</v>
      </c>
      <c r="Q120" s="317">
        <f t="shared" si="8"/>
        <v>0</v>
      </c>
      <c r="R120" s="317" t="str">
        <f>SWITCH(S120,"cash",Reference!E$5,"shares",Reference!$E$6,"balance",Reference!$E$7,"pro-rata",Reference!$B$5)</f>
        <v>#DIV/0!</v>
      </c>
      <c r="S120" s="318" t="s">
        <v>207</v>
      </c>
      <c r="T120" s="319">
        <f>LET(numVmwShares,D120, cashRatio,Reference!$B$4, vmwFinalPrice,Reference!$B$3, numVmwShares * cashRatio * vmwFinalPrice)</f>
        <v>0</v>
      </c>
      <c r="U120" s="319">
        <f>iferror(LET(numVmwShares,$D120, stockRatio,Q120, vmwFinalPrice,Reference!$B$3, (1 - stockRatio) * vmwFinalPrice * numVmwShares),0)</f>
        <v>0</v>
      </c>
      <c r="V120" s="319">
        <f>iferror(LET(numVmwShares,$D120, stockRatio,R120, vmwFinalPrice,Reference!$B$3, (1 - stockRatio) * vmwFinalPrice * numVmwShares),0)</f>
        <v>0</v>
      </c>
      <c r="W120" s="319">
        <f>SWITCH(Reference!$E$4,"eTradeTransactionLog", T120, "eTradeHoldingRatio",T120, "eTradeLotQtyRatio",U120,"manualLotRatio",V120)</f>
        <v>0</v>
      </c>
      <c r="X120" s="309">
        <f>LET(purchaseDate,C120, dateOfRecord,Reference!$B$26, returnOfCapital,Reference!$C$26, IF(purchaseDate &lt; dateOfRecord, returnOfCapital,0))</f>
        <v>10.18</v>
      </c>
      <c r="Y120" s="309">
        <f>LET(purchaseDate,C120, dateOfRecord,Reference!$B$27, returnOfCapital,Reference!$C$27, IF(purchaseDate &lt; dateOfRecord, returnOfCapital,0))</f>
        <v>16.58</v>
      </c>
      <c r="Z120" s="309">
        <f t="shared" si="9"/>
        <v>-26.76</v>
      </c>
      <c r="AA120" s="309">
        <f t="shared" si="10"/>
        <v>0</v>
      </c>
      <c r="AB120" s="320">
        <f>LET(numVmwShares,D120, stockRatio,Reference!$B$5, vmwToAvgoRatio,Reference!$B$6, numVmwShares * stockRatio * vmwToAvgoRatio)</f>
        <v>0</v>
      </c>
      <c r="AC120" s="320">
        <f>LET(numVmwShares,D120, stockRatio,Q120, vmwToAvgoRatio,Reference!$B$6, numVmwShares * stockRatio * vmwToAvgoRatio)</f>
        <v>0</v>
      </c>
      <c r="AD120" s="320" t="str">
        <f>LET(numVmwShares,D120, stockRatio,R120, vmwToAvgoRatio,Reference!$B$6, numVmwShares * stockRatio * vmwToAvgoRatio)</f>
        <v>#DIV/0!</v>
      </c>
      <c r="AE120" s="320">
        <f>SWITCH(Reference!$E$4, "eTradeTransactionLog", AB120, "eTradeHoldingRatio",AB120, "eTradeLotQtyRatio",AC120,"manualLotRatio",AD120)</f>
        <v>0</v>
      </c>
      <c r="AF120" s="321">
        <f>LET(numVmwShares,D120, vmwBasis,Z120, avgoQty,AE120, avgoFMV,Reference!$B$18, cashReceived,W120, gain,cashReceived+(avgoQty*avgoFMV)-(numVmwShares*vmwBasis),
MAX(gain,0))</f>
        <v>0</v>
      </c>
      <c r="AG120" s="322">
        <f>LET(useForFraction,J120, fractionAmount,Summary!$C$41, esppFractionLots,ESPP!$N$5, rsuFractionLots,RSU!J$5, IF(useForFraction, fractionAmount / (esppFractionLots+rsuFractionLots), 0))</f>
        <v>0</v>
      </c>
      <c r="AH120" s="411">
        <f>LET(useForFraction,J120, fractionSaleFMV,Reference!$B$23, postMergerBasis,AT120, lotFractionAmount,AG120, IF(useForFraction, (fractionSaleFMV - postMergerBasis)*lotFractionAmount, 0))</f>
        <v>0</v>
      </c>
      <c r="AI120" s="412">
        <f t="shared" si="11"/>
        <v>0</v>
      </c>
      <c r="AJ120" s="413">
        <f>LET(
purchaseDate,C120,
mergerDate,Reference!$B$28,
lotFractionGain,AH120,
mergerGain,AI120,
IF(DATEDIF(purchaseDate,mergerDate,"Y")&gt;=1,
  0,
  lotFractionGain + mergerGain
))</f>
        <v>0</v>
      </c>
      <c r="AK120" s="413">
        <f>LET(
purchaseDate,C120,
mergerDate,Reference!$B$28,
lotFractionGain,AH120,
mergerGain,AI120,
IF(DATEDIF(purchaseDate,mergerDate,"Y")&gt;=1,
  lotFractionGain+mergerGain,
  0
))</f>
        <v>0</v>
      </c>
      <c r="AL120" s="414" t="str">
        <f>IF(DATEDIF(C120,Reference!$B$28,"Y")&gt;=1,"Part II Box E","Part I Box B")</f>
        <v>Part II Box E</v>
      </c>
      <c r="AM120" s="344" t="str">
        <f t="shared" si="12"/>
        <v/>
      </c>
      <c r="AN120" s="330">
        <f t="shared" si="13"/>
        <v>0</v>
      </c>
      <c r="AO120" s="330">
        <f>LET(
cashReceived,W120, 
avgoQty,AE120, 
proceedsStyle,Reference!$E$9, 
avgoFMV,Reference!$B$18, 
SWITCH(proceedsStyle, "combined", cashReceived +(avgoQty*avgoFMV), "cashOnly", cashReceived))</f>
        <v>0</v>
      </c>
      <c r="AP120" s="345">
        <f>LET(
proceedsStyle,Reference!$E$9,
proceeds,AO120,
gain,AS120,
numVmwShares,D120, 
vmwBasis, Z120, 
avgoQty,AE120, 
avgoFMV,Reference!$B$18, 
cashReceived,W120, 
avgoTotalValue, avgoFMV*avgoQty, 
vmwTotalBasis, vmwBasis*numVmwShares,
alternateGainAmount,AF120, 
SWITCH(proceedsStyle,
  "cashOnly",
    proceeds - gain,
  "combined",
    IF(cashReceived&lt;alternateGainAmount,
      avgoTotalValue,
      vmwTotalBasis
    )
  )
)</f>
        <v>0</v>
      </c>
      <c r="AQ120" s="345" t="str">
        <f t="shared" si="14"/>
        <v/>
      </c>
      <c r="AR120" s="345">
        <v>0.0</v>
      </c>
      <c r="AS120" s="331">
        <f>LET(
proceedsStyle,Reference!$E$9,
proceeds,AO120,
basis1099B,AP120,
adjustment,AR120,
mergerGain,AI120,
SWITCH(proceedsStyle,
  "cashOnly",
    mergerGain,
  "combined",
    MAX(proceeds - basis1099B + adjustment, 0)
))</f>
        <v>0</v>
      </c>
      <c r="AT120" s="415" t="str">
        <f t="shared" si="15"/>
        <v>n/a</v>
      </c>
      <c r="AU120" s="333">
        <f>LET(saleFMV,Reference!$B$10, postMergerBasis,AT120, avgoQty,AE120, lotFractionAmount,AG120, iferror((saleFMV - postMergerBasis) * (avgoQty - lotFractionAmount), 0))</f>
        <v>0</v>
      </c>
      <c r="AV120" s="333">
        <f>LET(
avgoQty,AE120, 
purchaseDate,C120,
postMergerSaleDate,Reference!$B$29,
saleFMV,Reference!$B$10,
postMergerBasis,AT120, 
IFERROR(IF(DATEDIF(purchaseDate,postMergerSaleDate,"Y")&gt;=1,
  0,
  avgoQty * (saleFMV - postMergerBasis)
),0))</f>
        <v>0</v>
      </c>
      <c r="AW120" s="336">
        <f>LET(
avgoQty,AE120, 
purchaseDate,C120,
postMergerSaleDate,Reference!$B$29,
saleFMV,Reference!$B$10,
postMergerBasis,AT120, 
IFERROR(IF(DATEDIF(purchaseDate,postMergerSaleDate,"Y")&gt;=1,
  avgoQty * (saleFMV - postMergerBasis),
  0
),0))</f>
        <v>0</v>
      </c>
    </row>
    <row r="121">
      <c r="A121" s="422"/>
      <c r="B121" s="423"/>
      <c r="C121" s="351"/>
      <c r="D121" s="352"/>
      <c r="E121" s="321" t="str">
        <f t="array" ref="E121">IF(C121&lt;&gt;"", IFERROR(VLOOKUP(C121, SORT(PriceReference!$A$1:$B1014), 2, TRUE), "price unavailable"), "")</f>
        <v/>
      </c>
      <c r="F121" s="416"/>
      <c r="G121" s="309">
        <f t="shared" si="6"/>
        <v>0</v>
      </c>
      <c r="H121" s="321">
        <f t="shared" si="7"/>
        <v>0</v>
      </c>
      <c r="I121" s="417"/>
      <c r="J121" s="348" t="b">
        <v>0</v>
      </c>
      <c r="K121" s="409"/>
      <c r="L121" s="315">
        <v>0.0</v>
      </c>
      <c r="M121" s="315">
        <v>0.0</v>
      </c>
      <c r="N121" s="315">
        <v>0.0</v>
      </c>
      <c r="O121" s="315">
        <v>0.0</v>
      </c>
      <c r="P121" s="315">
        <v>0.0</v>
      </c>
      <c r="Q121" s="317">
        <f t="shared" si="8"/>
        <v>0</v>
      </c>
      <c r="R121" s="317" t="str">
        <f>SWITCH(S121,"cash",Reference!E$5,"shares",Reference!$E$6,"balance",Reference!$E$7,"pro-rata",Reference!$B$5)</f>
        <v>#DIV/0!</v>
      </c>
      <c r="S121" s="318" t="s">
        <v>207</v>
      </c>
      <c r="T121" s="319">
        <f>LET(numVmwShares,D121, cashRatio,Reference!$B$4, vmwFinalPrice,Reference!$B$3, numVmwShares * cashRatio * vmwFinalPrice)</f>
        <v>0</v>
      </c>
      <c r="U121" s="319">
        <f>iferror(LET(numVmwShares,$D121, stockRatio,Q121, vmwFinalPrice,Reference!$B$3, (1 - stockRatio) * vmwFinalPrice * numVmwShares),0)</f>
        <v>0</v>
      </c>
      <c r="V121" s="319">
        <f>iferror(LET(numVmwShares,$D121, stockRatio,R121, vmwFinalPrice,Reference!$B$3, (1 - stockRatio) * vmwFinalPrice * numVmwShares),0)</f>
        <v>0</v>
      </c>
      <c r="W121" s="319">
        <f>SWITCH(Reference!$E$4,"eTradeTransactionLog", T121, "eTradeHoldingRatio",T121, "eTradeLotQtyRatio",U121,"manualLotRatio",V121)</f>
        <v>0</v>
      </c>
      <c r="X121" s="309">
        <f>LET(purchaseDate,C121, dateOfRecord,Reference!$B$26, returnOfCapital,Reference!$C$26, IF(purchaseDate &lt; dateOfRecord, returnOfCapital,0))</f>
        <v>10.18</v>
      </c>
      <c r="Y121" s="309">
        <f>LET(purchaseDate,C121, dateOfRecord,Reference!$B$27, returnOfCapital,Reference!$C$27, IF(purchaseDate &lt; dateOfRecord, returnOfCapital,0))</f>
        <v>16.58</v>
      </c>
      <c r="Z121" s="309">
        <f t="shared" si="9"/>
        <v>-26.76</v>
      </c>
      <c r="AA121" s="309">
        <f t="shared" si="10"/>
        <v>0</v>
      </c>
      <c r="AB121" s="320">
        <f>LET(numVmwShares,D121, stockRatio,Reference!$B$5, vmwToAvgoRatio,Reference!$B$6, numVmwShares * stockRatio * vmwToAvgoRatio)</f>
        <v>0</v>
      </c>
      <c r="AC121" s="320">
        <f>LET(numVmwShares,D121, stockRatio,Q121, vmwToAvgoRatio,Reference!$B$6, numVmwShares * stockRatio * vmwToAvgoRatio)</f>
        <v>0</v>
      </c>
      <c r="AD121" s="320" t="str">
        <f>LET(numVmwShares,D121, stockRatio,R121, vmwToAvgoRatio,Reference!$B$6, numVmwShares * stockRatio * vmwToAvgoRatio)</f>
        <v>#DIV/0!</v>
      </c>
      <c r="AE121" s="320">
        <f>SWITCH(Reference!$E$4, "eTradeTransactionLog", AB121, "eTradeHoldingRatio",AB121, "eTradeLotQtyRatio",AC121,"manualLotRatio",AD121)</f>
        <v>0</v>
      </c>
      <c r="AF121" s="321">
        <f>LET(numVmwShares,D121, vmwBasis,Z121, avgoQty,AE121, avgoFMV,Reference!$B$18, cashReceived,W121, gain,cashReceived+(avgoQty*avgoFMV)-(numVmwShares*vmwBasis),
MAX(gain,0))</f>
        <v>0</v>
      </c>
      <c r="AG121" s="322">
        <f>LET(useForFraction,J121, fractionAmount,Summary!$C$41, esppFractionLots,ESPP!$N$5, rsuFractionLots,RSU!J$5, IF(useForFraction, fractionAmount / (esppFractionLots+rsuFractionLots), 0))</f>
        <v>0</v>
      </c>
      <c r="AH121" s="411">
        <f>LET(useForFraction,J121, fractionSaleFMV,Reference!$B$23, postMergerBasis,AT121, lotFractionAmount,AG121, IF(useForFraction, (fractionSaleFMV - postMergerBasis)*lotFractionAmount, 0))</f>
        <v>0</v>
      </c>
      <c r="AI121" s="412">
        <f t="shared" si="11"/>
        <v>0</v>
      </c>
      <c r="AJ121" s="413">
        <f>LET(
purchaseDate,C121,
mergerDate,Reference!$B$28,
lotFractionGain,AH121,
mergerGain,AI121,
IF(DATEDIF(purchaseDate,mergerDate,"Y")&gt;=1,
  0,
  lotFractionGain + mergerGain
))</f>
        <v>0</v>
      </c>
      <c r="AK121" s="413">
        <f>LET(
purchaseDate,C121,
mergerDate,Reference!$B$28,
lotFractionGain,AH121,
mergerGain,AI121,
IF(DATEDIF(purchaseDate,mergerDate,"Y")&gt;=1,
  lotFractionGain+mergerGain,
  0
))</f>
        <v>0</v>
      </c>
      <c r="AL121" s="414" t="str">
        <f>IF(DATEDIF(C121,Reference!$B$28,"Y")&gt;=1,"Part II Box E","Part I Box B")</f>
        <v>Part II Box E</v>
      </c>
      <c r="AM121" s="344" t="str">
        <f t="shared" si="12"/>
        <v/>
      </c>
      <c r="AN121" s="330">
        <f t="shared" si="13"/>
        <v>0</v>
      </c>
      <c r="AO121" s="330">
        <f>LET(
cashReceived,W121, 
avgoQty,AE121, 
proceedsStyle,Reference!$E$9, 
avgoFMV,Reference!$B$18, 
SWITCH(proceedsStyle, "combined", cashReceived +(avgoQty*avgoFMV), "cashOnly", cashReceived))</f>
        <v>0</v>
      </c>
      <c r="AP121" s="345">
        <f>LET(
proceedsStyle,Reference!$E$9,
proceeds,AO121,
gain,AS121,
numVmwShares,D121, 
vmwBasis, Z121, 
avgoQty,AE121, 
avgoFMV,Reference!$B$18, 
cashReceived,W121, 
avgoTotalValue, avgoFMV*avgoQty, 
vmwTotalBasis, vmwBasis*numVmwShares,
alternateGainAmount,AF121, 
SWITCH(proceedsStyle,
  "cashOnly",
    proceeds - gain,
  "combined",
    IF(cashReceived&lt;alternateGainAmount,
      avgoTotalValue,
      vmwTotalBasis
    )
  )
)</f>
        <v>0</v>
      </c>
      <c r="AQ121" s="345" t="str">
        <f t="shared" si="14"/>
        <v/>
      </c>
      <c r="AR121" s="345">
        <v>0.0</v>
      </c>
      <c r="AS121" s="331">
        <f>LET(
proceedsStyle,Reference!$E$9,
proceeds,AO121,
basis1099B,AP121,
adjustment,AR121,
mergerGain,AI121,
SWITCH(proceedsStyle,
  "cashOnly",
    mergerGain,
  "combined",
    MAX(proceeds - basis1099B + adjustment, 0)
))</f>
        <v>0</v>
      </c>
      <c r="AT121" s="415" t="str">
        <f t="shared" si="15"/>
        <v>n/a</v>
      </c>
      <c r="AU121" s="333">
        <f>LET(saleFMV,Reference!$B$10, postMergerBasis,AT121, avgoQty,AE121, lotFractionAmount,AG121, iferror((saleFMV - postMergerBasis) * (avgoQty - lotFractionAmount), 0))</f>
        <v>0</v>
      </c>
      <c r="AV121" s="333">
        <f>LET(
avgoQty,AE121, 
purchaseDate,C121,
postMergerSaleDate,Reference!$B$29,
saleFMV,Reference!$B$10,
postMergerBasis,AT121, 
IFERROR(IF(DATEDIF(purchaseDate,postMergerSaleDate,"Y")&gt;=1,
  0,
  avgoQty * (saleFMV - postMergerBasis)
),0))</f>
        <v>0</v>
      </c>
      <c r="AW121" s="336">
        <f>LET(
avgoQty,AE121, 
purchaseDate,C121,
postMergerSaleDate,Reference!$B$29,
saleFMV,Reference!$B$10,
postMergerBasis,AT121, 
IFERROR(IF(DATEDIF(purchaseDate,postMergerSaleDate,"Y")&gt;=1,
  avgoQty * (saleFMV - postMergerBasis),
  0
),0))</f>
        <v>0</v>
      </c>
    </row>
    <row r="122">
      <c r="A122" s="422"/>
      <c r="B122" s="423"/>
      <c r="C122" s="351"/>
      <c r="D122" s="352"/>
      <c r="E122" s="321" t="str">
        <f t="array" ref="E122">IF(C122&lt;&gt;"", IFERROR(VLOOKUP(C122, SORT(PriceReference!$A$1:$B1014), 2, TRUE), "price unavailable"), "")</f>
        <v/>
      </c>
      <c r="F122" s="416"/>
      <c r="G122" s="309">
        <f t="shared" si="6"/>
        <v>0</v>
      </c>
      <c r="H122" s="321">
        <f t="shared" si="7"/>
        <v>0</v>
      </c>
      <c r="I122" s="417"/>
      <c r="J122" s="348" t="b">
        <v>0</v>
      </c>
      <c r="K122" s="409"/>
      <c r="L122" s="315">
        <v>0.0</v>
      </c>
      <c r="M122" s="315">
        <v>0.0</v>
      </c>
      <c r="N122" s="315">
        <v>0.0</v>
      </c>
      <c r="O122" s="315">
        <v>0.0</v>
      </c>
      <c r="P122" s="315">
        <v>0.0</v>
      </c>
      <c r="Q122" s="317">
        <f t="shared" si="8"/>
        <v>0</v>
      </c>
      <c r="R122" s="317" t="str">
        <f>SWITCH(S122,"cash",Reference!E$5,"shares",Reference!$E$6,"balance",Reference!$E$7,"pro-rata",Reference!$B$5)</f>
        <v>#DIV/0!</v>
      </c>
      <c r="S122" s="318" t="s">
        <v>207</v>
      </c>
      <c r="T122" s="319">
        <f>LET(numVmwShares,D122, cashRatio,Reference!$B$4, vmwFinalPrice,Reference!$B$3, numVmwShares * cashRatio * vmwFinalPrice)</f>
        <v>0</v>
      </c>
      <c r="U122" s="319">
        <f>iferror(LET(numVmwShares,$D122, stockRatio,Q122, vmwFinalPrice,Reference!$B$3, (1 - stockRatio) * vmwFinalPrice * numVmwShares),0)</f>
        <v>0</v>
      </c>
      <c r="V122" s="319">
        <f>iferror(LET(numVmwShares,$D122, stockRatio,R122, vmwFinalPrice,Reference!$B$3, (1 - stockRatio) * vmwFinalPrice * numVmwShares),0)</f>
        <v>0</v>
      </c>
      <c r="W122" s="319">
        <f>SWITCH(Reference!$E$4,"eTradeTransactionLog", T122, "eTradeHoldingRatio",T122, "eTradeLotQtyRatio",U122,"manualLotRatio",V122)</f>
        <v>0</v>
      </c>
      <c r="X122" s="309">
        <f>LET(purchaseDate,C122, dateOfRecord,Reference!$B$26, returnOfCapital,Reference!$C$26, IF(purchaseDate &lt; dateOfRecord, returnOfCapital,0))</f>
        <v>10.18</v>
      </c>
      <c r="Y122" s="309">
        <f>LET(purchaseDate,C122, dateOfRecord,Reference!$B$27, returnOfCapital,Reference!$C$27, IF(purchaseDate &lt; dateOfRecord, returnOfCapital,0))</f>
        <v>16.58</v>
      </c>
      <c r="Z122" s="309">
        <f t="shared" si="9"/>
        <v>-26.76</v>
      </c>
      <c r="AA122" s="309">
        <f t="shared" si="10"/>
        <v>0</v>
      </c>
      <c r="AB122" s="320">
        <f>LET(numVmwShares,D122, stockRatio,Reference!$B$5, vmwToAvgoRatio,Reference!$B$6, numVmwShares * stockRatio * vmwToAvgoRatio)</f>
        <v>0</v>
      </c>
      <c r="AC122" s="320">
        <f>LET(numVmwShares,D122, stockRatio,Q122, vmwToAvgoRatio,Reference!$B$6, numVmwShares * stockRatio * vmwToAvgoRatio)</f>
        <v>0</v>
      </c>
      <c r="AD122" s="320" t="str">
        <f>LET(numVmwShares,D122, stockRatio,R122, vmwToAvgoRatio,Reference!$B$6, numVmwShares * stockRatio * vmwToAvgoRatio)</f>
        <v>#DIV/0!</v>
      </c>
      <c r="AE122" s="320">
        <f>SWITCH(Reference!$E$4, "eTradeTransactionLog", AB122, "eTradeHoldingRatio",AB122, "eTradeLotQtyRatio",AC122,"manualLotRatio",AD122)</f>
        <v>0</v>
      </c>
      <c r="AF122" s="321">
        <f>LET(numVmwShares,D122, vmwBasis,Z122, avgoQty,AE122, avgoFMV,Reference!$B$18, cashReceived,W122, gain,cashReceived+(avgoQty*avgoFMV)-(numVmwShares*vmwBasis),
MAX(gain,0))</f>
        <v>0</v>
      </c>
      <c r="AG122" s="322">
        <f>LET(useForFraction,J122, fractionAmount,Summary!$C$41, esppFractionLots,ESPP!$N$5, rsuFractionLots,RSU!J$5, IF(useForFraction, fractionAmount / (esppFractionLots+rsuFractionLots), 0))</f>
        <v>0</v>
      </c>
      <c r="AH122" s="411">
        <f>LET(useForFraction,J122, fractionSaleFMV,Reference!$B$23, postMergerBasis,AT122, lotFractionAmount,AG122, IF(useForFraction, (fractionSaleFMV - postMergerBasis)*lotFractionAmount, 0))</f>
        <v>0</v>
      </c>
      <c r="AI122" s="412">
        <f t="shared" si="11"/>
        <v>0</v>
      </c>
      <c r="AJ122" s="413">
        <f>LET(
purchaseDate,C122,
mergerDate,Reference!$B$28,
lotFractionGain,AH122,
mergerGain,AI122,
IF(DATEDIF(purchaseDate,mergerDate,"Y")&gt;=1,
  0,
  lotFractionGain + mergerGain
))</f>
        <v>0</v>
      </c>
      <c r="AK122" s="413">
        <f>LET(
purchaseDate,C122,
mergerDate,Reference!$B$28,
lotFractionGain,AH122,
mergerGain,AI122,
IF(DATEDIF(purchaseDate,mergerDate,"Y")&gt;=1,
  lotFractionGain+mergerGain,
  0
))</f>
        <v>0</v>
      </c>
      <c r="AL122" s="414" t="str">
        <f>IF(DATEDIF(C122,Reference!$B$28,"Y")&gt;=1,"Part II Box E","Part I Box B")</f>
        <v>Part II Box E</v>
      </c>
      <c r="AM122" s="344" t="str">
        <f t="shared" si="12"/>
        <v/>
      </c>
      <c r="AN122" s="330">
        <f t="shared" si="13"/>
        <v>0</v>
      </c>
      <c r="AO122" s="330">
        <f>LET(
cashReceived,W122, 
avgoQty,AE122, 
proceedsStyle,Reference!$E$9, 
avgoFMV,Reference!$B$18, 
SWITCH(proceedsStyle, "combined", cashReceived +(avgoQty*avgoFMV), "cashOnly", cashReceived))</f>
        <v>0</v>
      </c>
      <c r="AP122" s="345">
        <f>LET(
proceedsStyle,Reference!$E$9,
proceeds,AO122,
gain,AS122,
numVmwShares,D122, 
vmwBasis, Z122, 
avgoQty,AE122, 
avgoFMV,Reference!$B$18, 
cashReceived,W122, 
avgoTotalValue, avgoFMV*avgoQty, 
vmwTotalBasis, vmwBasis*numVmwShares,
alternateGainAmount,AF122, 
SWITCH(proceedsStyle,
  "cashOnly",
    proceeds - gain,
  "combined",
    IF(cashReceived&lt;alternateGainAmount,
      avgoTotalValue,
      vmwTotalBasis
    )
  )
)</f>
        <v>0</v>
      </c>
      <c r="AQ122" s="345" t="str">
        <f t="shared" si="14"/>
        <v/>
      </c>
      <c r="AR122" s="345">
        <v>0.0</v>
      </c>
      <c r="AS122" s="331">
        <f>LET(
proceedsStyle,Reference!$E$9,
proceeds,AO122,
basis1099B,AP122,
adjustment,AR122,
mergerGain,AI122,
SWITCH(proceedsStyle,
  "cashOnly",
    mergerGain,
  "combined",
    MAX(proceeds - basis1099B + adjustment, 0)
))</f>
        <v>0</v>
      </c>
      <c r="AT122" s="415" t="str">
        <f t="shared" si="15"/>
        <v>n/a</v>
      </c>
      <c r="AU122" s="333">
        <f>LET(saleFMV,Reference!$B$10, postMergerBasis,AT122, avgoQty,AE122, lotFractionAmount,AG122, iferror((saleFMV - postMergerBasis) * (avgoQty - lotFractionAmount), 0))</f>
        <v>0</v>
      </c>
      <c r="AV122" s="333">
        <f>LET(
avgoQty,AE122, 
purchaseDate,C122,
postMergerSaleDate,Reference!$B$29,
saleFMV,Reference!$B$10,
postMergerBasis,AT122, 
IFERROR(IF(DATEDIF(purchaseDate,postMergerSaleDate,"Y")&gt;=1,
  0,
  avgoQty * (saleFMV - postMergerBasis)
),0))</f>
        <v>0</v>
      </c>
      <c r="AW122" s="336">
        <f>LET(
avgoQty,AE122, 
purchaseDate,C122,
postMergerSaleDate,Reference!$B$29,
saleFMV,Reference!$B$10,
postMergerBasis,AT122, 
IFERROR(IF(DATEDIF(purchaseDate,postMergerSaleDate,"Y")&gt;=1,
  avgoQty * (saleFMV - postMergerBasis),
  0
),0))</f>
        <v>0</v>
      </c>
    </row>
    <row r="123">
      <c r="A123" s="422"/>
      <c r="B123" s="423"/>
      <c r="C123" s="351"/>
      <c r="D123" s="352"/>
      <c r="E123" s="321" t="str">
        <f t="array" ref="E123">IF(C123&lt;&gt;"", IFERROR(VLOOKUP(C123, SORT(PriceReference!$A$1:$B1014), 2, TRUE), "price unavailable"), "")</f>
        <v/>
      </c>
      <c r="F123" s="416"/>
      <c r="G123" s="309">
        <f t="shared" si="6"/>
        <v>0</v>
      </c>
      <c r="H123" s="321">
        <f t="shared" si="7"/>
        <v>0</v>
      </c>
      <c r="I123" s="417"/>
      <c r="J123" s="348" t="b">
        <v>0</v>
      </c>
      <c r="K123" s="409"/>
      <c r="L123" s="315">
        <v>0.0</v>
      </c>
      <c r="M123" s="315">
        <v>0.0</v>
      </c>
      <c r="N123" s="315">
        <v>0.0</v>
      </c>
      <c r="O123" s="315">
        <v>0.0</v>
      </c>
      <c r="P123" s="315">
        <v>0.0</v>
      </c>
      <c r="Q123" s="317">
        <f t="shared" si="8"/>
        <v>0</v>
      </c>
      <c r="R123" s="317" t="str">
        <f>SWITCH(S123,"cash",Reference!E$5,"shares",Reference!$E$6,"balance",Reference!$E$7,"pro-rata",Reference!$B$5)</f>
        <v>#DIV/0!</v>
      </c>
      <c r="S123" s="318" t="s">
        <v>207</v>
      </c>
      <c r="T123" s="319">
        <f>LET(numVmwShares,D123, cashRatio,Reference!$B$4, vmwFinalPrice,Reference!$B$3, numVmwShares * cashRatio * vmwFinalPrice)</f>
        <v>0</v>
      </c>
      <c r="U123" s="319">
        <f>iferror(LET(numVmwShares,$D123, stockRatio,Q123, vmwFinalPrice,Reference!$B$3, (1 - stockRatio) * vmwFinalPrice * numVmwShares),0)</f>
        <v>0</v>
      </c>
      <c r="V123" s="319">
        <f>iferror(LET(numVmwShares,$D123, stockRatio,R123, vmwFinalPrice,Reference!$B$3, (1 - stockRatio) * vmwFinalPrice * numVmwShares),0)</f>
        <v>0</v>
      </c>
      <c r="W123" s="319">
        <f>SWITCH(Reference!$E$4,"eTradeTransactionLog", T123, "eTradeHoldingRatio",T123, "eTradeLotQtyRatio",U123,"manualLotRatio",V123)</f>
        <v>0</v>
      </c>
      <c r="X123" s="309">
        <f>LET(purchaseDate,C123, dateOfRecord,Reference!$B$26, returnOfCapital,Reference!$C$26, IF(purchaseDate &lt; dateOfRecord, returnOfCapital,0))</f>
        <v>10.18</v>
      </c>
      <c r="Y123" s="309">
        <f>LET(purchaseDate,C123, dateOfRecord,Reference!$B$27, returnOfCapital,Reference!$C$27, IF(purchaseDate &lt; dateOfRecord, returnOfCapital,0))</f>
        <v>16.58</v>
      </c>
      <c r="Z123" s="309">
        <f t="shared" si="9"/>
        <v>-26.76</v>
      </c>
      <c r="AA123" s="309">
        <f t="shared" si="10"/>
        <v>0</v>
      </c>
      <c r="AB123" s="320">
        <f>LET(numVmwShares,D123, stockRatio,Reference!$B$5, vmwToAvgoRatio,Reference!$B$6, numVmwShares * stockRatio * vmwToAvgoRatio)</f>
        <v>0</v>
      </c>
      <c r="AC123" s="320">
        <f>LET(numVmwShares,D123, stockRatio,Q123, vmwToAvgoRatio,Reference!$B$6, numVmwShares * stockRatio * vmwToAvgoRatio)</f>
        <v>0</v>
      </c>
      <c r="AD123" s="320" t="str">
        <f>LET(numVmwShares,D123, stockRatio,R123, vmwToAvgoRatio,Reference!$B$6, numVmwShares * stockRatio * vmwToAvgoRatio)</f>
        <v>#DIV/0!</v>
      </c>
      <c r="AE123" s="320">
        <f>SWITCH(Reference!$E$4, "eTradeTransactionLog", AB123, "eTradeHoldingRatio",AB123, "eTradeLotQtyRatio",AC123,"manualLotRatio",AD123)</f>
        <v>0</v>
      </c>
      <c r="AF123" s="321">
        <f>LET(numVmwShares,D123, vmwBasis,Z123, avgoQty,AE123, avgoFMV,Reference!$B$18, cashReceived,W123, gain,cashReceived+(avgoQty*avgoFMV)-(numVmwShares*vmwBasis),
MAX(gain,0))</f>
        <v>0</v>
      </c>
      <c r="AG123" s="322">
        <f>LET(useForFraction,J123, fractionAmount,Summary!$C$41, esppFractionLots,ESPP!$N$5, rsuFractionLots,RSU!J$5, IF(useForFraction, fractionAmount / (esppFractionLots+rsuFractionLots), 0))</f>
        <v>0</v>
      </c>
      <c r="AH123" s="411">
        <f>LET(useForFraction,J123, fractionSaleFMV,Reference!$B$23, postMergerBasis,AT123, lotFractionAmount,AG123, IF(useForFraction, (fractionSaleFMV - postMergerBasis)*lotFractionAmount, 0))</f>
        <v>0</v>
      </c>
      <c r="AI123" s="412">
        <f t="shared" si="11"/>
        <v>0</v>
      </c>
      <c r="AJ123" s="413">
        <f>LET(
purchaseDate,C123,
mergerDate,Reference!$B$28,
lotFractionGain,AH123,
mergerGain,AI123,
IF(DATEDIF(purchaseDate,mergerDate,"Y")&gt;=1,
  0,
  lotFractionGain + mergerGain
))</f>
        <v>0</v>
      </c>
      <c r="AK123" s="413">
        <f>LET(
purchaseDate,C123,
mergerDate,Reference!$B$28,
lotFractionGain,AH123,
mergerGain,AI123,
IF(DATEDIF(purchaseDate,mergerDate,"Y")&gt;=1,
  lotFractionGain+mergerGain,
  0
))</f>
        <v>0</v>
      </c>
      <c r="AL123" s="414" t="str">
        <f>IF(DATEDIF(C123,Reference!$B$28,"Y")&gt;=1,"Part II Box E","Part I Box B")</f>
        <v>Part II Box E</v>
      </c>
      <c r="AM123" s="344" t="str">
        <f t="shared" si="12"/>
        <v/>
      </c>
      <c r="AN123" s="330">
        <f t="shared" si="13"/>
        <v>0</v>
      </c>
      <c r="AO123" s="330">
        <f>LET(
cashReceived,W123, 
avgoQty,AE123, 
proceedsStyle,Reference!$E$9, 
avgoFMV,Reference!$B$18, 
SWITCH(proceedsStyle, "combined", cashReceived +(avgoQty*avgoFMV), "cashOnly", cashReceived))</f>
        <v>0</v>
      </c>
      <c r="AP123" s="345">
        <f>LET(
proceedsStyle,Reference!$E$9,
proceeds,AO123,
gain,AS123,
numVmwShares,D123, 
vmwBasis, Z123, 
avgoQty,AE123, 
avgoFMV,Reference!$B$18, 
cashReceived,W123, 
avgoTotalValue, avgoFMV*avgoQty, 
vmwTotalBasis, vmwBasis*numVmwShares,
alternateGainAmount,AF123, 
SWITCH(proceedsStyle,
  "cashOnly",
    proceeds - gain,
  "combined",
    IF(cashReceived&lt;alternateGainAmount,
      avgoTotalValue,
      vmwTotalBasis
    )
  )
)</f>
        <v>0</v>
      </c>
      <c r="AQ123" s="345" t="str">
        <f t="shared" si="14"/>
        <v/>
      </c>
      <c r="AR123" s="345">
        <v>0.0</v>
      </c>
      <c r="AS123" s="331">
        <f>LET(
proceedsStyle,Reference!$E$9,
proceeds,AO123,
basis1099B,AP123,
adjustment,AR123,
mergerGain,AI123,
SWITCH(proceedsStyle,
  "cashOnly",
    mergerGain,
  "combined",
    MAX(proceeds - basis1099B + adjustment, 0)
))</f>
        <v>0</v>
      </c>
      <c r="AT123" s="415" t="str">
        <f t="shared" si="15"/>
        <v>n/a</v>
      </c>
      <c r="AU123" s="333">
        <f>LET(saleFMV,Reference!$B$10, postMergerBasis,AT123, avgoQty,AE123, lotFractionAmount,AG123, iferror((saleFMV - postMergerBasis) * (avgoQty - lotFractionAmount), 0))</f>
        <v>0</v>
      </c>
      <c r="AV123" s="333">
        <f>LET(
avgoQty,AE123, 
purchaseDate,C123,
postMergerSaleDate,Reference!$B$29,
saleFMV,Reference!$B$10,
postMergerBasis,AT123, 
IFERROR(IF(DATEDIF(purchaseDate,postMergerSaleDate,"Y")&gt;=1,
  0,
  avgoQty * (saleFMV - postMergerBasis)
),0))</f>
        <v>0</v>
      </c>
      <c r="AW123" s="336">
        <f>LET(
avgoQty,AE123, 
purchaseDate,C123,
postMergerSaleDate,Reference!$B$29,
saleFMV,Reference!$B$10,
postMergerBasis,AT123, 
IFERROR(IF(DATEDIF(purchaseDate,postMergerSaleDate,"Y")&gt;=1,
  avgoQty * (saleFMV - postMergerBasis),
  0
),0))</f>
        <v>0</v>
      </c>
    </row>
    <row r="124">
      <c r="A124" s="422"/>
      <c r="B124" s="423"/>
      <c r="C124" s="351"/>
      <c r="D124" s="352"/>
      <c r="E124" s="321" t="str">
        <f t="array" ref="E124">IF(C124&lt;&gt;"", IFERROR(VLOOKUP(C124, SORT(PriceReference!$A$1:$B1014), 2, TRUE), "price unavailable"), "")</f>
        <v/>
      </c>
      <c r="F124" s="416"/>
      <c r="G124" s="309">
        <f t="shared" si="6"/>
        <v>0</v>
      </c>
      <c r="H124" s="321">
        <f t="shared" si="7"/>
        <v>0</v>
      </c>
      <c r="I124" s="417"/>
      <c r="J124" s="348" t="b">
        <v>0</v>
      </c>
      <c r="K124" s="409"/>
      <c r="L124" s="315">
        <v>0.0</v>
      </c>
      <c r="M124" s="315">
        <v>0.0</v>
      </c>
      <c r="N124" s="315">
        <v>0.0</v>
      </c>
      <c r="O124" s="315">
        <v>0.0</v>
      </c>
      <c r="P124" s="315">
        <v>0.0</v>
      </c>
      <c r="Q124" s="317">
        <f t="shared" si="8"/>
        <v>0</v>
      </c>
      <c r="R124" s="317" t="str">
        <f>SWITCH(S124,"cash",Reference!E$5,"shares",Reference!$E$6,"balance",Reference!$E$7,"pro-rata",Reference!$B$5)</f>
        <v>#DIV/0!</v>
      </c>
      <c r="S124" s="318" t="s">
        <v>207</v>
      </c>
      <c r="T124" s="319">
        <f>LET(numVmwShares,D124, cashRatio,Reference!$B$4, vmwFinalPrice,Reference!$B$3, numVmwShares * cashRatio * vmwFinalPrice)</f>
        <v>0</v>
      </c>
      <c r="U124" s="319">
        <f>iferror(LET(numVmwShares,$D124, stockRatio,Q124, vmwFinalPrice,Reference!$B$3, (1 - stockRatio) * vmwFinalPrice * numVmwShares),0)</f>
        <v>0</v>
      </c>
      <c r="V124" s="319">
        <f>iferror(LET(numVmwShares,$D124, stockRatio,R124, vmwFinalPrice,Reference!$B$3, (1 - stockRatio) * vmwFinalPrice * numVmwShares),0)</f>
        <v>0</v>
      </c>
      <c r="W124" s="319">
        <f>SWITCH(Reference!$E$4,"eTradeTransactionLog", T124, "eTradeHoldingRatio",T124, "eTradeLotQtyRatio",U124,"manualLotRatio",V124)</f>
        <v>0</v>
      </c>
      <c r="X124" s="309">
        <f>LET(purchaseDate,C124, dateOfRecord,Reference!$B$26, returnOfCapital,Reference!$C$26, IF(purchaseDate &lt; dateOfRecord, returnOfCapital,0))</f>
        <v>10.18</v>
      </c>
      <c r="Y124" s="309">
        <f>LET(purchaseDate,C124, dateOfRecord,Reference!$B$27, returnOfCapital,Reference!$C$27, IF(purchaseDate &lt; dateOfRecord, returnOfCapital,0))</f>
        <v>16.58</v>
      </c>
      <c r="Z124" s="309">
        <f t="shared" si="9"/>
        <v>-26.76</v>
      </c>
      <c r="AA124" s="309">
        <f t="shared" si="10"/>
        <v>0</v>
      </c>
      <c r="AB124" s="320">
        <f>LET(numVmwShares,D124, stockRatio,Reference!$B$5, vmwToAvgoRatio,Reference!$B$6, numVmwShares * stockRatio * vmwToAvgoRatio)</f>
        <v>0</v>
      </c>
      <c r="AC124" s="320">
        <f>LET(numVmwShares,D124, stockRatio,Q124, vmwToAvgoRatio,Reference!$B$6, numVmwShares * stockRatio * vmwToAvgoRatio)</f>
        <v>0</v>
      </c>
      <c r="AD124" s="320" t="str">
        <f>LET(numVmwShares,D124, stockRatio,R124, vmwToAvgoRatio,Reference!$B$6, numVmwShares * stockRatio * vmwToAvgoRatio)</f>
        <v>#DIV/0!</v>
      </c>
      <c r="AE124" s="320">
        <f>SWITCH(Reference!$E$4, "eTradeTransactionLog", AB124, "eTradeHoldingRatio",AB124, "eTradeLotQtyRatio",AC124,"manualLotRatio",AD124)</f>
        <v>0</v>
      </c>
      <c r="AF124" s="321">
        <f>LET(numVmwShares,D124, vmwBasis,Z124, avgoQty,AE124, avgoFMV,Reference!$B$18, cashReceived,W124, gain,cashReceived+(avgoQty*avgoFMV)-(numVmwShares*vmwBasis),
MAX(gain,0))</f>
        <v>0</v>
      </c>
      <c r="AG124" s="322">
        <f>LET(useForFraction,J124, fractionAmount,Summary!$C$41, esppFractionLots,ESPP!$N$5, rsuFractionLots,RSU!J$5, IF(useForFraction, fractionAmount / (esppFractionLots+rsuFractionLots), 0))</f>
        <v>0</v>
      </c>
      <c r="AH124" s="411">
        <f>LET(useForFraction,J124, fractionSaleFMV,Reference!$B$23, postMergerBasis,AT124, lotFractionAmount,AG124, IF(useForFraction, (fractionSaleFMV - postMergerBasis)*lotFractionAmount, 0))</f>
        <v>0</v>
      </c>
      <c r="AI124" s="412">
        <f t="shared" si="11"/>
        <v>0</v>
      </c>
      <c r="AJ124" s="413">
        <f>LET(
purchaseDate,C124,
mergerDate,Reference!$B$28,
lotFractionGain,AH124,
mergerGain,AI124,
IF(DATEDIF(purchaseDate,mergerDate,"Y")&gt;=1,
  0,
  lotFractionGain + mergerGain
))</f>
        <v>0</v>
      </c>
      <c r="AK124" s="413">
        <f>LET(
purchaseDate,C124,
mergerDate,Reference!$B$28,
lotFractionGain,AH124,
mergerGain,AI124,
IF(DATEDIF(purchaseDate,mergerDate,"Y")&gt;=1,
  lotFractionGain+mergerGain,
  0
))</f>
        <v>0</v>
      </c>
      <c r="AL124" s="414" t="str">
        <f>IF(DATEDIF(C124,Reference!$B$28,"Y")&gt;=1,"Part II Box E","Part I Box B")</f>
        <v>Part II Box E</v>
      </c>
      <c r="AM124" s="344" t="str">
        <f t="shared" si="12"/>
        <v/>
      </c>
      <c r="AN124" s="330">
        <f t="shared" si="13"/>
        <v>0</v>
      </c>
      <c r="AO124" s="330">
        <f>LET(
cashReceived,W124, 
avgoQty,AE124, 
proceedsStyle,Reference!$E$9, 
avgoFMV,Reference!$B$18, 
SWITCH(proceedsStyle, "combined", cashReceived +(avgoQty*avgoFMV), "cashOnly", cashReceived))</f>
        <v>0</v>
      </c>
      <c r="AP124" s="345">
        <f>LET(
proceedsStyle,Reference!$E$9,
proceeds,AO124,
gain,AS124,
numVmwShares,D124, 
vmwBasis, Z124, 
avgoQty,AE124, 
avgoFMV,Reference!$B$18, 
cashReceived,W124, 
avgoTotalValue, avgoFMV*avgoQty, 
vmwTotalBasis, vmwBasis*numVmwShares,
alternateGainAmount,AF124, 
SWITCH(proceedsStyle,
  "cashOnly",
    proceeds - gain,
  "combined",
    IF(cashReceived&lt;alternateGainAmount,
      avgoTotalValue,
      vmwTotalBasis
    )
  )
)</f>
        <v>0</v>
      </c>
      <c r="AQ124" s="345" t="str">
        <f t="shared" si="14"/>
        <v/>
      </c>
      <c r="AR124" s="345">
        <v>0.0</v>
      </c>
      <c r="AS124" s="331">
        <f>LET(
proceedsStyle,Reference!$E$9,
proceeds,AO124,
basis1099B,AP124,
adjustment,AR124,
mergerGain,AI124,
SWITCH(proceedsStyle,
  "cashOnly",
    mergerGain,
  "combined",
    MAX(proceeds - basis1099B + adjustment, 0)
))</f>
        <v>0</v>
      </c>
      <c r="AT124" s="415" t="str">
        <f t="shared" si="15"/>
        <v>n/a</v>
      </c>
      <c r="AU124" s="333">
        <f>LET(saleFMV,Reference!$B$10, postMergerBasis,AT124, avgoQty,AE124, lotFractionAmount,AG124, iferror((saleFMV - postMergerBasis) * (avgoQty - lotFractionAmount), 0))</f>
        <v>0</v>
      </c>
      <c r="AV124" s="333">
        <f>LET(
avgoQty,AE124, 
purchaseDate,C124,
postMergerSaleDate,Reference!$B$29,
saleFMV,Reference!$B$10,
postMergerBasis,AT124, 
IFERROR(IF(DATEDIF(purchaseDate,postMergerSaleDate,"Y")&gt;=1,
  0,
  avgoQty * (saleFMV - postMergerBasis)
),0))</f>
        <v>0</v>
      </c>
      <c r="AW124" s="336">
        <f>LET(
avgoQty,AE124, 
purchaseDate,C124,
postMergerSaleDate,Reference!$B$29,
saleFMV,Reference!$B$10,
postMergerBasis,AT124, 
IFERROR(IF(DATEDIF(purchaseDate,postMergerSaleDate,"Y")&gt;=1,
  avgoQty * (saleFMV - postMergerBasis),
  0
),0))</f>
        <v>0</v>
      </c>
    </row>
    <row r="125">
      <c r="A125" s="422"/>
      <c r="B125" s="423"/>
      <c r="C125" s="351"/>
      <c r="D125" s="352"/>
      <c r="E125" s="321" t="str">
        <f t="array" ref="E125">IF(C125&lt;&gt;"", IFERROR(VLOOKUP(C125, SORT(PriceReference!$A$1:$B1014), 2, TRUE), "price unavailable"), "")</f>
        <v/>
      </c>
      <c r="F125" s="416"/>
      <c r="G125" s="309">
        <f t="shared" si="6"/>
        <v>0</v>
      </c>
      <c r="H125" s="321">
        <f t="shared" si="7"/>
        <v>0</v>
      </c>
      <c r="I125" s="417"/>
      <c r="J125" s="348" t="b">
        <v>0</v>
      </c>
      <c r="K125" s="409"/>
      <c r="L125" s="315">
        <v>0.0</v>
      </c>
      <c r="M125" s="315">
        <v>0.0</v>
      </c>
      <c r="N125" s="315">
        <v>0.0</v>
      </c>
      <c r="O125" s="315">
        <v>0.0</v>
      </c>
      <c r="P125" s="315">
        <v>0.0</v>
      </c>
      <c r="Q125" s="317">
        <f t="shared" si="8"/>
        <v>0</v>
      </c>
      <c r="R125" s="317" t="str">
        <f>SWITCH(S125,"cash",Reference!E$5,"shares",Reference!$E$6,"balance",Reference!$E$7,"pro-rata",Reference!$B$5)</f>
        <v>#DIV/0!</v>
      </c>
      <c r="S125" s="318" t="s">
        <v>207</v>
      </c>
      <c r="T125" s="319">
        <f>LET(numVmwShares,D125, cashRatio,Reference!$B$4, vmwFinalPrice,Reference!$B$3, numVmwShares * cashRatio * vmwFinalPrice)</f>
        <v>0</v>
      </c>
      <c r="U125" s="319">
        <f>iferror(LET(numVmwShares,$D125, stockRatio,Q125, vmwFinalPrice,Reference!$B$3, (1 - stockRatio) * vmwFinalPrice * numVmwShares),0)</f>
        <v>0</v>
      </c>
      <c r="V125" s="319">
        <f>iferror(LET(numVmwShares,$D125, stockRatio,R125, vmwFinalPrice,Reference!$B$3, (1 - stockRatio) * vmwFinalPrice * numVmwShares),0)</f>
        <v>0</v>
      </c>
      <c r="W125" s="319">
        <f>SWITCH(Reference!$E$4,"eTradeTransactionLog", T125, "eTradeHoldingRatio",T125, "eTradeLotQtyRatio",U125,"manualLotRatio",V125)</f>
        <v>0</v>
      </c>
      <c r="X125" s="309">
        <f>LET(purchaseDate,C125, dateOfRecord,Reference!$B$26, returnOfCapital,Reference!$C$26, IF(purchaseDate &lt; dateOfRecord, returnOfCapital,0))</f>
        <v>10.18</v>
      </c>
      <c r="Y125" s="309">
        <f>LET(purchaseDate,C125, dateOfRecord,Reference!$B$27, returnOfCapital,Reference!$C$27, IF(purchaseDate &lt; dateOfRecord, returnOfCapital,0))</f>
        <v>16.58</v>
      </c>
      <c r="Z125" s="309">
        <f t="shared" si="9"/>
        <v>-26.76</v>
      </c>
      <c r="AA125" s="309">
        <f t="shared" si="10"/>
        <v>0</v>
      </c>
      <c r="AB125" s="320">
        <f>LET(numVmwShares,D125, stockRatio,Reference!$B$5, vmwToAvgoRatio,Reference!$B$6, numVmwShares * stockRatio * vmwToAvgoRatio)</f>
        <v>0</v>
      </c>
      <c r="AC125" s="320">
        <f>LET(numVmwShares,D125, stockRatio,Q125, vmwToAvgoRatio,Reference!$B$6, numVmwShares * stockRatio * vmwToAvgoRatio)</f>
        <v>0</v>
      </c>
      <c r="AD125" s="320" t="str">
        <f>LET(numVmwShares,D125, stockRatio,R125, vmwToAvgoRatio,Reference!$B$6, numVmwShares * stockRatio * vmwToAvgoRatio)</f>
        <v>#DIV/0!</v>
      </c>
      <c r="AE125" s="320">
        <f>SWITCH(Reference!$E$4, "eTradeTransactionLog", AB125, "eTradeHoldingRatio",AB125, "eTradeLotQtyRatio",AC125,"manualLotRatio",AD125)</f>
        <v>0</v>
      </c>
      <c r="AF125" s="321">
        <f>LET(numVmwShares,D125, vmwBasis,Z125, avgoQty,AE125, avgoFMV,Reference!$B$18, cashReceived,W125, gain,cashReceived+(avgoQty*avgoFMV)-(numVmwShares*vmwBasis),
MAX(gain,0))</f>
        <v>0</v>
      </c>
      <c r="AG125" s="322">
        <f>LET(useForFraction,J125, fractionAmount,Summary!$C$41, esppFractionLots,ESPP!$N$5, rsuFractionLots,RSU!J$5, IF(useForFraction, fractionAmount / (esppFractionLots+rsuFractionLots), 0))</f>
        <v>0</v>
      </c>
      <c r="AH125" s="411">
        <f>LET(useForFraction,J125, fractionSaleFMV,Reference!$B$23, postMergerBasis,AT125, lotFractionAmount,AG125, IF(useForFraction, (fractionSaleFMV - postMergerBasis)*lotFractionAmount, 0))</f>
        <v>0</v>
      </c>
      <c r="AI125" s="412">
        <f t="shared" si="11"/>
        <v>0</v>
      </c>
      <c r="AJ125" s="413">
        <f>LET(
purchaseDate,C125,
mergerDate,Reference!$B$28,
lotFractionGain,AH125,
mergerGain,AI125,
IF(DATEDIF(purchaseDate,mergerDate,"Y")&gt;=1,
  0,
  lotFractionGain + mergerGain
))</f>
        <v>0</v>
      </c>
      <c r="AK125" s="413">
        <f>LET(
purchaseDate,C125,
mergerDate,Reference!$B$28,
lotFractionGain,AH125,
mergerGain,AI125,
IF(DATEDIF(purchaseDate,mergerDate,"Y")&gt;=1,
  lotFractionGain+mergerGain,
  0
))</f>
        <v>0</v>
      </c>
      <c r="AL125" s="414" t="str">
        <f>IF(DATEDIF(C125,Reference!$B$28,"Y")&gt;=1,"Part II Box E","Part I Box B")</f>
        <v>Part II Box E</v>
      </c>
      <c r="AM125" s="344" t="str">
        <f t="shared" si="12"/>
        <v/>
      </c>
      <c r="AN125" s="330">
        <f t="shared" si="13"/>
        <v>0</v>
      </c>
      <c r="AO125" s="330">
        <f>LET(
cashReceived,W125, 
avgoQty,AE125, 
proceedsStyle,Reference!$E$9, 
avgoFMV,Reference!$B$18, 
SWITCH(proceedsStyle, "combined", cashReceived +(avgoQty*avgoFMV), "cashOnly", cashReceived))</f>
        <v>0</v>
      </c>
      <c r="AP125" s="345">
        <f>LET(
proceedsStyle,Reference!$E$9,
proceeds,AO125,
gain,AS125,
numVmwShares,D125, 
vmwBasis, Z125, 
avgoQty,AE125, 
avgoFMV,Reference!$B$18, 
cashReceived,W125, 
avgoTotalValue, avgoFMV*avgoQty, 
vmwTotalBasis, vmwBasis*numVmwShares,
alternateGainAmount,AF125, 
SWITCH(proceedsStyle,
  "cashOnly",
    proceeds - gain,
  "combined",
    IF(cashReceived&lt;alternateGainAmount,
      avgoTotalValue,
      vmwTotalBasis
    )
  )
)</f>
        <v>0</v>
      </c>
      <c r="AQ125" s="345" t="str">
        <f t="shared" si="14"/>
        <v/>
      </c>
      <c r="AR125" s="345">
        <v>0.0</v>
      </c>
      <c r="AS125" s="331">
        <f>LET(
proceedsStyle,Reference!$E$9,
proceeds,AO125,
basis1099B,AP125,
adjustment,AR125,
mergerGain,AI125,
SWITCH(proceedsStyle,
  "cashOnly",
    mergerGain,
  "combined",
    MAX(proceeds - basis1099B + adjustment, 0)
))</f>
        <v>0</v>
      </c>
      <c r="AT125" s="415" t="str">
        <f t="shared" si="15"/>
        <v>n/a</v>
      </c>
      <c r="AU125" s="333">
        <f>LET(saleFMV,Reference!$B$10, postMergerBasis,AT125, avgoQty,AE125, lotFractionAmount,AG125, iferror((saleFMV - postMergerBasis) * (avgoQty - lotFractionAmount), 0))</f>
        <v>0</v>
      </c>
      <c r="AV125" s="333">
        <f>LET(
avgoQty,AE125, 
purchaseDate,C125,
postMergerSaleDate,Reference!$B$29,
saleFMV,Reference!$B$10,
postMergerBasis,AT125, 
IFERROR(IF(DATEDIF(purchaseDate,postMergerSaleDate,"Y")&gt;=1,
  0,
  avgoQty * (saleFMV - postMergerBasis)
),0))</f>
        <v>0</v>
      </c>
      <c r="AW125" s="336">
        <f>LET(
avgoQty,AE125, 
purchaseDate,C125,
postMergerSaleDate,Reference!$B$29,
saleFMV,Reference!$B$10,
postMergerBasis,AT125, 
IFERROR(IF(DATEDIF(purchaseDate,postMergerSaleDate,"Y")&gt;=1,
  avgoQty * (saleFMV - postMergerBasis),
  0
),0))</f>
        <v>0</v>
      </c>
    </row>
    <row r="126">
      <c r="A126" s="422"/>
      <c r="B126" s="423"/>
      <c r="C126" s="351"/>
      <c r="D126" s="352"/>
      <c r="E126" s="321" t="str">
        <f t="array" ref="E126">IF(C126&lt;&gt;"", IFERROR(VLOOKUP(C126, SORT(PriceReference!$A$1:$B1014), 2, TRUE), "price unavailable"), "")</f>
        <v/>
      </c>
      <c r="F126" s="416"/>
      <c r="G126" s="309">
        <f t="shared" si="6"/>
        <v>0</v>
      </c>
      <c r="H126" s="321">
        <f t="shared" si="7"/>
        <v>0</v>
      </c>
      <c r="I126" s="417"/>
      <c r="J126" s="348" t="b">
        <v>0</v>
      </c>
      <c r="K126" s="409"/>
      <c r="L126" s="315">
        <v>0.0</v>
      </c>
      <c r="M126" s="315">
        <v>0.0</v>
      </c>
      <c r="N126" s="315">
        <v>0.0</v>
      </c>
      <c r="O126" s="315">
        <v>0.0</v>
      </c>
      <c r="P126" s="315">
        <v>0.0</v>
      </c>
      <c r="Q126" s="317">
        <f t="shared" si="8"/>
        <v>0</v>
      </c>
      <c r="R126" s="317" t="str">
        <f>SWITCH(S126,"cash",Reference!E$5,"shares",Reference!$E$6,"balance",Reference!$E$7,"pro-rata",Reference!$B$5)</f>
        <v>#DIV/0!</v>
      </c>
      <c r="S126" s="318" t="s">
        <v>207</v>
      </c>
      <c r="T126" s="319">
        <f>LET(numVmwShares,D126, cashRatio,Reference!$B$4, vmwFinalPrice,Reference!$B$3, numVmwShares * cashRatio * vmwFinalPrice)</f>
        <v>0</v>
      </c>
      <c r="U126" s="319">
        <f>iferror(LET(numVmwShares,$D126, stockRatio,Q126, vmwFinalPrice,Reference!$B$3, (1 - stockRatio) * vmwFinalPrice * numVmwShares),0)</f>
        <v>0</v>
      </c>
      <c r="V126" s="319">
        <f>iferror(LET(numVmwShares,$D126, stockRatio,R126, vmwFinalPrice,Reference!$B$3, (1 - stockRatio) * vmwFinalPrice * numVmwShares),0)</f>
        <v>0</v>
      </c>
      <c r="W126" s="319">
        <f>SWITCH(Reference!$E$4,"eTradeTransactionLog", T126, "eTradeHoldingRatio",T126, "eTradeLotQtyRatio",U126,"manualLotRatio",V126)</f>
        <v>0</v>
      </c>
      <c r="X126" s="309">
        <f>LET(purchaseDate,C126, dateOfRecord,Reference!$B$26, returnOfCapital,Reference!$C$26, IF(purchaseDate &lt; dateOfRecord, returnOfCapital,0))</f>
        <v>10.18</v>
      </c>
      <c r="Y126" s="309">
        <f>LET(purchaseDate,C126, dateOfRecord,Reference!$B$27, returnOfCapital,Reference!$C$27, IF(purchaseDate &lt; dateOfRecord, returnOfCapital,0))</f>
        <v>16.58</v>
      </c>
      <c r="Z126" s="309">
        <f t="shared" si="9"/>
        <v>-26.76</v>
      </c>
      <c r="AA126" s="309">
        <f t="shared" si="10"/>
        <v>0</v>
      </c>
      <c r="AB126" s="320">
        <f>LET(numVmwShares,D126, stockRatio,Reference!$B$5, vmwToAvgoRatio,Reference!$B$6, numVmwShares * stockRatio * vmwToAvgoRatio)</f>
        <v>0</v>
      </c>
      <c r="AC126" s="320">
        <f>LET(numVmwShares,D126, stockRatio,Q126, vmwToAvgoRatio,Reference!$B$6, numVmwShares * stockRatio * vmwToAvgoRatio)</f>
        <v>0</v>
      </c>
      <c r="AD126" s="320" t="str">
        <f>LET(numVmwShares,D126, stockRatio,R126, vmwToAvgoRatio,Reference!$B$6, numVmwShares * stockRatio * vmwToAvgoRatio)</f>
        <v>#DIV/0!</v>
      </c>
      <c r="AE126" s="320">
        <f>SWITCH(Reference!$E$4, "eTradeTransactionLog", AB126, "eTradeHoldingRatio",AB126, "eTradeLotQtyRatio",AC126,"manualLotRatio",AD126)</f>
        <v>0</v>
      </c>
      <c r="AF126" s="321">
        <f>LET(numVmwShares,D126, vmwBasis,Z126, avgoQty,AE126, avgoFMV,Reference!$B$18, cashReceived,W126, gain,cashReceived+(avgoQty*avgoFMV)-(numVmwShares*vmwBasis),
MAX(gain,0))</f>
        <v>0</v>
      </c>
      <c r="AG126" s="322">
        <f>LET(useForFraction,J126, fractionAmount,Summary!$C$41, esppFractionLots,ESPP!$N$5, rsuFractionLots,RSU!J$5, IF(useForFraction, fractionAmount / (esppFractionLots+rsuFractionLots), 0))</f>
        <v>0</v>
      </c>
      <c r="AH126" s="411">
        <f>LET(useForFraction,J126, fractionSaleFMV,Reference!$B$23, postMergerBasis,AT126, lotFractionAmount,AG126, IF(useForFraction, (fractionSaleFMV - postMergerBasis)*lotFractionAmount, 0))</f>
        <v>0</v>
      </c>
      <c r="AI126" s="412">
        <f t="shared" si="11"/>
        <v>0</v>
      </c>
      <c r="AJ126" s="413">
        <f>LET(
purchaseDate,C126,
mergerDate,Reference!$B$28,
lotFractionGain,AH126,
mergerGain,AI126,
IF(DATEDIF(purchaseDate,mergerDate,"Y")&gt;=1,
  0,
  lotFractionGain + mergerGain
))</f>
        <v>0</v>
      </c>
      <c r="AK126" s="413">
        <f>LET(
purchaseDate,C126,
mergerDate,Reference!$B$28,
lotFractionGain,AH126,
mergerGain,AI126,
IF(DATEDIF(purchaseDate,mergerDate,"Y")&gt;=1,
  lotFractionGain+mergerGain,
  0
))</f>
        <v>0</v>
      </c>
      <c r="AL126" s="414" t="str">
        <f>IF(DATEDIF(C126,Reference!$B$28,"Y")&gt;=1,"Part II Box E","Part I Box B")</f>
        <v>Part II Box E</v>
      </c>
      <c r="AM126" s="344" t="str">
        <f t="shared" si="12"/>
        <v/>
      </c>
      <c r="AN126" s="330">
        <f t="shared" si="13"/>
        <v>0</v>
      </c>
      <c r="AO126" s="330">
        <f>LET(
cashReceived,W126, 
avgoQty,AE126, 
proceedsStyle,Reference!$E$9, 
avgoFMV,Reference!$B$18, 
SWITCH(proceedsStyle, "combined", cashReceived +(avgoQty*avgoFMV), "cashOnly", cashReceived))</f>
        <v>0</v>
      </c>
      <c r="AP126" s="345">
        <f>LET(
proceedsStyle,Reference!$E$9,
proceeds,AO126,
gain,AS126,
numVmwShares,D126, 
vmwBasis, Z126, 
avgoQty,AE126, 
avgoFMV,Reference!$B$18, 
cashReceived,W126, 
avgoTotalValue, avgoFMV*avgoQty, 
vmwTotalBasis, vmwBasis*numVmwShares,
alternateGainAmount,AF126, 
SWITCH(proceedsStyle,
  "cashOnly",
    proceeds - gain,
  "combined",
    IF(cashReceived&lt;alternateGainAmount,
      avgoTotalValue,
      vmwTotalBasis
    )
  )
)</f>
        <v>0</v>
      </c>
      <c r="AQ126" s="345" t="str">
        <f t="shared" si="14"/>
        <v/>
      </c>
      <c r="AR126" s="345">
        <v>0.0</v>
      </c>
      <c r="AS126" s="331">
        <f>LET(
proceedsStyle,Reference!$E$9,
proceeds,AO126,
basis1099B,AP126,
adjustment,AR126,
mergerGain,AI126,
SWITCH(proceedsStyle,
  "cashOnly",
    mergerGain,
  "combined",
    MAX(proceeds - basis1099B + adjustment, 0)
))</f>
        <v>0</v>
      </c>
      <c r="AT126" s="415" t="str">
        <f t="shared" si="15"/>
        <v>n/a</v>
      </c>
      <c r="AU126" s="333">
        <f>LET(saleFMV,Reference!$B$10, postMergerBasis,AT126, avgoQty,AE126, lotFractionAmount,AG126, iferror((saleFMV - postMergerBasis) * (avgoQty - lotFractionAmount), 0))</f>
        <v>0</v>
      </c>
      <c r="AV126" s="333">
        <f>LET(
avgoQty,AE126, 
purchaseDate,C126,
postMergerSaleDate,Reference!$B$29,
saleFMV,Reference!$B$10,
postMergerBasis,AT126, 
IFERROR(IF(DATEDIF(purchaseDate,postMergerSaleDate,"Y")&gt;=1,
  0,
  avgoQty * (saleFMV - postMergerBasis)
),0))</f>
        <v>0</v>
      </c>
      <c r="AW126" s="336">
        <f>LET(
avgoQty,AE126, 
purchaseDate,C126,
postMergerSaleDate,Reference!$B$29,
saleFMV,Reference!$B$10,
postMergerBasis,AT126, 
IFERROR(IF(DATEDIF(purchaseDate,postMergerSaleDate,"Y")&gt;=1,
  avgoQty * (saleFMV - postMergerBasis),
  0
),0))</f>
        <v>0</v>
      </c>
    </row>
    <row r="127">
      <c r="A127" s="422"/>
      <c r="B127" s="423"/>
      <c r="C127" s="351"/>
      <c r="D127" s="352"/>
      <c r="E127" s="321" t="str">
        <f t="array" ref="E127">IF(C127&lt;&gt;"", IFERROR(VLOOKUP(C127, SORT(PriceReference!$A$1:$B1014), 2, TRUE), "price unavailable"), "")</f>
        <v/>
      </c>
      <c r="F127" s="416"/>
      <c r="G127" s="309">
        <f t="shared" si="6"/>
        <v>0</v>
      </c>
      <c r="H127" s="321">
        <f t="shared" si="7"/>
        <v>0</v>
      </c>
      <c r="I127" s="417"/>
      <c r="J127" s="348" t="b">
        <v>0</v>
      </c>
      <c r="K127" s="409"/>
      <c r="L127" s="315">
        <v>0.0</v>
      </c>
      <c r="M127" s="315">
        <v>0.0</v>
      </c>
      <c r="N127" s="315">
        <v>0.0</v>
      </c>
      <c r="O127" s="315">
        <v>0.0</v>
      </c>
      <c r="P127" s="315">
        <v>0.0</v>
      </c>
      <c r="Q127" s="317">
        <f t="shared" si="8"/>
        <v>0</v>
      </c>
      <c r="R127" s="317" t="str">
        <f>SWITCH(S127,"cash",Reference!E$5,"shares",Reference!$E$6,"balance",Reference!$E$7,"pro-rata",Reference!$B$5)</f>
        <v>#DIV/0!</v>
      </c>
      <c r="S127" s="318" t="s">
        <v>207</v>
      </c>
      <c r="T127" s="319">
        <f>LET(numVmwShares,D127, cashRatio,Reference!$B$4, vmwFinalPrice,Reference!$B$3, numVmwShares * cashRatio * vmwFinalPrice)</f>
        <v>0</v>
      </c>
      <c r="U127" s="319">
        <f>iferror(LET(numVmwShares,$D127, stockRatio,Q127, vmwFinalPrice,Reference!$B$3, (1 - stockRatio) * vmwFinalPrice * numVmwShares),0)</f>
        <v>0</v>
      </c>
      <c r="V127" s="319">
        <f>iferror(LET(numVmwShares,$D127, stockRatio,R127, vmwFinalPrice,Reference!$B$3, (1 - stockRatio) * vmwFinalPrice * numVmwShares),0)</f>
        <v>0</v>
      </c>
      <c r="W127" s="319">
        <f>SWITCH(Reference!$E$4,"eTradeTransactionLog", T127, "eTradeHoldingRatio",T127, "eTradeLotQtyRatio",U127,"manualLotRatio",V127)</f>
        <v>0</v>
      </c>
      <c r="X127" s="309">
        <f>LET(purchaseDate,C127, dateOfRecord,Reference!$B$26, returnOfCapital,Reference!$C$26, IF(purchaseDate &lt; dateOfRecord, returnOfCapital,0))</f>
        <v>10.18</v>
      </c>
      <c r="Y127" s="309">
        <f>LET(purchaseDate,C127, dateOfRecord,Reference!$B$27, returnOfCapital,Reference!$C$27, IF(purchaseDate &lt; dateOfRecord, returnOfCapital,0))</f>
        <v>16.58</v>
      </c>
      <c r="Z127" s="309">
        <f t="shared" si="9"/>
        <v>-26.76</v>
      </c>
      <c r="AA127" s="309">
        <f t="shared" si="10"/>
        <v>0</v>
      </c>
      <c r="AB127" s="320">
        <f>LET(numVmwShares,D127, stockRatio,Reference!$B$5, vmwToAvgoRatio,Reference!$B$6, numVmwShares * stockRatio * vmwToAvgoRatio)</f>
        <v>0</v>
      </c>
      <c r="AC127" s="320">
        <f>LET(numVmwShares,D127, stockRatio,Q127, vmwToAvgoRatio,Reference!$B$6, numVmwShares * stockRatio * vmwToAvgoRatio)</f>
        <v>0</v>
      </c>
      <c r="AD127" s="320" t="str">
        <f>LET(numVmwShares,D127, stockRatio,R127, vmwToAvgoRatio,Reference!$B$6, numVmwShares * stockRatio * vmwToAvgoRatio)</f>
        <v>#DIV/0!</v>
      </c>
      <c r="AE127" s="320">
        <f>SWITCH(Reference!$E$4, "eTradeTransactionLog", AB127, "eTradeHoldingRatio",AB127, "eTradeLotQtyRatio",AC127,"manualLotRatio",AD127)</f>
        <v>0</v>
      </c>
      <c r="AF127" s="321">
        <f>LET(numVmwShares,D127, vmwBasis,Z127, avgoQty,AE127, avgoFMV,Reference!$B$18, cashReceived,W127, gain,cashReceived+(avgoQty*avgoFMV)-(numVmwShares*vmwBasis),
MAX(gain,0))</f>
        <v>0</v>
      </c>
      <c r="AG127" s="322">
        <f>LET(useForFraction,J127, fractionAmount,Summary!$C$41, esppFractionLots,ESPP!$N$5, rsuFractionLots,RSU!J$5, IF(useForFraction, fractionAmount / (esppFractionLots+rsuFractionLots), 0))</f>
        <v>0</v>
      </c>
      <c r="AH127" s="411">
        <f>LET(useForFraction,J127, fractionSaleFMV,Reference!$B$23, postMergerBasis,AT127, lotFractionAmount,AG127, IF(useForFraction, (fractionSaleFMV - postMergerBasis)*lotFractionAmount, 0))</f>
        <v>0</v>
      </c>
      <c r="AI127" s="412">
        <f t="shared" si="11"/>
        <v>0</v>
      </c>
      <c r="AJ127" s="413">
        <f>LET(
purchaseDate,C127,
mergerDate,Reference!$B$28,
lotFractionGain,AH127,
mergerGain,AI127,
IF(DATEDIF(purchaseDate,mergerDate,"Y")&gt;=1,
  0,
  lotFractionGain + mergerGain
))</f>
        <v>0</v>
      </c>
      <c r="AK127" s="413">
        <f>LET(
purchaseDate,C127,
mergerDate,Reference!$B$28,
lotFractionGain,AH127,
mergerGain,AI127,
IF(DATEDIF(purchaseDate,mergerDate,"Y")&gt;=1,
  lotFractionGain+mergerGain,
  0
))</f>
        <v>0</v>
      </c>
      <c r="AL127" s="414" t="str">
        <f>IF(DATEDIF(C127,Reference!$B$28,"Y")&gt;=1,"Part II Box E","Part I Box B")</f>
        <v>Part II Box E</v>
      </c>
      <c r="AM127" s="344" t="str">
        <f t="shared" si="12"/>
        <v/>
      </c>
      <c r="AN127" s="330">
        <f t="shared" si="13"/>
        <v>0</v>
      </c>
      <c r="AO127" s="330">
        <f>LET(
cashReceived,W127, 
avgoQty,AE127, 
proceedsStyle,Reference!$E$9, 
avgoFMV,Reference!$B$18, 
SWITCH(proceedsStyle, "combined", cashReceived +(avgoQty*avgoFMV), "cashOnly", cashReceived))</f>
        <v>0</v>
      </c>
      <c r="AP127" s="345">
        <f>LET(
proceedsStyle,Reference!$E$9,
proceeds,AO127,
gain,AS127,
numVmwShares,D127, 
vmwBasis, Z127, 
avgoQty,AE127, 
avgoFMV,Reference!$B$18, 
cashReceived,W127, 
avgoTotalValue, avgoFMV*avgoQty, 
vmwTotalBasis, vmwBasis*numVmwShares,
alternateGainAmount,AF127, 
SWITCH(proceedsStyle,
  "cashOnly",
    proceeds - gain,
  "combined",
    IF(cashReceived&lt;alternateGainAmount,
      avgoTotalValue,
      vmwTotalBasis
    )
  )
)</f>
        <v>0</v>
      </c>
      <c r="AQ127" s="345" t="str">
        <f t="shared" si="14"/>
        <v/>
      </c>
      <c r="AR127" s="345">
        <v>0.0</v>
      </c>
      <c r="AS127" s="331">
        <f>LET(
proceedsStyle,Reference!$E$9,
proceeds,AO127,
basis1099B,AP127,
adjustment,AR127,
mergerGain,AI127,
SWITCH(proceedsStyle,
  "cashOnly",
    mergerGain,
  "combined",
    MAX(proceeds - basis1099B + adjustment, 0)
))</f>
        <v>0</v>
      </c>
      <c r="AT127" s="415" t="str">
        <f t="shared" si="15"/>
        <v>n/a</v>
      </c>
      <c r="AU127" s="333">
        <f>LET(saleFMV,Reference!$B$10, postMergerBasis,AT127, avgoQty,AE127, lotFractionAmount,AG127, iferror((saleFMV - postMergerBasis) * (avgoQty - lotFractionAmount), 0))</f>
        <v>0</v>
      </c>
      <c r="AV127" s="333">
        <f>LET(
avgoQty,AE127, 
purchaseDate,C127,
postMergerSaleDate,Reference!$B$29,
saleFMV,Reference!$B$10,
postMergerBasis,AT127, 
IFERROR(IF(DATEDIF(purchaseDate,postMergerSaleDate,"Y")&gt;=1,
  0,
  avgoQty * (saleFMV - postMergerBasis)
),0))</f>
        <v>0</v>
      </c>
      <c r="AW127" s="336">
        <f>LET(
avgoQty,AE127, 
purchaseDate,C127,
postMergerSaleDate,Reference!$B$29,
saleFMV,Reference!$B$10,
postMergerBasis,AT127, 
IFERROR(IF(DATEDIF(purchaseDate,postMergerSaleDate,"Y")&gt;=1,
  avgoQty * (saleFMV - postMergerBasis),
  0
),0))</f>
        <v>0</v>
      </c>
    </row>
    <row r="128">
      <c r="A128" s="422"/>
      <c r="B128" s="423"/>
      <c r="C128" s="351"/>
      <c r="D128" s="352"/>
      <c r="E128" s="321" t="str">
        <f t="array" ref="E128">IF(C128&lt;&gt;"", IFERROR(VLOOKUP(C128, SORT(PriceReference!$A$1:$B1014), 2, TRUE), "price unavailable"), "")</f>
        <v/>
      </c>
      <c r="F128" s="416"/>
      <c r="G128" s="309">
        <f t="shared" si="6"/>
        <v>0</v>
      </c>
      <c r="H128" s="321">
        <f t="shared" si="7"/>
        <v>0</v>
      </c>
      <c r="I128" s="417"/>
      <c r="J128" s="348" t="b">
        <v>0</v>
      </c>
      <c r="K128" s="409"/>
      <c r="L128" s="315">
        <v>0.0</v>
      </c>
      <c r="M128" s="315">
        <v>0.0</v>
      </c>
      <c r="N128" s="315">
        <v>0.0</v>
      </c>
      <c r="O128" s="315">
        <v>0.0</v>
      </c>
      <c r="P128" s="315">
        <v>0.0</v>
      </c>
      <c r="Q128" s="317">
        <f t="shared" si="8"/>
        <v>0</v>
      </c>
      <c r="R128" s="317" t="str">
        <f>SWITCH(S128,"cash",Reference!E$5,"shares",Reference!$E$6,"balance",Reference!$E$7,"pro-rata",Reference!$B$5)</f>
        <v>#DIV/0!</v>
      </c>
      <c r="S128" s="318" t="s">
        <v>207</v>
      </c>
      <c r="T128" s="319">
        <f>LET(numVmwShares,D128, cashRatio,Reference!$B$4, vmwFinalPrice,Reference!$B$3, numVmwShares * cashRatio * vmwFinalPrice)</f>
        <v>0</v>
      </c>
      <c r="U128" s="319">
        <f>iferror(LET(numVmwShares,$D128, stockRatio,Q128, vmwFinalPrice,Reference!$B$3, (1 - stockRatio) * vmwFinalPrice * numVmwShares),0)</f>
        <v>0</v>
      </c>
      <c r="V128" s="319">
        <f>iferror(LET(numVmwShares,$D128, stockRatio,R128, vmwFinalPrice,Reference!$B$3, (1 - stockRatio) * vmwFinalPrice * numVmwShares),0)</f>
        <v>0</v>
      </c>
      <c r="W128" s="319">
        <f>SWITCH(Reference!$E$4,"eTradeTransactionLog", T128, "eTradeHoldingRatio",T128, "eTradeLotQtyRatio",U128,"manualLotRatio",V128)</f>
        <v>0</v>
      </c>
      <c r="X128" s="309">
        <f>LET(purchaseDate,C128, dateOfRecord,Reference!$B$26, returnOfCapital,Reference!$C$26, IF(purchaseDate &lt; dateOfRecord, returnOfCapital,0))</f>
        <v>10.18</v>
      </c>
      <c r="Y128" s="309">
        <f>LET(purchaseDate,C128, dateOfRecord,Reference!$B$27, returnOfCapital,Reference!$C$27, IF(purchaseDate &lt; dateOfRecord, returnOfCapital,0))</f>
        <v>16.58</v>
      </c>
      <c r="Z128" s="309">
        <f t="shared" si="9"/>
        <v>-26.76</v>
      </c>
      <c r="AA128" s="309">
        <f t="shared" si="10"/>
        <v>0</v>
      </c>
      <c r="AB128" s="320">
        <f>LET(numVmwShares,D128, stockRatio,Reference!$B$5, vmwToAvgoRatio,Reference!$B$6, numVmwShares * stockRatio * vmwToAvgoRatio)</f>
        <v>0</v>
      </c>
      <c r="AC128" s="320">
        <f>LET(numVmwShares,D128, stockRatio,Q128, vmwToAvgoRatio,Reference!$B$6, numVmwShares * stockRatio * vmwToAvgoRatio)</f>
        <v>0</v>
      </c>
      <c r="AD128" s="320" t="str">
        <f>LET(numVmwShares,D128, stockRatio,R128, vmwToAvgoRatio,Reference!$B$6, numVmwShares * stockRatio * vmwToAvgoRatio)</f>
        <v>#DIV/0!</v>
      </c>
      <c r="AE128" s="320">
        <f>SWITCH(Reference!$E$4, "eTradeTransactionLog", AB128, "eTradeHoldingRatio",AB128, "eTradeLotQtyRatio",AC128,"manualLotRatio",AD128)</f>
        <v>0</v>
      </c>
      <c r="AF128" s="321">
        <f>LET(numVmwShares,D128, vmwBasis,Z128, avgoQty,AE128, avgoFMV,Reference!$B$18, cashReceived,W128, gain,cashReceived+(avgoQty*avgoFMV)-(numVmwShares*vmwBasis),
MAX(gain,0))</f>
        <v>0</v>
      </c>
      <c r="AG128" s="322">
        <f>LET(useForFraction,J128, fractionAmount,Summary!$C$41, esppFractionLots,ESPP!$N$5, rsuFractionLots,RSU!J$5, IF(useForFraction, fractionAmount / (esppFractionLots+rsuFractionLots), 0))</f>
        <v>0</v>
      </c>
      <c r="AH128" s="411">
        <f>LET(useForFraction,J128, fractionSaleFMV,Reference!$B$23, postMergerBasis,AT128, lotFractionAmount,AG128, IF(useForFraction, (fractionSaleFMV - postMergerBasis)*lotFractionAmount, 0))</f>
        <v>0</v>
      </c>
      <c r="AI128" s="412">
        <f t="shared" si="11"/>
        <v>0</v>
      </c>
      <c r="AJ128" s="413">
        <f>LET(
purchaseDate,C128,
mergerDate,Reference!$B$28,
lotFractionGain,AH128,
mergerGain,AI128,
IF(DATEDIF(purchaseDate,mergerDate,"Y")&gt;=1,
  0,
  lotFractionGain + mergerGain
))</f>
        <v>0</v>
      </c>
      <c r="AK128" s="413">
        <f>LET(
purchaseDate,C128,
mergerDate,Reference!$B$28,
lotFractionGain,AH128,
mergerGain,AI128,
IF(DATEDIF(purchaseDate,mergerDate,"Y")&gt;=1,
  lotFractionGain+mergerGain,
  0
))</f>
        <v>0</v>
      </c>
      <c r="AL128" s="414" t="str">
        <f>IF(DATEDIF(C128,Reference!$B$28,"Y")&gt;=1,"Part II Box E","Part I Box B")</f>
        <v>Part II Box E</v>
      </c>
      <c r="AM128" s="344" t="str">
        <f t="shared" si="12"/>
        <v/>
      </c>
      <c r="AN128" s="330">
        <f t="shared" si="13"/>
        <v>0</v>
      </c>
      <c r="AO128" s="330">
        <f>LET(
cashReceived,W128, 
avgoQty,AE128, 
proceedsStyle,Reference!$E$9, 
avgoFMV,Reference!$B$18, 
SWITCH(proceedsStyle, "combined", cashReceived +(avgoQty*avgoFMV), "cashOnly", cashReceived))</f>
        <v>0</v>
      </c>
      <c r="AP128" s="345">
        <f>LET(
proceedsStyle,Reference!$E$9,
proceeds,AO128,
gain,AS128,
numVmwShares,D128, 
vmwBasis, Z128, 
avgoQty,AE128, 
avgoFMV,Reference!$B$18, 
cashReceived,W128, 
avgoTotalValue, avgoFMV*avgoQty, 
vmwTotalBasis, vmwBasis*numVmwShares,
alternateGainAmount,AF128, 
SWITCH(proceedsStyle,
  "cashOnly",
    proceeds - gain,
  "combined",
    IF(cashReceived&lt;alternateGainAmount,
      avgoTotalValue,
      vmwTotalBasis
    )
  )
)</f>
        <v>0</v>
      </c>
      <c r="AQ128" s="345" t="str">
        <f t="shared" si="14"/>
        <v/>
      </c>
      <c r="AR128" s="345">
        <v>0.0</v>
      </c>
      <c r="AS128" s="331">
        <f>LET(
proceedsStyle,Reference!$E$9,
proceeds,AO128,
basis1099B,AP128,
adjustment,AR128,
mergerGain,AI128,
SWITCH(proceedsStyle,
  "cashOnly",
    mergerGain,
  "combined",
    MAX(proceeds - basis1099B + adjustment, 0)
))</f>
        <v>0</v>
      </c>
      <c r="AT128" s="415" t="str">
        <f t="shared" si="15"/>
        <v>n/a</v>
      </c>
      <c r="AU128" s="333">
        <f>LET(saleFMV,Reference!$B$10, postMergerBasis,AT128, avgoQty,AE128, lotFractionAmount,AG128, iferror((saleFMV - postMergerBasis) * (avgoQty - lotFractionAmount), 0))</f>
        <v>0</v>
      </c>
      <c r="AV128" s="333">
        <f>LET(
avgoQty,AE128, 
purchaseDate,C128,
postMergerSaleDate,Reference!$B$29,
saleFMV,Reference!$B$10,
postMergerBasis,AT128, 
IFERROR(IF(DATEDIF(purchaseDate,postMergerSaleDate,"Y")&gt;=1,
  0,
  avgoQty * (saleFMV - postMergerBasis)
),0))</f>
        <v>0</v>
      </c>
      <c r="AW128" s="336">
        <f>LET(
avgoQty,AE128, 
purchaseDate,C128,
postMergerSaleDate,Reference!$B$29,
saleFMV,Reference!$B$10,
postMergerBasis,AT128, 
IFERROR(IF(DATEDIF(purchaseDate,postMergerSaleDate,"Y")&gt;=1,
  avgoQty * (saleFMV - postMergerBasis),
  0
),0))</f>
        <v>0</v>
      </c>
    </row>
    <row r="129">
      <c r="A129" s="422"/>
      <c r="B129" s="423"/>
      <c r="C129" s="351"/>
      <c r="D129" s="352"/>
      <c r="E129" s="321" t="str">
        <f t="array" ref="E129">IF(C129&lt;&gt;"", IFERROR(VLOOKUP(C129, SORT(PriceReference!$A$1:$B1014), 2, TRUE), "price unavailable"), "")</f>
        <v/>
      </c>
      <c r="F129" s="416"/>
      <c r="G129" s="309">
        <f t="shared" si="6"/>
        <v>0</v>
      </c>
      <c r="H129" s="321">
        <f t="shared" si="7"/>
        <v>0</v>
      </c>
      <c r="I129" s="417"/>
      <c r="J129" s="348" t="b">
        <v>0</v>
      </c>
      <c r="K129" s="409"/>
      <c r="L129" s="315">
        <v>0.0</v>
      </c>
      <c r="M129" s="315">
        <v>0.0</v>
      </c>
      <c r="N129" s="315">
        <v>0.0</v>
      </c>
      <c r="O129" s="315">
        <v>0.0</v>
      </c>
      <c r="P129" s="315">
        <v>0.0</v>
      </c>
      <c r="Q129" s="317">
        <f t="shared" si="8"/>
        <v>0</v>
      </c>
      <c r="R129" s="317" t="str">
        <f>SWITCH(S129,"cash",Reference!E$5,"shares",Reference!$E$6,"balance",Reference!$E$7,"pro-rata",Reference!$B$5)</f>
        <v>#DIV/0!</v>
      </c>
      <c r="S129" s="318" t="s">
        <v>207</v>
      </c>
      <c r="T129" s="319">
        <f>LET(numVmwShares,D129, cashRatio,Reference!$B$4, vmwFinalPrice,Reference!$B$3, numVmwShares * cashRatio * vmwFinalPrice)</f>
        <v>0</v>
      </c>
      <c r="U129" s="319">
        <f>iferror(LET(numVmwShares,$D129, stockRatio,Q129, vmwFinalPrice,Reference!$B$3, (1 - stockRatio) * vmwFinalPrice * numVmwShares),0)</f>
        <v>0</v>
      </c>
      <c r="V129" s="319">
        <f>iferror(LET(numVmwShares,$D129, stockRatio,R129, vmwFinalPrice,Reference!$B$3, (1 - stockRatio) * vmwFinalPrice * numVmwShares),0)</f>
        <v>0</v>
      </c>
      <c r="W129" s="319">
        <f>SWITCH(Reference!$E$4,"eTradeTransactionLog", T129, "eTradeHoldingRatio",T129, "eTradeLotQtyRatio",U129,"manualLotRatio",V129)</f>
        <v>0</v>
      </c>
      <c r="X129" s="309">
        <f>LET(purchaseDate,C129, dateOfRecord,Reference!$B$26, returnOfCapital,Reference!$C$26, IF(purchaseDate &lt; dateOfRecord, returnOfCapital,0))</f>
        <v>10.18</v>
      </c>
      <c r="Y129" s="309">
        <f>LET(purchaseDate,C129, dateOfRecord,Reference!$B$27, returnOfCapital,Reference!$C$27, IF(purchaseDate &lt; dateOfRecord, returnOfCapital,0))</f>
        <v>16.58</v>
      </c>
      <c r="Z129" s="309">
        <f t="shared" si="9"/>
        <v>-26.76</v>
      </c>
      <c r="AA129" s="309">
        <f t="shared" si="10"/>
        <v>0</v>
      </c>
      <c r="AB129" s="320">
        <f>LET(numVmwShares,D129, stockRatio,Reference!$B$5, vmwToAvgoRatio,Reference!$B$6, numVmwShares * stockRatio * vmwToAvgoRatio)</f>
        <v>0</v>
      </c>
      <c r="AC129" s="320">
        <f>LET(numVmwShares,D129, stockRatio,Q129, vmwToAvgoRatio,Reference!$B$6, numVmwShares * stockRatio * vmwToAvgoRatio)</f>
        <v>0</v>
      </c>
      <c r="AD129" s="320" t="str">
        <f>LET(numVmwShares,D129, stockRatio,R129, vmwToAvgoRatio,Reference!$B$6, numVmwShares * stockRatio * vmwToAvgoRatio)</f>
        <v>#DIV/0!</v>
      </c>
      <c r="AE129" s="320">
        <f>SWITCH(Reference!$E$4, "eTradeTransactionLog", AB129, "eTradeHoldingRatio",AB129, "eTradeLotQtyRatio",AC129,"manualLotRatio",AD129)</f>
        <v>0</v>
      </c>
      <c r="AF129" s="321">
        <f>LET(numVmwShares,D129, vmwBasis,Z129, avgoQty,AE129, avgoFMV,Reference!$B$18, cashReceived,W129, gain,cashReceived+(avgoQty*avgoFMV)-(numVmwShares*vmwBasis),
MAX(gain,0))</f>
        <v>0</v>
      </c>
      <c r="AG129" s="322">
        <f>LET(useForFraction,J129, fractionAmount,Summary!$C$41, esppFractionLots,ESPP!$N$5, rsuFractionLots,RSU!J$5, IF(useForFraction, fractionAmount / (esppFractionLots+rsuFractionLots), 0))</f>
        <v>0</v>
      </c>
      <c r="AH129" s="411">
        <f>LET(useForFraction,J129, fractionSaleFMV,Reference!$B$23, postMergerBasis,AT129, lotFractionAmount,AG129, IF(useForFraction, (fractionSaleFMV - postMergerBasis)*lotFractionAmount, 0))</f>
        <v>0</v>
      </c>
      <c r="AI129" s="412">
        <f t="shared" si="11"/>
        <v>0</v>
      </c>
      <c r="AJ129" s="413">
        <f>LET(
purchaseDate,C129,
mergerDate,Reference!$B$28,
lotFractionGain,AH129,
mergerGain,AI129,
IF(DATEDIF(purchaseDate,mergerDate,"Y")&gt;=1,
  0,
  lotFractionGain + mergerGain
))</f>
        <v>0</v>
      </c>
      <c r="AK129" s="413">
        <f>LET(
purchaseDate,C129,
mergerDate,Reference!$B$28,
lotFractionGain,AH129,
mergerGain,AI129,
IF(DATEDIF(purchaseDate,mergerDate,"Y")&gt;=1,
  lotFractionGain+mergerGain,
  0
))</f>
        <v>0</v>
      </c>
      <c r="AL129" s="414" t="str">
        <f>IF(DATEDIF(C129,Reference!$B$28,"Y")&gt;=1,"Part II Box E","Part I Box B")</f>
        <v>Part II Box E</v>
      </c>
      <c r="AM129" s="344" t="str">
        <f t="shared" si="12"/>
        <v/>
      </c>
      <c r="AN129" s="330">
        <f t="shared" si="13"/>
        <v>0</v>
      </c>
      <c r="AO129" s="330">
        <f>LET(
cashReceived,W129, 
avgoQty,AE129, 
proceedsStyle,Reference!$E$9, 
avgoFMV,Reference!$B$18, 
SWITCH(proceedsStyle, "combined", cashReceived +(avgoQty*avgoFMV), "cashOnly", cashReceived))</f>
        <v>0</v>
      </c>
      <c r="AP129" s="345">
        <f>LET(
proceedsStyle,Reference!$E$9,
proceeds,AO129,
gain,AS129,
numVmwShares,D129, 
vmwBasis, Z129, 
avgoQty,AE129, 
avgoFMV,Reference!$B$18, 
cashReceived,W129, 
avgoTotalValue, avgoFMV*avgoQty, 
vmwTotalBasis, vmwBasis*numVmwShares,
alternateGainAmount,AF129, 
SWITCH(proceedsStyle,
  "cashOnly",
    proceeds - gain,
  "combined",
    IF(cashReceived&lt;alternateGainAmount,
      avgoTotalValue,
      vmwTotalBasis
    )
  )
)</f>
        <v>0</v>
      </c>
      <c r="AQ129" s="345" t="str">
        <f t="shared" si="14"/>
        <v/>
      </c>
      <c r="AR129" s="345">
        <v>0.0</v>
      </c>
      <c r="AS129" s="331">
        <f>LET(
proceedsStyle,Reference!$E$9,
proceeds,AO129,
basis1099B,AP129,
adjustment,AR129,
mergerGain,AI129,
SWITCH(proceedsStyle,
  "cashOnly",
    mergerGain,
  "combined",
    MAX(proceeds - basis1099B + adjustment, 0)
))</f>
        <v>0</v>
      </c>
      <c r="AT129" s="415" t="str">
        <f t="shared" si="15"/>
        <v>n/a</v>
      </c>
      <c r="AU129" s="333">
        <f>LET(saleFMV,Reference!$B$10, postMergerBasis,AT129, avgoQty,AE129, lotFractionAmount,AG129, iferror((saleFMV - postMergerBasis) * (avgoQty - lotFractionAmount), 0))</f>
        <v>0</v>
      </c>
      <c r="AV129" s="333">
        <f>LET(
avgoQty,AE129, 
purchaseDate,C129,
postMergerSaleDate,Reference!$B$29,
saleFMV,Reference!$B$10,
postMergerBasis,AT129, 
IFERROR(IF(DATEDIF(purchaseDate,postMergerSaleDate,"Y")&gt;=1,
  0,
  avgoQty * (saleFMV - postMergerBasis)
),0))</f>
        <v>0</v>
      </c>
      <c r="AW129" s="336">
        <f>LET(
avgoQty,AE129, 
purchaseDate,C129,
postMergerSaleDate,Reference!$B$29,
saleFMV,Reference!$B$10,
postMergerBasis,AT129, 
IFERROR(IF(DATEDIF(purchaseDate,postMergerSaleDate,"Y")&gt;=1,
  avgoQty * (saleFMV - postMergerBasis),
  0
),0))</f>
        <v>0</v>
      </c>
    </row>
    <row r="130">
      <c r="A130" s="422"/>
      <c r="B130" s="423"/>
      <c r="C130" s="351"/>
      <c r="D130" s="352"/>
      <c r="E130" s="321" t="str">
        <f t="array" ref="E130">IF(C130&lt;&gt;"", IFERROR(VLOOKUP(C130, SORT(PriceReference!$A$1:$B1014), 2, TRUE), "price unavailable"), "")</f>
        <v/>
      </c>
      <c r="F130" s="416"/>
      <c r="G130" s="309">
        <f t="shared" si="6"/>
        <v>0</v>
      </c>
      <c r="H130" s="321">
        <f t="shared" si="7"/>
        <v>0</v>
      </c>
      <c r="I130" s="417"/>
      <c r="J130" s="348" t="b">
        <v>0</v>
      </c>
      <c r="K130" s="409"/>
      <c r="L130" s="315">
        <v>0.0</v>
      </c>
      <c r="M130" s="315">
        <v>0.0</v>
      </c>
      <c r="N130" s="315">
        <v>0.0</v>
      </c>
      <c r="O130" s="315">
        <v>0.0</v>
      </c>
      <c r="P130" s="315">
        <v>0.0</v>
      </c>
      <c r="Q130" s="317">
        <f t="shared" si="8"/>
        <v>0</v>
      </c>
      <c r="R130" s="317" t="str">
        <f>SWITCH(S130,"cash",Reference!E$5,"shares",Reference!$E$6,"balance",Reference!$E$7,"pro-rata",Reference!$B$5)</f>
        <v>#DIV/0!</v>
      </c>
      <c r="S130" s="318" t="s">
        <v>207</v>
      </c>
      <c r="T130" s="319">
        <f>LET(numVmwShares,D130, cashRatio,Reference!$B$4, vmwFinalPrice,Reference!$B$3, numVmwShares * cashRatio * vmwFinalPrice)</f>
        <v>0</v>
      </c>
      <c r="U130" s="319">
        <f>iferror(LET(numVmwShares,$D130, stockRatio,Q130, vmwFinalPrice,Reference!$B$3, (1 - stockRatio) * vmwFinalPrice * numVmwShares),0)</f>
        <v>0</v>
      </c>
      <c r="V130" s="319">
        <f>iferror(LET(numVmwShares,$D130, stockRatio,R130, vmwFinalPrice,Reference!$B$3, (1 - stockRatio) * vmwFinalPrice * numVmwShares),0)</f>
        <v>0</v>
      </c>
      <c r="W130" s="319">
        <f>SWITCH(Reference!$E$4,"eTradeTransactionLog", T130, "eTradeHoldingRatio",T130, "eTradeLotQtyRatio",U130,"manualLotRatio",V130)</f>
        <v>0</v>
      </c>
      <c r="X130" s="309">
        <f>LET(purchaseDate,C130, dateOfRecord,Reference!$B$26, returnOfCapital,Reference!$C$26, IF(purchaseDate &lt; dateOfRecord, returnOfCapital,0))</f>
        <v>10.18</v>
      </c>
      <c r="Y130" s="309">
        <f>LET(purchaseDate,C130, dateOfRecord,Reference!$B$27, returnOfCapital,Reference!$C$27, IF(purchaseDate &lt; dateOfRecord, returnOfCapital,0))</f>
        <v>16.58</v>
      </c>
      <c r="Z130" s="309">
        <f t="shared" si="9"/>
        <v>-26.76</v>
      </c>
      <c r="AA130" s="309">
        <f t="shared" si="10"/>
        <v>0</v>
      </c>
      <c r="AB130" s="320">
        <f>LET(numVmwShares,D130, stockRatio,Reference!$B$5, vmwToAvgoRatio,Reference!$B$6, numVmwShares * stockRatio * vmwToAvgoRatio)</f>
        <v>0</v>
      </c>
      <c r="AC130" s="320">
        <f>LET(numVmwShares,D130, stockRatio,Q130, vmwToAvgoRatio,Reference!$B$6, numVmwShares * stockRatio * vmwToAvgoRatio)</f>
        <v>0</v>
      </c>
      <c r="AD130" s="320" t="str">
        <f>LET(numVmwShares,D130, stockRatio,R130, vmwToAvgoRatio,Reference!$B$6, numVmwShares * stockRatio * vmwToAvgoRatio)</f>
        <v>#DIV/0!</v>
      </c>
      <c r="AE130" s="320">
        <f>SWITCH(Reference!$E$4, "eTradeTransactionLog", AB130, "eTradeHoldingRatio",AB130, "eTradeLotQtyRatio",AC130,"manualLotRatio",AD130)</f>
        <v>0</v>
      </c>
      <c r="AF130" s="321">
        <f>LET(numVmwShares,D130, vmwBasis,Z130, avgoQty,AE130, avgoFMV,Reference!$B$18, cashReceived,W130, gain,cashReceived+(avgoQty*avgoFMV)-(numVmwShares*vmwBasis),
MAX(gain,0))</f>
        <v>0</v>
      </c>
      <c r="AG130" s="322">
        <f>LET(useForFraction,J130, fractionAmount,Summary!$C$41, esppFractionLots,ESPP!$N$5, rsuFractionLots,RSU!J$5, IF(useForFraction, fractionAmount / (esppFractionLots+rsuFractionLots), 0))</f>
        <v>0</v>
      </c>
      <c r="AH130" s="411">
        <f>LET(useForFraction,J130, fractionSaleFMV,Reference!$B$23, postMergerBasis,AT130, lotFractionAmount,AG130, IF(useForFraction, (fractionSaleFMV - postMergerBasis)*lotFractionAmount, 0))</f>
        <v>0</v>
      </c>
      <c r="AI130" s="412">
        <f t="shared" si="11"/>
        <v>0</v>
      </c>
      <c r="AJ130" s="413">
        <f>LET(
purchaseDate,C130,
mergerDate,Reference!$B$28,
lotFractionGain,AH130,
mergerGain,AI130,
IF(DATEDIF(purchaseDate,mergerDate,"Y")&gt;=1,
  0,
  lotFractionGain + mergerGain
))</f>
        <v>0</v>
      </c>
      <c r="AK130" s="413">
        <f>LET(
purchaseDate,C130,
mergerDate,Reference!$B$28,
lotFractionGain,AH130,
mergerGain,AI130,
IF(DATEDIF(purchaseDate,mergerDate,"Y")&gt;=1,
  lotFractionGain+mergerGain,
  0
))</f>
        <v>0</v>
      </c>
      <c r="AL130" s="414" t="str">
        <f>IF(DATEDIF(C130,Reference!$B$28,"Y")&gt;=1,"Part II Box E","Part I Box B")</f>
        <v>Part II Box E</v>
      </c>
      <c r="AM130" s="344" t="str">
        <f t="shared" si="12"/>
        <v/>
      </c>
      <c r="AN130" s="330">
        <f t="shared" si="13"/>
        <v>0</v>
      </c>
      <c r="AO130" s="330">
        <f>LET(
cashReceived,W130, 
avgoQty,AE130, 
proceedsStyle,Reference!$E$9, 
avgoFMV,Reference!$B$18, 
SWITCH(proceedsStyle, "combined", cashReceived +(avgoQty*avgoFMV), "cashOnly", cashReceived))</f>
        <v>0</v>
      </c>
      <c r="AP130" s="345">
        <f>LET(
proceedsStyle,Reference!$E$9,
proceeds,AO130,
gain,AS130,
numVmwShares,D130, 
vmwBasis, Z130, 
avgoQty,AE130, 
avgoFMV,Reference!$B$18, 
cashReceived,W130, 
avgoTotalValue, avgoFMV*avgoQty, 
vmwTotalBasis, vmwBasis*numVmwShares,
alternateGainAmount,AF130, 
SWITCH(proceedsStyle,
  "cashOnly",
    proceeds - gain,
  "combined",
    IF(cashReceived&lt;alternateGainAmount,
      avgoTotalValue,
      vmwTotalBasis
    )
  )
)</f>
        <v>0</v>
      </c>
      <c r="AQ130" s="345" t="str">
        <f t="shared" si="14"/>
        <v/>
      </c>
      <c r="AR130" s="345">
        <v>0.0</v>
      </c>
      <c r="AS130" s="331">
        <f>LET(
proceedsStyle,Reference!$E$9,
proceeds,AO130,
basis1099B,AP130,
adjustment,AR130,
mergerGain,AI130,
SWITCH(proceedsStyle,
  "cashOnly",
    mergerGain,
  "combined",
    MAX(proceeds - basis1099B + adjustment, 0)
))</f>
        <v>0</v>
      </c>
      <c r="AT130" s="415" t="str">
        <f t="shared" si="15"/>
        <v>n/a</v>
      </c>
      <c r="AU130" s="333">
        <f>LET(saleFMV,Reference!$B$10, postMergerBasis,AT130, avgoQty,AE130, lotFractionAmount,AG130, iferror((saleFMV - postMergerBasis) * (avgoQty - lotFractionAmount), 0))</f>
        <v>0</v>
      </c>
      <c r="AV130" s="333">
        <f>LET(
avgoQty,AE130, 
purchaseDate,C130,
postMergerSaleDate,Reference!$B$29,
saleFMV,Reference!$B$10,
postMergerBasis,AT130, 
IFERROR(IF(DATEDIF(purchaseDate,postMergerSaleDate,"Y")&gt;=1,
  0,
  avgoQty * (saleFMV - postMergerBasis)
),0))</f>
        <v>0</v>
      </c>
      <c r="AW130" s="336">
        <f>LET(
avgoQty,AE130, 
purchaseDate,C130,
postMergerSaleDate,Reference!$B$29,
saleFMV,Reference!$B$10,
postMergerBasis,AT130, 
IFERROR(IF(DATEDIF(purchaseDate,postMergerSaleDate,"Y")&gt;=1,
  avgoQty * (saleFMV - postMergerBasis),
  0
),0))</f>
        <v>0</v>
      </c>
    </row>
    <row r="131">
      <c r="A131" s="422"/>
      <c r="B131" s="423"/>
      <c r="C131" s="351"/>
      <c r="D131" s="352"/>
      <c r="E131" s="321" t="str">
        <f t="array" ref="E131">IF(C131&lt;&gt;"", IFERROR(VLOOKUP(C131, SORT(PriceReference!$A$1:$B1014), 2, TRUE), "price unavailable"), "")</f>
        <v/>
      </c>
      <c r="F131" s="416"/>
      <c r="G131" s="309">
        <f t="shared" si="6"/>
        <v>0</v>
      </c>
      <c r="H131" s="321">
        <f t="shared" si="7"/>
        <v>0</v>
      </c>
      <c r="I131" s="417"/>
      <c r="J131" s="348" t="b">
        <v>0</v>
      </c>
      <c r="K131" s="409"/>
      <c r="L131" s="315">
        <v>0.0</v>
      </c>
      <c r="M131" s="315">
        <v>0.0</v>
      </c>
      <c r="N131" s="315">
        <v>0.0</v>
      </c>
      <c r="O131" s="315">
        <v>0.0</v>
      </c>
      <c r="P131" s="315">
        <v>0.0</v>
      </c>
      <c r="Q131" s="317">
        <f t="shared" si="8"/>
        <v>0</v>
      </c>
      <c r="R131" s="317" t="str">
        <f>SWITCH(S131,"cash",Reference!E$5,"shares",Reference!$E$6,"balance",Reference!$E$7,"pro-rata",Reference!$B$5)</f>
        <v>#DIV/0!</v>
      </c>
      <c r="S131" s="318" t="s">
        <v>207</v>
      </c>
      <c r="T131" s="319">
        <f>LET(numVmwShares,D131, cashRatio,Reference!$B$4, vmwFinalPrice,Reference!$B$3, numVmwShares * cashRatio * vmwFinalPrice)</f>
        <v>0</v>
      </c>
      <c r="U131" s="319">
        <f>iferror(LET(numVmwShares,$D131, stockRatio,Q131, vmwFinalPrice,Reference!$B$3, (1 - stockRatio) * vmwFinalPrice * numVmwShares),0)</f>
        <v>0</v>
      </c>
      <c r="V131" s="319">
        <f>iferror(LET(numVmwShares,$D131, stockRatio,R131, vmwFinalPrice,Reference!$B$3, (1 - stockRatio) * vmwFinalPrice * numVmwShares),0)</f>
        <v>0</v>
      </c>
      <c r="W131" s="319">
        <f>SWITCH(Reference!$E$4,"eTradeTransactionLog", T131, "eTradeHoldingRatio",T131, "eTradeLotQtyRatio",U131,"manualLotRatio",V131)</f>
        <v>0</v>
      </c>
      <c r="X131" s="309">
        <f>LET(purchaseDate,C131, dateOfRecord,Reference!$B$26, returnOfCapital,Reference!$C$26, IF(purchaseDate &lt; dateOfRecord, returnOfCapital,0))</f>
        <v>10.18</v>
      </c>
      <c r="Y131" s="309">
        <f>LET(purchaseDate,C131, dateOfRecord,Reference!$B$27, returnOfCapital,Reference!$C$27, IF(purchaseDate &lt; dateOfRecord, returnOfCapital,0))</f>
        <v>16.58</v>
      </c>
      <c r="Z131" s="309">
        <f t="shared" si="9"/>
        <v>-26.76</v>
      </c>
      <c r="AA131" s="309">
        <f t="shared" si="10"/>
        <v>0</v>
      </c>
      <c r="AB131" s="320">
        <f>LET(numVmwShares,D131, stockRatio,Reference!$B$5, vmwToAvgoRatio,Reference!$B$6, numVmwShares * stockRatio * vmwToAvgoRatio)</f>
        <v>0</v>
      </c>
      <c r="AC131" s="320">
        <f>LET(numVmwShares,D131, stockRatio,Q131, vmwToAvgoRatio,Reference!$B$6, numVmwShares * stockRatio * vmwToAvgoRatio)</f>
        <v>0</v>
      </c>
      <c r="AD131" s="320" t="str">
        <f>LET(numVmwShares,D131, stockRatio,R131, vmwToAvgoRatio,Reference!$B$6, numVmwShares * stockRatio * vmwToAvgoRatio)</f>
        <v>#DIV/0!</v>
      </c>
      <c r="AE131" s="320">
        <f>SWITCH(Reference!$E$4, "eTradeTransactionLog", AB131, "eTradeHoldingRatio",AB131, "eTradeLotQtyRatio",AC131,"manualLotRatio",AD131)</f>
        <v>0</v>
      </c>
      <c r="AF131" s="321">
        <f>LET(numVmwShares,D131, vmwBasis,Z131, avgoQty,AE131, avgoFMV,Reference!$B$18, cashReceived,W131, gain,cashReceived+(avgoQty*avgoFMV)-(numVmwShares*vmwBasis),
MAX(gain,0))</f>
        <v>0</v>
      </c>
      <c r="AG131" s="322">
        <f>LET(useForFraction,J131, fractionAmount,Summary!$C$41, esppFractionLots,ESPP!$N$5, rsuFractionLots,RSU!J$5, IF(useForFraction, fractionAmount / (esppFractionLots+rsuFractionLots), 0))</f>
        <v>0</v>
      </c>
      <c r="AH131" s="411">
        <f>LET(useForFraction,J131, fractionSaleFMV,Reference!$B$23, postMergerBasis,AT131, lotFractionAmount,AG131, IF(useForFraction, (fractionSaleFMV - postMergerBasis)*lotFractionAmount, 0))</f>
        <v>0</v>
      </c>
      <c r="AI131" s="412">
        <f t="shared" si="11"/>
        <v>0</v>
      </c>
      <c r="AJ131" s="413">
        <f>LET(
purchaseDate,C131,
mergerDate,Reference!$B$28,
lotFractionGain,AH131,
mergerGain,AI131,
IF(DATEDIF(purchaseDate,mergerDate,"Y")&gt;=1,
  0,
  lotFractionGain + mergerGain
))</f>
        <v>0</v>
      </c>
      <c r="AK131" s="413">
        <f>LET(
purchaseDate,C131,
mergerDate,Reference!$B$28,
lotFractionGain,AH131,
mergerGain,AI131,
IF(DATEDIF(purchaseDate,mergerDate,"Y")&gt;=1,
  lotFractionGain+mergerGain,
  0
))</f>
        <v>0</v>
      </c>
      <c r="AL131" s="414" t="str">
        <f>IF(DATEDIF(C131,Reference!$B$28,"Y")&gt;=1,"Part II Box E","Part I Box B")</f>
        <v>Part II Box E</v>
      </c>
      <c r="AM131" s="344" t="str">
        <f t="shared" si="12"/>
        <v/>
      </c>
      <c r="AN131" s="330">
        <f t="shared" si="13"/>
        <v>0</v>
      </c>
      <c r="AO131" s="330">
        <f>LET(
cashReceived,W131, 
avgoQty,AE131, 
proceedsStyle,Reference!$E$9, 
avgoFMV,Reference!$B$18, 
SWITCH(proceedsStyle, "combined", cashReceived +(avgoQty*avgoFMV), "cashOnly", cashReceived))</f>
        <v>0</v>
      </c>
      <c r="AP131" s="345">
        <f>LET(
proceedsStyle,Reference!$E$9,
proceeds,AO131,
gain,AS131,
numVmwShares,D131, 
vmwBasis, Z131, 
avgoQty,AE131, 
avgoFMV,Reference!$B$18, 
cashReceived,W131, 
avgoTotalValue, avgoFMV*avgoQty, 
vmwTotalBasis, vmwBasis*numVmwShares,
alternateGainAmount,AF131, 
SWITCH(proceedsStyle,
  "cashOnly",
    proceeds - gain,
  "combined",
    IF(cashReceived&lt;alternateGainAmount,
      avgoTotalValue,
      vmwTotalBasis
    )
  )
)</f>
        <v>0</v>
      </c>
      <c r="AQ131" s="345" t="str">
        <f t="shared" si="14"/>
        <v/>
      </c>
      <c r="AR131" s="345">
        <v>0.0</v>
      </c>
      <c r="AS131" s="331">
        <f>LET(
proceedsStyle,Reference!$E$9,
proceeds,AO131,
basis1099B,AP131,
adjustment,AR131,
mergerGain,AI131,
SWITCH(proceedsStyle,
  "cashOnly",
    mergerGain,
  "combined",
    MAX(proceeds - basis1099B + adjustment, 0)
))</f>
        <v>0</v>
      </c>
      <c r="AT131" s="415" t="str">
        <f t="shared" si="15"/>
        <v>n/a</v>
      </c>
      <c r="AU131" s="333">
        <f>LET(saleFMV,Reference!$B$10, postMergerBasis,AT131, avgoQty,AE131, lotFractionAmount,AG131, iferror((saleFMV - postMergerBasis) * (avgoQty - lotFractionAmount), 0))</f>
        <v>0</v>
      </c>
      <c r="AV131" s="333">
        <f>LET(
avgoQty,AE131, 
purchaseDate,C131,
postMergerSaleDate,Reference!$B$29,
saleFMV,Reference!$B$10,
postMergerBasis,AT131, 
IFERROR(IF(DATEDIF(purchaseDate,postMergerSaleDate,"Y")&gt;=1,
  0,
  avgoQty * (saleFMV - postMergerBasis)
),0))</f>
        <v>0</v>
      </c>
      <c r="AW131" s="336">
        <f>LET(
avgoQty,AE131, 
purchaseDate,C131,
postMergerSaleDate,Reference!$B$29,
saleFMV,Reference!$B$10,
postMergerBasis,AT131, 
IFERROR(IF(DATEDIF(purchaseDate,postMergerSaleDate,"Y")&gt;=1,
  avgoQty * (saleFMV - postMergerBasis),
  0
),0))</f>
        <v>0</v>
      </c>
    </row>
    <row r="132">
      <c r="A132" s="422"/>
      <c r="B132" s="423"/>
      <c r="C132" s="351"/>
      <c r="D132" s="352"/>
      <c r="E132" s="321" t="str">
        <f t="array" ref="E132">IF(C132&lt;&gt;"", IFERROR(VLOOKUP(C132, SORT(PriceReference!$A$1:$B1014), 2, TRUE), "price unavailable"), "")</f>
        <v/>
      </c>
      <c r="F132" s="416"/>
      <c r="G132" s="309">
        <f t="shared" si="6"/>
        <v>0</v>
      </c>
      <c r="H132" s="321">
        <f t="shared" si="7"/>
        <v>0</v>
      </c>
      <c r="I132" s="417"/>
      <c r="J132" s="348" t="b">
        <v>0</v>
      </c>
      <c r="K132" s="409"/>
      <c r="L132" s="315">
        <v>0.0</v>
      </c>
      <c r="M132" s="315">
        <v>0.0</v>
      </c>
      <c r="N132" s="315">
        <v>0.0</v>
      </c>
      <c r="O132" s="315">
        <v>0.0</v>
      </c>
      <c r="P132" s="315">
        <v>0.0</v>
      </c>
      <c r="Q132" s="317">
        <f t="shared" si="8"/>
        <v>0</v>
      </c>
      <c r="R132" s="317" t="str">
        <f>SWITCH(S132,"cash",Reference!E$5,"shares",Reference!$E$6,"balance",Reference!$E$7,"pro-rata",Reference!$B$5)</f>
        <v>#DIV/0!</v>
      </c>
      <c r="S132" s="318" t="s">
        <v>207</v>
      </c>
      <c r="T132" s="319">
        <f>LET(numVmwShares,D132, cashRatio,Reference!$B$4, vmwFinalPrice,Reference!$B$3, numVmwShares * cashRatio * vmwFinalPrice)</f>
        <v>0</v>
      </c>
      <c r="U132" s="319">
        <f>iferror(LET(numVmwShares,$D132, stockRatio,Q132, vmwFinalPrice,Reference!$B$3, (1 - stockRatio) * vmwFinalPrice * numVmwShares),0)</f>
        <v>0</v>
      </c>
      <c r="V132" s="319">
        <f>iferror(LET(numVmwShares,$D132, stockRatio,R132, vmwFinalPrice,Reference!$B$3, (1 - stockRatio) * vmwFinalPrice * numVmwShares),0)</f>
        <v>0</v>
      </c>
      <c r="W132" s="319">
        <f>SWITCH(Reference!$E$4,"eTradeTransactionLog", T132, "eTradeHoldingRatio",T132, "eTradeLotQtyRatio",U132,"manualLotRatio",V132)</f>
        <v>0</v>
      </c>
      <c r="X132" s="309">
        <f>LET(purchaseDate,C132, dateOfRecord,Reference!$B$26, returnOfCapital,Reference!$C$26, IF(purchaseDate &lt; dateOfRecord, returnOfCapital,0))</f>
        <v>10.18</v>
      </c>
      <c r="Y132" s="309">
        <f>LET(purchaseDate,C132, dateOfRecord,Reference!$B$27, returnOfCapital,Reference!$C$27, IF(purchaseDate &lt; dateOfRecord, returnOfCapital,0))</f>
        <v>16.58</v>
      </c>
      <c r="Z132" s="309">
        <f t="shared" si="9"/>
        <v>-26.76</v>
      </c>
      <c r="AA132" s="309">
        <f t="shared" si="10"/>
        <v>0</v>
      </c>
      <c r="AB132" s="320">
        <f>LET(numVmwShares,D132, stockRatio,Reference!$B$5, vmwToAvgoRatio,Reference!$B$6, numVmwShares * stockRatio * vmwToAvgoRatio)</f>
        <v>0</v>
      </c>
      <c r="AC132" s="320">
        <f>LET(numVmwShares,D132, stockRatio,Q132, vmwToAvgoRatio,Reference!$B$6, numVmwShares * stockRatio * vmwToAvgoRatio)</f>
        <v>0</v>
      </c>
      <c r="AD132" s="320" t="str">
        <f>LET(numVmwShares,D132, stockRatio,R132, vmwToAvgoRatio,Reference!$B$6, numVmwShares * stockRatio * vmwToAvgoRatio)</f>
        <v>#DIV/0!</v>
      </c>
      <c r="AE132" s="320">
        <f>SWITCH(Reference!$E$4, "eTradeTransactionLog", AB132, "eTradeHoldingRatio",AB132, "eTradeLotQtyRatio",AC132,"manualLotRatio",AD132)</f>
        <v>0</v>
      </c>
      <c r="AF132" s="321">
        <f>LET(numVmwShares,D132, vmwBasis,Z132, avgoQty,AE132, avgoFMV,Reference!$B$18, cashReceived,W132, gain,cashReceived+(avgoQty*avgoFMV)-(numVmwShares*vmwBasis),
MAX(gain,0))</f>
        <v>0</v>
      </c>
      <c r="AG132" s="322">
        <f>LET(useForFraction,J132, fractionAmount,Summary!$C$41, esppFractionLots,ESPP!$N$5, rsuFractionLots,RSU!J$5, IF(useForFraction, fractionAmount / (esppFractionLots+rsuFractionLots), 0))</f>
        <v>0</v>
      </c>
      <c r="AH132" s="411">
        <f>LET(useForFraction,J132, fractionSaleFMV,Reference!$B$23, postMergerBasis,AT132, lotFractionAmount,AG132, IF(useForFraction, (fractionSaleFMV - postMergerBasis)*lotFractionAmount, 0))</f>
        <v>0</v>
      </c>
      <c r="AI132" s="412">
        <f t="shared" si="11"/>
        <v>0</v>
      </c>
      <c r="AJ132" s="413">
        <f>LET(
purchaseDate,C132,
mergerDate,Reference!$B$28,
lotFractionGain,AH132,
mergerGain,AI132,
IF(DATEDIF(purchaseDate,mergerDate,"Y")&gt;=1,
  0,
  lotFractionGain + mergerGain
))</f>
        <v>0</v>
      </c>
      <c r="AK132" s="413">
        <f>LET(
purchaseDate,C132,
mergerDate,Reference!$B$28,
lotFractionGain,AH132,
mergerGain,AI132,
IF(DATEDIF(purchaseDate,mergerDate,"Y")&gt;=1,
  lotFractionGain+mergerGain,
  0
))</f>
        <v>0</v>
      </c>
      <c r="AL132" s="414" t="str">
        <f>IF(DATEDIF(C132,Reference!$B$28,"Y")&gt;=1,"Part II Box E","Part I Box B")</f>
        <v>Part II Box E</v>
      </c>
      <c r="AM132" s="344" t="str">
        <f t="shared" si="12"/>
        <v/>
      </c>
      <c r="AN132" s="330">
        <f t="shared" si="13"/>
        <v>0</v>
      </c>
      <c r="AO132" s="330">
        <f>LET(
cashReceived,W132, 
avgoQty,AE132, 
proceedsStyle,Reference!$E$9, 
avgoFMV,Reference!$B$18, 
SWITCH(proceedsStyle, "combined", cashReceived +(avgoQty*avgoFMV), "cashOnly", cashReceived))</f>
        <v>0</v>
      </c>
      <c r="AP132" s="345">
        <f>LET(
proceedsStyle,Reference!$E$9,
proceeds,AO132,
gain,AS132,
numVmwShares,D132, 
vmwBasis, Z132, 
avgoQty,AE132, 
avgoFMV,Reference!$B$18, 
cashReceived,W132, 
avgoTotalValue, avgoFMV*avgoQty, 
vmwTotalBasis, vmwBasis*numVmwShares,
alternateGainAmount,AF132, 
SWITCH(proceedsStyle,
  "cashOnly",
    proceeds - gain,
  "combined",
    IF(cashReceived&lt;alternateGainAmount,
      avgoTotalValue,
      vmwTotalBasis
    )
  )
)</f>
        <v>0</v>
      </c>
      <c r="AQ132" s="345" t="str">
        <f t="shared" si="14"/>
        <v/>
      </c>
      <c r="AR132" s="345">
        <v>0.0</v>
      </c>
      <c r="AS132" s="331">
        <f>LET(
proceedsStyle,Reference!$E$9,
proceeds,AO132,
basis1099B,AP132,
adjustment,AR132,
mergerGain,AI132,
SWITCH(proceedsStyle,
  "cashOnly",
    mergerGain,
  "combined",
    MAX(proceeds - basis1099B + adjustment, 0)
))</f>
        <v>0</v>
      </c>
      <c r="AT132" s="415" t="str">
        <f t="shared" si="15"/>
        <v>n/a</v>
      </c>
      <c r="AU132" s="333">
        <f>LET(saleFMV,Reference!$B$10, postMergerBasis,AT132, avgoQty,AE132, lotFractionAmount,AG132, iferror((saleFMV - postMergerBasis) * (avgoQty - lotFractionAmount), 0))</f>
        <v>0</v>
      </c>
      <c r="AV132" s="333">
        <f>LET(
avgoQty,AE132, 
purchaseDate,C132,
postMergerSaleDate,Reference!$B$29,
saleFMV,Reference!$B$10,
postMergerBasis,AT132, 
IFERROR(IF(DATEDIF(purchaseDate,postMergerSaleDate,"Y")&gt;=1,
  0,
  avgoQty * (saleFMV - postMergerBasis)
),0))</f>
        <v>0</v>
      </c>
      <c r="AW132" s="336">
        <f>LET(
avgoQty,AE132, 
purchaseDate,C132,
postMergerSaleDate,Reference!$B$29,
saleFMV,Reference!$B$10,
postMergerBasis,AT132, 
IFERROR(IF(DATEDIF(purchaseDate,postMergerSaleDate,"Y")&gt;=1,
  avgoQty * (saleFMV - postMergerBasis),
  0
),0))</f>
        <v>0</v>
      </c>
    </row>
    <row r="133">
      <c r="A133" s="422"/>
      <c r="B133" s="423"/>
      <c r="C133" s="351"/>
      <c r="D133" s="352"/>
      <c r="E133" s="321" t="str">
        <f t="array" ref="E133">IF(C133&lt;&gt;"", IFERROR(VLOOKUP(C133, SORT(PriceReference!$A$1:$B1014), 2, TRUE), "price unavailable"), "")</f>
        <v/>
      </c>
      <c r="F133" s="416"/>
      <c r="G133" s="309">
        <f t="shared" si="6"/>
        <v>0</v>
      </c>
      <c r="H133" s="321">
        <f t="shared" si="7"/>
        <v>0</v>
      </c>
      <c r="I133" s="417"/>
      <c r="J133" s="348" t="b">
        <v>0</v>
      </c>
      <c r="K133" s="409"/>
      <c r="L133" s="315">
        <v>0.0</v>
      </c>
      <c r="M133" s="315">
        <v>0.0</v>
      </c>
      <c r="N133" s="315">
        <v>0.0</v>
      </c>
      <c r="O133" s="315">
        <v>0.0</v>
      </c>
      <c r="P133" s="315">
        <v>0.0</v>
      </c>
      <c r="Q133" s="317">
        <f t="shared" si="8"/>
        <v>0</v>
      </c>
      <c r="R133" s="317" t="str">
        <f>SWITCH(S133,"cash",Reference!E$5,"shares",Reference!$E$6,"balance",Reference!$E$7,"pro-rata",Reference!$B$5)</f>
        <v>#DIV/0!</v>
      </c>
      <c r="S133" s="318" t="s">
        <v>207</v>
      </c>
      <c r="T133" s="319">
        <f>LET(numVmwShares,D133, cashRatio,Reference!$B$4, vmwFinalPrice,Reference!$B$3, numVmwShares * cashRatio * vmwFinalPrice)</f>
        <v>0</v>
      </c>
      <c r="U133" s="319">
        <f>iferror(LET(numVmwShares,$D133, stockRatio,Q133, vmwFinalPrice,Reference!$B$3, (1 - stockRatio) * vmwFinalPrice * numVmwShares),0)</f>
        <v>0</v>
      </c>
      <c r="V133" s="319">
        <f>iferror(LET(numVmwShares,$D133, stockRatio,R133, vmwFinalPrice,Reference!$B$3, (1 - stockRatio) * vmwFinalPrice * numVmwShares),0)</f>
        <v>0</v>
      </c>
      <c r="W133" s="319">
        <f>SWITCH(Reference!$E$4,"eTradeTransactionLog", T133, "eTradeHoldingRatio",T133, "eTradeLotQtyRatio",U133,"manualLotRatio",V133)</f>
        <v>0</v>
      </c>
      <c r="X133" s="309">
        <f>LET(purchaseDate,C133, dateOfRecord,Reference!$B$26, returnOfCapital,Reference!$C$26, IF(purchaseDate &lt; dateOfRecord, returnOfCapital,0))</f>
        <v>10.18</v>
      </c>
      <c r="Y133" s="309">
        <f>LET(purchaseDate,C133, dateOfRecord,Reference!$B$27, returnOfCapital,Reference!$C$27, IF(purchaseDate &lt; dateOfRecord, returnOfCapital,0))</f>
        <v>16.58</v>
      </c>
      <c r="Z133" s="309">
        <f t="shared" si="9"/>
        <v>-26.76</v>
      </c>
      <c r="AA133" s="309">
        <f t="shared" si="10"/>
        <v>0</v>
      </c>
      <c r="AB133" s="320">
        <f>LET(numVmwShares,D133, stockRatio,Reference!$B$5, vmwToAvgoRatio,Reference!$B$6, numVmwShares * stockRatio * vmwToAvgoRatio)</f>
        <v>0</v>
      </c>
      <c r="AC133" s="320">
        <f>LET(numVmwShares,D133, stockRatio,Q133, vmwToAvgoRatio,Reference!$B$6, numVmwShares * stockRatio * vmwToAvgoRatio)</f>
        <v>0</v>
      </c>
      <c r="AD133" s="320" t="str">
        <f>LET(numVmwShares,D133, stockRatio,R133, vmwToAvgoRatio,Reference!$B$6, numVmwShares * stockRatio * vmwToAvgoRatio)</f>
        <v>#DIV/0!</v>
      </c>
      <c r="AE133" s="320">
        <f>SWITCH(Reference!$E$4, "eTradeTransactionLog", AB133, "eTradeHoldingRatio",AB133, "eTradeLotQtyRatio",AC133,"manualLotRatio",AD133)</f>
        <v>0</v>
      </c>
      <c r="AF133" s="321">
        <f>LET(numVmwShares,D133, vmwBasis,Z133, avgoQty,AE133, avgoFMV,Reference!$B$18, cashReceived,W133, gain,cashReceived+(avgoQty*avgoFMV)-(numVmwShares*vmwBasis),
MAX(gain,0))</f>
        <v>0</v>
      </c>
      <c r="AG133" s="322">
        <f>LET(useForFraction,J133, fractionAmount,Summary!$C$41, esppFractionLots,ESPP!$N$5, rsuFractionLots,RSU!J$5, IF(useForFraction, fractionAmount / (esppFractionLots+rsuFractionLots), 0))</f>
        <v>0</v>
      </c>
      <c r="AH133" s="411">
        <f>LET(useForFraction,J133, fractionSaleFMV,Reference!$B$23, postMergerBasis,AT133, lotFractionAmount,AG133, IF(useForFraction, (fractionSaleFMV - postMergerBasis)*lotFractionAmount, 0))</f>
        <v>0</v>
      </c>
      <c r="AI133" s="412">
        <f t="shared" si="11"/>
        <v>0</v>
      </c>
      <c r="AJ133" s="413">
        <f>LET(
purchaseDate,C133,
mergerDate,Reference!$B$28,
lotFractionGain,AH133,
mergerGain,AI133,
IF(DATEDIF(purchaseDate,mergerDate,"Y")&gt;=1,
  0,
  lotFractionGain + mergerGain
))</f>
        <v>0</v>
      </c>
      <c r="AK133" s="413">
        <f>LET(
purchaseDate,C133,
mergerDate,Reference!$B$28,
lotFractionGain,AH133,
mergerGain,AI133,
IF(DATEDIF(purchaseDate,mergerDate,"Y")&gt;=1,
  lotFractionGain+mergerGain,
  0
))</f>
        <v>0</v>
      </c>
      <c r="AL133" s="414" t="str">
        <f>IF(DATEDIF(C133,Reference!$B$28,"Y")&gt;=1,"Part II Box E","Part I Box B")</f>
        <v>Part II Box E</v>
      </c>
      <c r="AM133" s="344" t="str">
        <f t="shared" si="12"/>
        <v/>
      </c>
      <c r="AN133" s="330">
        <f t="shared" si="13"/>
        <v>0</v>
      </c>
      <c r="AO133" s="330">
        <f>LET(
cashReceived,W133, 
avgoQty,AE133, 
proceedsStyle,Reference!$E$9, 
avgoFMV,Reference!$B$18, 
SWITCH(proceedsStyle, "combined", cashReceived +(avgoQty*avgoFMV), "cashOnly", cashReceived))</f>
        <v>0</v>
      </c>
      <c r="AP133" s="345">
        <f>LET(
proceedsStyle,Reference!$E$9,
proceeds,AO133,
gain,AS133,
numVmwShares,D133, 
vmwBasis, Z133, 
avgoQty,AE133, 
avgoFMV,Reference!$B$18, 
cashReceived,W133, 
avgoTotalValue, avgoFMV*avgoQty, 
vmwTotalBasis, vmwBasis*numVmwShares,
alternateGainAmount,AF133, 
SWITCH(proceedsStyle,
  "cashOnly",
    proceeds - gain,
  "combined",
    IF(cashReceived&lt;alternateGainAmount,
      avgoTotalValue,
      vmwTotalBasis
    )
  )
)</f>
        <v>0</v>
      </c>
      <c r="AQ133" s="345" t="str">
        <f t="shared" si="14"/>
        <v/>
      </c>
      <c r="AR133" s="345">
        <v>0.0</v>
      </c>
      <c r="AS133" s="331">
        <f>LET(
proceedsStyle,Reference!$E$9,
proceeds,AO133,
basis1099B,AP133,
adjustment,AR133,
mergerGain,AI133,
SWITCH(proceedsStyle,
  "cashOnly",
    mergerGain,
  "combined",
    MAX(proceeds - basis1099B + adjustment, 0)
))</f>
        <v>0</v>
      </c>
      <c r="AT133" s="415" t="str">
        <f t="shared" si="15"/>
        <v>n/a</v>
      </c>
      <c r="AU133" s="333">
        <f>LET(saleFMV,Reference!$B$10, postMergerBasis,AT133, avgoQty,AE133, lotFractionAmount,AG133, iferror((saleFMV - postMergerBasis) * (avgoQty - lotFractionAmount), 0))</f>
        <v>0</v>
      </c>
      <c r="AV133" s="333">
        <f>LET(
avgoQty,AE133, 
purchaseDate,C133,
postMergerSaleDate,Reference!$B$29,
saleFMV,Reference!$B$10,
postMergerBasis,AT133, 
IFERROR(IF(DATEDIF(purchaseDate,postMergerSaleDate,"Y")&gt;=1,
  0,
  avgoQty * (saleFMV - postMergerBasis)
),0))</f>
        <v>0</v>
      </c>
      <c r="AW133" s="336">
        <f>LET(
avgoQty,AE133, 
purchaseDate,C133,
postMergerSaleDate,Reference!$B$29,
saleFMV,Reference!$B$10,
postMergerBasis,AT133, 
IFERROR(IF(DATEDIF(purchaseDate,postMergerSaleDate,"Y")&gt;=1,
  avgoQty * (saleFMV - postMergerBasis),
  0
),0))</f>
        <v>0</v>
      </c>
    </row>
    <row r="134">
      <c r="A134" s="422"/>
      <c r="B134" s="423"/>
      <c r="C134" s="351"/>
      <c r="D134" s="352"/>
      <c r="E134" s="321" t="str">
        <f t="array" ref="E134">IF(C134&lt;&gt;"", IFERROR(VLOOKUP(C134, SORT(PriceReference!$A$1:$B1014), 2, TRUE), "price unavailable"), "")</f>
        <v/>
      </c>
      <c r="F134" s="416"/>
      <c r="G134" s="309">
        <f t="shared" si="6"/>
        <v>0</v>
      </c>
      <c r="H134" s="321">
        <f t="shared" si="7"/>
        <v>0</v>
      </c>
      <c r="I134" s="417"/>
      <c r="J134" s="348" t="b">
        <v>0</v>
      </c>
      <c r="K134" s="409"/>
      <c r="L134" s="315">
        <v>0.0</v>
      </c>
      <c r="M134" s="315">
        <v>0.0</v>
      </c>
      <c r="N134" s="315">
        <v>0.0</v>
      </c>
      <c r="O134" s="315">
        <v>0.0</v>
      </c>
      <c r="P134" s="315">
        <v>0.0</v>
      </c>
      <c r="Q134" s="317">
        <f t="shared" si="8"/>
        <v>0</v>
      </c>
      <c r="R134" s="317" t="str">
        <f>SWITCH(S134,"cash",Reference!E$5,"shares",Reference!$E$6,"balance",Reference!$E$7,"pro-rata",Reference!$B$5)</f>
        <v>#DIV/0!</v>
      </c>
      <c r="S134" s="318" t="s">
        <v>207</v>
      </c>
      <c r="T134" s="319">
        <f>LET(numVmwShares,D134, cashRatio,Reference!$B$4, vmwFinalPrice,Reference!$B$3, numVmwShares * cashRatio * vmwFinalPrice)</f>
        <v>0</v>
      </c>
      <c r="U134" s="319">
        <f>iferror(LET(numVmwShares,$D134, stockRatio,Q134, vmwFinalPrice,Reference!$B$3, (1 - stockRatio) * vmwFinalPrice * numVmwShares),0)</f>
        <v>0</v>
      </c>
      <c r="V134" s="319">
        <f>iferror(LET(numVmwShares,$D134, stockRatio,R134, vmwFinalPrice,Reference!$B$3, (1 - stockRatio) * vmwFinalPrice * numVmwShares),0)</f>
        <v>0</v>
      </c>
      <c r="W134" s="319">
        <f>SWITCH(Reference!$E$4,"eTradeTransactionLog", T134, "eTradeHoldingRatio",T134, "eTradeLotQtyRatio",U134,"manualLotRatio",V134)</f>
        <v>0</v>
      </c>
      <c r="X134" s="309">
        <f>LET(purchaseDate,C134, dateOfRecord,Reference!$B$26, returnOfCapital,Reference!$C$26, IF(purchaseDate &lt; dateOfRecord, returnOfCapital,0))</f>
        <v>10.18</v>
      </c>
      <c r="Y134" s="309">
        <f>LET(purchaseDate,C134, dateOfRecord,Reference!$B$27, returnOfCapital,Reference!$C$27, IF(purchaseDate &lt; dateOfRecord, returnOfCapital,0))</f>
        <v>16.58</v>
      </c>
      <c r="Z134" s="309">
        <f t="shared" si="9"/>
        <v>-26.76</v>
      </c>
      <c r="AA134" s="309">
        <f t="shared" si="10"/>
        <v>0</v>
      </c>
      <c r="AB134" s="320">
        <f>LET(numVmwShares,D134, stockRatio,Reference!$B$5, vmwToAvgoRatio,Reference!$B$6, numVmwShares * stockRatio * vmwToAvgoRatio)</f>
        <v>0</v>
      </c>
      <c r="AC134" s="320">
        <f>LET(numVmwShares,D134, stockRatio,Q134, vmwToAvgoRatio,Reference!$B$6, numVmwShares * stockRatio * vmwToAvgoRatio)</f>
        <v>0</v>
      </c>
      <c r="AD134" s="320" t="str">
        <f>LET(numVmwShares,D134, stockRatio,R134, vmwToAvgoRatio,Reference!$B$6, numVmwShares * stockRatio * vmwToAvgoRatio)</f>
        <v>#DIV/0!</v>
      </c>
      <c r="AE134" s="320">
        <f>SWITCH(Reference!$E$4, "eTradeTransactionLog", AB134, "eTradeHoldingRatio",AB134, "eTradeLotQtyRatio",AC134,"manualLotRatio",AD134)</f>
        <v>0</v>
      </c>
      <c r="AF134" s="321">
        <f>LET(numVmwShares,D134, vmwBasis,Z134, avgoQty,AE134, avgoFMV,Reference!$B$18, cashReceived,W134, gain,cashReceived+(avgoQty*avgoFMV)-(numVmwShares*vmwBasis),
MAX(gain,0))</f>
        <v>0</v>
      </c>
      <c r="AG134" s="322">
        <f>LET(useForFraction,J134, fractionAmount,Summary!$C$41, esppFractionLots,ESPP!$N$5, rsuFractionLots,RSU!J$5, IF(useForFraction, fractionAmount / (esppFractionLots+rsuFractionLots), 0))</f>
        <v>0</v>
      </c>
      <c r="AH134" s="411">
        <f>LET(useForFraction,J134, fractionSaleFMV,Reference!$B$23, postMergerBasis,AT134, lotFractionAmount,AG134, IF(useForFraction, (fractionSaleFMV - postMergerBasis)*lotFractionAmount, 0))</f>
        <v>0</v>
      </c>
      <c r="AI134" s="412">
        <f t="shared" si="11"/>
        <v>0</v>
      </c>
      <c r="AJ134" s="413">
        <f>LET(
purchaseDate,C134,
mergerDate,Reference!$B$28,
lotFractionGain,AH134,
mergerGain,AI134,
IF(DATEDIF(purchaseDate,mergerDate,"Y")&gt;=1,
  0,
  lotFractionGain + mergerGain
))</f>
        <v>0</v>
      </c>
      <c r="AK134" s="413">
        <f>LET(
purchaseDate,C134,
mergerDate,Reference!$B$28,
lotFractionGain,AH134,
mergerGain,AI134,
IF(DATEDIF(purchaseDate,mergerDate,"Y")&gt;=1,
  lotFractionGain+mergerGain,
  0
))</f>
        <v>0</v>
      </c>
      <c r="AL134" s="414" t="str">
        <f>IF(DATEDIF(C134,Reference!$B$28,"Y")&gt;=1,"Part II Box E","Part I Box B")</f>
        <v>Part II Box E</v>
      </c>
      <c r="AM134" s="344" t="str">
        <f t="shared" si="12"/>
        <v/>
      </c>
      <c r="AN134" s="330">
        <f t="shared" si="13"/>
        <v>0</v>
      </c>
      <c r="AO134" s="330">
        <f>LET(
cashReceived,W134, 
avgoQty,AE134, 
proceedsStyle,Reference!$E$9, 
avgoFMV,Reference!$B$18, 
SWITCH(proceedsStyle, "combined", cashReceived +(avgoQty*avgoFMV), "cashOnly", cashReceived))</f>
        <v>0</v>
      </c>
      <c r="AP134" s="345">
        <f>LET(
proceedsStyle,Reference!$E$9,
proceeds,AO134,
gain,AS134,
numVmwShares,D134, 
vmwBasis, Z134, 
avgoQty,AE134, 
avgoFMV,Reference!$B$18, 
cashReceived,W134, 
avgoTotalValue, avgoFMV*avgoQty, 
vmwTotalBasis, vmwBasis*numVmwShares,
alternateGainAmount,AF134, 
SWITCH(proceedsStyle,
  "cashOnly",
    proceeds - gain,
  "combined",
    IF(cashReceived&lt;alternateGainAmount,
      avgoTotalValue,
      vmwTotalBasis
    )
  )
)</f>
        <v>0</v>
      </c>
      <c r="AQ134" s="345" t="str">
        <f t="shared" si="14"/>
        <v/>
      </c>
      <c r="AR134" s="345">
        <v>0.0</v>
      </c>
      <c r="AS134" s="331">
        <f>LET(
proceedsStyle,Reference!$E$9,
proceeds,AO134,
basis1099B,AP134,
adjustment,AR134,
mergerGain,AI134,
SWITCH(proceedsStyle,
  "cashOnly",
    mergerGain,
  "combined",
    MAX(proceeds - basis1099B + adjustment, 0)
))</f>
        <v>0</v>
      </c>
      <c r="AT134" s="415" t="str">
        <f t="shared" si="15"/>
        <v>n/a</v>
      </c>
      <c r="AU134" s="333">
        <f>LET(saleFMV,Reference!$B$10, postMergerBasis,AT134, avgoQty,AE134, lotFractionAmount,AG134, iferror((saleFMV - postMergerBasis) * (avgoQty - lotFractionAmount), 0))</f>
        <v>0</v>
      </c>
      <c r="AV134" s="333">
        <f>LET(
avgoQty,AE134, 
purchaseDate,C134,
postMergerSaleDate,Reference!$B$29,
saleFMV,Reference!$B$10,
postMergerBasis,AT134, 
IFERROR(IF(DATEDIF(purchaseDate,postMergerSaleDate,"Y")&gt;=1,
  0,
  avgoQty * (saleFMV - postMergerBasis)
),0))</f>
        <v>0</v>
      </c>
      <c r="AW134" s="336">
        <f>LET(
avgoQty,AE134, 
purchaseDate,C134,
postMergerSaleDate,Reference!$B$29,
saleFMV,Reference!$B$10,
postMergerBasis,AT134, 
IFERROR(IF(DATEDIF(purchaseDate,postMergerSaleDate,"Y")&gt;=1,
  avgoQty * (saleFMV - postMergerBasis),
  0
),0))</f>
        <v>0</v>
      </c>
    </row>
    <row r="135">
      <c r="A135" s="422"/>
      <c r="B135" s="423"/>
      <c r="C135" s="351"/>
      <c r="D135" s="352"/>
      <c r="E135" s="321" t="str">
        <f t="array" ref="E135">IF(C135&lt;&gt;"", IFERROR(VLOOKUP(C135, SORT(PriceReference!$A$1:$B1014), 2, TRUE), "price unavailable"), "")</f>
        <v/>
      </c>
      <c r="F135" s="416"/>
      <c r="G135" s="309">
        <f t="shared" si="6"/>
        <v>0</v>
      </c>
      <c r="H135" s="321">
        <f t="shared" si="7"/>
        <v>0</v>
      </c>
      <c r="I135" s="417"/>
      <c r="J135" s="348" t="b">
        <v>0</v>
      </c>
      <c r="K135" s="409"/>
      <c r="L135" s="315">
        <v>0.0</v>
      </c>
      <c r="M135" s="315">
        <v>0.0</v>
      </c>
      <c r="N135" s="315">
        <v>0.0</v>
      </c>
      <c r="O135" s="315">
        <v>0.0</v>
      </c>
      <c r="P135" s="315">
        <v>0.0</v>
      </c>
      <c r="Q135" s="317">
        <f t="shared" si="8"/>
        <v>0</v>
      </c>
      <c r="R135" s="317" t="str">
        <f>SWITCH(S135,"cash",Reference!E$5,"shares",Reference!$E$6,"balance",Reference!$E$7,"pro-rata",Reference!$B$5)</f>
        <v>#DIV/0!</v>
      </c>
      <c r="S135" s="318" t="s">
        <v>207</v>
      </c>
      <c r="T135" s="319">
        <f>LET(numVmwShares,D135, cashRatio,Reference!$B$4, vmwFinalPrice,Reference!$B$3, numVmwShares * cashRatio * vmwFinalPrice)</f>
        <v>0</v>
      </c>
      <c r="U135" s="319">
        <f>iferror(LET(numVmwShares,$D135, stockRatio,Q135, vmwFinalPrice,Reference!$B$3, (1 - stockRatio) * vmwFinalPrice * numVmwShares),0)</f>
        <v>0</v>
      </c>
      <c r="V135" s="319">
        <f>iferror(LET(numVmwShares,$D135, stockRatio,R135, vmwFinalPrice,Reference!$B$3, (1 - stockRatio) * vmwFinalPrice * numVmwShares),0)</f>
        <v>0</v>
      </c>
      <c r="W135" s="319">
        <f>SWITCH(Reference!$E$4,"eTradeTransactionLog", T135, "eTradeHoldingRatio",T135, "eTradeLotQtyRatio",U135,"manualLotRatio",V135)</f>
        <v>0</v>
      </c>
      <c r="X135" s="309">
        <f>LET(purchaseDate,C135, dateOfRecord,Reference!$B$26, returnOfCapital,Reference!$C$26, IF(purchaseDate &lt; dateOfRecord, returnOfCapital,0))</f>
        <v>10.18</v>
      </c>
      <c r="Y135" s="309">
        <f>LET(purchaseDate,C135, dateOfRecord,Reference!$B$27, returnOfCapital,Reference!$C$27, IF(purchaseDate &lt; dateOfRecord, returnOfCapital,0))</f>
        <v>16.58</v>
      </c>
      <c r="Z135" s="309">
        <f t="shared" si="9"/>
        <v>-26.76</v>
      </c>
      <c r="AA135" s="309">
        <f t="shared" si="10"/>
        <v>0</v>
      </c>
      <c r="AB135" s="320">
        <f>LET(numVmwShares,D135, stockRatio,Reference!$B$5, vmwToAvgoRatio,Reference!$B$6, numVmwShares * stockRatio * vmwToAvgoRatio)</f>
        <v>0</v>
      </c>
      <c r="AC135" s="320">
        <f>LET(numVmwShares,D135, stockRatio,Q135, vmwToAvgoRatio,Reference!$B$6, numVmwShares * stockRatio * vmwToAvgoRatio)</f>
        <v>0</v>
      </c>
      <c r="AD135" s="320" t="str">
        <f>LET(numVmwShares,D135, stockRatio,R135, vmwToAvgoRatio,Reference!$B$6, numVmwShares * stockRatio * vmwToAvgoRatio)</f>
        <v>#DIV/0!</v>
      </c>
      <c r="AE135" s="320">
        <f>SWITCH(Reference!$E$4, "eTradeTransactionLog", AB135, "eTradeHoldingRatio",AB135, "eTradeLotQtyRatio",AC135,"manualLotRatio",AD135)</f>
        <v>0</v>
      </c>
      <c r="AF135" s="321">
        <f>LET(numVmwShares,D135, vmwBasis,Z135, avgoQty,AE135, avgoFMV,Reference!$B$18, cashReceived,W135, gain,cashReceived+(avgoQty*avgoFMV)-(numVmwShares*vmwBasis),
MAX(gain,0))</f>
        <v>0</v>
      </c>
      <c r="AG135" s="322">
        <f>LET(useForFraction,J135, fractionAmount,Summary!$C$41, esppFractionLots,ESPP!$N$5, rsuFractionLots,RSU!J$5, IF(useForFraction, fractionAmount / (esppFractionLots+rsuFractionLots), 0))</f>
        <v>0</v>
      </c>
      <c r="AH135" s="411">
        <f>LET(useForFraction,J135, fractionSaleFMV,Reference!$B$23, postMergerBasis,AT135, lotFractionAmount,AG135, IF(useForFraction, (fractionSaleFMV - postMergerBasis)*lotFractionAmount, 0))</f>
        <v>0</v>
      </c>
      <c r="AI135" s="412">
        <f t="shared" si="11"/>
        <v>0</v>
      </c>
      <c r="AJ135" s="413">
        <f>LET(
purchaseDate,C135,
mergerDate,Reference!$B$28,
lotFractionGain,AH135,
mergerGain,AI135,
IF(DATEDIF(purchaseDate,mergerDate,"Y")&gt;=1,
  0,
  lotFractionGain + mergerGain
))</f>
        <v>0</v>
      </c>
      <c r="AK135" s="413">
        <f>LET(
purchaseDate,C135,
mergerDate,Reference!$B$28,
lotFractionGain,AH135,
mergerGain,AI135,
IF(DATEDIF(purchaseDate,mergerDate,"Y")&gt;=1,
  lotFractionGain+mergerGain,
  0
))</f>
        <v>0</v>
      </c>
      <c r="AL135" s="414" t="str">
        <f>IF(DATEDIF(C135,Reference!$B$28,"Y")&gt;=1,"Part II Box E","Part I Box B")</f>
        <v>Part II Box E</v>
      </c>
      <c r="AM135" s="344" t="str">
        <f t="shared" si="12"/>
        <v/>
      </c>
      <c r="AN135" s="330">
        <f t="shared" si="13"/>
        <v>0</v>
      </c>
      <c r="AO135" s="330">
        <f>LET(
cashReceived,W135, 
avgoQty,AE135, 
proceedsStyle,Reference!$E$9, 
avgoFMV,Reference!$B$18, 
SWITCH(proceedsStyle, "combined", cashReceived +(avgoQty*avgoFMV), "cashOnly", cashReceived))</f>
        <v>0</v>
      </c>
      <c r="AP135" s="345">
        <f>LET(
proceedsStyle,Reference!$E$9,
proceeds,AO135,
gain,AS135,
numVmwShares,D135, 
vmwBasis, Z135, 
avgoQty,AE135, 
avgoFMV,Reference!$B$18, 
cashReceived,W135, 
avgoTotalValue, avgoFMV*avgoQty, 
vmwTotalBasis, vmwBasis*numVmwShares,
alternateGainAmount,AF135, 
SWITCH(proceedsStyle,
  "cashOnly",
    proceeds - gain,
  "combined",
    IF(cashReceived&lt;alternateGainAmount,
      avgoTotalValue,
      vmwTotalBasis
    )
  )
)</f>
        <v>0</v>
      </c>
      <c r="AQ135" s="345" t="str">
        <f t="shared" si="14"/>
        <v/>
      </c>
      <c r="AR135" s="345">
        <v>0.0</v>
      </c>
      <c r="AS135" s="331">
        <f>LET(
proceedsStyle,Reference!$E$9,
proceeds,AO135,
basis1099B,AP135,
adjustment,AR135,
mergerGain,AI135,
SWITCH(proceedsStyle,
  "cashOnly",
    mergerGain,
  "combined",
    MAX(proceeds - basis1099B + adjustment, 0)
))</f>
        <v>0</v>
      </c>
      <c r="AT135" s="415" t="str">
        <f t="shared" si="15"/>
        <v>n/a</v>
      </c>
      <c r="AU135" s="333">
        <f>LET(saleFMV,Reference!$B$10, postMergerBasis,AT135, avgoQty,AE135, lotFractionAmount,AG135, iferror((saleFMV - postMergerBasis) * (avgoQty - lotFractionAmount), 0))</f>
        <v>0</v>
      </c>
      <c r="AV135" s="333">
        <f>LET(
avgoQty,AE135, 
purchaseDate,C135,
postMergerSaleDate,Reference!$B$29,
saleFMV,Reference!$B$10,
postMergerBasis,AT135, 
IFERROR(IF(DATEDIF(purchaseDate,postMergerSaleDate,"Y")&gt;=1,
  0,
  avgoQty * (saleFMV - postMergerBasis)
),0))</f>
        <v>0</v>
      </c>
      <c r="AW135" s="336">
        <f>LET(
avgoQty,AE135, 
purchaseDate,C135,
postMergerSaleDate,Reference!$B$29,
saleFMV,Reference!$B$10,
postMergerBasis,AT135, 
IFERROR(IF(DATEDIF(purchaseDate,postMergerSaleDate,"Y")&gt;=1,
  avgoQty * (saleFMV - postMergerBasis),
  0
),0))</f>
        <v>0</v>
      </c>
    </row>
    <row r="136">
      <c r="A136" s="422"/>
      <c r="B136" s="423"/>
      <c r="C136" s="351"/>
      <c r="D136" s="352"/>
      <c r="E136" s="321" t="str">
        <f t="array" ref="E136">IF(C136&lt;&gt;"", IFERROR(VLOOKUP(C136, SORT(PriceReference!$A$1:$B1014), 2, TRUE), "price unavailable"), "")</f>
        <v/>
      </c>
      <c r="F136" s="416"/>
      <c r="G136" s="309">
        <f t="shared" si="6"/>
        <v>0</v>
      </c>
      <c r="H136" s="321">
        <f t="shared" si="7"/>
        <v>0</v>
      </c>
      <c r="I136" s="417"/>
      <c r="J136" s="348" t="b">
        <v>0</v>
      </c>
      <c r="K136" s="409"/>
      <c r="L136" s="315">
        <v>0.0</v>
      </c>
      <c r="M136" s="315">
        <v>0.0</v>
      </c>
      <c r="N136" s="315">
        <v>0.0</v>
      </c>
      <c r="O136" s="315">
        <v>0.0</v>
      </c>
      <c r="P136" s="315">
        <v>0.0</v>
      </c>
      <c r="Q136" s="317">
        <f t="shared" si="8"/>
        <v>0</v>
      </c>
      <c r="R136" s="317" t="str">
        <f>SWITCH(S136,"cash",Reference!E$5,"shares",Reference!$E$6,"balance",Reference!$E$7,"pro-rata",Reference!$B$5)</f>
        <v>#DIV/0!</v>
      </c>
      <c r="S136" s="318" t="s">
        <v>207</v>
      </c>
      <c r="T136" s="319">
        <f>LET(numVmwShares,D136, cashRatio,Reference!$B$4, vmwFinalPrice,Reference!$B$3, numVmwShares * cashRatio * vmwFinalPrice)</f>
        <v>0</v>
      </c>
      <c r="U136" s="319">
        <f>iferror(LET(numVmwShares,$D136, stockRatio,Q136, vmwFinalPrice,Reference!$B$3, (1 - stockRatio) * vmwFinalPrice * numVmwShares),0)</f>
        <v>0</v>
      </c>
      <c r="V136" s="319">
        <f>iferror(LET(numVmwShares,$D136, stockRatio,R136, vmwFinalPrice,Reference!$B$3, (1 - stockRatio) * vmwFinalPrice * numVmwShares),0)</f>
        <v>0</v>
      </c>
      <c r="W136" s="319">
        <f>SWITCH(Reference!$E$4,"eTradeTransactionLog", T136, "eTradeHoldingRatio",T136, "eTradeLotQtyRatio",U136,"manualLotRatio",V136)</f>
        <v>0</v>
      </c>
      <c r="X136" s="309">
        <f>LET(purchaseDate,C136, dateOfRecord,Reference!$B$26, returnOfCapital,Reference!$C$26, IF(purchaseDate &lt; dateOfRecord, returnOfCapital,0))</f>
        <v>10.18</v>
      </c>
      <c r="Y136" s="309">
        <f>LET(purchaseDate,C136, dateOfRecord,Reference!$B$27, returnOfCapital,Reference!$C$27, IF(purchaseDate &lt; dateOfRecord, returnOfCapital,0))</f>
        <v>16.58</v>
      </c>
      <c r="Z136" s="309">
        <f t="shared" si="9"/>
        <v>-26.76</v>
      </c>
      <c r="AA136" s="309">
        <f t="shared" si="10"/>
        <v>0</v>
      </c>
      <c r="AB136" s="320">
        <f>LET(numVmwShares,D136, stockRatio,Reference!$B$5, vmwToAvgoRatio,Reference!$B$6, numVmwShares * stockRatio * vmwToAvgoRatio)</f>
        <v>0</v>
      </c>
      <c r="AC136" s="320">
        <f>LET(numVmwShares,D136, stockRatio,Q136, vmwToAvgoRatio,Reference!$B$6, numVmwShares * stockRatio * vmwToAvgoRatio)</f>
        <v>0</v>
      </c>
      <c r="AD136" s="320" t="str">
        <f>LET(numVmwShares,D136, stockRatio,R136, vmwToAvgoRatio,Reference!$B$6, numVmwShares * stockRatio * vmwToAvgoRatio)</f>
        <v>#DIV/0!</v>
      </c>
      <c r="AE136" s="320">
        <f>SWITCH(Reference!$E$4, "eTradeTransactionLog", AB136, "eTradeHoldingRatio",AB136, "eTradeLotQtyRatio",AC136,"manualLotRatio",AD136)</f>
        <v>0</v>
      </c>
      <c r="AF136" s="321">
        <f>LET(numVmwShares,D136, vmwBasis,Z136, avgoQty,AE136, avgoFMV,Reference!$B$18, cashReceived,W136, gain,cashReceived+(avgoQty*avgoFMV)-(numVmwShares*vmwBasis),
MAX(gain,0))</f>
        <v>0</v>
      </c>
      <c r="AG136" s="322">
        <f>LET(useForFraction,J136, fractionAmount,Summary!$C$41, esppFractionLots,ESPP!$N$5, rsuFractionLots,RSU!J$5, IF(useForFraction, fractionAmount / (esppFractionLots+rsuFractionLots), 0))</f>
        <v>0</v>
      </c>
      <c r="AH136" s="411">
        <f>LET(useForFraction,J136, fractionSaleFMV,Reference!$B$23, postMergerBasis,AT136, lotFractionAmount,AG136, IF(useForFraction, (fractionSaleFMV - postMergerBasis)*lotFractionAmount, 0))</f>
        <v>0</v>
      </c>
      <c r="AI136" s="412">
        <f t="shared" si="11"/>
        <v>0</v>
      </c>
      <c r="AJ136" s="413">
        <f>LET(
purchaseDate,C136,
mergerDate,Reference!$B$28,
lotFractionGain,AH136,
mergerGain,AI136,
IF(DATEDIF(purchaseDate,mergerDate,"Y")&gt;=1,
  0,
  lotFractionGain + mergerGain
))</f>
        <v>0</v>
      </c>
      <c r="AK136" s="413">
        <f>LET(
purchaseDate,C136,
mergerDate,Reference!$B$28,
lotFractionGain,AH136,
mergerGain,AI136,
IF(DATEDIF(purchaseDate,mergerDate,"Y")&gt;=1,
  lotFractionGain+mergerGain,
  0
))</f>
        <v>0</v>
      </c>
      <c r="AL136" s="414" t="str">
        <f>IF(DATEDIF(C136,Reference!$B$28,"Y")&gt;=1,"Part II Box E","Part I Box B")</f>
        <v>Part II Box E</v>
      </c>
      <c r="AM136" s="344" t="str">
        <f t="shared" si="12"/>
        <v/>
      </c>
      <c r="AN136" s="330">
        <f t="shared" si="13"/>
        <v>0</v>
      </c>
      <c r="AO136" s="330">
        <f>LET(
cashReceived,W136, 
avgoQty,AE136, 
proceedsStyle,Reference!$E$9, 
avgoFMV,Reference!$B$18, 
SWITCH(proceedsStyle, "combined", cashReceived +(avgoQty*avgoFMV), "cashOnly", cashReceived))</f>
        <v>0</v>
      </c>
      <c r="AP136" s="345">
        <f>LET(
proceedsStyle,Reference!$E$9,
proceeds,AO136,
gain,AS136,
numVmwShares,D136, 
vmwBasis, Z136, 
avgoQty,AE136, 
avgoFMV,Reference!$B$18, 
cashReceived,W136, 
avgoTotalValue, avgoFMV*avgoQty, 
vmwTotalBasis, vmwBasis*numVmwShares,
alternateGainAmount,AF136, 
SWITCH(proceedsStyle,
  "cashOnly",
    proceeds - gain,
  "combined",
    IF(cashReceived&lt;alternateGainAmount,
      avgoTotalValue,
      vmwTotalBasis
    )
  )
)</f>
        <v>0</v>
      </c>
      <c r="AQ136" s="345" t="str">
        <f t="shared" si="14"/>
        <v/>
      </c>
      <c r="AR136" s="345">
        <v>0.0</v>
      </c>
      <c r="AS136" s="331">
        <f>LET(
proceedsStyle,Reference!$E$9,
proceeds,AO136,
basis1099B,AP136,
adjustment,AR136,
mergerGain,AI136,
SWITCH(proceedsStyle,
  "cashOnly",
    mergerGain,
  "combined",
    MAX(proceeds - basis1099B + adjustment, 0)
))</f>
        <v>0</v>
      </c>
      <c r="AT136" s="415" t="str">
        <f t="shared" si="15"/>
        <v>n/a</v>
      </c>
      <c r="AU136" s="333">
        <f>LET(saleFMV,Reference!$B$10, postMergerBasis,AT136, avgoQty,AE136, lotFractionAmount,AG136, iferror((saleFMV - postMergerBasis) * (avgoQty - lotFractionAmount), 0))</f>
        <v>0</v>
      </c>
      <c r="AV136" s="333">
        <f>LET(
avgoQty,AE136, 
purchaseDate,C136,
postMergerSaleDate,Reference!$B$29,
saleFMV,Reference!$B$10,
postMergerBasis,AT136, 
IFERROR(IF(DATEDIF(purchaseDate,postMergerSaleDate,"Y")&gt;=1,
  0,
  avgoQty * (saleFMV - postMergerBasis)
),0))</f>
        <v>0</v>
      </c>
      <c r="AW136" s="336">
        <f>LET(
avgoQty,AE136, 
purchaseDate,C136,
postMergerSaleDate,Reference!$B$29,
saleFMV,Reference!$B$10,
postMergerBasis,AT136, 
IFERROR(IF(DATEDIF(purchaseDate,postMergerSaleDate,"Y")&gt;=1,
  avgoQty * (saleFMV - postMergerBasis),
  0
),0))</f>
        <v>0</v>
      </c>
    </row>
    <row r="137">
      <c r="A137" s="422"/>
      <c r="B137" s="423"/>
      <c r="C137" s="351"/>
      <c r="D137" s="352"/>
      <c r="E137" s="321" t="str">
        <f t="array" ref="E137">IF(C137&lt;&gt;"", IFERROR(VLOOKUP(C137, SORT(PriceReference!$A$1:$B1014), 2, TRUE), "price unavailable"), "")</f>
        <v/>
      </c>
      <c r="F137" s="416"/>
      <c r="G137" s="309">
        <f t="shared" si="6"/>
        <v>0</v>
      </c>
      <c r="H137" s="321">
        <f t="shared" si="7"/>
        <v>0</v>
      </c>
      <c r="I137" s="417"/>
      <c r="J137" s="348" t="b">
        <v>0</v>
      </c>
      <c r="K137" s="409"/>
      <c r="L137" s="315">
        <v>0.0</v>
      </c>
      <c r="M137" s="315">
        <v>0.0</v>
      </c>
      <c r="N137" s="315">
        <v>0.0</v>
      </c>
      <c r="O137" s="315">
        <v>0.0</v>
      </c>
      <c r="P137" s="315">
        <v>0.0</v>
      </c>
      <c r="Q137" s="317">
        <f t="shared" si="8"/>
        <v>0</v>
      </c>
      <c r="R137" s="317" t="str">
        <f>SWITCH(S137,"cash",Reference!E$5,"shares",Reference!$E$6,"balance",Reference!$E$7,"pro-rata",Reference!$B$5)</f>
        <v>#DIV/0!</v>
      </c>
      <c r="S137" s="318" t="s">
        <v>207</v>
      </c>
      <c r="T137" s="319">
        <f>LET(numVmwShares,D137, cashRatio,Reference!$B$4, vmwFinalPrice,Reference!$B$3, numVmwShares * cashRatio * vmwFinalPrice)</f>
        <v>0</v>
      </c>
      <c r="U137" s="319">
        <f>iferror(LET(numVmwShares,$D137, stockRatio,Q137, vmwFinalPrice,Reference!$B$3, (1 - stockRatio) * vmwFinalPrice * numVmwShares),0)</f>
        <v>0</v>
      </c>
      <c r="V137" s="319">
        <f>iferror(LET(numVmwShares,$D137, stockRatio,R137, vmwFinalPrice,Reference!$B$3, (1 - stockRatio) * vmwFinalPrice * numVmwShares),0)</f>
        <v>0</v>
      </c>
      <c r="W137" s="319">
        <f>SWITCH(Reference!$E$4,"eTradeTransactionLog", T137, "eTradeHoldingRatio",T137, "eTradeLotQtyRatio",U137,"manualLotRatio",V137)</f>
        <v>0</v>
      </c>
      <c r="X137" s="309">
        <f>LET(purchaseDate,C137, dateOfRecord,Reference!$B$26, returnOfCapital,Reference!$C$26, IF(purchaseDate &lt; dateOfRecord, returnOfCapital,0))</f>
        <v>10.18</v>
      </c>
      <c r="Y137" s="309">
        <f>LET(purchaseDate,C137, dateOfRecord,Reference!$B$27, returnOfCapital,Reference!$C$27, IF(purchaseDate &lt; dateOfRecord, returnOfCapital,0))</f>
        <v>16.58</v>
      </c>
      <c r="Z137" s="309">
        <f t="shared" si="9"/>
        <v>-26.76</v>
      </c>
      <c r="AA137" s="309">
        <f t="shared" si="10"/>
        <v>0</v>
      </c>
      <c r="AB137" s="320">
        <f>LET(numVmwShares,D137, stockRatio,Reference!$B$5, vmwToAvgoRatio,Reference!$B$6, numVmwShares * stockRatio * vmwToAvgoRatio)</f>
        <v>0</v>
      </c>
      <c r="AC137" s="320">
        <f>LET(numVmwShares,D137, stockRatio,Q137, vmwToAvgoRatio,Reference!$B$6, numVmwShares * stockRatio * vmwToAvgoRatio)</f>
        <v>0</v>
      </c>
      <c r="AD137" s="320" t="str">
        <f>LET(numVmwShares,D137, stockRatio,R137, vmwToAvgoRatio,Reference!$B$6, numVmwShares * stockRatio * vmwToAvgoRatio)</f>
        <v>#DIV/0!</v>
      </c>
      <c r="AE137" s="320">
        <f>SWITCH(Reference!$E$4, "eTradeTransactionLog", AB137, "eTradeHoldingRatio",AB137, "eTradeLotQtyRatio",AC137,"manualLotRatio",AD137)</f>
        <v>0</v>
      </c>
      <c r="AF137" s="321">
        <f>LET(numVmwShares,D137, vmwBasis,Z137, avgoQty,AE137, avgoFMV,Reference!$B$18, cashReceived,W137, gain,cashReceived+(avgoQty*avgoFMV)-(numVmwShares*vmwBasis),
MAX(gain,0))</f>
        <v>0</v>
      </c>
      <c r="AG137" s="322">
        <f>LET(useForFraction,J137, fractionAmount,Summary!$C$41, esppFractionLots,ESPP!$N$5, rsuFractionLots,RSU!J$5, IF(useForFraction, fractionAmount / (esppFractionLots+rsuFractionLots), 0))</f>
        <v>0</v>
      </c>
      <c r="AH137" s="411">
        <f>LET(useForFraction,J137, fractionSaleFMV,Reference!$B$23, postMergerBasis,AT137, lotFractionAmount,AG137, IF(useForFraction, (fractionSaleFMV - postMergerBasis)*lotFractionAmount, 0))</f>
        <v>0</v>
      </c>
      <c r="AI137" s="412">
        <f t="shared" si="11"/>
        <v>0</v>
      </c>
      <c r="AJ137" s="413">
        <f>LET(
purchaseDate,C137,
mergerDate,Reference!$B$28,
lotFractionGain,AH137,
mergerGain,AI137,
IF(DATEDIF(purchaseDate,mergerDate,"Y")&gt;=1,
  0,
  lotFractionGain + mergerGain
))</f>
        <v>0</v>
      </c>
      <c r="AK137" s="413">
        <f>LET(
purchaseDate,C137,
mergerDate,Reference!$B$28,
lotFractionGain,AH137,
mergerGain,AI137,
IF(DATEDIF(purchaseDate,mergerDate,"Y")&gt;=1,
  lotFractionGain+mergerGain,
  0
))</f>
        <v>0</v>
      </c>
      <c r="AL137" s="414" t="str">
        <f>IF(DATEDIF(C137,Reference!$B$28,"Y")&gt;=1,"Part II Box E","Part I Box B")</f>
        <v>Part II Box E</v>
      </c>
      <c r="AM137" s="344" t="str">
        <f t="shared" si="12"/>
        <v/>
      </c>
      <c r="AN137" s="330">
        <f t="shared" si="13"/>
        <v>0</v>
      </c>
      <c r="AO137" s="330">
        <f>LET(
cashReceived,W137, 
avgoQty,AE137, 
proceedsStyle,Reference!$E$9, 
avgoFMV,Reference!$B$18, 
SWITCH(proceedsStyle, "combined", cashReceived +(avgoQty*avgoFMV), "cashOnly", cashReceived))</f>
        <v>0</v>
      </c>
      <c r="AP137" s="345">
        <f>LET(
proceedsStyle,Reference!$E$9,
proceeds,AO137,
gain,AS137,
numVmwShares,D137, 
vmwBasis, Z137, 
avgoQty,AE137, 
avgoFMV,Reference!$B$18, 
cashReceived,W137, 
avgoTotalValue, avgoFMV*avgoQty, 
vmwTotalBasis, vmwBasis*numVmwShares,
alternateGainAmount,AF137, 
SWITCH(proceedsStyle,
  "cashOnly",
    proceeds - gain,
  "combined",
    IF(cashReceived&lt;alternateGainAmount,
      avgoTotalValue,
      vmwTotalBasis
    )
  )
)</f>
        <v>0</v>
      </c>
      <c r="AQ137" s="345" t="str">
        <f t="shared" si="14"/>
        <v/>
      </c>
      <c r="AR137" s="345">
        <v>0.0</v>
      </c>
      <c r="AS137" s="331">
        <f>LET(
proceedsStyle,Reference!$E$9,
proceeds,AO137,
basis1099B,AP137,
adjustment,AR137,
mergerGain,AI137,
SWITCH(proceedsStyle,
  "cashOnly",
    mergerGain,
  "combined",
    MAX(proceeds - basis1099B + adjustment, 0)
))</f>
        <v>0</v>
      </c>
      <c r="AT137" s="415" t="str">
        <f t="shared" si="15"/>
        <v>n/a</v>
      </c>
      <c r="AU137" s="333">
        <f>LET(saleFMV,Reference!$B$10, postMergerBasis,AT137, avgoQty,AE137, lotFractionAmount,AG137, iferror((saleFMV - postMergerBasis) * (avgoQty - lotFractionAmount), 0))</f>
        <v>0</v>
      </c>
      <c r="AV137" s="333">
        <f>LET(
avgoQty,AE137, 
purchaseDate,C137,
postMergerSaleDate,Reference!$B$29,
saleFMV,Reference!$B$10,
postMergerBasis,AT137, 
IFERROR(IF(DATEDIF(purchaseDate,postMergerSaleDate,"Y")&gt;=1,
  0,
  avgoQty * (saleFMV - postMergerBasis)
),0))</f>
        <v>0</v>
      </c>
      <c r="AW137" s="336">
        <f>LET(
avgoQty,AE137, 
purchaseDate,C137,
postMergerSaleDate,Reference!$B$29,
saleFMV,Reference!$B$10,
postMergerBasis,AT137, 
IFERROR(IF(DATEDIF(purchaseDate,postMergerSaleDate,"Y")&gt;=1,
  avgoQty * (saleFMV - postMergerBasis),
  0
),0))</f>
        <v>0</v>
      </c>
    </row>
    <row r="138">
      <c r="A138" s="422"/>
      <c r="B138" s="423"/>
      <c r="C138" s="351"/>
      <c r="D138" s="352"/>
      <c r="E138" s="321" t="str">
        <f t="array" ref="E138">IF(C138&lt;&gt;"", IFERROR(VLOOKUP(C138, SORT(PriceReference!$A$1:$B1014), 2, TRUE), "price unavailable"), "")</f>
        <v/>
      </c>
      <c r="F138" s="416"/>
      <c r="G138" s="309">
        <f t="shared" si="6"/>
        <v>0</v>
      </c>
      <c r="H138" s="321">
        <f t="shared" si="7"/>
        <v>0</v>
      </c>
      <c r="I138" s="417"/>
      <c r="J138" s="348" t="b">
        <v>0</v>
      </c>
      <c r="K138" s="409"/>
      <c r="L138" s="315">
        <v>0.0</v>
      </c>
      <c r="M138" s="315">
        <v>0.0</v>
      </c>
      <c r="N138" s="315">
        <v>0.0</v>
      </c>
      <c r="O138" s="315">
        <v>0.0</v>
      </c>
      <c r="P138" s="315">
        <v>0.0</v>
      </c>
      <c r="Q138" s="317">
        <f t="shared" si="8"/>
        <v>0</v>
      </c>
      <c r="R138" s="317" t="str">
        <f>SWITCH(S138,"cash",Reference!E$5,"shares",Reference!$E$6,"balance",Reference!$E$7,"pro-rata",Reference!$B$5)</f>
        <v>#DIV/0!</v>
      </c>
      <c r="S138" s="318" t="s">
        <v>207</v>
      </c>
      <c r="T138" s="319">
        <f>LET(numVmwShares,D138, cashRatio,Reference!$B$4, vmwFinalPrice,Reference!$B$3, numVmwShares * cashRatio * vmwFinalPrice)</f>
        <v>0</v>
      </c>
      <c r="U138" s="319">
        <f>iferror(LET(numVmwShares,$D138, stockRatio,Q138, vmwFinalPrice,Reference!$B$3, (1 - stockRatio) * vmwFinalPrice * numVmwShares),0)</f>
        <v>0</v>
      </c>
      <c r="V138" s="319">
        <f>iferror(LET(numVmwShares,$D138, stockRatio,R138, vmwFinalPrice,Reference!$B$3, (1 - stockRatio) * vmwFinalPrice * numVmwShares),0)</f>
        <v>0</v>
      </c>
      <c r="W138" s="319">
        <f>SWITCH(Reference!$E$4,"eTradeTransactionLog", T138, "eTradeHoldingRatio",T138, "eTradeLotQtyRatio",U138,"manualLotRatio",V138)</f>
        <v>0</v>
      </c>
      <c r="X138" s="309">
        <f>LET(purchaseDate,C138, dateOfRecord,Reference!$B$26, returnOfCapital,Reference!$C$26, IF(purchaseDate &lt; dateOfRecord, returnOfCapital,0))</f>
        <v>10.18</v>
      </c>
      <c r="Y138" s="309">
        <f>LET(purchaseDate,C138, dateOfRecord,Reference!$B$27, returnOfCapital,Reference!$C$27, IF(purchaseDate &lt; dateOfRecord, returnOfCapital,0))</f>
        <v>16.58</v>
      </c>
      <c r="Z138" s="309">
        <f t="shared" si="9"/>
        <v>-26.76</v>
      </c>
      <c r="AA138" s="309">
        <f t="shared" si="10"/>
        <v>0</v>
      </c>
      <c r="AB138" s="320">
        <f>LET(numVmwShares,D138, stockRatio,Reference!$B$5, vmwToAvgoRatio,Reference!$B$6, numVmwShares * stockRatio * vmwToAvgoRatio)</f>
        <v>0</v>
      </c>
      <c r="AC138" s="320">
        <f>LET(numVmwShares,D138, stockRatio,Q138, vmwToAvgoRatio,Reference!$B$6, numVmwShares * stockRatio * vmwToAvgoRatio)</f>
        <v>0</v>
      </c>
      <c r="AD138" s="320" t="str">
        <f>LET(numVmwShares,D138, stockRatio,R138, vmwToAvgoRatio,Reference!$B$6, numVmwShares * stockRatio * vmwToAvgoRatio)</f>
        <v>#DIV/0!</v>
      </c>
      <c r="AE138" s="320">
        <f>SWITCH(Reference!$E$4, "eTradeTransactionLog", AB138, "eTradeHoldingRatio",AB138, "eTradeLotQtyRatio",AC138,"manualLotRatio",AD138)</f>
        <v>0</v>
      </c>
      <c r="AF138" s="321">
        <f>LET(numVmwShares,D138, vmwBasis,Z138, avgoQty,AE138, avgoFMV,Reference!$B$18, cashReceived,W138, gain,cashReceived+(avgoQty*avgoFMV)-(numVmwShares*vmwBasis),
MAX(gain,0))</f>
        <v>0</v>
      </c>
      <c r="AG138" s="322">
        <f>LET(useForFraction,J138, fractionAmount,Summary!$C$41, esppFractionLots,ESPP!$N$5, rsuFractionLots,RSU!J$5, IF(useForFraction, fractionAmount / (esppFractionLots+rsuFractionLots), 0))</f>
        <v>0</v>
      </c>
      <c r="AH138" s="411">
        <f>LET(useForFraction,J138, fractionSaleFMV,Reference!$B$23, postMergerBasis,AT138, lotFractionAmount,AG138, IF(useForFraction, (fractionSaleFMV - postMergerBasis)*lotFractionAmount, 0))</f>
        <v>0</v>
      </c>
      <c r="AI138" s="412">
        <f t="shared" si="11"/>
        <v>0</v>
      </c>
      <c r="AJ138" s="413">
        <f>LET(
purchaseDate,C138,
mergerDate,Reference!$B$28,
lotFractionGain,AH138,
mergerGain,AI138,
IF(DATEDIF(purchaseDate,mergerDate,"Y")&gt;=1,
  0,
  lotFractionGain + mergerGain
))</f>
        <v>0</v>
      </c>
      <c r="AK138" s="413">
        <f>LET(
purchaseDate,C138,
mergerDate,Reference!$B$28,
lotFractionGain,AH138,
mergerGain,AI138,
IF(DATEDIF(purchaseDate,mergerDate,"Y")&gt;=1,
  lotFractionGain+mergerGain,
  0
))</f>
        <v>0</v>
      </c>
      <c r="AL138" s="414" t="str">
        <f>IF(DATEDIF(C138,Reference!$B$28,"Y")&gt;=1,"Part II Box E","Part I Box B")</f>
        <v>Part II Box E</v>
      </c>
      <c r="AM138" s="344" t="str">
        <f t="shared" si="12"/>
        <v/>
      </c>
      <c r="AN138" s="330">
        <f t="shared" si="13"/>
        <v>0</v>
      </c>
      <c r="AO138" s="330">
        <f>LET(
cashReceived,W138, 
avgoQty,AE138, 
proceedsStyle,Reference!$E$9, 
avgoFMV,Reference!$B$18, 
SWITCH(proceedsStyle, "combined", cashReceived +(avgoQty*avgoFMV), "cashOnly", cashReceived))</f>
        <v>0</v>
      </c>
      <c r="AP138" s="345">
        <f>LET(
proceedsStyle,Reference!$E$9,
proceeds,AO138,
gain,AS138,
numVmwShares,D138, 
vmwBasis, Z138, 
avgoQty,AE138, 
avgoFMV,Reference!$B$18, 
cashReceived,W138, 
avgoTotalValue, avgoFMV*avgoQty, 
vmwTotalBasis, vmwBasis*numVmwShares,
alternateGainAmount,AF138, 
SWITCH(proceedsStyle,
  "cashOnly",
    proceeds - gain,
  "combined",
    IF(cashReceived&lt;alternateGainAmount,
      avgoTotalValue,
      vmwTotalBasis
    )
  )
)</f>
        <v>0</v>
      </c>
      <c r="AQ138" s="345" t="str">
        <f t="shared" si="14"/>
        <v/>
      </c>
      <c r="AR138" s="345">
        <v>0.0</v>
      </c>
      <c r="AS138" s="331">
        <f>LET(
proceedsStyle,Reference!$E$9,
proceeds,AO138,
basis1099B,AP138,
adjustment,AR138,
mergerGain,AI138,
SWITCH(proceedsStyle,
  "cashOnly",
    mergerGain,
  "combined",
    MAX(proceeds - basis1099B + adjustment, 0)
))</f>
        <v>0</v>
      </c>
      <c r="AT138" s="415" t="str">
        <f t="shared" si="15"/>
        <v>n/a</v>
      </c>
      <c r="AU138" s="333">
        <f>LET(saleFMV,Reference!$B$10, postMergerBasis,AT138, avgoQty,AE138, lotFractionAmount,AG138, iferror((saleFMV - postMergerBasis) * (avgoQty - lotFractionAmount), 0))</f>
        <v>0</v>
      </c>
      <c r="AV138" s="333">
        <f>LET(
avgoQty,AE138, 
purchaseDate,C138,
postMergerSaleDate,Reference!$B$29,
saleFMV,Reference!$B$10,
postMergerBasis,AT138, 
IFERROR(IF(DATEDIF(purchaseDate,postMergerSaleDate,"Y")&gt;=1,
  0,
  avgoQty * (saleFMV - postMergerBasis)
),0))</f>
        <v>0</v>
      </c>
      <c r="AW138" s="336">
        <f>LET(
avgoQty,AE138, 
purchaseDate,C138,
postMergerSaleDate,Reference!$B$29,
saleFMV,Reference!$B$10,
postMergerBasis,AT138, 
IFERROR(IF(DATEDIF(purchaseDate,postMergerSaleDate,"Y")&gt;=1,
  avgoQty * (saleFMV - postMergerBasis),
  0
),0))</f>
        <v>0</v>
      </c>
    </row>
    <row r="139">
      <c r="A139" s="422"/>
      <c r="B139" s="423"/>
      <c r="C139" s="351"/>
      <c r="D139" s="352"/>
      <c r="E139" s="321" t="str">
        <f t="array" ref="E139">IF(C139&lt;&gt;"", IFERROR(VLOOKUP(C139, SORT(PriceReference!$A$1:$B1014), 2, TRUE), "price unavailable"), "")</f>
        <v/>
      </c>
      <c r="F139" s="416"/>
      <c r="G139" s="309">
        <f t="shared" si="6"/>
        <v>0</v>
      </c>
      <c r="H139" s="321">
        <f t="shared" si="7"/>
        <v>0</v>
      </c>
      <c r="I139" s="417"/>
      <c r="J139" s="348" t="b">
        <v>0</v>
      </c>
      <c r="K139" s="409"/>
      <c r="L139" s="315">
        <v>0.0</v>
      </c>
      <c r="M139" s="315">
        <v>0.0</v>
      </c>
      <c r="N139" s="315">
        <v>0.0</v>
      </c>
      <c r="O139" s="315">
        <v>0.0</v>
      </c>
      <c r="P139" s="315">
        <v>0.0</v>
      </c>
      <c r="Q139" s="317">
        <f t="shared" si="8"/>
        <v>0</v>
      </c>
      <c r="R139" s="317" t="str">
        <f>SWITCH(S139,"cash",Reference!E$5,"shares",Reference!$E$6,"balance",Reference!$E$7,"pro-rata",Reference!$B$5)</f>
        <v>#DIV/0!</v>
      </c>
      <c r="S139" s="318" t="s">
        <v>207</v>
      </c>
      <c r="T139" s="319">
        <f>LET(numVmwShares,D139, cashRatio,Reference!$B$4, vmwFinalPrice,Reference!$B$3, numVmwShares * cashRatio * vmwFinalPrice)</f>
        <v>0</v>
      </c>
      <c r="U139" s="319">
        <f>iferror(LET(numVmwShares,$D139, stockRatio,Q139, vmwFinalPrice,Reference!$B$3, (1 - stockRatio) * vmwFinalPrice * numVmwShares),0)</f>
        <v>0</v>
      </c>
      <c r="V139" s="319">
        <f>iferror(LET(numVmwShares,$D139, stockRatio,R139, vmwFinalPrice,Reference!$B$3, (1 - stockRatio) * vmwFinalPrice * numVmwShares),0)</f>
        <v>0</v>
      </c>
      <c r="W139" s="319">
        <f>SWITCH(Reference!$E$4,"eTradeTransactionLog", T139, "eTradeHoldingRatio",T139, "eTradeLotQtyRatio",U139,"manualLotRatio",V139)</f>
        <v>0</v>
      </c>
      <c r="X139" s="309">
        <f>LET(purchaseDate,C139, dateOfRecord,Reference!$B$26, returnOfCapital,Reference!$C$26, IF(purchaseDate &lt; dateOfRecord, returnOfCapital,0))</f>
        <v>10.18</v>
      </c>
      <c r="Y139" s="309">
        <f>LET(purchaseDate,C139, dateOfRecord,Reference!$B$27, returnOfCapital,Reference!$C$27, IF(purchaseDate &lt; dateOfRecord, returnOfCapital,0))</f>
        <v>16.58</v>
      </c>
      <c r="Z139" s="309">
        <f t="shared" si="9"/>
        <v>-26.76</v>
      </c>
      <c r="AA139" s="309">
        <f t="shared" si="10"/>
        <v>0</v>
      </c>
      <c r="AB139" s="320">
        <f>LET(numVmwShares,D139, stockRatio,Reference!$B$5, vmwToAvgoRatio,Reference!$B$6, numVmwShares * stockRatio * vmwToAvgoRatio)</f>
        <v>0</v>
      </c>
      <c r="AC139" s="320">
        <f>LET(numVmwShares,D139, stockRatio,Q139, vmwToAvgoRatio,Reference!$B$6, numVmwShares * stockRatio * vmwToAvgoRatio)</f>
        <v>0</v>
      </c>
      <c r="AD139" s="320" t="str">
        <f>LET(numVmwShares,D139, stockRatio,R139, vmwToAvgoRatio,Reference!$B$6, numVmwShares * stockRatio * vmwToAvgoRatio)</f>
        <v>#DIV/0!</v>
      </c>
      <c r="AE139" s="320">
        <f>SWITCH(Reference!$E$4, "eTradeTransactionLog", AB139, "eTradeHoldingRatio",AB139, "eTradeLotQtyRatio",AC139,"manualLotRatio",AD139)</f>
        <v>0</v>
      </c>
      <c r="AF139" s="321">
        <f>LET(numVmwShares,D139, vmwBasis,Z139, avgoQty,AE139, avgoFMV,Reference!$B$18, cashReceived,W139, gain,cashReceived+(avgoQty*avgoFMV)-(numVmwShares*vmwBasis),
MAX(gain,0))</f>
        <v>0</v>
      </c>
      <c r="AG139" s="322">
        <f>LET(useForFraction,J139, fractionAmount,Summary!$C$41, esppFractionLots,ESPP!$N$5, rsuFractionLots,RSU!J$5, IF(useForFraction, fractionAmount / (esppFractionLots+rsuFractionLots), 0))</f>
        <v>0</v>
      </c>
      <c r="AH139" s="411">
        <f>LET(useForFraction,J139, fractionSaleFMV,Reference!$B$23, postMergerBasis,AT139, lotFractionAmount,AG139, IF(useForFraction, (fractionSaleFMV - postMergerBasis)*lotFractionAmount, 0))</f>
        <v>0</v>
      </c>
      <c r="AI139" s="412">
        <f t="shared" si="11"/>
        <v>0</v>
      </c>
      <c r="AJ139" s="413">
        <f>LET(
purchaseDate,C139,
mergerDate,Reference!$B$28,
lotFractionGain,AH139,
mergerGain,AI139,
IF(DATEDIF(purchaseDate,mergerDate,"Y")&gt;=1,
  0,
  lotFractionGain + mergerGain
))</f>
        <v>0</v>
      </c>
      <c r="AK139" s="413">
        <f>LET(
purchaseDate,C139,
mergerDate,Reference!$B$28,
lotFractionGain,AH139,
mergerGain,AI139,
IF(DATEDIF(purchaseDate,mergerDate,"Y")&gt;=1,
  lotFractionGain+mergerGain,
  0
))</f>
        <v>0</v>
      </c>
      <c r="AL139" s="414" t="str">
        <f>IF(DATEDIF(C139,Reference!$B$28,"Y")&gt;=1,"Part II Box E","Part I Box B")</f>
        <v>Part II Box E</v>
      </c>
      <c r="AM139" s="344" t="str">
        <f t="shared" si="12"/>
        <v/>
      </c>
      <c r="AN139" s="330">
        <f t="shared" si="13"/>
        <v>0</v>
      </c>
      <c r="AO139" s="330">
        <f>LET(
cashReceived,W139, 
avgoQty,AE139, 
proceedsStyle,Reference!$E$9, 
avgoFMV,Reference!$B$18, 
SWITCH(proceedsStyle, "combined", cashReceived +(avgoQty*avgoFMV), "cashOnly", cashReceived))</f>
        <v>0</v>
      </c>
      <c r="AP139" s="345">
        <f>LET(
proceedsStyle,Reference!$E$9,
proceeds,AO139,
gain,AS139,
numVmwShares,D139, 
vmwBasis, Z139, 
avgoQty,AE139, 
avgoFMV,Reference!$B$18, 
cashReceived,W139, 
avgoTotalValue, avgoFMV*avgoQty, 
vmwTotalBasis, vmwBasis*numVmwShares,
alternateGainAmount,AF139, 
SWITCH(proceedsStyle,
  "cashOnly",
    proceeds - gain,
  "combined",
    IF(cashReceived&lt;alternateGainAmount,
      avgoTotalValue,
      vmwTotalBasis
    )
  )
)</f>
        <v>0</v>
      </c>
      <c r="AQ139" s="345" t="str">
        <f t="shared" si="14"/>
        <v/>
      </c>
      <c r="AR139" s="345">
        <v>0.0</v>
      </c>
      <c r="AS139" s="331">
        <f>LET(
proceedsStyle,Reference!$E$9,
proceeds,AO139,
basis1099B,AP139,
adjustment,AR139,
mergerGain,AI139,
SWITCH(proceedsStyle,
  "cashOnly",
    mergerGain,
  "combined",
    MAX(proceeds - basis1099B + adjustment, 0)
))</f>
        <v>0</v>
      </c>
      <c r="AT139" s="415" t="str">
        <f t="shared" si="15"/>
        <v>n/a</v>
      </c>
      <c r="AU139" s="333">
        <f>LET(saleFMV,Reference!$B$10, postMergerBasis,AT139, avgoQty,AE139, lotFractionAmount,AG139, iferror((saleFMV - postMergerBasis) * (avgoQty - lotFractionAmount), 0))</f>
        <v>0</v>
      </c>
      <c r="AV139" s="333">
        <f>LET(
avgoQty,AE139, 
purchaseDate,C139,
postMergerSaleDate,Reference!$B$29,
saleFMV,Reference!$B$10,
postMergerBasis,AT139, 
IFERROR(IF(DATEDIF(purchaseDate,postMergerSaleDate,"Y")&gt;=1,
  0,
  avgoQty * (saleFMV - postMergerBasis)
),0))</f>
        <v>0</v>
      </c>
      <c r="AW139" s="336">
        <f>LET(
avgoQty,AE139, 
purchaseDate,C139,
postMergerSaleDate,Reference!$B$29,
saleFMV,Reference!$B$10,
postMergerBasis,AT139, 
IFERROR(IF(DATEDIF(purchaseDate,postMergerSaleDate,"Y")&gt;=1,
  avgoQty * (saleFMV - postMergerBasis),
  0
),0))</f>
        <v>0</v>
      </c>
    </row>
    <row r="140">
      <c r="A140" s="422"/>
      <c r="B140" s="423"/>
      <c r="C140" s="351"/>
      <c r="D140" s="352"/>
      <c r="E140" s="321" t="str">
        <f t="array" ref="E140">IF(C140&lt;&gt;"", IFERROR(VLOOKUP(C140, SORT(PriceReference!$A$1:$B1014), 2, TRUE), "price unavailable"), "")</f>
        <v/>
      </c>
      <c r="F140" s="416"/>
      <c r="G140" s="309">
        <f t="shared" si="6"/>
        <v>0</v>
      </c>
      <c r="H140" s="321">
        <f t="shared" si="7"/>
        <v>0</v>
      </c>
      <c r="I140" s="417"/>
      <c r="J140" s="348" t="b">
        <v>0</v>
      </c>
      <c r="K140" s="409"/>
      <c r="L140" s="315">
        <v>0.0</v>
      </c>
      <c r="M140" s="315">
        <v>0.0</v>
      </c>
      <c r="N140" s="315">
        <v>0.0</v>
      </c>
      <c r="O140" s="315">
        <v>0.0</v>
      </c>
      <c r="P140" s="315">
        <v>0.0</v>
      </c>
      <c r="Q140" s="317">
        <f t="shared" si="8"/>
        <v>0</v>
      </c>
      <c r="R140" s="317" t="str">
        <f>SWITCH(S140,"cash",Reference!E$5,"shares",Reference!$E$6,"balance",Reference!$E$7,"pro-rata",Reference!$B$5)</f>
        <v>#DIV/0!</v>
      </c>
      <c r="S140" s="318" t="s">
        <v>207</v>
      </c>
      <c r="T140" s="319">
        <f>LET(numVmwShares,D140, cashRatio,Reference!$B$4, vmwFinalPrice,Reference!$B$3, numVmwShares * cashRatio * vmwFinalPrice)</f>
        <v>0</v>
      </c>
      <c r="U140" s="319">
        <f>iferror(LET(numVmwShares,$D140, stockRatio,Q140, vmwFinalPrice,Reference!$B$3, (1 - stockRatio) * vmwFinalPrice * numVmwShares),0)</f>
        <v>0</v>
      </c>
      <c r="V140" s="319">
        <f>iferror(LET(numVmwShares,$D140, stockRatio,R140, vmwFinalPrice,Reference!$B$3, (1 - stockRatio) * vmwFinalPrice * numVmwShares),0)</f>
        <v>0</v>
      </c>
      <c r="W140" s="319">
        <f>SWITCH(Reference!$E$4,"eTradeTransactionLog", T140, "eTradeHoldingRatio",T140, "eTradeLotQtyRatio",U140,"manualLotRatio",V140)</f>
        <v>0</v>
      </c>
      <c r="X140" s="309">
        <f>LET(purchaseDate,C140, dateOfRecord,Reference!$B$26, returnOfCapital,Reference!$C$26, IF(purchaseDate &lt; dateOfRecord, returnOfCapital,0))</f>
        <v>10.18</v>
      </c>
      <c r="Y140" s="309">
        <f>LET(purchaseDate,C140, dateOfRecord,Reference!$B$27, returnOfCapital,Reference!$C$27, IF(purchaseDate &lt; dateOfRecord, returnOfCapital,0))</f>
        <v>16.58</v>
      </c>
      <c r="Z140" s="309">
        <f t="shared" si="9"/>
        <v>-26.76</v>
      </c>
      <c r="AA140" s="309">
        <f t="shared" si="10"/>
        <v>0</v>
      </c>
      <c r="AB140" s="320">
        <f>LET(numVmwShares,D140, stockRatio,Reference!$B$5, vmwToAvgoRatio,Reference!$B$6, numVmwShares * stockRatio * vmwToAvgoRatio)</f>
        <v>0</v>
      </c>
      <c r="AC140" s="320">
        <f>LET(numVmwShares,D140, stockRatio,Q140, vmwToAvgoRatio,Reference!$B$6, numVmwShares * stockRatio * vmwToAvgoRatio)</f>
        <v>0</v>
      </c>
      <c r="AD140" s="320" t="str">
        <f>LET(numVmwShares,D140, stockRatio,R140, vmwToAvgoRatio,Reference!$B$6, numVmwShares * stockRatio * vmwToAvgoRatio)</f>
        <v>#DIV/0!</v>
      </c>
      <c r="AE140" s="320">
        <f>SWITCH(Reference!$E$4, "eTradeTransactionLog", AB140, "eTradeHoldingRatio",AB140, "eTradeLotQtyRatio",AC140,"manualLotRatio",AD140)</f>
        <v>0</v>
      </c>
      <c r="AF140" s="321">
        <f>LET(numVmwShares,D140, vmwBasis,Z140, avgoQty,AE140, avgoFMV,Reference!$B$18, cashReceived,W140, gain,cashReceived+(avgoQty*avgoFMV)-(numVmwShares*vmwBasis),
MAX(gain,0))</f>
        <v>0</v>
      </c>
      <c r="AG140" s="322">
        <f>LET(useForFraction,J140, fractionAmount,Summary!$C$41, esppFractionLots,ESPP!$N$5, rsuFractionLots,RSU!J$5, IF(useForFraction, fractionAmount / (esppFractionLots+rsuFractionLots), 0))</f>
        <v>0</v>
      </c>
      <c r="AH140" s="411">
        <f>LET(useForFraction,J140, fractionSaleFMV,Reference!$B$23, postMergerBasis,AT140, lotFractionAmount,AG140, IF(useForFraction, (fractionSaleFMV - postMergerBasis)*lotFractionAmount, 0))</f>
        <v>0</v>
      </c>
      <c r="AI140" s="412">
        <f t="shared" si="11"/>
        <v>0</v>
      </c>
      <c r="AJ140" s="413">
        <f>LET(
purchaseDate,C140,
mergerDate,Reference!$B$28,
lotFractionGain,AH140,
mergerGain,AI140,
IF(DATEDIF(purchaseDate,mergerDate,"Y")&gt;=1,
  0,
  lotFractionGain + mergerGain
))</f>
        <v>0</v>
      </c>
      <c r="AK140" s="413">
        <f>LET(
purchaseDate,C140,
mergerDate,Reference!$B$28,
lotFractionGain,AH140,
mergerGain,AI140,
IF(DATEDIF(purchaseDate,mergerDate,"Y")&gt;=1,
  lotFractionGain+mergerGain,
  0
))</f>
        <v>0</v>
      </c>
      <c r="AL140" s="414" t="str">
        <f>IF(DATEDIF(C140,Reference!$B$28,"Y")&gt;=1,"Part II Box E","Part I Box B")</f>
        <v>Part II Box E</v>
      </c>
      <c r="AM140" s="344" t="str">
        <f t="shared" si="12"/>
        <v/>
      </c>
      <c r="AN140" s="330">
        <f t="shared" si="13"/>
        <v>0</v>
      </c>
      <c r="AO140" s="330">
        <f>LET(
cashReceived,W140, 
avgoQty,AE140, 
proceedsStyle,Reference!$E$9, 
avgoFMV,Reference!$B$18, 
SWITCH(proceedsStyle, "combined", cashReceived +(avgoQty*avgoFMV), "cashOnly", cashReceived))</f>
        <v>0</v>
      </c>
      <c r="AP140" s="345">
        <f>LET(
proceedsStyle,Reference!$E$9,
proceeds,AO140,
gain,AS140,
numVmwShares,D140, 
vmwBasis, Z140, 
avgoQty,AE140, 
avgoFMV,Reference!$B$18, 
cashReceived,W140, 
avgoTotalValue, avgoFMV*avgoQty, 
vmwTotalBasis, vmwBasis*numVmwShares,
alternateGainAmount,AF140, 
SWITCH(proceedsStyle,
  "cashOnly",
    proceeds - gain,
  "combined",
    IF(cashReceived&lt;alternateGainAmount,
      avgoTotalValue,
      vmwTotalBasis
    )
  )
)</f>
        <v>0</v>
      </c>
      <c r="AQ140" s="345" t="str">
        <f t="shared" si="14"/>
        <v/>
      </c>
      <c r="AR140" s="345">
        <v>0.0</v>
      </c>
      <c r="AS140" s="331">
        <f>LET(
proceedsStyle,Reference!$E$9,
proceeds,AO140,
basis1099B,AP140,
adjustment,AR140,
mergerGain,AI140,
SWITCH(proceedsStyle,
  "cashOnly",
    mergerGain,
  "combined",
    MAX(proceeds - basis1099B + adjustment, 0)
))</f>
        <v>0</v>
      </c>
      <c r="AT140" s="415" t="str">
        <f t="shared" si="15"/>
        <v>n/a</v>
      </c>
      <c r="AU140" s="333">
        <f>LET(saleFMV,Reference!$B$10, postMergerBasis,AT140, avgoQty,AE140, lotFractionAmount,AG140, iferror((saleFMV - postMergerBasis) * (avgoQty - lotFractionAmount), 0))</f>
        <v>0</v>
      </c>
      <c r="AV140" s="333">
        <f>LET(
avgoQty,AE140, 
purchaseDate,C140,
postMergerSaleDate,Reference!$B$29,
saleFMV,Reference!$B$10,
postMergerBasis,AT140, 
IFERROR(IF(DATEDIF(purchaseDate,postMergerSaleDate,"Y")&gt;=1,
  0,
  avgoQty * (saleFMV - postMergerBasis)
),0))</f>
        <v>0</v>
      </c>
      <c r="AW140" s="336">
        <f>LET(
avgoQty,AE140, 
purchaseDate,C140,
postMergerSaleDate,Reference!$B$29,
saleFMV,Reference!$B$10,
postMergerBasis,AT140, 
IFERROR(IF(DATEDIF(purchaseDate,postMergerSaleDate,"Y")&gt;=1,
  avgoQty * (saleFMV - postMergerBasis),
  0
),0))</f>
        <v>0</v>
      </c>
    </row>
    <row r="141">
      <c r="A141" s="422"/>
      <c r="B141" s="423"/>
      <c r="C141" s="351"/>
      <c r="D141" s="352"/>
      <c r="E141" s="321" t="str">
        <f t="array" ref="E141">IF(C141&lt;&gt;"", IFERROR(VLOOKUP(C141, SORT(PriceReference!$A$1:$B1014), 2, TRUE), "price unavailable"), "")</f>
        <v/>
      </c>
      <c r="F141" s="416"/>
      <c r="G141" s="309">
        <f t="shared" si="6"/>
        <v>0</v>
      </c>
      <c r="H141" s="321">
        <f t="shared" si="7"/>
        <v>0</v>
      </c>
      <c r="I141" s="417"/>
      <c r="J141" s="348" t="b">
        <v>0</v>
      </c>
      <c r="K141" s="409"/>
      <c r="L141" s="315">
        <v>0.0</v>
      </c>
      <c r="M141" s="315">
        <v>0.0</v>
      </c>
      <c r="N141" s="315">
        <v>0.0</v>
      </c>
      <c r="O141" s="315">
        <v>0.0</v>
      </c>
      <c r="P141" s="315">
        <v>0.0</v>
      </c>
      <c r="Q141" s="317">
        <f t="shared" si="8"/>
        <v>0</v>
      </c>
      <c r="R141" s="317" t="str">
        <f>SWITCH(S141,"cash",Reference!E$5,"shares",Reference!$E$6,"balance",Reference!$E$7,"pro-rata",Reference!$B$5)</f>
        <v>#DIV/0!</v>
      </c>
      <c r="S141" s="318" t="s">
        <v>207</v>
      </c>
      <c r="T141" s="319">
        <f>LET(numVmwShares,D141, cashRatio,Reference!$B$4, vmwFinalPrice,Reference!$B$3, numVmwShares * cashRatio * vmwFinalPrice)</f>
        <v>0</v>
      </c>
      <c r="U141" s="319">
        <f>iferror(LET(numVmwShares,$D141, stockRatio,Q141, vmwFinalPrice,Reference!$B$3, (1 - stockRatio) * vmwFinalPrice * numVmwShares),0)</f>
        <v>0</v>
      </c>
      <c r="V141" s="319">
        <f>iferror(LET(numVmwShares,$D141, stockRatio,R141, vmwFinalPrice,Reference!$B$3, (1 - stockRatio) * vmwFinalPrice * numVmwShares),0)</f>
        <v>0</v>
      </c>
      <c r="W141" s="319">
        <f>SWITCH(Reference!$E$4,"eTradeTransactionLog", T141, "eTradeHoldingRatio",T141, "eTradeLotQtyRatio",U141,"manualLotRatio",V141)</f>
        <v>0</v>
      </c>
      <c r="X141" s="309">
        <f>LET(purchaseDate,C141, dateOfRecord,Reference!$B$26, returnOfCapital,Reference!$C$26, IF(purchaseDate &lt; dateOfRecord, returnOfCapital,0))</f>
        <v>10.18</v>
      </c>
      <c r="Y141" s="309">
        <f>LET(purchaseDate,C141, dateOfRecord,Reference!$B$27, returnOfCapital,Reference!$C$27, IF(purchaseDate &lt; dateOfRecord, returnOfCapital,0))</f>
        <v>16.58</v>
      </c>
      <c r="Z141" s="309">
        <f t="shared" si="9"/>
        <v>-26.76</v>
      </c>
      <c r="AA141" s="309">
        <f t="shared" si="10"/>
        <v>0</v>
      </c>
      <c r="AB141" s="320">
        <f>LET(numVmwShares,D141, stockRatio,Reference!$B$5, vmwToAvgoRatio,Reference!$B$6, numVmwShares * stockRatio * vmwToAvgoRatio)</f>
        <v>0</v>
      </c>
      <c r="AC141" s="320">
        <f>LET(numVmwShares,D141, stockRatio,Q141, vmwToAvgoRatio,Reference!$B$6, numVmwShares * stockRatio * vmwToAvgoRatio)</f>
        <v>0</v>
      </c>
      <c r="AD141" s="320" t="str">
        <f>LET(numVmwShares,D141, stockRatio,R141, vmwToAvgoRatio,Reference!$B$6, numVmwShares * stockRatio * vmwToAvgoRatio)</f>
        <v>#DIV/0!</v>
      </c>
      <c r="AE141" s="320">
        <f>SWITCH(Reference!$E$4, "eTradeTransactionLog", AB141, "eTradeHoldingRatio",AB141, "eTradeLotQtyRatio",AC141,"manualLotRatio",AD141)</f>
        <v>0</v>
      </c>
      <c r="AF141" s="321">
        <f>LET(numVmwShares,D141, vmwBasis,Z141, avgoQty,AE141, avgoFMV,Reference!$B$18, cashReceived,W141, gain,cashReceived+(avgoQty*avgoFMV)-(numVmwShares*vmwBasis),
MAX(gain,0))</f>
        <v>0</v>
      </c>
      <c r="AG141" s="322">
        <f>LET(useForFraction,J141, fractionAmount,Summary!$C$41, esppFractionLots,ESPP!$N$5, rsuFractionLots,RSU!J$5, IF(useForFraction, fractionAmount / (esppFractionLots+rsuFractionLots), 0))</f>
        <v>0</v>
      </c>
      <c r="AH141" s="411">
        <f>LET(useForFraction,J141, fractionSaleFMV,Reference!$B$23, postMergerBasis,AT141, lotFractionAmount,AG141, IF(useForFraction, (fractionSaleFMV - postMergerBasis)*lotFractionAmount, 0))</f>
        <v>0</v>
      </c>
      <c r="AI141" s="412">
        <f t="shared" si="11"/>
        <v>0</v>
      </c>
      <c r="AJ141" s="413">
        <f>LET(
purchaseDate,C141,
mergerDate,Reference!$B$28,
lotFractionGain,AH141,
mergerGain,AI141,
IF(DATEDIF(purchaseDate,mergerDate,"Y")&gt;=1,
  0,
  lotFractionGain + mergerGain
))</f>
        <v>0</v>
      </c>
      <c r="AK141" s="413">
        <f>LET(
purchaseDate,C141,
mergerDate,Reference!$B$28,
lotFractionGain,AH141,
mergerGain,AI141,
IF(DATEDIF(purchaseDate,mergerDate,"Y")&gt;=1,
  lotFractionGain+mergerGain,
  0
))</f>
        <v>0</v>
      </c>
      <c r="AL141" s="414" t="str">
        <f>IF(DATEDIF(C141,Reference!$B$28,"Y")&gt;=1,"Part II Box E","Part I Box B")</f>
        <v>Part II Box E</v>
      </c>
      <c r="AM141" s="344" t="str">
        <f t="shared" si="12"/>
        <v/>
      </c>
      <c r="AN141" s="330">
        <f t="shared" si="13"/>
        <v>0</v>
      </c>
      <c r="AO141" s="330">
        <f>LET(
cashReceived,W141, 
avgoQty,AE141, 
proceedsStyle,Reference!$E$9, 
avgoFMV,Reference!$B$18, 
SWITCH(proceedsStyle, "combined", cashReceived +(avgoQty*avgoFMV), "cashOnly", cashReceived))</f>
        <v>0</v>
      </c>
      <c r="AP141" s="345">
        <f>LET(
proceedsStyle,Reference!$E$9,
proceeds,AO141,
gain,AS141,
numVmwShares,D141, 
vmwBasis, Z141, 
avgoQty,AE141, 
avgoFMV,Reference!$B$18, 
cashReceived,W141, 
avgoTotalValue, avgoFMV*avgoQty, 
vmwTotalBasis, vmwBasis*numVmwShares,
alternateGainAmount,AF141, 
SWITCH(proceedsStyle,
  "cashOnly",
    proceeds - gain,
  "combined",
    IF(cashReceived&lt;alternateGainAmount,
      avgoTotalValue,
      vmwTotalBasis
    )
  )
)</f>
        <v>0</v>
      </c>
      <c r="AQ141" s="345" t="str">
        <f t="shared" si="14"/>
        <v/>
      </c>
      <c r="AR141" s="345">
        <v>0.0</v>
      </c>
      <c r="AS141" s="331">
        <f>LET(
proceedsStyle,Reference!$E$9,
proceeds,AO141,
basis1099B,AP141,
adjustment,AR141,
mergerGain,AI141,
SWITCH(proceedsStyle,
  "cashOnly",
    mergerGain,
  "combined",
    MAX(proceeds - basis1099B + adjustment, 0)
))</f>
        <v>0</v>
      </c>
      <c r="AT141" s="415" t="str">
        <f t="shared" si="15"/>
        <v>n/a</v>
      </c>
      <c r="AU141" s="333">
        <f>LET(saleFMV,Reference!$B$10, postMergerBasis,AT141, avgoQty,AE141, lotFractionAmount,AG141, iferror((saleFMV - postMergerBasis) * (avgoQty - lotFractionAmount), 0))</f>
        <v>0</v>
      </c>
      <c r="AV141" s="333">
        <f>LET(
avgoQty,AE141, 
purchaseDate,C141,
postMergerSaleDate,Reference!$B$29,
saleFMV,Reference!$B$10,
postMergerBasis,AT141, 
IFERROR(IF(DATEDIF(purchaseDate,postMergerSaleDate,"Y")&gt;=1,
  0,
  avgoQty * (saleFMV - postMergerBasis)
),0))</f>
        <v>0</v>
      </c>
      <c r="AW141" s="336">
        <f>LET(
avgoQty,AE141, 
purchaseDate,C141,
postMergerSaleDate,Reference!$B$29,
saleFMV,Reference!$B$10,
postMergerBasis,AT141, 
IFERROR(IF(DATEDIF(purchaseDate,postMergerSaleDate,"Y")&gt;=1,
  avgoQty * (saleFMV - postMergerBasis),
  0
),0))</f>
        <v>0</v>
      </c>
    </row>
    <row r="142">
      <c r="A142" s="422"/>
      <c r="B142" s="423"/>
      <c r="C142" s="351"/>
      <c r="D142" s="352"/>
      <c r="E142" s="321" t="str">
        <f t="array" ref="E142">IF(C142&lt;&gt;"", IFERROR(VLOOKUP(C142, SORT(PriceReference!$A$1:$B1014), 2, TRUE), "price unavailable"), "")</f>
        <v/>
      </c>
      <c r="F142" s="416"/>
      <c r="G142" s="309">
        <f t="shared" si="6"/>
        <v>0</v>
      </c>
      <c r="H142" s="321">
        <f t="shared" si="7"/>
        <v>0</v>
      </c>
      <c r="I142" s="417"/>
      <c r="J142" s="348" t="b">
        <v>0</v>
      </c>
      <c r="K142" s="409"/>
      <c r="L142" s="315">
        <v>0.0</v>
      </c>
      <c r="M142" s="315">
        <v>0.0</v>
      </c>
      <c r="N142" s="315">
        <v>0.0</v>
      </c>
      <c r="O142" s="315">
        <v>0.0</v>
      </c>
      <c r="P142" s="315">
        <v>0.0</v>
      </c>
      <c r="Q142" s="317">
        <f t="shared" si="8"/>
        <v>0</v>
      </c>
      <c r="R142" s="317" t="str">
        <f>SWITCH(S142,"cash",Reference!E$5,"shares",Reference!$E$6,"balance",Reference!$E$7,"pro-rata",Reference!$B$5)</f>
        <v>#DIV/0!</v>
      </c>
      <c r="S142" s="318" t="s">
        <v>207</v>
      </c>
      <c r="T142" s="319">
        <f>LET(numVmwShares,D142, cashRatio,Reference!$B$4, vmwFinalPrice,Reference!$B$3, numVmwShares * cashRatio * vmwFinalPrice)</f>
        <v>0</v>
      </c>
      <c r="U142" s="319">
        <f>iferror(LET(numVmwShares,$D142, stockRatio,Q142, vmwFinalPrice,Reference!$B$3, (1 - stockRatio) * vmwFinalPrice * numVmwShares),0)</f>
        <v>0</v>
      </c>
      <c r="V142" s="319">
        <f>iferror(LET(numVmwShares,$D142, stockRatio,R142, vmwFinalPrice,Reference!$B$3, (1 - stockRatio) * vmwFinalPrice * numVmwShares),0)</f>
        <v>0</v>
      </c>
      <c r="W142" s="319">
        <f>SWITCH(Reference!$E$4,"eTradeTransactionLog", T142, "eTradeHoldingRatio",T142, "eTradeLotQtyRatio",U142,"manualLotRatio",V142)</f>
        <v>0</v>
      </c>
      <c r="X142" s="309">
        <f>LET(purchaseDate,C142, dateOfRecord,Reference!$B$26, returnOfCapital,Reference!$C$26, IF(purchaseDate &lt; dateOfRecord, returnOfCapital,0))</f>
        <v>10.18</v>
      </c>
      <c r="Y142" s="309">
        <f>LET(purchaseDate,C142, dateOfRecord,Reference!$B$27, returnOfCapital,Reference!$C$27, IF(purchaseDate &lt; dateOfRecord, returnOfCapital,0))</f>
        <v>16.58</v>
      </c>
      <c r="Z142" s="309">
        <f t="shared" si="9"/>
        <v>-26.76</v>
      </c>
      <c r="AA142" s="309">
        <f t="shared" si="10"/>
        <v>0</v>
      </c>
      <c r="AB142" s="320">
        <f>LET(numVmwShares,D142, stockRatio,Reference!$B$5, vmwToAvgoRatio,Reference!$B$6, numVmwShares * stockRatio * vmwToAvgoRatio)</f>
        <v>0</v>
      </c>
      <c r="AC142" s="320">
        <f>LET(numVmwShares,D142, stockRatio,Q142, vmwToAvgoRatio,Reference!$B$6, numVmwShares * stockRatio * vmwToAvgoRatio)</f>
        <v>0</v>
      </c>
      <c r="AD142" s="320" t="str">
        <f>LET(numVmwShares,D142, stockRatio,R142, vmwToAvgoRatio,Reference!$B$6, numVmwShares * stockRatio * vmwToAvgoRatio)</f>
        <v>#DIV/0!</v>
      </c>
      <c r="AE142" s="320">
        <f>SWITCH(Reference!$E$4, "eTradeTransactionLog", AB142, "eTradeHoldingRatio",AB142, "eTradeLotQtyRatio",AC142,"manualLotRatio",AD142)</f>
        <v>0</v>
      </c>
      <c r="AF142" s="321">
        <f>LET(numVmwShares,D142, vmwBasis,Z142, avgoQty,AE142, avgoFMV,Reference!$B$18, cashReceived,W142, gain,cashReceived+(avgoQty*avgoFMV)-(numVmwShares*vmwBasis),
MAX(gain,0))</f>
        <v>0</v>
      </c>
      <c r="AG142" s="322">
        <f>LET(useForFraction,J142, fractionAmount,Summary!$C$41, esppFractionLots,ESPP!$N$5, rsuFractionLots,RSU!J$5, IF(useForFraction, fractionAmount / (esppFractionLots+rsuFractionLots), 0))</f>
        <v>0</v>
      </c>
      <c r="AH142" s="411">
        <f>LET(useForFraction,J142, fractionSaleFMV,Reference!$B$23, postMergerBasis,AT142, lotFractionAmount,AG142, IF(useForFraction, (fractionSaleFMV - postMergerBasis)*lotFractionAmount, 0))</f>
        <v>0</v>
      </c>
      <c r="AI142" s="412">
        <f t="shared" si="11"/>
        <v>0</v>
      </c>
      <c r="AJ142" s="413">
        <f>LET(
purchaseDate,C142,
mergerDate,Reference!$B$28,
lotFractionGain,AH142,
mergerGain,AI142,
IF(DATEDIF(purchaseDate,mergerDate,"Y")&gt;=1,
  0,
  lotFractionGain + mergerGain
))</f>
        <v>0</v>
      </c>
      <c r="AK142" s="413">
        <f>LET(
purchaseDate,C142,
mergerDate,Reference!$B$28,
lotFractionGain,AH142,
mergerGain,AI142,
IF(DATEDIF(purchaseDate,mergerDate,"Y")&gt;=1,
  lotFractionGain+mergerGain,
  0
))</f>
        <v>0</v>
      </c>
      <c r="AL142" s="414" t="str">
        <f>IF(DATEDIF(C142,Reference!$B$28,"Y")&gt;=1,"Part II Box E","Part I Box B")</f>
        <v>Part II Box E</v>
      </c>
      <c r="AM142" s="344" t="str">
        <f t="shared" si="12"/>
        <v/>
      </c>
      <c r="AN142" s="330">
        <f t="shared" si="13"/>
        <v>0</v>
      </c>
      <c r="AO142" s="330">
        <f>LET(
cashReceived,W142, 
avgoQty,AE142, 
proceedsStyle,Reference!$E$9, 
avgoFMV,Reference!$B$18, 
SWITCH(proceedsStyle, "combined", cashReceived +(avgoQty*avgoFMV), "cashOnly", cashReceived))</f>
        <v>0</v>
      </c>
      <c r="AP142" s="345">
        <f>LET(
proceedsStyle,Reference!$E$9,
proceeds,AO142,
gain,AS142,
numVmwShares,D142, 
vmwBasis, Z142, 
avgoQty,AE142, 
avgoFMV,Reference!$B$18, 
cashReceived,W142, 
avgoTotalValue, avgoFMV*avgoQty, 
vmwTotalBasis, vmwBasis*numVmwShares,
alternateGainAmount,AF142, 
SWITCH(proceedsStyle,
  "cashOnly",
    proceeds - gain,
  "combined",
    IF(cashReceived&lt;alternateGainAmount,
      avgoTotalValue,
      vmwTotalBasis
    )
  )
)</f>
        <v>0</v>
      </c>
      <c r="AQ142" s="345" t="str">
        <f t="shared" si="14"/>
        <v/>
      </c>
      <c r="AR142" s="345">
        <v>0.0</v>
      </c>
      <c r="AS142" s="331">
        <f>LET(
proceedsStyle,Reference!$E$9,
proceeds,AO142,
basis1099B,AP142,
adjustment,AR142,
mergerGain,AI142,
SWITCH(proceedsStyle,
  "cashOnly",
    mergerGain,
  "combined",
    MAX(proceeds - basis1099B + adjustment, 0)
))</f>
        <v>0</v>
      </c>
      <c r="AT142" s="415" t="str">
        <f t="shared" si="15"/>
        <v>n/a</v>
      </c>
      <c r="AU142" s="333">
        <f>LET(saleFMV,Reference!$B$10, postMergerBasis,AT142, avgoQty,AE142, lotFractionAmount,AG142, iferror((saleFMV - postMergerBasis) * (avgoQty - lotFractionAmount), 0))</f>
        <v>0</v>
      </c>
      <c r="AV142" s="333">
        <f>LET(
avgoQty,AE142, 
purchaseDate,C142,
postMergerSaleDate,Reference!$B$29,
saleFMV,Reference!$B$10,
postMergerBasis,AT142, 
IFERROR(IF(DATEDIF(purchaseDate,postMergerSaleDate,"Y")&gt;=1,
  0,
  avgoQty * (saleFMV - postMergerBasis)
),0))</f>
        <v>0</v>
      </c>
      <c r="AW142" s="336">
        <f>LET(
avgoQty,AE142, 
purchaseDate,C142,
postMergerSaleDate,Reference!$B$29,
saleFMV,Reference!$B$10,
postMergerBasis,AT142, 
IFERROR(IF(DATEDIF(purchaseDate,postMergerSaleDate,"Y")&gt;=1,
  avgoQty * (saleFMV - postMergerBasis),
  0
),0))</f>
        <v>0</v>
      </c>
    </row>
    <row r="143">
      <c r="A143" s="422"/>
      <c r="B143" s="423"/>
      <c r="C143" s="351"/>
      <c r="D143" s="352"/>
      <c r="E143" s="321" t="str">
        <f t="array" ref="E143">IF(C143&lt;&gt;"", IFERROR(VLOOKUP(C143, SORT(PriceReference!$A$1:$B1014), 2, TRUE), "price unavailable"), "")</f>
        <v/>
      </c>
      <c r="F143" s="416"/>
      <c r="G143" s="309">
        <f t="shared" si="6"/>
        <v>0</v>
      </c>
      <c r="H143" s="321">
        <f t="shared" si="7"/>
        <v>0</v>
      </c>
      <c r="I143" s="417"/>
      <c r="J143" s="348" t="b">
        <v>0</v>
      </c>
      <c r="K143" s="409"/>
      <c r="L143" s="315">
        <v>0.0</v>
      </c>
      <c r="M143" s="315">
        <v>0.0</v>
      </c>
      <c r="N143" s="315">
        <v>0.0</v>
      </c>
      <c r="O143" s="315">
        <v>0.0</v>
      </c>
      <c r="P143" s="315">
        <v>0.0</v>
      </c>
      <c r="Q143" s="317">
        <f t="shared" si="8"/>
        <v>0</v>
      </c>
      <c r="R143" s="317" t="str">
        <f>SWITCH(S143,"cash",Reference!E$5,"shares",Reference!$E$6,"balance",Reference!$E$7,"pro-rata",Reference!$B$5)</f>
        <v>#DIV/0!</v>
      </c>
      <c r="S143" s="318" t="s">
        <v>207</v>
      </c>
      <c r="T143" s="319">
        <f>LET(numVmwShares,D143, cashRatio,Reference!$B$4, vmwFinalPrice,Reference!$B$3, numVmwShares * cashRatio * vmwFinalPrice)</f>
        <v>0</v>
      </c>
      <c r="U143" s="319">
        <f>iferror(LET(numVmwShares,$D143, stockRatio,Q143, vmwFinalPrice,Reference!$B$3, (1 - stockRatio) * vmwFinalPrice * numVmwShares),0)</f>
        <v>0</v>
      </c>
      <c r="V143" s="319">
        <f>iferror(LET(numVmwShares,$D143, stockRatio,R143, vmwFinalPrice,Reference!$B$3, (1 - stockRatio) * vmwFinalPrice * numVmwShares),0)</f>
        <v>0</v>
      </c>
      <c r="W143" s="319">
        <f>SWITCH(Reference!$E$4,"eTradeTransactionLog", T143, "eTradeHoldingRatio",T143, "eTradeLotQtyRatio",U143,"manualLotRatio",V143)</f>
        <v>0</v>
      </c>
      <c r="X143" s="309">
        <f>LET(purchaseDate,C143, dateOfRecord,Reference!$B$26, returnOfCapital,Reference!$C$26, IF(purchaseDate &lt; dateOfRecord, returnOfCapital,0))</f>
        <v>10.18</v>
      </c>
      <c r="Y143" s="309">
        <f>LET(purchaseDate,C143, dateOfRecord,Reference!$B$27, returnOfCapital,Reference!$C$27, IF(purchaseDate &lt; dateOfRecord, returnOfCapital,0))</f>
        <v>16.58</v>
      </c>
      <c r="Z143" s="309">
        <f t="shared" si="9"/>
        <v>-26.76</v>
      </c>
      <c r="AA143" s="309">
        <f t="shared" si="10"/>
        <v>0</v>
      </c>
      <c r="AB143" s="320">
        <f>LET(numVmwShares,D143, stockRatio,Reference!$B$5, vmwToAvgoRatio,Reference!$B$6, numVmwShares * stockRatio * vmwToAvgoRatio)</f>
        <v>0</v>
      </c>
      <c r="AC143" s="320">
        <f>LET(numVmwShares,D143, stockRatio,Q143, vmwToAvgoRatio,Reference!$B$6, numVmwShares * stockRatio * vmwToAvgoRatio)</f>
        <v>0</v>
      </c>
      <c r="AD143" s="320" t="str">
        <f>LET(numVmwShares,D143, stockRatio,R143, vmwToAvgoRatio,Reference!$B$6, numVmwShares * stockRatio * vmwToAvgoRatio)</f>
        <v>#DIV/0!</v>
      </c>
      <c r="AE143" s="320">
        <f>SWITCH(Reference!$E$4, "eTradeTransactionLog", AB143, "eTradeHoldingRatio",AB143, "eTradeLotQtyRatio",AC143,"manualLotRatio",AD143)</f>
        <v>0</v>
      </c>
      <c r="AF143" s="321">
        <f>LET(numVmwShares,D143, vmwBasis,Z143, avgoQty,AE143, avgoFMV,Reference!$B$18, cashReceived,W143, gain,cashReceived+(avgoQty*avgoFMV)-(numVmwShares*vmwBasis),
MAX(gain,0))</f>
        <v>0</v>
      </c>
      <c r="AG143" s="322">
        <f>LET(useForFraction,J143, fractionAmount,Summary!$C$41, esppFractionLots,ESPP!$N$5, rsuFractionLots,RSU!J$5, IF(useForFraction, fractionAmount / (esppFractionLots+rsuFractionLots), 0))</f>
        <v>0</v>
      </c>
      <c r="AH143" s="411">
        <f>LET(useForFraction,J143, fractionSaleFMV,Reference!$B$23, postMergerBasis,AT143, lotFractionAmount,AG143, IF(useForFraction, (fractionSaleFMV - postMergerBasis)*lotFractionAmount, 0))</f>
        <v>0</v>
      </c>
      <c r="AI143" s="412">
        <f t="shared" si="11"/>
        <v>0</v>
      </c>
      <c r="AJ143" s="413">
        <f>LET(
purchaseDate,C143,
mergerDate,Reference!$B$28,
lotFractionGain,AH143,
mergerGain,AI143,
IF(DATEDIF(purchaseDate,mergerDate,"Y")&gt;=1,
  0,
  lotFractionGain + mergerGain
))</f>
        <v>0</v>
      </c>
      <c r="AK143" s="413">
        <f>LET(
purchaseDate,C143,
mergerDate,Reference!$B$28,
lotFractionGain,AH143,
mergerGain,AI143,
IF(DATEDIF(purchaseDate,mergerDate,"Y")&gt;=1,
  lotFractionGain+mergerGain,
  0
))</f>
        <v>0</v>
      </c>
      <c r="AL143" s="414" t="str">
        <f>IF(DATEDIF(C143,Reference!$B$28,"Y")&gt;=1,"Part II Box E","Part I Box B")</f>
        <v>Part II Box E</v>
      </c>
      <c r="AM143" s="344" t="str">
        <f t="shared" si="12"/>
        <v/>
      </c>
      <c r="AN143" s="330">
        <f t="shared" si="13"/>
        <v>0</v>
      </c>
      <c r="AO143" s="330">
        <f>LET(
cashReceived,W143, 
avgoQty,AE143, 
proceedsStyle,Reference!$E$9, 
avgoFMV,Reference!$B$18, 
SWITCH(proceedsStyle, "combined", cashReceived +(avgoQty*avgoFMV), "cashOnly", cashReceived))</f>
        <v>0</v>
      </c>
      <c r="AP143" s="345">
        <f>LET(
proceedsStyle,Reference!$E$9,
proceeds,AO143,
gain,AS143,
numVmwShares,D143, 
vmwBasis, Z143, 
avgoQty,AE143, 
avgoFMV,Reference!$B$18, 
cashReceived,W143, 
avgoTotalValue, avgoFMV*avgoQty, 
vmwTotalBasis, vmwBasis*numVmwShares,
alternateGainAmount,AF143, 
SWITCH(proceedsStyle,
  "cashOnly",
    proceeds - gain,
  "combined",
    IF(cashReceived&lt;alternateGainAmount,
      avgoTotalValue,
      vmwTotalBasis
    )
  )
)</f>
        <v>0</v>
      </c>
      <c r="AQ143" s="345" t="str">
        <f t="shared" si="14"/>
        <v/>
      </c>
      <c r="AR143" s="345">
        <v>0.0</v>
      </c>
      <c r="AS143" s="331">
        <f>LET(
proceedsStyle,Reference!$E$9,
proceeds,AO143,
basis1099B,AP143,
adjustment,AR143,
mergerGain,AI143,
SWITCH(proceedsStyle,
  "cashOnly",
    mergerGain,
  "combined",
    MAX(proceeds - basis1099B + adjustment, 0)
))</f>
        <v>0</v>
      </c>
      <c r="AT143" s="415" t="str">
        <f t="shared" si="15"/>
        <v>n/a</v>
      </c>
      <c r="AU143" s="333">
        <f>LET(saleFMV,Reference!$B$10, postMergerBasis,AT143, avgoQty,AE143, lotFractionAmount,AG143, iferror((saleFMV - postMergerBasis) * (avgoQty - lotFractionAmount), 0))</f>
        <v>0</v>
      </c>
      <c r="AV143" s="333">
        <f>LET(
avgoQty,AE143, 
purchaseDate,C143,
postMergerSaleDate,Reference!$B$29,
saleFMV,Reference!$B$10,
postMergerBasis,AT143, 
IFERROR(IF(DATEDIF(purchaseDate,postMergerSaleDate,"Y")&gt;=1,
  0,
  avgoQty * (saleFMV - postMergerBasis)
),0))</f>
        <v>0</v>
      </c>
      <c r="AW143" s="336">
        <f>LET(
avgoQty,AE143, 
purchaseDate,C143,
postMergerSaleDate,Reference!$B$29,
saleFMV,Reference!$B$10,
postMergerBasis,AT143, 
IFERROR(IF(DATEDIF(purchaseDate,postMergerSaleDate,"Y")&gt;=1,
  avgoQty * (saleFMV - postMergerBasis),
  0
),0))</f>
        <v>0</v>
      </c>
    </row>
    <row r="144">
      <c r="A144" s="422"/>
      <c r="B144" s="423"/>
      <c r="C144" s="351"/>
      <c r="D144" s="352"/>
      <c r="E144" s="321" t="str">
        <f t="array" ref="E144">IF(C144&lt;&gt;"", IFERROR(VLOOKUP(C144, SORT(PriceReference!$A$1:$B1014), 2, TRUE), "price unavailable"), "")</f>
        <v/>
      </c>
      <c r="F144" s="416"/>
      <c r="G144" s="309">
        <f t="shared" si="6"/>
        <v>0</v>
      </c>
      <c r="H144" s="321">
        <f t="shared" si="7"/>
        <v>0</v>
      </c>
      <c r="I144" s="417"/>
      <c r="J144" s="348" t="b">
        <v>0</v>
      </c>
      <c r="K144" s="409"/>
      <c r="L144" s="315">
        <v>0.0</v>
      </c>
      <c r="M144" s="315">
        <v>0.0</v>
      </c>
      <c r="N144" s="315">
        <v>0.0</v>
      </c>
      <c r="O144" s="315">
        <v>0.0</v>
      </c>
      <c r="P144" s="315">
        <v>0.0</v>
      </c>
      <c r="Q144" s="317">
        <f t="shared" si="8"/>
        <v>0</v>
      </c>
      <c r="R144" s="317" t="str">
        <f>SWITCH(S144,"cash",Reference!E$5,"shares",Reference!$E$6,"balance",Reference!$E$7,"pro-rata",Reference!$B$5)</f>
        <v>#DIV/0!</v>
      </c>
      <c r="S144" s="318" t="s">
        <v>207</v>
      </c>
      <c r="T144" s="319">
        <f>LET(numVmwShares,D144, cashRatio,Reference!$B$4, vmwFinalPrice,Reference!$B$3, numVmwShares * cashRatio * vmwFinalPrice)</f>
        <v>0</v>
      </c>
      <c r="U144" s="319">
        <f>iferror(LET(numVmwShares,$D144, stockRatio,Q144, vmwFinalPrice,Reference!$B$3, (1 - stockRatio) * vmwFinalPrice * numVmwShares),0)</f>
        <v>0</v>
      </c>
      <c r="V144" s="319">
        <f>iferror(LET(numVmwShares,$D144, stockRatio,R144, vmwFinalPrice,Reference!$B$3, (1 - stockRatio) * vmwFinalPrice * numVmwShares),0)</f>
        <v>0</v>
      </c>
      <c r="W144" s="319">
        <f>SWITCH(Reference!$E$4,"eTradeTransactionLog", T144, "eTradeHoldingRatio",T144, "eTradeLotQtyRatio",U144,"manualLotRatio",V144)</f>
        <v>0</v>
      </c>
      <c r="X144" s="309">
        <f>LET(purchaseDate,C144, dateOfRecord,Reference!$B$26, returnOfCapital,Reference!$C$26, IF(purchaseDate &lt; dateOfRecord, returnOfCapital,0))</f>
        <v>10.18</v>
      </c>
      <c r="Y144" s="309">
        <f>LET(purchaseDate,C144, dateOfRecord,Reference!$B$27, returnOfCapital,Reference!$C$27, IF(purchaseDate &lt; dateOfRecord, returnOfCapital,0))</f>
        <v>16.58</v>
      </c>
      <c r="Z144" s="309">
        <f t="shared" si="9"/>
        <v>-26.76</v>
      </c>
      <c r="AA144" s="309">
        <f t="shared" si="10"/>
        <v>0</v>
      </c>
      <c r="AB144" s="320">
        <f>LET(numVmwShares,D144, stockRatio,Reference!$B$5, vmwToAvgoRatio,Reference!$B$6, numVmwShares * stockRatio * vmwToAvgoRatio)</f>
        <v>0</v>
      </c>
      <c r="AC144" s="320">
        <f>LET(numVmwShares,D144, stockRatio,Q144, vmwToAvgoRatio,Reference!$B$6, numVmwShares * stockRatio * vmwToAvgoRatio)</f>
        <v>0</v>
      </c>
      <c r="AD144" s="320" t="str">
        <f>LET(numVmwShares,D144, stockRatio,R144, vmwToAvgoRatio,Reference!$B$6, numVmwShares * stockRatio * vmwToAvgoRatio)</f>
        <v>#DIV/0!</v>
      </c>
      <c r="AE144" s="320">
        <f>SWITCH(Reference!$E$4, "eTradeTransactionLog", AB144, "eTradeHoldingRatio",AB144, "eTradeLotQtyRatio",AC144,"manualLotRatio",AD144)</f>
        <v>0</v>
      </c>
      <c r="AF144" s="321">
        <f>LET(numVmwShares,D144, vmwBasis,Z144, avgoQty,AE144, avgoFMV,Reference!$B$18, cashReceived,W144, gain,cashReceived+(avgoQty*avgoFMV)-(numVmwShares*vmwBasis),
MAX(gain,0))</f>
        <v>0</v>
      </c>
      <c r="AG144" s="322">
        <f>LET(useForFraction,J144, fractionAmount,Summary!$C$41, esppFractionLots,ESPP!$N$5, rsuFractionLots,RSU!J$5, IF(useForFraction, fractionAmount / (esppFractionLots+rsuFractionLots), 0))</f>
        <v>0</v>
      </c>
      <c r="AH144" s="411">
        <f>LET(useForFraction,J144, fractionSaleFMV,Reference!$B$23, postMergerBasis,AT144, lotFractionAmount,AG144, IF(useForFraction, (fractionSaleFMV - postMergerBasis)*lotFractionAmount, 0))</f>
        <v>0</v>
      </c>
      <c r="AI144" s="412">
        <f t="shared" si="11"/>
        <v>0</v>
      </c>
      <c r="AJ144" s="413">
        <f>LET(
purchaseDate,C144,
mergerDate,Reference!$B$28,
lotFractionGain,AH144,
mergerGain,AI144,
IF(DATEDIF(purchaseDate,mergerDate,"Y")&gt;=1,
  0,
  lotFractionGain + mergerGain
))</f>
        <v>0</v>
      </c>
      <c r="AK144" s="413">
        <f>LET(
purchaseDate,C144,
mergerDate,Reference!$B$28,
lotFractionGain,AH144,
mergerGain,AI144,
IF(DATEDIF(purchaseDate,mergerDate,"Y")&gt;=1,
  lotFractionGain+mergerGain,
  0
))</f>
        <v>0</v>
      </c>
      <c r="AL144" s="414" t="str">
        <f>IF(DATEDIF(C144,Reference!$B$28,"Y")&gt;=1,"Part II Box E","Part I Box B")</f>
        <v>Part II Box E</v>
      </c>
      <c r="AM144" s="344" t="str">
        <f t="shared" si="12"/>
        <v/>
      </c>
      <c r="AN144" s="330">
        <f t="shared" si="13"/>
        <v>0</v>
      </c>
      <c r="AO144" s="330">
        <f>LET(
cashReceived,W144, 
avgoQty,AE144, 
proceedsStyle,Reference!$E$9, 
avgoFMV,Reference!$B$18, 
SWITCH(proceedsStyle, "combined", cashReceived +(avgoQty*avgoFMV), "cashOnly", cashReceived))</f>
        <v>0</v>
      </c>
      <c r="AP144" s="345">
        <f>LET(
proceedsStyle,Reference!$E$9,
proceeds,AO144,
gain,AS144,
numVmwShares,D144, 
vmwBasis, Z144, 
avgoQty,AE144, 
avgoFMV,Reference!$B$18, 
cashReceived,W144, 
avgoTotalValue, avgoFMV*avgoQty, 
vmwTotalBasis, vmwBasis*numVmwShares,
alternateGainAmount,AF144, 
SWITCH(proceedsStyle,
  "cashOnly",
    proceeds - gain,
  "combined",
    IF(cashReceived&lt;alternateGainAmount,
      avgoTotalValue,
      vmwTotalBasis
    )
  )
)</f>
        <v>0</v>
      </c>
      <c r="AQ144" s="345" t="str">
        <f t="shared" si="14"/>
        <v/>
      </c>
      <c r="AR144" s="345">
        <v>0.0</v>
      </c>
      <c r="AS144" s="331">
        <f>LET(
proceedsStyle,Reference!$E$9,
proceeds,AO144,
basis1099B,AP144,
adjustment,AR144,
mergerGain,AI144,
SWITCH(proceedsStyle,
  "cashOnly",
    mergerGain,
  "combined",
    MAX(proceeds - basis1099B + adjustment, 0)
))</f>
        <v>0</v>
      </c>
      <c r="AT144" s="415" t="str">
        <f t="shared" si="15"/>
        <v>n/a</v>
      </c>
      <c r="AU144" s="333">
        <f>LET(saleFMV,Reference!$B$10, postMergerBasis,AT144, avgoQty,AE144, lotFractionAmount,AG144, iferror((saleFMV - postMergerBasis) * (avgoQty - lotFractionAmount), 0))</f>
        <v>0</v>
      </c>
      <c r="AV144" s="333">
        <f>LET(
avgoQty,AE144, 
purchaseDate,C144,
postMergerSaleDate,Reference!$B$29,
saleFMV,Reference!$B$10,
postMergerBasis,AT144, 
IFERROR(IF(DATEDIF(purchaseDate,postMergerSaleDate,"Y")&gt;=1,
  0,
  avgoQty * (saleFMV - postMergerBasis)
),0))</f>
        <v>0</v>
      </c>
      <c r="AW144" s="336">
        <f>LET(
avgoQty,AE144, 
purchaseDate,C144,
postMergerSaleDate,Reference!$B$29,
saleFMV,Reference!$B$10,
postMergerBasis,AT144, 
IFERROR(IF(DATEDIF(purchaseDate,postMergerSaleDate,"Y")&gt;=1,
  avgoQty * (saleFMV - postMergerBasis),
  0
),0))</f>
        <v>0</v>
      </c>
    </row>
    <row r="145">
      <c r="A145" s="422"/>
      <c r="B145" s="423"/>
      <c r="C145" s="351"/>
      <c r="D145" s="352"/>
      <c r="E145" s="321" t="str">
        <f t="array" ref="E145">IF(C145&lt;&gt;"", IFERROR(VLOOKUP(C145, SORT(PriceReference!$A$1:$B1014), 2, TRUE), "price unavailable"), "")</f>
        <v/>
      </c>
      <c r="F145" s="416"/>
      <c r="G145" s="309">
        <f t="shared" si="6"/>
        <v>0</v>
      </c>
      <c r="H145" s="321">
        <f t="shared" si="7"/>
        <v>0</v>
      </c>
      <c r="I145" s="417"/>
      <c r="J145" s="348" t="b">
        <v>0</v>
      </c>
      <c r="K145" s="409"/>
      <c r="L145" s="315">
        <v>0.0</v>
      </c>
      <c r="M145" s="315">
        <v>0.0</v>
      </c>
      <c r="N145" s="315">
        <v>0.0</v>
      </c>
      <c r="O145" s="315">
        <v>0.0</v>
      </c>
      <c r="P145" s="315">
        <v>0.0</v>
      </c>
      <c r="Q145" s="317">
        <f t="shared" si="8"/>
        <v>0</v>
      </c>
      <c r="R145" s="317" t="str">
        <f>SWITCH(S145,"cash",Reference!E$5,"shares",Reference!$E$6,"balance",Reference!$E$7,"pro-rata",Reference!$B$5)</f>
        <v>#DIV/0!</v>
      </c>
      <c r="S145" s="318" t="s">
        <v>207</v>
      </c>
      <c r="T145" s="319">
        <f>LET(numVmwShares,D145, cashRatio,Reference!$B$4, vmwFinalPrice,Reference!$B$3, numVmwShares * cashRatio * vmwFinalPrice)</f>
        <v>0</v>
      </c>
      <c r="U145" s="319">
        <f>iferror(LET(numVmwShares,$D145, stockRatio,Q145, vmwFinalPrice,Reference!$B$3, (1 - stockRatio) * vmwFinalPrice * numVmwShares),0)</f>
        <v>0</v>
      </c>
      <c r="V145" s="319">
        <f>iferror(LET(numVmwShares,$D145, stockRatio,R145, vmwFinalPrice,Reference!$B$3, (1 - stockRatio) * vmwFinalPrice * numVmwShares),0)</f>
        <v>0</v>
      </c>
      <c r="W145" s="319">
        <f>SWITCH(Reference!$E$4,"eTradeTransactionLog", T145, "eTradeHoldingRatio",T145, "eTradeLotQtyRatio",U145,"manualLotRatio",V145)</f>
        <v>0</v>
      </c>
      <c r="X145" s="309">
        <f>LET(purchaseDate,C145, dateOfRecord,Reference!$B$26, returnOfCapital,Reference!$C$26, IF(purchaseDate &lt; dateOfRecord, returnOfCapital,0))</f>
        <v>10.18</v>
      </c>
      <c r="Y145" s="309">
        <f>LET(purchaseDate,C145, dateOfRecord,Reference!$B$27, returnOfCapital,Reference!$C$27, IF(purchaseDate &lt; dateOfRecord, returnOfCapital,0))</f>
        <v>16.58</v>
      </c>
      <c r="Z145" s="309">
        <f t="shared" si="9"/>
        <v>-26.76</v>
      </c>
      <c r="AA145" s="309">
        <f t="shared" si="10"/>
        <v>0</v>
      </c>
      <c r="AB145" s="320">
        <f>LET(numVmwShares,D145, stockRatio,Reference!$B$5, vmwToAvgoRatio,Reference!$B$6, numVmwShares * stockRatio * vmwToAvgoRatio)</f>
        <v>0</v>
      </c>
      <c r="AC145" s="320">
        <f>LET(numVmwShares,D145, stockRatio,Q145, vmwToAvgoRatio,Reference!$B$6, numVmwShares * stockRatio * vmwToAvgoRatio)</f>
        <v>0</v>
      </c>
      <c r="AD145" s="320" t="str">
        <f>LET(numVmwShares,D145, stockRatio,R145, vmwToAvgoRatio,Reference!$B$6, numVmwShares * stockRatio * vmwToAvgoRatio)</f>
        <v>#DIV/0!</v>
      </c>
      <c r="AE145" s="320">
        <f>SWITCH(Reference!$E$4, "eTradeTransactionLog", AB145, "eTradeHoldingRatio",AB145, "eTradeLotQtyRatio",AC145,"manualLotRatio",AD145)</f>
        <v>0</v>
      </c>
      <c r="AF145" s="321">
        <f>LET(numVmwShares,D145, vmwBasis,Z145, avgoQty,AE145, avgoFMV,Reference!$B$18, cashReceived,W145, gain,cashReceived+(avgoQty*avgoFMV)-(numVmwShares*vmwBasis),
MAX(gain,0))</f>
        <v>0</v>
      </c>
      <c r="AG145" s="322">
        <f>LET(useForFraction,J145, fractionAmount,Summary!$C$41, esppFractionLots,ESPP!$N$5, rsuFractionLots,RSU!J$5, IF(useForFraction, fractionAmount / (esppFractionLots+rsuFractionLots), 0))</f>
        <v>0</v>
      </c>
      <c r="AH145" s="411">
        <f>LET(useForFraction,J145, fractionSaleFMV,Reference!$B$23, postMergerBasis,AT145, lotFractionAmount,AG145, IF(useForFraction, (fractionSaleFMV - postMergerBasis)*lotFractionAmount, 0))</f>
        <v>0</v>
      </c>
      <c r="AI145" s="412">
        <f t="shared" si="11"/>
        <v>0</v>
      </c>
      <c r="AJ145" s="413">
        <f>LET(
purchaseDate,C145,
mergerDate,Reference!$B$28,
lotFractionGain,AH145,
mergerGain,AI145,
IF(DATEDIF(purchaseDate,mergerDate,"Y")&gt;=1,
  0,
  lotFractionGain + mergerGain
))</f>
        <v>0</v>
      </c>
      <c r="AK145" s="413">
        <f>LET(
purchaseDate,C145,
mergerDate,Reference!$B$28,
lotFractionGain,AH145,
mergerGain,AI145,
IF(DATEDIF(purchaseDate,mergerDate,"Y")&gt;=1,
  lotFractionGain+mergerGain,
  0
))</f>
        <v>0</v>
      </c>
      <c r="AL145" s="414" t="str">
        <f>IF(DATEDIF(C145,Reference!$B$28,"Y")&gt;=1,"Part II Box E","Part I Box B")</f>
        <v>Part II Box E</v>
      </c>
      <c r="AM145" s="344" t="str">
        <f t="shared" si="12"/>
        <v/>
      </c>
      <c r="AN145" s="330">
        <f t="shared" si="13"/>
        <v>0</v>
      </c>
      <c r="AO145" s="330">
        <f>LET(
cashReceived,W145, 
avgoQty,AE145, 
proceedsStyle,Reference!$E$9, 
avgoFMV,Reference!$B$18, 
SWITCH(proceedsStyle, "combined", cashReceived +(avgoQty*avgoFMV), "cashOnly", cashReceived))</f>
        <v>0</v>
      </c>
      <c r="AP145" s="345">
        <f>LET(
proceedsStyle,Reference!$E$9,
proceeds,AO145,
gain,AS145,
numVmwShares,D145, 
vmwBasis, Z145, 
avgoQty,AE145, 
avgoFMV,Reference!$B$18, 
cashReceived,W145, 
avgoTotalValue, avgoFMV*avgoQty, 
vmwTotalBasis, vmwBasis*numVmwShares,
alternateGainAmount,AF145, 
SWITCH(proceedsStyle,
  "cashOnly",
    proceeds - gain,
  "combined",
    IF(cashReceived&lt;alternateGainAmount,
      avgoTotalValue,
      vmwTotalBasis
    )
  )
)</f>
        <v>0</v>
      </c>
      <c r="AQ145" s="345" t="str">
        <f t="shared" si="14"/>
        <v/>
      </c>
      <c r="AR145" s="345">
        <v>0.0</v>
      </c>
      <c r="AS145" s="331">
        <f>LET(
proceedsStyle,Reference!$E$9,
proceeds,AO145,
basis1099B,AP145,
adjustment,AR145,
mergerGain,AI145,
SWITCH(proceedsStyle,
  "cashOnly",
    mergerGain,
  "combined",
    MAX(proceeds - basis1099B + adjustment, 0)
))</f>
        <v>0</v>
      </c>
      <c r="AT145" s="415" t="str">
        <f t="shared" si="15"/>
        <v>n/a</v>
      </c>
      <c r="AU145" s="333">
        <f>LET(saleFMV,Reference!$B$10, postMergerBasis,AT145, avgoQty,AE145, lotFractionAmount,AG145, iferror((saleFMV - postMergerBasis) * (avgoQty - lotFractionAmount), 0))</f>
        <v>0</v>
      </c>
      <c r="AV145" s="333">
        <f>LET(
avgoQty,AE145, 
purchaseDate,C145,
postMergerSaleDate,Reference!$B$29,
saleFMV,Reference!$B$10,
postMergerBasis,AT145, 
IFERROR(IF(DATEDIF(purchaseDate,postMergerSaleDate,"Y")&gt;=1,
  0,
  avgoQty * (saleFMV - postMergerBasis)
),0))</f>
        <v>0</v>
      </c>
      <c r="AW145" s="336">
        <f>LET(
avgoQty,AE145, 
purchaseDate,C145,
postMergerSaleDate,Reference!$B$29,
saleFMV,Reference!$B$10,
postMergerBasis,AT145, 
IFERROR(IF(DATEDIF(purchaseDate,postMergerSaleDate,"Y")&gt;=1,
  avgoQty * (saleFMV - postMergerBasis),
  0
),0))</f>
        <v>0</v>
      </c>
    </row>
    <row r="146">
      <c r="A146" s="422"/>
      <c r="B146" s="423"/>
      <c r="C146" s="351"/>
      <c r="D146" s="352"/>
      <c r="E146" s="321" t="str">
        <f t="array" ref="E146">IF(C146&lt;&gt;"", IFERROR(VLOOKUP(C146, SORT(PriceReference!$A$1:$B1014), 2, TRUE), "price unavailable"), "")</f>
        <v/>
      </c>
      <c r="F146" s="416"/>
      <c r="G146" s="309">
        <f t="shared" si="6"/>
        <v>0</v>
      </c>
      <c r="H146" s="321">
        <f t="shared" si="7"/>
        <v>0</v>
      </c>
      <c r="I146" s="417"/>
      <c r="J146" s="348" t="b">
        <v>0</v>
      </c>
      <c r="K146" s="409"/>
      <c r="L146" s="315">
        <v>0.0</v>
      </c>
      <c r="M146" s="315">
        <v>0.0</v>
      </c>
      <c r="N146" s="315">
        <v>0.0</v>
      </c>
      <c r="O146" s="315">
        <v>0.0</v>
      </c>
      <c r="P146" s="315">
        <v>0.0</v>
      </c>
      <c r="Q146" s="317">
        <f t="shared" si="8"/>
        <v>0</v>
      </c>
      <c r="R146" s="317" t="str">
        <f>SWITCH(S146,"cash",Reference!E$5,"shares",Reference!$E$6,"balance",Reference!$E$7,"pro-rata",Reference!$B$5)</f>
        <v>#DIV/0!</v>
      </c>
      <c r="S146" s="318" t="s">
        <v>207</v>
      </c>
      <c r="T146" s="319">
        <f>LET(numVmwShares,D146, cashRatio,Reference!$B$4, vmwFinalPrice,Reference!$B$3, numVmwShares * cashRatio * vmwFinalPrice)</f>
        <v>0</v>
      </c>
      <c r="U146" s="319">
        <f>iferror(LET(numVmwShares,$D146, stockRatio,Q146, vmwFinalPrice,Reference!$B$3, (1 - stockRatio) * vmwFinalPrice * numVmwShares),0)</f>
        <v>0</v>
      </c>
      <c r="V146" s="319">
        <f>iferror(LET(numVmwShares,$D146, stockRatio,R146, vmwFinalPrice,Reference!$B$3, (1 - stockRatio) * vmwFinalPrice * numVmwShares),0)</f>
        <v>0</v>
      </c>
      <c r="W146" s="319">
        <f>SWITCH(Reference!$E$4,"eTradeTransactionLog", T146, "eTradeHoldingRatio",T146, "eTradeLotQtyRatio",U146,"manualLotRatio",V146)</f>
        <v>0</v>
      </c>
      <c r="X146" s="309">
        <f>LET(purchaseDate,C146, dateOfRecord,Reference!$B$26, returnOfCapital,Reference!$C$26, IF(purchaseDate &lt; dateOfRecord, returnOfCapital,0))</f>
        <v>10.18</v>
      </c>
      <c r="Y146" s="309">
        <f>LET(purchaseDate,C146, dateOfRecord,Reference!$B$27, returnOfCapital,Reference!$C$27, IF(purchaseDate &lt; dateOfRecord, returnOfCapital,0))</f>
        <v>16.58</v>
      </c>
      <c r="Z146" s="309">
        <f t="shared" si="9"/>
        <v>-26.76</v>
      </c>
      <c r="AA146" s="309">
        <f t="shared" si="10"/>
        <v>0</v>
      </c>
      <c r="AB146" s="320">
        <f>LET(numVmwShares,D146, stockRatio,Reference!$B$5, vmwToAvgoRatio,Reference!$B$6, numVmwShares * stockRatio * vmwToAvgoRatio)</f>
        <v>0</v>
      </c>
      <c r="AC146" s="320">
        <f>LET(numVmwShares,D146, stockRatio,Q146, vmwToAvgoRatio,Reference!$B$6, numVmwShares * stockRatio * vmwToAvgoRatio)</f>
        <v>0</v>
      </c>
      <c r="AD146" s="320" t="str">
        <f>LET(numVmwShares,D146, stockRatio,R146, vmwToAvgoRatio,Reference!$B$6, numVmwShares * stockRatio * vmwToAvgoRatio)</f>
        <v>#DIV/0!</v>
      </c>
      <c r="AE146" s="320">
        <f>SWITCH(Reference!$E$4, "eTradeTransactionLog", AB146, "eTradeHoldingRatio",AB146, "eTradeLotQtyRatio",AC146,"manualLotRatio",AD146)</f>
        <v>0</v>
      </c>
      <c r="AF146" s="321">
        <f>LET(numVmwShares,D146, vmwBasis,Z146, avgoQty,AE146, avgoFMV,Reference!$B$18, cashReceived,W146, gain,cashReceived+(avgoQty*avgoFMV)-(numVmwShares*vmwBasis),
MAX(gain,0))</f>
        <v>0</v>
      </c>
      <c r="AG146" s="322">
        <f>LET(useForFraction,J146, fractionAmount,Summary!$C$41, esppFractionLots,ESPP!$N$5, rsuFractionLots,RSU!J$5, IF(useForFraction, fractionAmount / (esppFractionLots+rsuFractionLots), 0))</f>
        <v>0</v>
      </c>
      <c r="AH146" s="411">
        <f>LET(useForFraction,J146, fractionSaleFMV,Reference!$B$23, postMergerBasis,AT146, lotFractionAmount,AG146, IF(useForFraction, (fractionSaleFMV - postMergerBasis)*lotFractionAmount, 0))</f>
        <v>0</v>
      </c>
      <c r="AI146" s="412">
        <f t="shared" si="11"/>
        <v>0</v>
      </c>
      <c r="AJ146" s="413">
        <f>LET(
purchaseDate,C146,
mergerDate,Reference!$B$28,
lotFractionGain,AH146,
mergerGain,AI146,
IF(DATEDIF(purchaseDate,mergerDate,"Y")&gt;=1,
  0,
  lotFractionGain + mergerGain
))</f>
        <v>0</v>
      </c>
      <c r="AK146" s="413">
        <f>LET(
purchaseDate,C146,
mergerDate,Reference!$B$28,
lotFractionGain,AH146,
mergerGain,AI146,
IF(DATEDIF(purchaseDate,mergerDate,"Y")&gt;=1,
  lotFractionGain+mergerGain,
  0
))</f>
        <v>0</v>
      </c>
      <c r="AL146" s="414" t="str">
        <f>IF(DATEDIF(C146,Reference!$B$28,"Y")&gt;=1,"Part II Box E","Part I Box B")</f>
        <v>Part II Box E</v>
      </c>
      <c r="AM146" s="344" t="str">
        <f t="shared" si="12"/>
        <v/>
      </c>
      <c r="AN146" s="330">
        <f t="shared" si="13"/>
        <v>0</v>
      </c>
      <c r="AO146" s="330">
        <f>LET(
cashReceived,W146, 
avgoQty,AE146, 
proceedsStyle,Reference!$E$9, 
avgoFMV,Reference!$B$18, 
SWITCH(proceedsStyle, "combined", cashReceived +(avgoQty*avgoFMV), "cashOnly", cashReceived))</f>
        <v>0</v>
      </c>
      <c r="AP146" s="345">
        <f>LET(
proceedsStyle,Reference!$E$9,
proceeds,AO146,
gain,AS146,
numVmwShares,D146, 
vmwBasis, Z146, 
avgoQty,AE146, 
avgoFMV,Reference!$B$18, 
cashReceived,W146, 
avgoTotalValue, avgoFMV*avgoQty, 
vmwTotalBasis, vmwBasis*numVmwShares,
alternateGainAmount,AF146, 
SWITCH(proceedsStyle,
  "cashOnly",
    proceeds - gain,
  "combined",
    IF(cashReceived&lt;alternateGainAmount,
      avgoTotalValue,
      vmwTotalBasis
    )
  )
)</f>
        <v>0</v>
      </c>
      <c r="AQ146" s="345" t="str">
        <f t="shared" si="14"/>
        <v/>
      </c>
      <c r="AR146" s="345">
        <v>0.0</v>
      </c>
      <c r="AS146" s="331">
        <f>LET(
proceedsStyle,Reference!$E$9,
proceeds,AO146,
basis1099B,AP146,
adjustment,AR146,
mergerGain,AI146,
SWITCH(proceedsStyle,
  "cashOnly",
    mergerGain,
  "combined",
    MAX(proceeds - basis1099B + adjustment, 0)
))</f>
        <v>0</v>
      </c>
      <c r="AT146" s="415" t="str">
        <f t="shared" si="15"/>
        <v>n/a</v>
      </c>
      <c r="AU146" s="333">
        <f>LET(saleFMV,Reference!$B$10, postMergerBasis,AT146, avgoQty,AE146, lotFractionAmount,AG146, iferror((saleFMV - postMergerBasis) * (avgoQty - lotFractionAmount), 0))</f>
        <v>0</v>
      </c>
      <c r="AV146" s="333">
        <f>LET(
avgoQty,AE146, 
purchaseDate,C146,
postMergerSaleDate,Reference!$B$29,
saleFMV,Reference!$B$10,
postMergerBasis,AT146, 
IFERROR(IF(DATEDIF(purchaseDate,postMergerSaleDate,"Y")&gt;=1,
  0,
  avgoQty * (saleFMV - postMergerBasis)
),0))</f>
        <v>0</v>
      </c>
      <c r="AW146" s="336">
        <f>LET(
avgoQty,AE146, 
purchaseDate,C146,
postMergerSaleDate,Reference!$B$29,
saleFMV,Reference!$B$10,
postMergerBasis,AT146, 
IFERROR(IF(DATEDIF(purchaseDate,postMergerSaleDate,"Y")&gt;=1,
  avgoQty * (saleFMV - postMergerBasis),
  0
),0))</f>
        <v>0</v>
      </c>
    </row>
    <row r="147">
      <c r="A147" s="422"/>
      <c r="B147" s="423"/>
      <c r="C147" s="351"/>
      <c r="D147" s="352"/>
      <c r="E147" s="321" t="str">
        <f t="array" ref="E147">IF(C147&lt;&gt;"", IFERROR(VLOOKUP(C147, SORT(PriceReference!$A$1:$B1014), 2, TRUE), "price unavailable"), "")</f>
        <v/>
      </c>
      <c r="F147" s="416"/>
      <c r="G147" s="309">
        <f t="shared" si="6"/>
        <v>0</v>
      </c>
      <c r="H147" s="321">
        <f t="shared" si="7"/>
        <v>0</v>
      </c>
      <c r="I147" s="417"/>
      <c r="J147" s="348" t="b">
        <v>0</v>
      </c>
      <c r="K147" s="409"/>
      <c r="L147" s="315">
        <v>0.0</v>
      </c>
      <c r="M147" s="315">
        <v>0.0</v>
      </c>
      <c r="N147" s="315">
        <v>0.0</v>
      </c>
      <c r="O147" s="315">
        <v>0.0</v>
      </c>
      <c r="P147" s="315">
        <v>0.0</v>
      </c>
      <c r="Q147" s="317">
        <f t="shared" si="8"/>
        <v>0</v>
      </c>
      <c r="R147" s="317" t="str">
        <f>SWITCH(S147,"cash",Reference!E$5,"shares",Reference!$E$6,"balance",Reference!$E$7,"pro-rata",Reference!$B$5)</f>
        <v>#DIV/0!</v>
      </c>
      <c r="S147" s="318" t="s">
        <v>207</v>
      </c>
      <c r="T147" s="319">
        <f>LET(numVmwShares,D147, cashRatio,Reference!$B$4, vmwFinalPrice,Reference!$B$3, numVmwShares * cashRatio * vmwFinalPrice)</f>
        <v>0</v>
      </c>
      <c r="U147" s="319">
        <f>iferror(LET(numVmwShares,$D147, stockRatio,Q147, vmwFinalPrice,Reference!$B$3, (1 - stockRatio) * vmwFinalPrice * numVmwShares),0)</f>
        <v>0</v>
      </c>
      <c r="V147" s="319">
        <f>iferror(LET(numVmwShares,$D147, stockRatio,R147, vmwFinalPrice,Reference!$B$3, (1 - stockRatio) * vmwFinalPrice * numVmwShares),0)</f>
        <v>0</v>
      </c>
      <c r="W147" s="319">
        <f>SWITCH(Reference!$E$4,"eTradeTransactionLog", T147, "eTradeHoldingRatio",T147, "eTradeLotQtyRatio",U147,"manualLotRatio",V147)</f>
        <v>0</v>
      </c>
      <c r="X147" s="309">
        <f>LET(purchaseDate,C147, dateOfRecord,Reference!$B$26, returnOfCapital,Reference!$C$26, IF(purchaseDate &lt; dateOfRecord, returnOfCapital,0))</f>
        <v>10.18</v>
      </c>
      <c r="Y147" s="309">
        <f>LET(purchaseDate,C147, dateOfRecord,Reference!$B$27, returnOfCapital,Reference!$C$27, IF(purchaseDate &lt; dateOfRecord, returnOfCapital,0))</f>
        <v>16.58</v>
      </c>
      <c r="Z147" s="309">
        <f t="shared" si="9"/>
        <v>-26.76</v>
      </c>
      <c r="AA147" s="309">
        <f t="shared" si="10"/>
        <v>0</v>
      </c>
      <c r="AB147" s="320">
        <f>LET(numVmwShares,D147, stockRatio,Reference!$B$5, vmwToAvgoRatio,Reference!$B$6, numVmwShares * stockRatio * vmwToAvgoRatio)</f>
        <v>0</v>
      </c>
      <c r="AC147" s="320">
        <f>LET(numVmwShares,D147, stockRatio,Q147, vmwToAvgoRatio,Reference!$B$6, numVmwShares * stockRatio * vmwToAvgoRatio)</f>
        <v>0</v>
      </c>
      <c r="AD147" s="320" t="str">
        <f>LET(numVmwShares,D147, stockRatio,R147, vmwToAvgoRatio,Reference!$B$6, numVmwShares * stockRatio * vmwToAvgoRatio)</f>
        <v>#DIV/0!</v>
      </c>
      <c r="AE147" s="320">
        <f>SWITCH(Reference!$E$4, "eTradeTransactionLog", AB147, "eTradeHoldingRatio",AB147, "eTradeLotQtyRatio",AC147,"manualLotRatio",AD147)</f>
        <v>0</v>
      </c>
      <c r="AF147" s="321">
        <f>LET(numVmwShares,D147, vmwBasis,Z147, avgoQty,AE147, avgoFMV,Reference!$B$18, cashReceived,W147, gain,cashReceived+(avgoQty*avgoFMV)-(numVmwShares*vmwBasis),
MAX(gain,0))</f>
        <v>0</v>
      </c>
      <c r="AG147" s="322">
        <f>LET(useForFraction,J147, fractionAmount,Summary!$C$41, esppFractionLots,ESPP!$N$5, rsuFractionLots,RSU!J$5, IF(useForFraction, fractionAmount / (esppFractionLots+rsuFractionLots), 0))</f>
        <v>0</v>
      </c>
      <c r="AH147" s="411">
        <f>LET(useForFraction,J147, fractionSaleFMV,Reference!$B$23, postMergerBasis,AT147, lotFractionAmount,AG147, IF(useForFraction, (fractionSaleFMV - postMergerBasis)*lotFractionAmount, 0))</f>
        <v>0</v>
      </c>
      <c r="AI147" s="412">
        <f t="shared" si="11"/>
        <v>0</v>
      </c>
      <c r="AJ147" s="413">
        <f>LET(
purchaseDate,C147,
mergerDate,Reference!$B$28,
lotFractionGain,AH147,
mergerGain,AI147,
IF(DATEDIF(purchaseDate,mergerDate,"Y")&gt;=1,
  0,
  lotFractionGain + mergerGain
))</f>
        <v>0</v>
      </c>
      <c r="AK147" s="413">
        <f>LET(
purchaseDate,C147,
mergerDate,Reference!$B$28,
lotFractionGain,AH147,
mergerGain,AI147,
IF(DATEDIF(purchaseDate,mergerDate,"Y")&gt;=1,
  lotFractionGain+mergerGain,
  0
))</f>
        <v>0</v>
      </c>
      <c r="AL147" s="414" t="str">
        <f>IF(DATEDIF(C147,Reference!$B$28,"Y")&gt;=1,"Part II Box E","Part I Box B")</f>
        <v>Part II Box E</v>
      </c>
      <c r="AM147" s="344" t="str">
        <f t="shared" si="12"/>
        <v/>
      </c>
      <c r="AN147" s="330">
        <f t="shared" si="13"/>
        <v>0</v>
      </c>
      <c r="AO147" s="330">
        <f>LET(
cashReceived,W147, 
avgoQty,AE147, 
proceedsStyle,Reference!$E$9, 
avgoFMV,Reference!$B$18, 
SWITCH(proceedsStyle, "combined", cashReceived +(avgoQty*avgoFMV), "cashOnly", cashReceived))</f>
        <v>0</v>
      </c>
      <c r="AP147" s="345">
        <f>LET(
proceedsStyle,Reference!$E$9,
proceeds,AO147,
gain,AS147,
numVmwShares,D147, 
vmwBasis, Z147, 
avgoQty,AE147, 
avgoFMV,Reference!$B$18, 
cashReceived,W147, 
avgoTotalValue, avgoFMV*avgoQty, 
vmwTotalBasis, vmwBasis*numVmwShares,
alternateGainAmount,AF147, 
SWITCH(proceedsStyle,
  "cashOnly",
    proceeds - gain,
  "combined",
    IF(cashReceived&lt;alternateGainAmount,
      avgoTotalValue,
      vmwTotalBasis
    )
  )
)</f>
        <v>0</v>
      </c>
      <c r="AQ147" s="345" t="str">
        <f t="shared" si="14"/>
        <v/>
      </c>
      <c r="AR147" s="345">
        <v>0.0</v>
      </c>
      <c r="AS147" s="331">
        <f>LET(
proceedsStyle,Reference!$E$9,
proceeds,AO147,
basis1099B,AP147,
adjustment,AR147,
mergerGain,AI147,
SWITCH(proceedsStyle,
  "cashOnly",
    mergerGain,
  "combined",
    MAX(proceeds - basis1099B + adjustment, 0)
))</f>
        <v>0</v>
      </c>
      <c r="AT147" s="415" t="str">
        <f t="shared" si="15"/>
        <v>n/a</v>
      </c>
      <c r="AU147" s="333">
        <f>LET(saleFMV,Reference!$B$10, postMergerBasis,AT147, avgoQty,AE147, lotFractionAmount,AG147, iferror((saleFMV - postMergerBasis) * (avgoQty - lotFractionAmount), 0))</f>
        <v>0</v>
      </c>
      <c r="AV147" s="333">
        <f>LET(
avgoQty,AE147, 
purchaseDate,C147,
postMergerSaleDate,Reference!$B$29,
saleFMV,Reference!$B$10,
postMergerBasis,AT147, 
IFERROR(IF(DATEDIF(purchaseDate,postMergerSaleDate,"Y")&gt;=1,
  0,
  avgoQty * (saleFMV - postMergerBasis)
),0))</f>
        <v>0</v>
      </c>
      <c r="AW147" s="336">
        <f>LET(
avgoQty,AE147, 
purchaseDate,C147,
postMergerSaleDate,Reference!$B$29,
saleFMV,Reference!$B$10,
postMergerBasis,AT147, 
IFERROR(IF(DATEDIF(purchaseDate,postMergerSaleDate,"Y")&gt;=1,
  avgoQty * (saleFMV - postMergerBasis),
  0
),0))</f>
        <v>0</v>
      </c>
    </row>
    <row r="148">
      <c r="A148" s="422"/>
      <c r="B148" s="423"/>
      <c r="C148" s="351"/>
      <c r="D148" s="352"/>
      <c r="E148" s="321" t="str">
        <f t="array" ref="E148">IF(C148&lt;&gt;"", IFERROR(VLOOKUP(C148, SORT(PriceReference!$A$1:$B1014), 2, TRUE), "price unavailable"), "")</f>
        <v/>
      </c>
      <c r="F148" s="416"/>
      <c r="G148" s="309">
        <f t="shared" si="6"/>
        <v>0</v>
      </c>
      <c r="H148" s="321">
        <f t="shared" si="7"/>
        <v>0</v>
      </c>
      <c r="I148" s="417"/>
      <c r="J148" s="348" t="b">
        <v>0</v>
      </c>
      <c r="K148" s="409"/>
      <c r="L148" s="315">
        <v>0.0</v>
      </c>
      <c r="M148" s="315">
        <v>0.0</v>
      </c>
      <c r="N148" s="315">
        <v>0.0</v>
      </c>
      <c r="O148" s="315">
        <v>0.0</v>
      </c>
      <c r="P148" s="315">
        <v>0.0</v>
      </c>
      <c r="Q148" s="317">
        <f t="shared" si="8"/>
        <v>0</v>
      </c>
      <c r="R148" s="317" t="str">
        <f>SWITCH(S148,"cash",Reference!E$5,"shares",Reference!$E$6,"balance",Reference!$E$7,"pro-rata",Reference!$B$5)</f>
        <v>#DIV/0!</v>
      </c>
      <c r="S148" s="318" t="s">
        <v>207</v>
      </c>
      <c r="T148" s="319">
        <f>LET(numVmwShares,D148, cashRatio,Reference!$B$4, vmwFinalPrice,Reference!$B$3, numVmwShares * cashRatio * vmwFinalPrice)</f>
        <v>0</v>
      </c>
      <c r="U148" s="319">
        <f>iferror(LET(numVmwShares,$D148, stockRatio,Q148, vmwFinalPrice,Reference!$B$3, (1 - stockRatio) * vmwFinalPrice * numVmwShares),0)</f>
        <v>0</v>
      </c>
      <c r="V148" s="319">
        <f>iferror(LET(numVmwShares,$D148, stockRatio,R148, vmwFinalPrice,Reference!$B$3, (1 - stockRatio) * vmwFinalPrice * numVmwShares),0)</f>
        <v>0</v>
      </c>
      <c r="W148" s="319">
        <f>SWITCH(Reference!$E$4,"eTradeTransactionLog", T148, "eTradeHoldingRatio",T148, "eTradeLotQtyRatio",U148,"manualLotRatio",V148)</f>
        <v>0</v>
      </c>
      <c r="X148" s="309">
        <f>LET(purchaseDate,C148, dateOfRecord,Reference!$B$26, returnOfCapital,Reference!$C$26, IF(purchaseDate &lt; dateOfRecord, returnOfCapital,0))</f>
        <v>10.18</v>
      </c>
      <c r="Y148" s="309">
        <f>LET(purchaseDate,C148, dateOfRecord,Reference!$B$27, returnOfCapital,Reference!$C$27, IF(purchaseDate &lt; dateOfRecord, returnOfCapital,0))</f>
        <v>16.58</v>
      </c>
      <c r="Z148" s="309">
        <f t="shared" si="9"/>
        <v>-26.76</v>
      </c>
      <c r="AA148" s="309">
        <f t="shared" si="10"/>
        <v>0</v>
      </c>
      <c r="AB148" s="320">
        <f>LET(numVmwShares,D148, stockRatio,Reference!$B$5, vmwToAvgoRatio,Reference!$B$6, numVmwShares * stockRatio * vmwToAvgoRatio)</f>
        <v>0</v>
      </c>
      <c r="AC148" s="320">
        <f>LET(numVmwShares,D148, stockRatio,Q148, vmwToAvgoRatio,Reference!$B$6, numVmwShares * stockRatio * vmwToAvgoRatio)</f>
        <v>0</v>
      </c>
      <c r="AD148" s="320" t="str">
        <f>LET(numVmwShares,D148, stockRatio,R148, vmwToAvgoRatio,Reference!$B$6, numVmwShares * stockRatio * vmwToAvgoRatio)</f>
        <v>#DIV/0!</v>
      </c>
      <c r="AE148" s="320">
        <f>SWITCH(Reference!$E$4, "eTradeTransactionLog", AB148, "eTradeHoldingRatio",AB148, "eTradeLotQtyRatio",AC148,"manualLotRatio",AD148)</f>
        <v>0</v>
      </c>
      <c r="AF148" s="321">
        <f>LET(numVmwShares,D148, vmwBasis,Z148, avgoQty,AE148, avgoFMV,Reference!$B$18, cashReceived,W148, gain,cashReceived+(avgoQty*avgoFMV)-(numVmwShares*vmwBasis),
MAX(gain,0))</f>
        <v>0</v>
      </c>
      <c r="AG148" s="322">
        <f>LET(useForFraction,J148, fractionAmount,Summary!$C$41, esppFractionLots,ESPP!$N$5, rsuFractionLots,RSU!J$5, IF(useForFraction, fractionAmount / (esppFractionLots+rsuFractionLots), 0))</f>
        <v>0</v>
      </c>
      <c r="AH148" s="411">
        <f>LET(useForFraction,J148, fractionSaleFMV,Reference!$B$23, postMergerBasis,AT148, lotFractionAmount,AG148, IF(useForFraction, (fractionSaleFMV - postMergerBasis)*lotFractionAmount, 0))</f>
        <v>0</v>
      </c>
      <c r="AI148" s="412">
        <f t="shared" si="11"/>
        <v>0</v>
      </c>
      <c r="AJ148" s="413">
        <f>LET(
purchaseDate,C148,
mergerDate,Reference!$B$28,
lotFractionGain,AH148,
mergerGain,AI148,
IF(DATEDIF(purchaseDate,mergerDate,"Y")&gt;=1,
  0,
  lotFractionGain + mergerGain
))</f>
        <v>0</v>
      </c>
      <c r="AK148" s="413">
        <f>LET(
purchaseDate,C148,
mergerDate,Reference!$B$28,
lotFractionGain,AH148,
mergerGain,AI148,
IF(DATEDIF(purchaseDate,mergerDate,"Y")&gt;=1,
  lotFractionGain+mergerGain,
  0
))</f>
        <v>0</v>
      </c>
      <c r="AL148" s="414" t="str">
        <f>IF(DATEDIF(C148,Reference!$B$28,"Y")&gt;=1,"Part II Box E","Part I Box B")</f>
        <v>Part II Box E</v>
      </c>
      <c r="AM148" s="344" t="str">
        <f t="shared" si="12"/>
        <v/>
      </c>
      <c r="AN148" s="330">
        <f t="shared" si="13"/>
        <v>0</v>
      </c>
      <c r="AO148" s="330">
        <f>LET(
cashReceived,W148, 
avgoQty,AE148, 
proceedsStyle,Reference!$E$9, 
avgoFMV,Reference!$B$18, 
SWITCH(proceedsStyle, "combined", cashReceived +(avgoQty*avgoFMV), "cashOnly", cashReceived))</f>
        <v>0</v>
      </c>
      <c r="AP148" s="345">
        <f>LET(
proceedsStyle,Reference!$E$9,
proceeds,AO148,
gain,AS148,
numVmwShares,D148, 
vmwBasis, Z148, 
avgoQty,AE148, 
avgoFMV,Reference!$B$18, 
cashReceived,W148, 
avgoTotalValue, avgoFMV*avgoQty, 
vmwTotalBasis, vmwBasis*numVmwShares,
alternateGainAmount,AF148, 
SWITCH(proceedsStyle,
  "cashOnly",
    proceeds - gain,
  "combined",
    IF(cashReceived&lt;alternateGainAmount,
      avgoTotalValue,
      vmwTotalBasis
    )
  )
)</f>
        <v>0</v>
      </c>
      <c r="AQ148" s="345" t="str">
        <f t="shared" si="14"/>
        <v/>
      </c>
      <c r="AR148" s="345">
        <v>0.0</v>
      </c>
      <c r="AS148" s="331">
        <f>LET(
proceedsStyle,Reference!$E$9,
proceeds,AO148,
basis1099B,AP148,
adjustment,AR148,
mergerGain,AI148,
SWITCH(proceedsStyle,
  "cashOnly",
    mergerGain,
  "combined",
    MAX(proceeds - basis1099B + adjustment, 0)
))</f>
        <v>0</v>
      </c>
      <c r="AT148" s="415" t="str">
        <f t="shared" si="15"/>
        <v>n/a</v>
      </c>
      <c r="AU148" s="333">
        <f>LET(saleFMV,Reference!$B$10, postMergerBasis,AT148, avgoQty,AE148, lotFractionAmount,AG148, iferror((saleFMV - postMergerBasis) * (avgoQty - lotFractionAmount), 0))</f>
        <v>0</v>
      </c>
      <c r="AV148" s="333">
        <f>LET(
avgoQty,AE148, 
purchaseDate,C148,
postMergerSaleDate,Reference!$B$29,
saleFMV,Reference!$B$10,
postMergerBasis,AT148, 
IFERROR(IF(DATEDIF(purchaseDate,postMergerSaleDate,"Y")&gt;=1,
  0,
  avgoQty * (saleFMV - postMergerBasis)
),0))</f>
        <v>0</v>
      </c>
      <c r="AW148" s="336">
        <f>LET(
avgoQty,AE148, 
purchaseDate,C148,
postMergerSaleDate,Reference!$B$29,
saleFMV,Reference!$B$10,
postMergerBasis,AT148, 
IFERROR(IF(DATEDIF(purchaseDate,postMergerSaleDate,"Y")&gt;=1,
  avgoQty * (saleFMV - postMergerBasis),
  0
),0))</f>
        <v>0</v>
      </c>
    </row>
    <row r="149">
      <c r="A149" s="422"/>
      <c r="B149" s="423"/>
      <c r="C149" s="351"/>
      <c r="D149" s="352"/>
      <c r="E149" s="321" t="str">
        <f t="array" ref="E149">IF(C149&lt;&gt;"", IFERROR(VLOOKUP(C149, SORT(PriceReference!$A$1:$B1014), 2, TRUE), "price unavailable"), "")</f>
        <v/>
      </c>
      <c r="F149" s="416"/>
      <c r="G149" s="309">
        <f t="shared" si="6"/>
        <v>0</v>
      </c>
      <c r="H149" s="321">
        <f t="shared" si="7"/>
        <v>0</v>
      </c>
      <c r="I149" s="417"/>
      <c r="J149" s="348" t="b">
        <v>0</v>
      </c>
      <c r="K149" s="409"/>
      <c r="L149" s="315">
        <v>0.0</v>
      </c>
      <c r="M149" s="315">
        <v>0.0</v>
      </c>
      <c r="N149" s="315">
        <v>0.0</v>
      </c>
      <c r="O149" s="315">
        <v>0.0</v>
      </c>
      <c r="P149" s="315">
        <v>0.0</v>
      </c>
      <c r="Q149" s="317">
        <f t="shared" si="8"/>
        <v>0</v>
      </c>
      <c r="R149" s="317" t="str">
        <f>SWITCH(S149,"cash",Reference!E$5,"shares",Reference!$E$6,"balance",Reference!$E$7,"pro-rata",Reference!$B$5)</f>
        <v>#DIV/0!</v>
      </c>
      <c r="S149" s="318" t="s">
        <v>207</v>
      </c>
      <c r="T149" s="319">
        <f>LET(numVmwShares,D149, cashRatio,Reference!$B$4, vmwFinalPrice,Reference!$B$3, numVmwShares * cashRatio * vmwFinalPrice)</f>
        <v>0</v>
      </c>
      <c r="U149" s="319">
        <f>iferror(LET(numVmwShares,$D149, stockRatio,Q149, vmwFinalPrice,Reference!$B$3, (1 - stockRatio) * vmwFinalPrice * numVmwShares),0)</f>
        <v>0</v>
      </c>
      <c r="V149" s="319">
        <f>iferror(LET(numVmwShares,$D149, stockRatio,R149, vmwFinalPrice,Reference!$B$3, (1 - stockRatio) * vmwFinalPrice * numVmwShares),0)</f>
        <v>0</v>
      </c>
      <c r="W149" s="319">
        <f>SWITCH(Reference!$E$4,"eTradeTransactionLog", T149, "eTradeHoldingRatio",T149, "eTradeLotQtyRatio",U149,"manualLotRatio",V149)</f>
        <v>0</v>
      </c>
      <c r="X149" s="309">
        <f>LET(purchaseDate,C149, dateOfRecord,Reference!$B$26, returnOfCapital,Reference!$C$26, IF(purchaseDate &lt; dateOfRecord, returnOfCapital,0))</f>
        <v>10.18</v>
      </c>
      <c r="Y149" s="309">
        <f>LET(purchaseDate,C149, dateOfRecord,Reference!$B$27, returnOfCapital,Reference!$C$27, IF(purchaseDate &lt; dateOfRecord, returnOfCapital,0))</f>
        <v>16.58</v>
      </c>
      <c r="Z149" s="309">
        <f t="shared" si="9"/>
        <v>-26.76</v>
      </c>
      <c r="AA149" s="309">
        <f t="shared" si="10"/>
        <v>0</v>
      </c>
      <c r="AB149" s="320">
        <f>LET(numVmwShares,D149, stockRatio,Reference!$B$5, vmwToAvgoRatio,Reference!$B$6, numVmwShares * stockRatio * vmwToAvgoRatio)</f>
        <v>0</v>
      </c>
      <c r="AC149" s="320">
        <f>LET(numVmwShares,D149, stockRatio,Q149, vmwToAvgoRatio,Reference!$B$6, numVmwShares * stockRatio * vmwToAvgoRatio)</f>
        <v>0</v>
      </c>
      <c r="AD149" s="320" t="str">
        <f>LET(numVmwShares,D149, stockRatio,R149, vmwToAvgoRatio,Reference!$B$6, numVmwShares * stockRatio * vmwToAvgoRatio)</f>
        <v>#DIV/0!</v>
      </c>
      <c r="AE149" s="320">
        <f>SWITCH(Reference!$E$4, "eTradeTransactionLog", AB149, "eTradeHoldingRatio",AB149, "eTradeLotQtyRatio",AC149,"manualLotRatio",AD149)</f>
        <v>0</v>
      </c>
      <c r="AF149" s="321">
        <f>LET(numVmwShares,D149, vmwBasis,Z149, avgoQty,AE149, avgoFMV,Reference!$B$18, cashReceived,W149, gain,cashReceived+(avgoQty*avgoFMV)-(numVmwShares*vmwBasis),
MAX(gain,0))</f>
        <v>0</v>
      </c>
      <c r="AG149" s="322">
        <f>LET(useForFraction,J149, fractionAmount,Summary!$C$41, esppFractionLots,ESPP!$N$5, rsuFractionLots,RSU!J$5, IF(useForFraction, fractionAmount / (esppFractionLots+rsuFractionLots), 0))</f>
        <v>0</v>
      </c>
      <c r="AH149" s="411">
        <f>LET(useForFraction,J149, fractionSaleFMV,Reference!$B$23, postMergerBasis,AT149, lotFractionAmount,AG149, IF(useForFraction, (fractionSaleFMV - postMergerBasis)*lotFractionAmount, 0))</f>
        <v>0</v>
      </c>
      <c r="AI149" s="412">
        <f t="shared" si="11"/>
        <v>0</v>
      </c>
      <c r="AJ149" s="413">
        <f>LET(
purchaseDate,C149,
mergerDate,Reference!$B$28,
lotFractionGain,AH149,
mergerGain,AI149,
IF(DATEDIF(purchaseDate,mergerDate,"Y")&gt;=1,
  0,
  lotFractionGain + mergerGain
))</f>
        <v>0</v>
      </c>
      <c r="AK149" s="413">
        <f>LET(
purchaseDate,C149,
mergerDate,Reference!$B$28,
lotFractionGain,AH149,
mergerGain,AI149,
IF(DATEDIF(purchaseDate,mergerDate,"Y")&gt;=1,
  lotFractionGain+mergerGain,
  0
))</f>
        <v>0</v>
      </c>
      <c r="AL149" s="414" t="str">
        <f>IF(DATEDIF(C149,Reference!$B$28,"Y")&gt;=1,"Part II Box E","Part I Box B")</f>
        <v>Part II Box E</v>
      </c>
      <c r="AM149" s="344" t="str">
        <f t="shared" si="12"/>
        <v/>
      </c>
      <c r="AN149" s="330">
        <f t="shared" si="13"/>
        <v>0</v>
      </c>
      <c r="AO149" s="330">
        <f>LET(
cashReceived,W149, 
avgoQty,AE149, 
proceedsStyle,Reference!$E$9, 
avgoFMV,Reference!$B$18, 
SWITCH(proceedsStyle, "combined", cashReceived +(avgoQty*avgoFMV), "cashOnly", cashReceived))</f>
        <v>0</v>
      </c>
      <c r="AP149" s="345">
        <f>LET(
proceedsStyle,Reference!$E$9,
proceeds,AO149,
gain,AS149,
numVmwShares,D149, 
vmwBasis, Z149, 
avgoQty,AE149, 
avgoFMV,Reference!$B$18, 
cashReceived,W149, 
avgoTotalValue, avgoFMV*avgoQty, 
vmwTotalBasis, vmwBasis*numVmwShares,
alternateGainAmount,AF149, 
SWITCH(proceedsStyle,
  "cashOnly",
    proceeds - gain,
  "combined",
    IF(cashReceived&lt;alternateGainAmount,
      avgoTotalValue,
      vmwTotalBasis
    )
  )
)</f>
        <v>0</v>
      </c>
      <c r="AQ149" s="345" t="str">
        <f t="shared" si="14"/>
        <v/>
      </c>
      <c r="AR149" s="345">
        <v>0.0</v>
      </c>
      <c r="AS149" s="331">
        <f>LET(
proceedsStyle,Reference!$E$9,
proceeds,AO149,
basis1099B,AP149,
adjustment,AR149,
mergerGain,AI149,
SWITCH(proceedsStyle,
  "cashOnly",
    mergerGain,
  "combined",
    MAX(proceeds - basis1099B + adjustment, 0)
))</f>
        <v>0</v>
      </c>
      <c r="AT149" s="415" t="str">
        <f t="shared" si="15"/>
        <v>n/a</v>
      </c>
      <c r="AU149" s="333">
        <f>LET(saleFMV,Reference!$B$10, postMergerBasis,AT149, avgoQty,AE149, lotFractionAmount,AG149, iferror((saleFMV - postMergerBasis) * (avgoQty - lotFractionAmount), 0))</f>
        <v>0</v>
      </c>
      <c r="AV149" s="333">
        <f>LET(
avgoQty,AE149, 
purchaseDate,C149,
postMergerSaleDate,Reference!$B$29,
saleFMV,Reference!$B$10,
postMergerBasis,AT149, 
IFERROR(IF(DATEDIF(purchaseDate,postMergerSaleDate,"Y")&gt;=1,
  0,
  avgoQty * (saleFMV - postMergerBasis)
),0))</f>
        <v>0</v>
      </c>
      <c r="AW149" s="336">
        <f>LET(
avgoQty,AE149, 
purchaseDate,C149,
postMergerSaleDate,Reference!$B$29,
saleFMV,Reference!$B$10,
postMergerBasis,AT149, 
IFERROR(IF(DATEDIF(purchaseDate,postMergerSaleDate,"Y")&gt;=1,
  avgoQty * (saleFMV - postMergerBasis),
  0
),0))</f>
        <v>0</v>
      </c>
    </row>
    <row r="150">
      <c r="A150" s="422"/>
      <c r="B150" s="423"/>
      <c r="C150" s="351"/>
      <c r="D150" s="352"/>
      <c r="E150" s="321" t="str">
        <f t="array" ref="E150">IF(C150&lt;&gt;"", IFERROR(VLOOKUP(C150, SORT(PriceReference!$A$1:$B1014), 2, TRUE), "price unavailable"), "")</f>
        <v/>
      </c>
      <c r="F150" s="416"/>
      <c r="G150" s="309">
        <f t="shared" si="6"/>
        <v>0</v>
      </c>
      <c r="H150" s="321">
        <f t="shared" si="7"/>
        <v>0</v>
      </c>
      <c r="I150" s="417"/>
      <c r="J150" s="348" t="b">
        <v>0</v>
      </c>
      <c r="K150" s="409"/>
      <c r="L150" s="315">
        <v>0.0</v>
      </c>
      <c r="M150" s="315">
        <v>0.0</v>
      </c>
      <c r="N150" s="315">
        <v>0.0</v>
      </c>
      <c r="O150" s="315">
        <v>0.0</v>
      </c>
      <c r="P150" s="315">
        <v>0.0</v>
      </c>
      <c r="Q150" s="317">
        <f t="shared" si="8"/>
        <v>0</v>
      </c>
      <c r="R150" s="317" t="str">
        <f>SWITCH(S150,"cash",Reference!E$5,"shares",Reference!$E$6,"balance",Reference!$E$7,"pro-rata",Reference!$B$5)</f>
        <v>#DIV/0!</v>
      </c>
      <c r="S150" s="318" t="s">
        <v>207</v>
      </c>
      <c r="T150" s="319">
        <f>LET(numVmwShares,D150, cashRatio,Reference!$B$4, vmwFinalPrice,Reference!$B$3, numVmwShares * cashRatio * vmwFinalPrice)</f>
        <v>0</v>
      </c>
      <c r="U150" s="319">
        <f>iferror(LET(numVmwShares,$D150, stockRatio,Q150, vmwFinalPrice,Reference!$B$3, (1 - stockRatio) * vmwFinalPrice * numVmwShares),0)</f>
        <v>0</v>
      </c>
      <c r="V150" s="319">
        <f>iferror(LET(numVmwShares,$D150, stockRatio,R150, vmwFinalPrice,Reference!$B$3, (1 - stockRatio) * vmwFinalPrice * numVmwShares),0)</f>
        <v>0</v>
      </c>
      <c r="W150" s="319">
        <f>SWITCH(Reference!$E$4,"eTradeTransactionLog", T150, "eTradeHoldingRatio",T150, "eTradeLotQtyRatio",U150,"manualLotRatio",V150)</f>
        <v>0</v>
      </c>
      <c r="X150" s="309">
        <f>LET(purchaseDate,C150, dateOfRecord,Reference!$B$26, returnOfCapital,Reference!$C$26, IF(purchaseDate &lt; dateOfRecord, returnOfCapital,0))</f>
        <v>10.18</v>
      </c>
      <c r="Y150" s="309">
        <f>LET(purchaseDate,C150, dateOfRecord,Reference!$B$27, returnOfCapital,Reference!$C$27, IF(purchaseDate &lt; dateOfRecord, returnOfCapital,0))</f>
        <v>16.58</v>
      </c>
      <c r="Z150" s="309">
        <f t="shared" si="9"/>
        <v>-26.76</v>
      </c>
      <c r="AA150" s="309">
        <f t="shared" si="10"/>
        <v>0</v>
      </c>
      <c r="AB150" s="320">
        <f>LET(numVmwShares,D150, stockRatio,Reference!$B$5, vmwToAvgoRatio,Reference!$B$6, numVmwShares * stockRatio * vmwToAvgoRatio)</f>
        <v>0</v>
      </c>
      <c r="AC150" s="320">
        <f>LET(numVmwShares,D150, stockRatio,Q150, vmwToAvgoRatio,Reference!$B$6, numVmwShares * stockRatio * vmwToAvgoRatio)</f>
        <v>0</v>
      </c>
      <c r="AD150" s="320" t="str">
        <f>LET(numVmwShares,D150, stockRatio,R150, vmwToAvgoRatio,Reference!$B$6, numVmwShares * stockRatio * vmwToAvgoRatio)</f>
        <v>#DIV/0!</v>
      </c>
      <c r="AE150" s="320">
        <f>SWITCH(Reference!$E$4, "eTradeTransactionLog", AB150, "eTradeHoldingRatio",AB150, "eTradeLotQtyRatio",AC150,"manualLotRatio",AD150)</f>
        <v>0</v>
      </c>
      <c r="AF150" s="321">
        <f>LET(numVmwShares,D150, vmwBasis,Z150, avgoQty,AE150, avgoFMV,Reference!$B$18, cashReceived,W150, gain,cashReceived+(avgoQty*avgoFMV)-(numVmwShares*vmwBasis),
MAX(gain,0))</f>
        <v>0</v>
      </c>
      <c r="AG150" s="322">
        <f>LET(useForFraction,J150, fractionAmount,Summary!$C$41, esppFractionLots,ESPP!$N$5, rsuFractionLots,RSU!J$5, IF(useForFraction, fractionAmount / (esppFractionLots+rsuFractionLots), 0))</f>
        <v>0</v>
      </c>
      <c r="AH150" s="411">
        <f>LET(useForFraction,J150, fractionSaleFMV,Reference!$B$23, postMergerBasis,AT150, lotFractionAmount,AG150, IF(useForFraction, (fractionSaleFMV - postMergerBasis)*lotFractionAmount, 0))</f>
        <v>0</v>
      </c>
      <c r="AI150" s="412">
        <f t="shared" si="11"/>
        <v>0</v>
      </c>
      <c r="AJ150" s="413">
        <f>LET(
purchaseDate,C150,
mergerDate,Reference!$B$28,
lotFractionGain,AH150,
mergerGain,AI150,
IF(DATEDIF(purchaseDate,mergerDate,"Y")&gt;=1,
  0,
  lotFractionGain + mergerGain
))</f>
        <v>0</v>
      </c>
      <c r="AK150" s="413">
        <f>LET(
purchaseDate,C150,
mergerDate,Reference!$B$28,
lotFractionGain,AH150,
mergerGain,AI150,
IF(DATEDIF(purchaseDate,mergerDate,"Y")&gt;=1,
  lotFractionGain+mergerGain,
  0
))</f>
        <v>0</v>
      </c>
      <c r="AL150" s="414" t="str">
        <f>IF(DATEDIF(C150,Reference!$B$28,"Y")&gt;=1,"Part II Box E","Part I Box B")</f>
        <v>Part II Box E</v>
      </c>
      <c r="AM150" s="344" t="str">
        <f t="shared" si="12"/>
        <v/>
      </c>
      <c r="AN150" s="330">
        <f t="shared" si="13"/>
        <v>0</v>
      </c>
      <c r="AO150" s="330">
        <f>LET(
cashReceived,W150, 
avgoQty,AE150, 
proceedsStyle,Reference!$E$9, 
avgoFMV,Reference!$B$18, 
SWITCH(proceedsStyle, "combined", cashReceived +(avgoQty*avgoFMV), "cashOnly", cashReceived))</f>
        <v>0</v>
      </c>
      <c r="AP150" s="345">
        <f>LET(
proceedsStyle,Reference!$E$9,
proceeds,AO150,
gain,AS150,
numVmwShares,D150, 
vmwBasis, Z150, 
avgoQty,AE150, 
avgoFMV,Reference!$B$18, 
cashReceived,W150, 
avgoTotalValue, avgoFMV*avgoQty, 
vmwTotalBasis, vmwBasis*numVmwShares,
alternateGainAmount,AF150, 
SWITCH(proceedsStyle,
  "cashOnly",
    proceeds - gain,
  "combined",
    IF(cashReceived&lt;alternateGainAmount,
      avgoTotalValue,
      vmwTotalBasis
    )
  )
)</f>
        <v>0</v>
      </c>
      <c r="AQ150" s="345" t="str">
        <f t="shared" si="14"/>
        <v/>
      </c>
      <c r="AR150" s="345">
        <v>0.0</v>
      </c>
      <c r="AS150" s="331">
        <f>LET(
proceedsStyle,Reference!$E$9,
proceeds,AO150,
basis1099B,AP150,
adjustment,AR150,
mergerGain,AI150,
SWITCH(proceedsStyle,
  "cashOnly",
    mergerGain,
  "combined",
    MAX(proceeds - basis1099B + adjustment, 0)
))</f>
        <v>0</v>
      </c>
      <c r="AT150" s="415" t="str">
        <f t="shared" si="15"/>
        <v>n/a</v>
      </c>
      <c r="AU150" s="333">
        <f>LET(saleFMV,Reference!$B$10, postMergerBasis,AT150, avgoQty,AE150, lotFractionAmount,AG150, iferror((saleFMV - postMergerBasis) * (avgoQty - lotFractionAmount), 0))</f>
        <v>0</v>
      </c>
      <c r="AV150" s="333">
        <f>LET(
avgoQty,AE150, 
purchaseDate,C150,
postMergerSaleDate,Reference!$B$29,
saleFMV,Reference!$B$10,
postMergerBasis,AT150, 
IFERROR(IF(DATEDIF(purchaseDate,postMergerSaleDate,"Y")&gt;=1,
  0,
  avgoQty * (saleFMV - postMergerBasis)
),0))</f>
        <v>0</v>
      </c>
      <c r="AW150" s="336">
        <f>LET(
avgoQty,AE150, 
purchaseDate,C150,
postMergerSaleDate,Reference!$B$29,
saleFMV,Reference!$B$10,
postMergerBasis,AT150, 
IFERROR(IF(DATEDIF(purchaseDate,postMergerSaleDate,"Y")&gt;=1,
  avgoQty * (saleFMV - postMergerBasis),
  0
),0))</f>
        <v>0</v>
      </c>
    </row>
  </sheetData>
  <mergeCells count="20">
    <mergeCell ref="A1:S1"/>
    <mergeCell ref="T1:AW1"/>
    <mergeCell ref="I2:P2"/>
    <mergeCell ref="Q2:S2"/>
    <mergeCell ref="T2:AF2"/>
    <mergeCell ref="AH2:AS2"/>
    <mergeCell ref="AT2:AW2"/>
    <mergeCell ref="Z3:AA3"/>
    <mergeCell ref="AB3:AE3"/>
    <mergeCell ref="AH3:AI3"/>
    <mergeCell ref="AJ3:AK3"/>
    <mergeCell ref="AL3:AS3"/>
    <mergeCell ref="AT3:AW3"/>
    <mergeCell ref="A2:H2"/>
    <mergeCell ref="B3:E3"/>
    <mergeCell ref="G3:H3"/>
    <mergeCell ref="K3:P3"/>
    <mergeCell ref="Q3:S3"/>
    <mergeCell ref="T3:W3"/>
    <mergeCell ref="X3:Y3"/>
  </mergeCells>
  <conditionalFormatting sqref="I7:I150">
    <cfRule type="cellIs" dxfId="6" priority="1" operator="notEqual">
      <formula>ROUND(AB7,3)</formula>
    </cfRule>
  </conditionalFormatting>
  <conditionalFormatting sqref="AI7:AI150">
    <cfRule type="cellIs" dxfId="7" priority="2" operator="notEqual">
      <formula>W7</formula>
    </cfRule>
  </conditionalFormatting>
  <conditionalFormatting sqref="AH7:AH150">
    <cfRule type="cellIs" dxfId="8" priority="3" operator="equal">
      <formula>0</formula>
    </cfRule>
  </conditionalFormatting>
  <conditionalFormatting sqref="K7:K150">
    <cfRule type="cellIs" dxfId="6" priority="4" operator="notEqual">
      <formula>AA7</formula>
    </cfRule>
  </conditionalFormatting>
  <dataValidations>
    <dataValidation type="decimal" operator="greaterThanOrEqual" allowBlank="1" showDropDown="1" showErrorMessage="1" sqref="D7:D150 I7:I150">
      <formula1>0.0</formula1>
    </dataValidation>
    <dataValidation type="list" allowBlank="1" showErrorMessage="1" sqref="S7:S150">
      <formula1>"balance,cash,shares,pro-rata"</formula1>
    </dataValidation>
  </dataValidations>
  <hyperlinks>
    <hyperlink r:id="rId2" location=":~:text=Attach%20a%20statement%20to%20your%20return%20explaining%20the%20adjustment%20that%20you%20made%20to%20the%20sales%20proceeds%20reported%20for%20that%20transaction." ref="AO6"/>
  </hyperlinks>
  <drawing r:id="rId3"/>
  <legacyDrawing r:id="rId4"/>
  <tableParts count="1">
    <tablePart r:id="rId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3" max="3" width="23.38"/>
    <col customWidth="1" min="4" max="4" width="20.88"/>
    <col customWidth="1" min="5" max="5" width="19.0"/>
  </cols>
  <sheetData>
    <row r="1">
      <c r="A1" s="112" t="s">
        <v>221</v>
      </c>
      <c r="B1" s="112"/>
      <c r="C1" s="2"/>
      <c r="D1" s="2"/>
      <c r="E1" s="2"/>
      <c r="F1" s="2"/>
      <c r="G1" s="2"/>
      <c r="H1" s="2"/>
      <c r="I1" s="2"/>
      <c r="J1" s="2"/>
      <c r="K1" s="2"/>
    </row>
    <row r="2">
      <c r="A2" s="112"/>
      <c r="B2" s="112"/>
      <c r="C2" s="2"/>
      <c r="D2" s="2"/>
      <c r="E2" s="2"/>
      <c r="F2" s="2"/>
      <c r="G2" s="2"/>
      <c r="H2" s="2"/>
      <c r="I2" s="2"/>
      <c r="J2" s="2"/>
      <c r="K2" s="2"/>
    </row>
    <row r="3">
      <c r="A3" s="112" t="s">
        <v>222</v>
      </c>
      <c r="B3" s="424">
        <v>142.5</v>
      </c>
      <c r="C3" s="2"/>
      <c r="D3" s="112" t="s">
        <v>223</v>
      </c>
      <c r="E3" s="425">
        <f>B3*B4 + B18*B5*B6</f>
        <v>142.5</v>
      </c>
      <c r="F3" s="2"/>
      <c r="G3" s="2"/>
      <c r="H3" s="2"/>
      <c r="I3" s="2"/>
      <c r="J3" s="2"/>
      <c r="K3" s="2"/>
    </row>
    <row r="4">
      <c r="A4" s="112" t="s">
        <v>224</v>
      </c>
      <c r="B4" s="426">
        <f>1-B5</f>
        <v>1</v>
      </c>
      <c r="C4" s="427"/>
      <c r="D4" s="108" t="s">
        <v>225</v>
      </c>
      <c r="E4" s="428" t="str">
        <f>SWITCH(Summary!K26,"Pro-rata - from eTrade transaction log", "eTradeTransactionLog", "Pro-rata - from Necessary Inputs", "eTradeHoldingRatio","Pro-rata - from eTrade share qty","eTradeLotQtyRatio", "Per-lot - from strategy or manual selection", "manualLotRatio")</f>
        <v>eTradeHoldingRatio</v>
      </c>
      <c r="F4" s="95"/>
      <c r="G4" s="95"/>
      <c r="H4" s="95"/>
      <c r="I4" s="2"/>
      <c r="J4" s="2"/>
      <c r="K4" s="2"/>
    </row>
    <row r="5">
      <c r="A5" s="112" t="s">
        <v>226</v>
      </c>
      <c r="B5" s="426">
        <f>IF(EQ($E$4, "eTradeTransactionLog"), $B$7,iferror(Summary!B26/(Summary!B26+Summary!B25),0))</f>
        <v>0</v>
      </c>
      <c r="C5" s="112"/>
      <c r="D5" s="112" t="s">
        <v>227</v>
      </c>
      <c r="E5" s="429">
        <v>0.0</v>
      </c>
      <c r="F5" s="112"/>
      <c r="G5" s="112"/>
      <c r="H5" s="112"/>
      <c r="I5" s="2"/>
      <c r="J5" s="2"/>
      <c r="K5" s="2"/>
    </row>
    <row r="6">
      <c r="A6" s="112" t="s">
        <v>228</v>
      </c>
      <c r="B6" s="430">
        <v>0.252</v>
      </c>
      <c r="C6" s="112"/>
      <c r="D6" s="112" t="s">
        <v>229</v>
      </c>
      <c r="E6" s="431">
        <v>1.0</v>
      </c>
      <c r="F6" s="112"/>
      <c r="G6" s="112"/>
      <c r="H6" s="112"/>
      <c r="I6" s="2"/>
      <c r="J6" s="2"/>
      <c r="K6" s="2"/>
    </row>
    <row r="7">
      <c r="A7" s="112" t="s">
        <v>230</v>
      </c>
      <c r="B7" s="432" t="s">
        <v>231</v>
      </c>
      <c r="C7" s="112"/>
      <c r="D7" s="112" t="s">
        <v>232</v>
      </c>
      <c r="E7" s="433" t="str">
        <f>LET(
targetAvgo,Summary!$B$26*B6,
esppAvgoExBal, SUMIF(ESPP!$W7:$W1026,"&lt;&gt;balance",ESPP!$AI7:$AI1026),
esppVmwBase,   SUMIF(ESPP!$W7:$W1026,"=balance",ESPP!$D7:$D1026),
rsuAvgoExBal,  SUMIF(RSU!$S7:$S1026, "&lt;&gt;balance",RSU!$AE7:$AE1026),
rsuVmwBase,    SUMIF(RSU!$S7:$S1026, "=balance",RSU!$D7:$D1026),
missingAvgo,   targetAvgo - esppAvgoExBal -rsuAvgoExBal,
ratio,         (missingAvgo/$B$6)/(rsuVmwBase+esppVmwBase),
IF(missingAvgo&lt;0,"insufficient balance lots (a)",
  IF(ratio&gt;1,"insufficient balance lots (b)",
        ratio
    )
  )
)</f>
        <v>#DIV/0!</v>
      </c>
      <c r="F7" s="112"/>
      <c r="G7" s="112"/>
      <c r="H7" s="112"/>
      <c r="I7" s="2"/>
      <c r="J7" s="2"/>
      <c r="K7" s="2"/>
    </row>
    <row r="8">
      <c r="A8" s="112"/>
      <c r="B8" s="142"/>
      <c r="C8" s="112"/>
      <c r="D8" s="112" t="s">
        <v>233</v>
      </c>
      <c r="E8" s="112" t="str">
        <f>IFERROR(__xludf.DUMMYFUNCTION("LET(
ratioTotals, SUM(ESPP!U7:U1026)+SUM(RSU!Q7:Q1026),
numLots, COUNTIF(ESPP!U7:U1026, ""&gt;0"") + COUNTIF(RSU!Q7:Q1026, ""&gt;0""),
stdev, STDEV(FILTER(ESPP!U7:U1026,ESPP!U7:U1026&gt;0),FILTER(RSU!Q7:Q1026,RSU!Q7:Q1026&gt;0)),
avg,ratioTotals/numLots,
threshold,av"&amp;"g - stdev,
threshold
)"),"#DIV/0!")</f>
        <v>#DIV/0!</v>
      </c>
      <c r="F8" s="434"/>
      <c r="G8" s="112"/>
      <c r="H8" s="112"/>
      <c r="I8" s="2"/>
      <c r="J8" s="2"/>
      <c r="K8" s="2"/>
    </row>
    <row r="9">
      <c r="A9" s="2"/>
      <c r="B9" s="2"/>
      <c r="C9" s="2"/>
      <c r="D9" s="112" t="s">
        <v>234</v>
      </c>
      <c r="E9" s="435" t="str">
        <f>iferror(SWITCH(Summary!$K$36, "Cash Only", "cashOnly", "Cash &amp; AVGO FMV", "combined"),"combined")</f>
        <v>combined</v>
      </c>
      <c r="F9" s="2"/>
      <c r="G9" s="112"/>
      <c r="H9" s="2"/>
      <c r="I9" s="2"/>
      <c r="J9" s="2"/>
      <c r="K9" s="2"/>
    </row>
    <row r="10">
      <c r="A10" s="94" t="s">
        <v>235</v>
      </c>
      <c r="B10" s="436">
        <f>Summary!M28</f>
        <v>1398.45</v>
      </c>
      <c r="C10" s="2"/>
      <c r="D10" s="2"/>
      <c r="E10" s="2"/>
      <c r="F10" s="2"/>
      <c r="G10" s="112"/>
      <c r="H10" s="2"/>
      <c r="I10" s="2"/>
      <c r="J10" s="2"/>
      <c r="K10" s="2"/>
    </row>
    <row r="11">
      <c r="A11" s="2"/>
      <c r="B11" s="2"/>
      <c r="C11" s="2"/>
      <c r="D11" s="112"/>
      <c r="E11" s="2"/>
      <c r="F11" s="2"/>
      <c r="G11" s="112"/>
      <c r="H11" s="2"/>
      <c r="I11" s="2"/>
      <c r="J11" s="2"/>
      <c r="K11" s="2"/>
    </row>
    <row r="12">
      <c r="A12" s="437" t="s">
        <v>236</v>
      </c>
      <c r="B12" s="2"/>
      <c r="C12" s="2"/>
      <c r="D12" s="2"/>
      <c r="E12" s="2"/>
      <c r="F12" s="2"/>
      <c r="G12" s="2"/>
      <c r="H12" s="2"/>
      <c r="I12" s="2"/>
      <c r="J12" s="2"/>
      <c r="K12" s="2"/>
    </row>
    <row r="13">
      <c r="A13" s="437" t="s">
        <v>237</v>
      </c>
      <c r="B13" s="424">
        <v>983.69</v>
      </c>
      <c r="C13" s="2"/>
      <c r="D13" s="2"/>
      <c r="E13" s="2"/>
      <c r="F13" s="2"/>
      <c r="G13" s="2"/>
      <c r="H13" s="2"/>
      <c r="I13" s="2"/>
      <c r="J13" s="2"/>
      <c r="K13" s="2"/>
    </row>
    <row r="14">
      <c r="A14" s="437" t="s">
        <v>238</v>
      </c>
      <c r="B14" s="424">
        <v>972.0</v>
      </c>
      <c r="C14" s="2"/>
      <c r="D14" s="2"/>
      <c r="E14" s="2"/>
      <c r="F14" s="2"/>
      <c r="G14" s="2"/>
      <c r="H14" s="2"/>
      <c r="I14" s="2"/>
      <c r="J14" s="2"/>
      <c r="K14" s="2"/>
    </row>
    <row r="15">
      <c r="A15" s="437" t="s">
        <v>68</v>
      </c>
      <c r="B15" s="424">
        <v>979.5</v>
      </c>
      <c r="C15" s="2"/>
      <c r="D15" s="2"/>
      <c r="E15" s="2"/>
      <c r="F15" s="2"/>
      <c r="G15" s="2"/>
      <c r="H15" s="2"/>
      <c r="I15" s="2"/>
      <c r="J15" s="2"/>
      <c r="K15" s="2"/>
    </row>
    <row r="16">
      <c r="A16" s="437" t="s">
        <v>239</v>
      </c>
      <c r="B16" s="424">
        <v>987.99</v>
      </c>
      <c r="C16" s="2"/>
      <c r="D16" s="2"/>
      <c r="E16" s="2"/>
      <c r="F16" s="2"/>
      <c r="G16" s="2"/>
      <c r="H16" s="2"/>
      <c r="I16" s="2"/>
      <c r="J16" s="2"/>
      <c r="K16" s="2"/>
    </row>
    <row r="17">
      <c r="A17" s="437" t="s">
        <v>240</v>
      </c>
      <c r="B17" s="424">
        <v>971.0</v>
      </c>
      <c r="C17" s="2"/>
      <c r="D17" s="2"/>
      <c r="E17" s="2"/>
      <c r="F17" s="2"/>
      <c r="G17" s="2"/>
      <c r="H17" s="2"/>
      <c r="I17" s="2"/>
      <c r="J17" s="2"/>
      <c r="K17" s="2"/>
    </row>
    <row r="18">
      <c r="A18" s="438" t="s">
        <v>61</v>
      </c>
      <c r="B18" s="439">
        <f>SWITCH(Summary!K25,"Close",B14,"Mean",B15,"High",B16, "Low",B17, "Custom",Summary!M25)</f>
        <v>979.5</v>
      </c>
      <c r="C18" s="2"/>
      <c r="D18" s="2"/>
      <c r="E18" s="2"/>
      <c r="F18" s="2"/>
      <c r="G18" s="2"/>
      <c r="H18" s="2"/>
      <c r="I18" s="2"/>
      <c r="J18" s="2"/>
      <c r="K18" s="2"/>
    </row>
    <row r="19">
      <c r="A19" s="112"/>
      <c r="B19" s="2"/>
      <c r="C19" s="2"/>
      <c r="D19" s="2"/>
      <c r="E19" s="2"/>
      <c r="F19" s="2"/>
      <c r="G19" s="2"/>
      <c r="H19" s="2"/>
      <c r="I19" s="2"/>
      <c r="J19" s="2"/>
      <c r="K19" s="2"/>
    </row>
    <row r="20">
      <c r="A20" s="94" t="s">
        <v>241</v>
      </c>
      <c r="B20" s="112"/>
      <c r="C20" s="2"/>
      <c r="D20" s="2"/>
      <c r="E20" s="2"/>
      <c r="F20" s="2"/>
      <c r="G20" s="2"/>
      <c r="H20" s="2"/>
      <c r="I20" s="2"/>
      <c r="J20" s="2"/>
      <c r="K20" s="2"/>
    </row>
    <row r="21">
      <c r="A21" s="94" t="s">
        <v>77</v>
      </c>
      <c r="B21" s="440">
        <v>904.79</v>
      </c>
      <c r="C21" s="2"/>
      <c r="D21" s="2"/>
      <c r="E21" s="2"/>
      <c r="F21" s="2"/>
      <c r="G21" s="2"/>
      <c r="H21" s="2"/>
      <c r="I21" s="2"/>
      <c r="J21" s="2"/>
      <c r="K21" s="2"/>
    </row>
    <row r="22">
      <c r="A22" s="94" t="s">
        <v>242</v>
      </c>
      <c r="B22" s="424">
        <v>981.2</v>
      </c>
      <c r="C22" s="2"/>
      <c r="D22" s="2"/>
      <c r="E22" s="2"/>
      <c r="F22" s="2"/>
      <c r="G22" s="2"/>
      <c r="H22" s="2"/>
      <c r="I22" s="2"/>
      <c r="J22" s="2"/>
      <c r="K22" s="2"/>
    </row>
    <row r="23">
      <c r="A23" s="438" t="s">
        <v>61</v>
      </c>
      <c r="B23" s="441">
        <f>SWITCH(Summary!K27,"eTrade",B21,"Form 8937",B22,"Custom",Summary!M27)</f>
        <v>904.79</v>
      </c>
      <c r="C23" s="2"/>
      <c r="D23" s="2"/>
      <c r="E23" s="2"/>
      <c r="F23" s="2"/>
      <c r="G23" s="2"/>
      <c r="H23" s="2"/>
      <c r="I23" s="2"/>
      <c r="J23" s="2"/>
      <c r="K23" s="2"/>
    </row>
    <row r="24">
      <c r="A24" s="2"/>
      <c r="B24" s="2"/>
      <c r="C24" s="112"/>
      <c r="D24" s="2"/>
      <c r="E24" s="2"/>
      <c r="F24" s="2"/>
      <c r="G24" s="2"/>
      <c r="H24" s="2"/>
      <c r="I24" s="2"/>
      <c r="J24" s="2"/>
      <c r="K24" s="2"/>
    </row>
    <row r="25">
      <c r="A25" s="94" t="s">
        <v>243</v>
      </c>
      <c r="B25" s="442"/>
      <c r="C25" s="94" t="s">
        <v>244</v>
      </c>
      <c r="D25" s="2"/>
      <c r="E25" s="2"/>
      <c r="F25" s="2"/>
      <c r="G25" s="2"/>
      <c r="H25" s="2"/>
      <c r="I25" s="2"/>
      <c r="J25" s="2"/>
      <c r="K25" s="2"/>
    </row>
    <row r="26">
      <c r="A26" s="112" t="s">
        <v>245</v>
      </c>
      <c r="B26" s="443">
        <v>43461.0</v>
      </c>
      <c r="C26" s="424">
        <v>10.18</v>
      </c>
      <c r="D26" s="2"/>
      <c r="E26" s="2"/>
      <c r="F26" s="2"/>
      <c r="G26" s="2"/>
      <c r="H26" s="2"/>
      <c r="I26" s="2"/>
      <c r="J26" s="2"/>
      <c r="K26" s="2"/>
    </row>
    <row r="27">
      <c r="A27" s="112" t="s">
        <v>245</v>
      </c>
      <c r="B27" s="443">
        <v>44498.0</v>
      </c>
      <c r="C27" s="424">
        <v>16.58</v>
      </c>
      <c r="D27" s="2"/>
      <c r="E27" s="112"/>
      <c r="F27" s="112"/>
      <c r="G27" s="112"/>
      <c r="H27" s="2"/>
      <c r="I27" s="2"/>
      <c r="J27" s="2"/>
      <c r="K27" s="2"/>
    </row>
    <row r="28">
      <c r="A28" s="112" t="s">
        <v>246</v>
      </c>
      <c r="B28" s="443">
        <v>45252.0</v>
      </c>
      <c r="C28" s="2"/>
      <c r="D28" s="2"/>
      <c r="E28" s="2"/>
      <c r="F28" s="2"/>
      <c r="G28" s="2"/>
      <c r="H28" s="2"/>
      <c r="I28" s="2"/>
      <c r="J28" s="2"/>
      <c r="K28" s="2"/>
    </row>
    <row r="29">
      <c r="A29" s="112" t="s">
        <v>247</v>
      </c>
      <c r="B29" s="444">
        <f>SWITCH(Summary!$K$28,"today",TODAY(),"last year","2023-12-31",Summary!$K$28)</f>
        <v>45372</v>
      </c>
      <c r="C29" s="94"/>
      <c r="D29" s="94"/>
      <c r="E29" s="94"/>
      <c r="F29" s="94"/>
      <c r="G29" s="94"/>
      <c r="H29" s="2"/>
      <c r="I29" s="2"/>
      <c r="J29" s="2"/>
      <c r="K29" s="2"/>
    </row>
    <row r="30">
      <c r="A30" s="94"/>
      <c r="B30" s="445"/>
      <c r="D30" s="2"/>
      <c r="E30" s="2"/>
      <c r="F30" s="112"/>
      <c r="G30" s="112"/>
      <c r="H30" s="2"/>
      <c r="I30" s="2"/>
      <c r="J30" s="2"/>
      <c r="K30" s="2"/>
    </row>
    <row r="31">
      <c r="A31" s="94" t="s">
        <v>101</v>
      </c>
      <c r="B31" s="446">
        <f>ESPP!AA5+RSU!W5</f>
        <v>0</v>
      </c>
      <c r="C31" s="447" t="s">
        <v>248</v>
      </c>
      <c r="D31" s="246"/>
      <c r="E31" s="112"/>
      <c r="F31" s="112"/>
      <c r="G31" s="112"/>
      <c r="H31" s="2"/>
      <c r="I31" s="2"/>
      <c r="J31" s="2"/>
      <c r="K31" s="2"/>
    </row>
    <row r="32">
      <c r="A32" s="94" t="s">
        <v>249</v>
      </c>
      <c r="B32" s="448">
        <f>Summary!K32+Summary!K30+Summary!G26+ESPP!AN5+RSU!AJ5+C32</f>
        <v>0</v>
      </c>
      <c r="C32" s="449">
        <f>IF(LT(YEAR($B$29),2024),Summary!$D$44+Summary!$G$44,0)</f>
        <v>0</v>
      </c>
      <c r="D32" s="246"/>
      <c r="E32" s="112"/>
      <c r="F32" s="112"/>
      <c r="G32" s="112"/>
      <c r="H32" s="2"/>
      <c r="I32" s="2"/>
      <c r="J32" s="2"/>
      <c r="K32" s="2"/>
    </row>
    <row r="33">
      <c r="A33" s="94" t="s">
        <v>250</v>
      </c>
      <c r="B33" s="448">
        <f>Summary!K31+ESPP!AO5+RSU!AK5+C33</f>
        <v>0</v>
      </c>
      <c r="C33" s="450">
        <f>IF(LT(YEAR($B$29),2024),Summary!$E$44,0)</f>
        <v>0</v>
      </c>
      <c r="D33" s="246"/>
      <c r="E33" s="112"/>
      <c r="F33" s="112"/>
      <c r="G33" s="112"/>
      <c r="H33" s="2"/>
      <c r="I33" s="2"/>
      <c r="J33" s="2"/>
      <c r="K33" s="2"/>
    </row>
    <row r="34">
      <c r="A34" s="112"/>
      <c r="B34" s="451"/>
      <c r="C34" s="246"/>
      <c r="D34" s="246"/>
      <c r="E34" s="112"/>
      <c r="F34" s="112"/>
      <c r="G34" s="112"/>
      <c r="H34" s="2"/>
      <c r="I34" s="2"/>
      <c r="J34" s="2"/>
      <c r="K34" s="2"/>
    </row>
    <row r="35">
      <c r="A35" s="112"/>
      <c r="B35" s="452" t="s">
        <v>92</v>
      </c>
      <c r="C35" s="137" t="s">
        <v>251</v>
      </c>
      <c r="D35" s="137" t="s">
        <v>252</v>
      </c>
      <c r="E35" s="112"/>
      <c r="F35" s="112"/>
      <c r="G35" s="112"/>
      <c r="H35" s="2"/>
      <c r="I35" s="2"/>
      <c r="J35" s="2"/>
      <c r="K35" s="2"/>
    </row>
    <row r="36">
      <c r="A36" s="94" t="s">
        <v>253</v>
      </c>
      <c r="B36" s="453">
        <v>13850.0</v>
      </c>
      <c r="C36" s="453">
        <v>27700.0</v>
      </c>
      <c r="D36" s="453">
        <v>20800.0</v>
      </c>
      <c r="E36" s="112"/>
      <c r="F36" s="112"/>
      <c r="G36" s="112"/>
      <c r="H36" s="2"/>
      <c r="I36" s="2"/>
      <c r="J36" s="2"/>
      <c r="K36" s="2"/>
    </row>
    <row r="37">
      <c r="A37" s="2"/>
      <c r="B37" s="2"/>
      <c r="C37" s="2"/>
      <c r="D37" s="2"/>
      <c r="E37" s="2"/>
      <c r="F37" s="2"/>
      <c r="G37" s="2"/>
      <c r="H37" s="2"/>
      <c r="I37" s="2"/>
      <c r="J37" s="2"/>
      <c r="K37" s="2"/>
    </row>
    <row r="38">
      <c r="A38" s="94" t="s">
        <v>254</v>
      </c>
      <c r="B38" s="454">
        <v>0.0</v>
      </c>
      <c r="C38" s="454">
        <v>0.15</v>
      </c>
      <c r="D38" s="454">
        <v>0.2</v>
      </c>
      <c r="E38" s="2"/>
      <c r="F38" s="2"/>
      <c r="G38" s="2"/>
      <c r="H38" s="2"/>
      <c r="I38" s="2"/>
      <c r="J38" s="2"/>
      <c r="K38" s="2"/>
    </row>
    <row r="39">
      <c r="A39" s="94" t="s">
        <v>92</v>
      </c>
      <c r="B39" s="436">
        <v>0.0</v>
      </c>
      <c r="C39" s="436">
        <v>44625.0</v>
      </c>
      <c r="D39" s="436">
        <v>492300.0</v>
      </c>
      <c r="E39" s="2"/>
      <c r="F39" s="2"/>
      <c r="G39" s="2"/>
      <c r="H39" s="2"/>
      <c r="I39" s="2"/>
      <c r="J39" s="2"/>
      <c r="K39" s="2"/>
    </row>
    <row r="40">
      <c r="A40" s="94" t="s">
        <v>251</v>
      </c>
      <c r="B40" s="436">
        <v>0.0</v>
      </c>
      <c r="C40" s="436">
        <v>89250.0</v>
      </c>
      <c r="D40" s="436">
        <v>553850.0</v>
      </c>
      <c r="E40" s="2"/>
      <c r="F40" s="2"/>
      <c r="G40" s="2"/>
      <c r="H40" s="2"/>
      <c r="I40" s="2"/>
      <c r="J40" s="2"/>
      <c r="K40" s="2"/>
    </row>
    <row r="41">
      <c r="A41" s="94" t="s">
        <v>252</v>
      </c>
      <c r="B41" s="436">
        <v>0.0</v>
      </c>
      <c r="C41" s="436">
        <v>59750.0</v>
      </c>
      <c r="D41" s="436">
        <v>523050.0</v>
      </c>
      <c r="E41" s="2"/>
      <c r="F41" s="2"/>
      <c r="G41" s="2"/>
      <c r="H41" s="2"/>
      <c r="I41" s="2"/>
      <c r="J41" s="2"/>
      <c r="K41" s="2"/>
    </row>
    <row r="42">
      <c r="A42" s="112" t="s">
        <v>61</v>
      </c>
      <c r="B42" s="455">
        <f>SWITCH(Summary!$K$33,"Single",B39,"Joint",B40,"Head of household",B41)</f>
        <v>0</v>
      </c>
      <c r="C42" s="455">
        <f>SWITCH(Summary!$K$33,"Single",C39,"Joint",C40,"Head of household",C41)</f>
        <v>44625</v>
      </c>
      <c r="D42" s="455">
        <f>SWITCH(Summary!$K$33,"Single",D39,"Joint",D40,"Head of household",D41)</f>
        <v>492300</v>
      </c>
      <c r="E42" s="2"/>
      <c r="F42" s="2"/>
      <c r="G42" s="2"/>
      <c r="H42" s="2"/>
      <c r="I42" s="2"/>
      <c r="J42" s="2"/>
      <c r="K42" s="2"/>
    </row>
    <row r="43">
      <c r="A43" s="2"/>
      <c r="B43" s="2"/>
      <c r="C43" s="2"/>
      <c r="D43" s="2"/>
      <c r="E43" s="2"/>
      <c r="F43" s="2"/>
      <c r="G43" s="2"/>
      <c r="H43" s="2"/>
      <c r="I43" s="2"/>
      <c r="J43" s="2"/>
      <c r="K43" s="2"/>
    </row>
    <row r="44">
      <c r="A44" s="94" t="s">
        <v>255</v>
      </c>
      <c r="B44" s="456">
        <f>LET(agi,B32+B33,if(agi&lt;C42,0%,if(agi&lt;D42,15%,20%)))</f>
        <v>0</v>
      </c>
      <c r="C44" s="2"/>
      <c r="D44" s="2"/>
      <c r="E44" s="2"/>
      <c r="F44" s="2"/>
      <c r="G44" s="2"/>
      <c r="H44" s="2"/>
      <c r="I44" s="2"/>
      <c r="J44" s="2"/>
      <c r="K44" s="2"/>
    </row>
    <row r="45">
      <c r="A45" s="2"/>
      <c r="B45" s="2"/>
      <c r="C45" s="2"/>
      <c r="D45" s="2"/>
      <c r="E45" s="2"/>
      <c r="F45" s="2"/>
      <c r="G45" s="2"/>
      <c r="H45" s="2"/>
      <c r="I45" s="2"/>
      <c r="J45" s="2"/>
      <c r="K45" s="2"/>
    </row>
    <row r="46">
      <c r="A46" s="94" t="s">
        <v>256</v>
      </c>
      <c r="B46" s="454">
        <v>0.1</v>
      </c>
      <c r="C46" s="454">
        <v>0.12</v>
      </c>
      <c r="D46" s="454">
        <v>0.22</v>
      </c>
      <c r="E46" s="454">
        <v>0.24</v>
      </c>
      <c r="F46" s="454">
        <v>0.32</v>
      </c>
      <c r="G46" s="454">
        <v>0.35</v>
      </c>
      <c r="H46" s="454">
        <v>0.37</v>
      </c>
      <c r="I46" s="2"/>
      <c r="J46" s="2"/>
      <c r="K46" s="2"/>
    </row>
    <row r="47">
      <c r="A47" s="94" t="s">
        <v>92</v>
      </c>
      <c r="B47" s="436">
        <v>0.0</v>
      </c>
      <c r="C47" s="436">
        <v>11000.0</v>
      </c>
      <c r="D47" s="436">
        <v>44725.0</v>
      </c>
      <c r="E47" s="436">
        <v>95375.0</v>
      </c>
      <c r="F47" s="436">
        <v>182100.0</v>
      </c>
      <c r="G47" s="436">
        <v>231250.0</v>
      </c>
      <c r="H47" s="436">
        <v>578125.0</v>
      </c>
      <c r="I47" s="2"/>
      <c r="J47" s="2"/>
      <c r="K47" s="2"/>
    </row>
    <row r="48">
      <c r="A48" s="94" t="s">
        <v>251</v>
      </c>
      <c r="B48" s="436">
        <v>0.0</v>
      </c>
      <c r="C48" s="436">
        <v>22000.0</v>
      </c>
      <c r="D48" s="436">
        <v>89450.0</v>
      </c>
      <c r="E48" s="436">
        <v>190750.0</v>
      </c>
      <c r="F48" s="436">
        <v>364200.0</v>
      </c>
      <c r="G48" s="436">
        <v>462500.0</v>
      </c>
      <c r="H48" s="436">
        <v>693750.0</v>
      </c>
      <c r="I48" s="2"/>
      <c r="J48" s="2"/>
      <c r="K48" s="2"/>
    </row>
    <row r="49">
      <c r="A49" s="112" t="s">
        <v>61</v>
      </c>
      <c r="B49" s="457">
        <f>SWITCH(Summary!$K$33,"Single",B47,"Head of household",B47,"Joint",B48)</f>
        <v>0</v>
      </c>
      <c r="C49" s="457">
        <f>SWITCH(Summary!$K$33,"Single",C47,"Head of household",C47,"Joint",C48)</f>
        <v>11000</v>
      </c>
      <c r="D49" s="457">
        <f>SWITCH(Summary!$K$33,"Single",D47,"Head of household",D47,"Joint",D48)</f>
        <v>44725</v>
      </c>
      <c r="E49" s="457">
        <f>SWITCH(Summary!$K$33,"Single",E47,"Head of household",E47,"Joint",E48)</f>
        <v>95375</v>
      </c>
      <c r="F49" s="457">
        <f>SWITCH(Summary!$K$33,"Single",F47,"Head of household",F47,"Joint",F48)</f>
        <v>182100</v>
      </c>
      <c r="G49" s="457">
        <f>SWITCH(Summary!$K$33,"Single",G47,"Head of household",G47,"Joint",G48)</f>
        <v>231250</v>
      </c>
      <c r="H49" s="457">
        <f>SWITCH(Summary!$K$33,"Single",H47,"Head of household",H47,"Joint",H48)</f>
        <v>578125</v>
      </c>
      <c r="I49" s="2"/>
      <c r="J49" s="2"/>
      <c r="K49" s="2"/>
    </row>
    <row r="50">
      <c r="A50" s="94"/>
      <c r="B50" s="95"/>
      <c r="C50" s="94"/>
      <c r="D50" s="94"/>
      <c r="E50" s="94"/>
      <c r="F50" s="112"/>
      <c r="G50" s="2"/>
      <c r="H50" s="2"/>
      <c r="I50" s="2"/>
      <c r="J50" s="2"/>
      <c r="K50" s="2"/>
    </row>
    <row r="51">
      <c r="A51" s="94" t="s">
        <v>257</v>
      </c>
      <c r="B51" s="458">
        <v>0.01</v>
      </c>
      <c r="C51" s="454">
        <v>0.02</v>
      </c>
      <c r="D51" s="454">
        <v>0.04</v>
      </c>
      <c r="E51" s="454">
        <v>0.06</v>
      </c>
      <c r="F51" s="459">
        <v>0.08</v>
      </c>
      <c r="G51" s="454">
        <v>0.093</v>
      </c>
      <c r="H51" s="454">
        <v>0.103</v>
      </c>
      <c r="I51" s="454">
        <v>0.113</v>
      </c>
      <c r="J51" s="454">
        <v>0.123</v>
      </c>
      <c r="K51" s="454">
        <v>0.133</v>
      </c>
    </row>
    <row r="52">
      <c r="A52" s="94" t="s">
        <v>92</v>
      </c>
      <c r="B52" s="457">
        <v>0.0</v>
      </c>
      <c r="C52" s="436">
        <v>10412.0</v>
      </c>
      <c r="D52" s="436">
        <v>24684.0</v>
      </c>
      <c r="E52" s="436">
        <v>38959.0</v>
      </c>
      <c r="F52" s="436">
        <v>54081.0</v>
      </c>
      <c r="G52" s="460">
        <v>68350.0</v>
      </c>
      <c r="H52" s="436">
        <v>349137.0</v>
      </c>
      <c r="I52" s="436">
        <v>418961.0</v>
      </c>
      <c r="J52" s="436">
        <v>698271.0</v>
      </c>
      <c r="K52" s="436">
        <v>1000000.0</v>
      </c>
    </row>
    <row r="53">
      <c r="A53" s="94" t="s">
        <v>251</v>
      </c>
      <c r="B53" s="457">
        <v>0.0</v>
      </c>
      <c r="C53" s="436">
        <v>20824.0</v>
      </c>
      <c r="D53" s="436">
        <v>49368.0</v>
      </c>
      <c r="E53" s="436">
        <v>77918.0</v>
      </c>
      <c r="F53" s="460">
        <v>108162.0</v>
      </c>
      <c r="G53" s="436">
        <v>136700.0</v>
      </c>
      <c r="H53" s="436">
        <v>698274.0</v>
      </c>
      <c r="I53" s="436">
        <v>837922.0</v>
      </c>
      <c r="J53" s="436">
        <v>1396542.0</v>
      </c>
      <c r="K53" s="436">
        <v>2000000.0</v>
      </c>
    </row>
    <row r="54">
      <c r="A54" s="94" t="s">
        <v>252</v>
      </c>
      <c r="B54" s="457">
        <v>0.0</v>
      </c>
      <c r="C54" s="436">
        <v>20839.0</v>
      </c>
      <c r="D54" s="436">
        <v>49371.0</v>
      </c>
      <c r="E54" s="436">
        <v>63644.0</v>
      </c>
      <c r="F54" s="460">
        <v>78765.0</v>
      </c>
      <c r="G54" s="436">
        <v>93037.0</v>
      </c>
      <c r="H54" s="436">
        <v>474824.0</v>
      </c>
      <c r="I54" s="436">
        <v>569790.0</v>
      </c>
      <c r="J54" s="436">
        <v>949649.0</v>
      </c>
      <c r="K54" s="436">
        <v>1000000.0</v>
      </c>
    </row>
    <row r="55">
      <c r="A55" s="112" t="s">
        <v>61</v>
      </c>
      <c r="B55" s="457">
        <f>SWITCH(Summary!$K$33,"Single",B52,"Head of household",B54,"Joint",B53)</f>
        <v>0</v>
      </c>
      <c r="C55" s="457">
        <f>SWITCH(Summary!$K$33,"Single",C52,"Head of household",C54,"Joint",C53)</f>
        <v>10412</v>
      </c>
      <c r="D55" s="457">
        <f>SWITCH(Summary!$K$33,"Single",D52,"Head of household",D54,"Joint",D53)</f>
        <v>24684</v>
      </c>
      <c r="E55" s="457">
        <f>SWITCH(Summary!$K$33,"Single",E52,"Head of household",E54,"Joint",E53)</f>
        <v>38959</v>
      </c>
      <c r="F55" s="457">
        <f>SWITCH(Summary!$K$33,"Single",F52,"Head of household",F54,"Joint",F53)</f>
        <v>54081</v>
      </c>
      <c r="G55" s="457">
        <f>SWITCH(Summary!$K$33,"Single",G52,"Head of household",G54,"Joint",G53)</f>
        <v>68350</v>
      </c>
      <c r="H55" s="457">
        <f>SWITCH(Summary!$K$33,"Single",H52,"Head of household",H54,"Joint",H53)</f>
        <v>349137</v>
      </c>
      <c r="I55" s="457">
        <f>SWITCH(Summary!$K$33,"Single",I52,"Head of household",I54,"Joint",I53)</f>
        <v>418961</v>
      </c>
      <c r="J55" s="457">
        <f>SWITCH(Summary!$K$33,"Single",J52,"Head of household",J54,"Joint",J53)</f>
        <v>698271</v>
      </c>
      <c r="K55" s="457">
        <f>SWITCH(Summary!$K$33,"Single",K52,"Head of household",K54,"Joint",K53)</f>
        <v>1000000</v>
      </c>
    </row>
    <row r="56">
      <c r="A56" s="94"/>
      <c r="B56" s="427"/>
      <c r="C56" s="112"/>
      <c r="D56" s="2"/>
      <c r="E56" s="112"/>
      <c r="F56" s="461"/>
      <c r="G56" s="2"/>
      <c r="H56" s="2"/>
      <c r="I56" s="2"/>
      <c r="J56" s="2"/>
      <c r="K56" s="2"/>
    </row>
    <row r="57">
      <c r="A57" s="94"/>
      <c r="B57" s="427"/>
      <c r="C57" s="112" t="s">
        <v>258</v>
      </c>
      <c r="D57" s="2"/>
      <c r="E57" s="112"/>
      <c r="F57" s="461"/>
      <c r="G57" s="2"/>
      <c r="H57" s="2"/>
      <c r="I57" s="2"/>
      <c r="J57" s="2"/>
      <c r="K57" s="2"/>
    </row>
    <row r="58">
      <c r="A58" s="94" t="s">
        <v>259</v>
      </c>
      <c r="B58" s="448">
        <f>LET(income, B32 - Summary!L34, 
(0.1*(MIN(MAX(income-B49,0), C49-B49))) +
(0.12*(MIN(MAX(income-C49,0),D49-C49))) +
(0.22*(MIN(MAX(income-D49,0),E49-D49))) +
(0.24*(MIN(MAX(income-E49,0),F49-E49))) +
(0.32*(MIN(MAX(income-F49,0),G49-F49))) +
(0.35*(MIN(MAX(income-G49,0),H49-G49))) +
(0.37*MAX(income-H49,0)))</f>
        <v>0</v>
      </c>
      <c r="C58" s="223">
        <f>LET(income, $B$32 - Summary!$L$34, B58/income)</f>
        <v>0</v>
      </c>
      <c r="D58" s="2"/>
      <c r="E58" s="112"/>
      <c r="F58" s="461"/>
      <c r="G58" s="2"/>
      <c r="H58" s="2"/>
      <c r="I58" s="2"/>
      <c r="J58" s="2"/>
      <c r="K58" s="2"/>
    </row>
    <row r="59">
      <c r="A59" s="94" t="s">
        <v>260</v>
      </c>
      <c r="B59" s="201">
        <f>B33*B44</f>
        <v>0</v>
      </c>
      <c r="C59" s="223"/>
      <c r="D59" s="2"/>
      <c r="E59" s="2"/>
      <c r="F59" s="461"/>
      <c r="G59" s="2"/>
      <c r="H59" s="2"/>
      <c r="I59" s="2"/>
      <c r="J59" s="2"/>
      <c r="K59" s="2"/>
    </row>
    <row r="60">
      <c r="A60" s="94" t="s">
        <v>261</v>
      </c>
      <c r="B60" s="201">
        <f>LET(income,B32+B33,
(0.01*(MIN(MAX(income,B55),C55-B55)))+
(0.02*(MIN(MAX(income-C55,0),D55-C55)))+
(0.04*(MIN(MAX(income-D55,0),E55-D55)))+
(0.06*(MIN(MAX(income-E55,0),F55-E55)))+
(0.08*(MIN(MAX(income-F55,0),G55-F55)))+
(0.093*(MIN(MAX(income-G55,0),H55-G55)))+
(0.103*(MIN(MAX(income-H55,0),I55-H55)))+
(0.113*(MIN(MAX(income-I55,0),J55-I55)))+
(0.123*(MIN(MAX(income-J55,0),K55-J55)))+
(0.133*MAX(income-K55,0)))</f>
        <v>0</v>
      </c>
      <c r="C60" s="223">
        <f>LET(income, $B$32+$B$33 - Summary!$L$34, B60/income)</f>
        <v>0</v>
      </c>
      <c r="D60" s="2"/>
      <c r="E60" s="2"/>
      <c r="F60" s="461"/>
      <c r="G60" s="2"/>
      <c r="H60" s="2"/>
      <c r="I60" s="2"/>
      <c r="J60" s="2"/>
      <c r="K60" s="2"/>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462" t="s">
        <v>262</v>
      </c>
      <c r="B1" s="462" t="s">
        <v>263</v>
      </c>
    </row>
    <row r="2">
      <c r="A2" s="463">
        <v>39309.0</v>
      </c>
      <c r="B2" s="340">
        <v>57.71</v>
      </c>
    </row>
    <row r="3">
      <c r="A3" s="463">
        <v>39310.0</v>
      </c>
      <c r="B3" s="340">
        <v>56.99</v>
      </c>
    </row>
    <row r="4">
      <c r="A4" s="463">
        <v>39311.0</v>
      </c>
      <c r="B4" s="340">
        <v>55.55</v>
      </c>
    </row>
    <row r="5">
      <c r="A5" s="463">
        <v>39314.0</v>
      </c>
      <c r="B5" s="340">
        <v>57.33</v>
      </c>
    </row>
    <row r="6">
      <c r="A6" s="463">
        <v>39315.0</v>
      </c>
      <c r="B6" s="340">
        <v>65.99</v>
      </c>
    </row>
    <row r="7">
      <c r="A7" s="463">
        <v>39316.0</v>
      </c>
      <c r="B7" s="340">
        <v>66.85</v>
      </c>
    </row>
    <row r="8">
      <c r="A8" s="463">
        <v>39317.0</v>
      </c>
      <c r="B8" s="340">
        <v>70.2</v>
      </c>
    </row>
    <row r="9">
      <c r="A9" s="463">
        <v>39318.0</v>
      </c>
      <c r="B9" s="340">
        <v>71.3</v>
      </c>
    </row>
    <row r="10">
      <c r="A10" s="463">
        <v>39321.0</v>
      </c>
      <c r="B10" s="340">
        <v>72.3</v>
      </c>
    </row>
    <row r="11">
      <c r="A11" s="463">
        <v>39322.0</v>
      </c>
      <c r="B11" s="340">
        <v>69.78</v>
      </c>
    </row>
    <row r="12">
      <c r="A12" s="463">
        <v>39323.0</v>
      </c>
      <c r="B12" s="340">
        <v>68.2</v>
      </c>
    </row>
    <row r="13">
      <c r="A13" s="463">
        <v>39324.0</v>
      </c>
      <c r="B13" s="340">
        <v>68.46</v>
      </c>
    </row>
    <row r="14">
      <c r="A14" s="463">
        <v>39325.0</v>
      </c>
      <c r="B14" s="340">
        <v>68.89</v>
      </c>
    </row>
    <row r="15">
      <c r="A15" s="463">
        <v>39329.0</v>
      </c>
      <c r="B15" s="340">
        <v>67.45</v>
      </c>
    </row>
    <row r="16">
      <c r="A16" s="463">
        <v>39330.0</v>
      </c>
      <c r="B16" s="340">
        <v>64.21</v>
      </c>
    </row>
    <row r="17">
      <c r="A17" s="463">
        <v>39331.0</v>
      </c>
      <c r="B17" s="340">
        <v>69.79</v>
      </c>
    </row>
    <row r="18">
      <c r="A18" s="463">
        <v>39332.0</v>
      </c>
      <c r="B18" s="340">
        <v>69.5</v>
      </c>
    </row>
    <row r="19">
      <c r="A19" s="463">
        <v>39335.0</v>
      </c>
      <c r="B19" s="340">
        <v>76.76</v>
      </c>
    </row>
    <row r="20">
      <c r="A20" s="463">
        <v>39336.0</v>
      </c>
      <c r="B20" s="340">
        <v>76.65</v>
      </c>
    </row>
    <row r="21">
      <c r="A21" s="463">
        <v>39337.0</v>
      </c>
      <c r="B21" s="340">
        <v>78.3</v>
      </c>
    </row>
    <row r="22">
      <c r="A22" s="463">
        <v>39338.0</v>
      </c>
      <c r="B22" s="340">
        <v>77.79</v>
      </c>
    </row>
    <row r="23">
      <c r="A23" s="463">
        <v>39339.0</v>
      </c>
      <c r="B23" s="340">
        <v>77.92</v>
      </c>
    </row>
    <row r="24">
      <c r="A24" s="463">
        <v>39342.0</v>
      </c>
      <c r="B24" s="340">
        <v>73.7</v>
      </c>
    </row>
    <row r="25">
      <c r="A25" s="463">
        <v>39343.0</v>
      </c>
      <c r="B25" s="340">
        <v>73.9</v>
      </c>
    </row>
    <row r="26">
      <c r="A26" s="463">
        <v>39344.0</v>
      </c>
      <c r="B26" s="340">
        <v>77.6</v>
      </c>
    </row>
    <row r="27">
      <c r="A27" s="463">
        <v>39345.0</v>
      </c>
      <c r="B27" s="340">
        <v>76.65</v>
      </c>
    </row>
    <row r="28">
      <c r="A28" s="463">
        <v>39346.0</v>
      </c>
      <c r="B28" s="340">
        <v>79.31</v>
      </c>
    </row>
    <row r="29">
      <c r="A29" s="463">
        <v>39349.0</v>
      </c>
      <c r="B29" s="340">
        <v>83.83</v>
      </c>
    </row>
    <row r="30">
      <c r="A30" s="463">
        <v>39350.0</v>
      </c>
      <c r="B30" s="340">
        <v>83.23</v>
      </c>
    </row>
    <row r="31">
      <c r="A31" s="463">
        <v>39351.0</v>
      </c>
      <c r="B31" s="340">
        <v>82.36</v>
      </c>
    </row>
    <row r="32">
      <c r="A32" s="463">
        <v>39352.0</v>
      </c>
      <c r="B32" s="340">
        <v>83.12</v>
      </c>
    </row>
    <row r="33">
      <c r="A33" s="463">
        <v>39353.0</v>
      </c>
      <c r="B33" s="340">
        <v>85.0</v>
      </c>
    </row>
    <row r="34">
      <c r="A34" s="463">
        <v>39356.0</v>
      </c>
      <c r="B34" s="340">
        <v>88.62</v>
      </c>
    </row>
    <row r="35">
      <c r="A35" s="463">
        <v>39357.0</v>
      </c>
      <c r="B35" s="340">
        <v>92.42</v>
      </c>
    </row>
    <row r="36">
      <c r="A36" s="463">
        <v>39358.0</v>
      </c>
      <c r="B36" s="340">
        <v>88.25</v>
      </c>
    </row>
    <row r="37">
      <c r="A37" s="463">
        <v>39359.0</v>
      </c>
      <c r="B37" s="340">
        <v>89.57</v>
      </c>
    </row>
    <row r="38">
      <c r="A38" s="463">
        <v>39360.0</v>
      </c>
      <c r="B38" s="340">
        <v>91.13</v>
      </c>
    </row>
    <row r="39">
      <c r="A39" s="463">
        <v>39363.0</v>
      </c>
      <c r="B39" s="340">
        <v>95.09</v>
      </c>
    </row>
    <row r="40">
      <c r="A40" s="463">
        <v>39364.0</v>
      </c>
      <c r="B40" s="340">
        <v>101.61</v>
      </c>
    </row>
    <row r="41">
      <c r="A41" s="463">
        <v>39365.0</v>
      </c>
      <c r="B41" s="340">
        <v>107.04</v>
      </c>
    </row>
    <row r="42">
      <c r="A42" s="463">
        <v>39366.0</v>
      </c>
      <c r="B42" s="340">
        <v>102.69</v>
      </c>
    </row>
    <row r="43">
      <c r="A43" s="463">
        <v>39367.0</v>
      </c>
      <c r="B43" s="340">
        <v>102.98</v>
      </c>
    </row>
    <row r="44">
      <c r="A44" s="463">
        <v>39370.0</v>
      </c>
      <c r="B44" s="340">
        <v>98.76</v>
      </c>
    </row>
    <row r="45">
      <c r="A45" s="463">
        <v>39371.0</v>
      </c>
      <c r="B45" s="340">
        <v>99.9</v>
      </c>
    </row>
    <row r="46">
      <c r="A46" s="463">
        <v>39372.0</v>
      </c>
      <c r="B46" s="340">
        <v>103.95</v>
      </c>
    </row>
    <row r="47">
      <c r="A47" s="463">
        <v>39373.0</v>
      </c>
      <c r="B47" s="340">
        <v>101.55</v>
      </c>
    </row>
    <row r="48">
      <c r="A48" s="463">
        <v>39374.0</v>
      </c>
      <c r="B48" s="340">
        <v>97.74</v>
      </c>
    </row>
    <row r="49">
      <c r="A49" s="463">
        <v>39377.0</v>
      </c>
      <c r="B49" s="340">
        <v>102.38</v>
      </c>
    </row>
    <row r="50">
      <c r="A50" s="463">
        <v>39378.0</v>
      </c>
      <c r="B50" s="340">
        <v>106.15</v>
      </c>
    </row>
    <row r="51">
      <c r="A51" s="463">
        <v>39379.0</v>
      </c>
      <c r="B51" s="340">
        <v>103.52</v>
      </c>
    </row>
    <row r="52">
      <c r="A52" s="463">
        <v>39380.0</v>
      </c>
      <c r="B52" s="340">
        <v>114.0</v>
      </c>
    </row>
    <row r="53">
      <c r="A53" s="463">
        <v>39381.0</v>
      </c>
      <c r="B53" s="340">
        <v>112.09</v>
      </c>
    </row>
    <row r="54">
      <c r="A54" s="463">
        <v>39384.0</v>
      </c>
      <c r="B54" s="340">
        <v>120.78</v>
      </c>
    </row>
    <row r="55">
      <c r="A55" s="463">
        <v>39385.0</v>
      </c>
      <c r="B55" s="340">
        <v>120.35</v>
      </c>
    </row>
    <row r="56">
      <c r="A56" s="463">
        <v>39386.0</v>
      </c>
      <c r="B56" s="340">
        <v>124.83</v>
      </c>
    </row>
    <row r="57">
      <c r="A57" s="463">
        <v>39387.0</v>
      </c>
      <c r="B57" s="340">
        <v>122.25</v>
      </c>
    </row>
    <row r="58">
      <c r="A58" s="463">
        <v>39388.0</v>
      </c>
      <c r="B58" s="340">
        <v>117.12</v>
      </c>
    </row>
    <row r="59">
      <c r="A59" s="463">
        <v>39391.0</v>
      </c>
      <c r="B59" s="340">
        <v>112.55</v>
      </c>
    </row>
    <row r="60">
      <c r="A60" s="463">
        <v>39392.0</v>
      </c>
      <c r="B60" s="340">
        <v>110.94</v>
      </c>
    </row>
    <row r="61">
      <c r="A61" s="463">
        <v>39393.0</v>
      </c>
      <c r="B61" s="340">
        <v>102.5</v>
      </c>
    </row>
    <row r="62">
      <c r="A62" s="463">
        <v>39394.0</v>
      </c>
      <c r="B62" s="340">
        <v>91.88</v>
      </c>
    </row>
    <row r="63">
      <c r="A63" s="463">
        <v>39395.0</v>
      </c>
      <c r="B63" s="340">
        <v>87.74</v>
      </c>
    </row>
    <row r="64">
      <c r="A64" s="463">
        <v>39398.0</v>
      </c>
      <c r="B64" s="340">
        <v>80.36</v>
      </c>
    </row>
    <row r="65">
      <c r="A65" s="463">
        <v>39399.0</v>
      </c>
      <c r="B65" s="340">
        <v>90.68</v>
      </c>
    </row>
    <row r="66">
      <c r="A66" s="463">
        <v>39400.0</v>
      </c>
      <c r="B66" s="340">
        <v>87.17</v>
      </c>
    </row>
    <row r="67">
      <c r="A67" s="463">
        <v>39401.0</v>
      </c>
      <c r="B67" s="340">
        <v>82.3</v>
      </c>
    </row>
    <row r="68">
      <c r="A68" s="463">
        <v>39402.0</v>
      </c>
      <c r="B68" s="340">
        <v>85.25</v>
      </c>
    </row>
    <row r="69">
      <c r="A69" s="463">
        <v>39405.0</v>
      </c>
      <c r="B69" s="340">
        <v>81.97</v>
      </c>
    </row>
    <row r="70">
      <c r="A70" s="463">
        <v>39406.0</v>
      </c>
      <c r="B70" s="340">
        <v>82.62</v>
      </c>
    </row>
    <row r="71">
      <c r="A71" s="463">
        <v>39407.0</v>
      </c>
      <c r="B71" s="340">
        <v>80.68</v>
      </c>
    </row>
    <row r="72">
      <c r="A72" s="463">
        <v>39409.0</v>
      </c>
      <c r="B72" s="340">
        <v>78.84</v>
      </c>
    </row>
    <row r="73">
      <c r="A73" s="463">
        <v>39412.0</v>
      </c>
      <c r="B73" s="340">
        <v>71.44</v>
      </c>
    </row>
    <row r="74">
      <c r="A74" s="463">
        <v>39413.0</v>
      </c>
      <c r="B74" s="340">
        <v>77.58</v>
      </c>
    </row>
    <row r="75">
      <c r="A75" s="463">
        <v>39414.0</v>
      </c>
      <c r="B75" s="340">
        <v>87.69</v>
      </c>
    </row>
    <row r="76">
      <c r="A76" s="463">
        <v>39415.0</v>
      </c>
      <c r="B76" s="340">
        <v>90.85</v>
      </c>
    </row>
    <row r="77">
      <c r="A77" s="463">
        <v>39416.0</v>
      </c>
      <c r="B77" s="340">
        <v>91.37</v>
      </c>
    </row>
    <row r="78">
      <c r="A78" s="463">
        <v>39419.0</v>
      </c>
      <c r="B78" s="340">
        <v>94.97</v>
      </c>
    </row>
    <row r="79">
      <c r="A79" s="463">
        <v>39420.0</v>
      </c>
      <c r="B79" s="340">
        <v>95.08</v>
      </c>
    </row>
    <row r="80">
      <c r="A80" s="463">
        <v>39421.0</v>
      </c>
      <c r="B80" s="340">
        <v>90.44</v>
      </c>
    </row>
    <row r="81">
      <c r="A81" s="463">
        <v>39422.0</v>
      </c>
      <c r="B81" s="340">
        <v>89.7</v>
      </c>
    </row>
    <row r="82">
      <c r="A82" s="463">
        <v>39423.0</v>
      </c>
      <c r="B82" s="340">
        <v>88.88</v>
      </c>
    </row>
    <row r="83">
      <c r="A83" s="463">
        <v>39426.0</v>
      </c>
      <c r="B83" s="340">
        <v>93.45</v>
      </c>
    </row>
    <row r="84">
      <c r="A84" s="463">
        <v>39427.0</v>
      </c>
      <c r="B84" s="340">
        <v>95.29</v>
      </c>
    </row>
    <row r="85">
      <c r="A85" s="463">
        <v>39428.0</v>
      </c>
      <c r="B85" s="340">
        <v>99.23</v>
      </c>
    </row>
    <row r="86">
      <c r="A86" s="463">
        <v>39429.0</v>
      </c>
      <c r="B86" s="464">
        <v>96.0</v>
      </c>
    </row>
    <row r="87">
      <c r="A87" s="463">
        <v>39430.0</v>
      </c>
      <c r="B87" s="340">
        <v>95.7</v>
      </c>
    </row>
    <row r="88">
      <c r="A88" s="463">
        <v>39433.0</v>
      </c>
      <c r="B88" s="340">
        <v>89.85</v>
      </c>
    </row>
    <row r="89">
      <c r="A89" s="463">
        <v>39434.0</v>
      </c>
      <c r="B89" s="464">
        <v>88.83</v>
      </c>
    </row>
    <row r="90">
      <c r="A90" s="463">
        <v>39435.0</v>
      </c>
      <c r="B90" s="464">
        <v>90.53</v>
      </c>
    </row>
    <row r="91">
      <c r="A91" s="463">
        <v>39436.0</v>
      </c>
      <c r="B91" s="464">
        <v>91.14</v>
      </c>
    </row>
    <row r="92">
      <c r="A92" s="463">
        <v>39437.0</v>
      </c>
      <c r="B92" s="464">
        <v>89.64</v>
      </c>
    </row>
    <row r="93">
      <c r="A93" s="463">
        <v>39440.0</v>
      </c>
      <c r="B93" s="464">
        <v>88.71</v>
      </c>
    </row>
    <row r="94">
      <c r="A94" s="463">
        <v>39442.0</v>
      </c>
      <c r="B94" s="464">
        <v>87.63</v>
      </c>
    </row>
    <row r="95">
      <c r="A95" s="463">
        <v>39443.0</v>
      </c>
      <c r="B95" s="464">
        <v>84.97</v>
      </c>
    </row>
    <row r="96">
      <c r="A96" s="463">
        <v>39444.0</v>
      </c>
      <c r="B96" s="464">
        <v>83.6</v>
      </c>
    </row>
    <row r="97">
      <c r="A97" s="463">
        <v>39447.0</v>
      </c>
      <c r="B97" s="464">
        <v>84.99</v>
      </c>
    </row>
    <row r="98">
      <c r="A98" s="463">
        <v>39449.0</v>
      </c>
      <c r="B98" s="464">
        <v>84.6</v>
      </c>
    </row>
    <row r="99">
      <c r="A99" s="463">
        <v>39450.0</v>
      </c>
      <c r="B99" s="464">
        <v>83.95</v>
      </c>
    </row>
    <row r="100">
      <c r="A100" s="463">
        <v>39451.0</v>
      </c>
      <c r="B100" s="464">
        <v>80.49</v>
      </c>
    </row>
    <row r="101">
      <c r="A101" s="463">
        <v>39454.0</v>
      </c>
      <c r="B101" s="464">
        <v>72.99</v>
      </c>
    </row>
    <row r="102">
      <c r="A102" s="463">
        <v>39455.0</v>
      </c>
      <c r="B102" s="464">
        <v>74.5</v>
      </c>
    </row>
    <row r="103">
      <c r="A103" s="463">
        <v>39456.0</v>
      </c>
      <c r="B103" s="464">
        <v>79.89</v>
      </c>
    </row>
    <row r="104">
      <c r="A104" s="463">
        <v>39457.0</v>
      </c>
      <c r="B104" s="464">
        <v>80.3</v>
      </c>
    </row>
    <row r="105">
      <c r="A105" s="463">
        <v>39458.0</v>
      </c>
      <c r="B105" s="464">
        <v>77.53</v>
      </c>
    </row>
    <row r="106">
      <c r="A106" s="463">
        <v>39461.0</v>
      </c>
      <c r="B106" s="464">
        <v>82.24</v>
      </c>
    </row>
    <row r="107">
      <c r="A107" s="463">
        <v>39462.0</v>
      </c>
      <c r="B107" s="464">
        <v>79.93</v>
      </c>
    </row>
    <row r="108">
      <c r="A108" s="463">
        <v>39463.0</v>
      </c>
      <c r="B108" s="464">
        <v>83.5</v>
      </c>
    </row>
    <row r="109">
      <c r="A109" s="463">
        <v>39464.0</v>
      </c>
      <c r="B109" s="464">
        <v>80.74</v>
      </c>
    </row>
    <row r="110">
      <c r="A110" s="463">
        <v>39465.0</v>
      </c>
      <c r="B110" s="464">
        <v>81.27</v>
      </c>
    </row>
    <row r="111">
      <c r="A111" s="463">
        <v>39469.0</v>
      </c>
      <c r="B111" s="464">
        <v>80.45</v>
      </c>
    </row>
    <row r="112">
      <c r="A112" s="463">
        <v>39470.0</v>
      </c>
      <c r="B112" s="464">
        <v>77.51</v>
      </c>
    </row>
    <row r="113">
      <c r="A113" s="463">
        <v>39471.0</v>
      </c>
      <c r="B113" s="464">
        <v>80.2</v>
      </c>
    </row>
    <row r="114">
      <c r="A114" s="463">
        <v>39472.0</v>
      </c>
      <c r="B114" s="464">
        <v>80.55</v>
      </c>
    </row>
    <row r="115">
      <c r="A115" s="463">
        <v>39475.0</v>
      </c>
      <c r="B115" s="464">
        <v>83.0</v>
      </c>
    </row>
    <row r="116">
      <c r="A116" s="463">
        <v>39476.0</v>
      </c>
      <c r="B116" s="464">
        <v>54.87</v>
      </c>
    </row>
    <row r="117">
      <c r="A117" s="463">
        <v>39477.0</v>
      </c>
      <c r="B117" s="464">
        <v>56.42</v>
      </c>
    </row>
    <row r="118">
      <c r="A118" s="463">
        <v>39478.0</v>
      </c>
      <c r="B118" s="464">
        <v>56.67</v>
      </c>
    </row>
    <row r="119">
      <c r="A119" s="463">
        <v>39479.0</v>
      </c>
      <c r="B119" s="464">
        <v>57.85</v>
      </c>
    </row>
    <row r="120">
      <c r="A120" s="463">
        <v>39482.0</v>
      </c>
      <c r="B120" s="464">
        <v>58.05</v>
      </c>
    </row>
    <row r="121">
      <c r="A121" s="463">
        <v>39483.0</v>
      </c>
      <c r="B121" s="464">
        <v>59.3</v>
      </c>
    </row>
    <row r="122">
      <c r="A122" s="463">
        <v>39484.0</v>
      </c>
      <c r="B122" s="464">
        <v>61.52</v>
      </c>
    </row>
    <row r="123">
      <c r="A123" s="463">
        <v>39485.0</v>
      </c>
      <c r="B123" s="464">
        <v>60.8</v>
      </c>
    </row>
    <row r="124">
      <c r="A124" s="463">
        <v>39486.0</v>
      </c>
      <c r="B124" s="464">
        <v>60.27</v>
      </c>
    </row>
    <row r="125">
      <c r="A125" s="463">
        <v>39489.0</v>
      </c>
      <c r="B125" s="464">
        <v>61.42</v>
      </c>
    </row>
    <row r="126">
      <c r="A126" s="463">
        <v>39490.0</v>
      </c>
      <c r="B126" s="464">
        <v>62.26</v>
      </c>
    </row>
    <row r="127">
      <c r="A127" s="463">
        <v>39491.0</v>
      </c>
      <c r="B127" s="464">
        <v>62.93</v>
      </c>
    </row>
    <row r="128">
      <c r="A128" s="463">
        <v>39492.0</v>
      </c>
      <c r="B128" s="464">
        <v>62.1</v>
      </c>
    </row>
    <row r="129">
      <c r="A129" s="463">
        <v>39493.0</v>
      </c>
      <c r="B129" s="464">
        <v>59.81</v>
      </c>
    </row>
    <row r="130">
      <c r="A130" s="463">
        <v>39497.0</v>
      </c>
      <c r="B130" s="464">
        <v>57.38</v>
      </c>
    </row>
    <row r="131">
      <c r="A131" s="463">
        <v>39498.0</v>
      </c>
      <c r="B131" s="464">
        <v>59.45</v>
      </c>
    </row>
    <row r="132">
      <c r="A132" s="463">
        <v>39499.0</v>
      </c>
      <c r="B132" s="464">
        <v>57.91</v>
      </c>
    </row>
    <row r="133">
      <c r="A133" s="463">
        <v>39500.0</v>
      </c>
      <c r="B133" s="464">
        <v>56.55</v>
      </c>
    </row>
    <row r="134">
      <c r="A134" s="463">
        <v>39503.0</v>
      </c>
      <c r="B134" s="464">
        <v>58.29</v>
      </c>
    </row>
    <row r="135">
      <c r="A135" s="463">
        <v>39504.0</v>
      </c>
      <c r="B135" s="464">
        <v>60.18</v>
      </c>
    </row>
    <row r="136">
      <c r="A136" s="463">
        <v>39505.0</v>
      </c>
      <c r="B136" s="464">
        <v>59.86</v>
      </c>
    </row>
    <row r="137">
      <c r="A137" s="463">
        <v>39506.0</v>
      </c>
      <c r="B137" s="464">
        <v>59.95</v>
      </c>
    </row>
    <row r="138">
      <c r="A138" s="463">
        <v>39507.0</v>
      </c>
      <c r="B138" s="464">
        <v>58.67</v>
      </c>
    </row>
    <row r="139">
      <c r="A139" s="463">
        <v>39510.0</v>
      </c>
      <c r="B139" s="464">
        <v>55.81</v>
      </c>
    </row>
    <row r="140">
      <c r="A140" s="463">
        <v>39511.0</v>
      </c>
      <c r="B140" s="464">
        <v>53.76</v>
      </c>
    </row>
    <row r="141">
      <c r="A141" s="463">
        <v>39512.0</v>
      </c>
      <c r="B141" s="464">
        <v>54.57</v>
      </c>
    </row>
    <row r="142">
      <c r="A142" s="463">
        <v>39513.0</v>
      </c>
      <c r="B142" s="464">
        <v>53.1</v>
      </c>
    </row>
    <row r="143">
      <c r="A143" s="463">
        <v>39514.0</v>
      </c>
      <c r="B143" s="464">
        <v>51.45</v>
      </c>
    </row>
    <row r="144">
      <c r="A144" s="463">
        <v>39517.0</v>
      </c>
      <c r="B144" s="464">
        <v>47.51</v>
      </c>
    </row>
    <row r="145">
      <c r="A145" s="463">
        <v>39518.0</v>
      </c>
      <c r="B145" s="464">
        <v>48.0</v>
      </c>
    </row>
    <row r="146">
      <c r="A146" s="463">
        <v>39519.0</v>
      </c>
      <c r="B146" s="464">
        <v>51.27</v>
      </c>
    </row>
    <row r="147">
      <c r="A147" s="463">
        <v>39520.0</v>
      </c>
      <c r="B147" s="464">
        <v>52.12</v>
      </c>
    </row>
    <row r="148">
      <c r="A148" s="463">
        <v>39521.0</v>
      </c>
      <c r="B148" s="464">
        <v>49.78</v>
      </c>
    </row>
    <row r="149">
      <c r="A149" s="463">
        <v>39524.0</v>
      </c>
      <c r="B149" s="464">
        <v>46.06</v>
      </c>
    </row>
    <row r="150">
      <c r="A150" s="463">
        <v>39525.0</v>
      </c>
      <c r="B150" s="464">
        <v>46.66</v>
      </c>
    </row>
    <row r="151">
      <c r="A151" s="463">
        <v>39526.0</v>
      </c>
      <c r="B151" s="464">
        <v>42.77</v>
      </c>
    </row>
    <row r="152">
      <c r="A152" s="463">
        <v>39527.0</v>
      </c>
      <c r="B152" s="464">
        <v>45.12</v>
      </c>
    </row>
    <row r="153">
      <c r="A153" s="463">
        <v>39531.0</v>
      </c>
      <c r="B153" s="464">
        <v>47.76</v>
      </c>
    </row>
    <row r="154">
      <c r="A154" s="463">
        <v>39532.0</v>
      </c>
      <c r="B154" s="464">
        <v>50.08</v>
      </c>
    </row>
    <row r="155">
      <c r="A155" s="463">
        <v>39533.0</v>
      </c>
      <c r="B155" s="464">
        <v>49.61</v>
      </c>
    </row>
    <row r="156">
      <c r="A156" s="463">
        <v>39534.0</v>
      </c>
      <c r="B156" s="464">
        <v>46.38</v>
      </c>
    </row>
    <row r="157">
      <c r="A157" s="463">
        <v>39535.0</v>
      </c>
      <c r="B157" s="464">
        <v>44.53</v>
      </c>
    </row>
    <row r="158">
      <c r="A158" s="463">
        <v>39538.0</v>
      </c>
      <c r="B158" s="464">
        <v>42.82</v>
      </c>
    </row>
    <row r="159">
      <c r="A159" s="463">
        <v>39539.0</v>
      </c>
      <c r="B159" s="464">
        <v>45.75</v>
      </c>
    </row>
    <row r="160">
      <c r="A160" s="463">
        <v>39540.0</v>
      </c>
      <c r="B160" s="464">
        <v>43.68</v>
      </c>
    </row>
    <row r="161">
      <c r="A161" s="463">
        <v>39541.0</v>
      </c>
      <c r="B161" s="464">
        <v>47.97</v>
      </c>
    </row>
    <row r="162">
      <c r="A162" s="463">
        <v>39542.0</v>
      </c>
      <c r="B162" s="464">
        <v>50.49</v>
      </c>
    </row>
    <row r="163">
      <c r="A163" s="463">
        <v>39545.0</v>
      </c>
      <c r="B163" s="464">
        <v>50.59</v>
      </c>
    </row>
    <row r="164">
      <c r="A164" s="463">
        <v>39546.0</v>
      </c>
      <c r="B164" s="464">
        <v>53.27</v>
      </c>
    </row>
    <row r="165">
      <c r="A165" s="463">
        <v>39547.0</v>
      </c>
      <c r="B165" s="464">
        <v>52.6</v>
      </c>
    </row>
    <row r="166">
      <c r="A166" s="463">
        <v>39548.0</v>
      </c>
      <c r="B166" s="464">
        <v>53.91</v>
      </c>
    </row>
    <row r="167">
      <c r="A167" s="463">
        <v>39549.0</v>
      </c>
      <c r="B167" s="464">
        <v>52.5</v>
      </c>
    </row>
    <row r="168">
      <c r="A168" s="463">
        <v>39552.0</v>
      </c>
      <c r="B168" s="464">
        <v>51.85</v>
      </c>
    </row>
    <row r="169">
      <c r="A169" s="463">
        <v>39553.0</v>
      </c>
      <c r="B169" s="464">
        <v>51.72</v>
      </c>
    </row>
    <row r="170">
      <c r="A170" s="463">
        <v>39554.0</v>
      </c>
      <c r="B170" s="464">
        <v>53.96</v>
      </c>
    </row>
    <row r="171">
      <c r="A171" s="463">
        <v>39555.0</v>
      </c>
      <c r="B171" s="464">
        <v>55.02</v>
      </c>
    </row>
    <row r="172">
      <c r="A172" s="463">
        <v>39556.0</v>
      </c>
      <c r="B172" s="464">
        <v>58.47</v>
      </c>
    </row>
    <row r="173">
      <c r="A173" s="463">
        <v>39559.0</v>
      </c>
      <c r="B173" s="464">
        <v>56.07</v>
      </c>
    </row>
    <row r="174">
      <c r="A174" s="463">
        <v>39560.0</v>
      </c>
      <c r="B174" s="464">
        <v>58.02</v>
      </c>
    </row>
    <row r="175">
      <c r="A175" s="463">
        <v>39561.0</v>
      </c>
      <c r="B175" s="464">
        <v>60.84</v>
      </c>
    </row>
    <row r="176">
      <c r="A176" s="463">
        <v>39562.0</v>
      </c>
      <c r="B176" s="464">
        <v>61.52</v>
      </c>
    </row>
    <row r="177">
      <c r="A177" s="463">
        <v>39563.0</v>
      </c>
      <c r="B177" s="464">
        <v>64.84</v>
      </c>
    </row>
    <row r="178">
      <c r="A178" s="463">
        <v>39566.0</v>
      </c>
      <c r="B178" s="464">
        <v>67.33</v>
      </c>
    </row>
    <row r="179">
      <c r="A179" s="463">
        <v>39567.0</v>
      </c>
      <c r="B179" s="464">
        <v>68.44</v>
      </c>
    </row>
    <row r="180">
      <c r="A180" s="463">
        <v>39568.0</v>
      </c>
      <c r="B180" s="464">
        <v>66.64</v>
      </c>
    </row>
    <row r="181">
      <c r="A181" s="463">
        <v>39569.0</v>
      </c>
      <c r="B181" s="464">
        <v>70.24</v>
      </c>
    </row>
    <row r="182">
      <c r="A182" s="463">
        <v>39570.0</v>
      </c>
      <c r="B182" s="464">
        <v>68.76</v>
      </c>
    </row>
    <row r="183">
      <c r="A183" s="463">
        <v>39573.0</v>
      </c>
      <c r="B183" s="464">
        <v>67.58</v>
      </c>
    </row>
    <row r="184">
      <c r="A184" s="463">
        <v>39574.0</v>
      </c>
      <c r="B184" s="464">
        <v>67.39</v>
      </c>
    </row>
    <row r="185">
      <c r="A185" s="463">
        <v>39575.0</v>
      </c>
      <c r="B185" s="464">
        <v>63.76</v>
      </c>
    </row>
    <row r="186">
      <c r="A186" s="463">
        <v>39576.0</v>
      </c>
      <c r="B186" s="464">
        <v>64.04</v>
      </c>
    </row>
    <row r="187">
      <c r="A187" s="463">
        <v>39577.0</v>
      </c>
      <c r="B187" s="464">
        <v>64.05</v>
      </c>
    </row>
    <row r="188">
      <c r="A188" s="463">
        <v>39580.0</v>
      </c>
      <c r="B188" s="464">
        <v>64.79</v>
      </c>
    </row>
    <row r="189">
      <c r="A189" s="463">
        <v>39581.0</v>
      </c>
      <c r="B189" s="464">
        <v>66.15</v>
      </c>
    </row>
    <row r="190">
      <c r="A190" s="463">
        <v>39582.0</v>
      </c>
      <c r="B190" s="464">
        <v>66.32</v>
      </c>
    </row>
    <row r="191">
      <c r="A191" s="463">
        <v>39583.0</v>
      </c>
      <c r="B191" s="464">
        <v>72.08</v>
      </c>
    </row>
    <row r="192">
      <c r="A192" s="463">
        <v>39584.0</v>
      </c>
      <c r="B192" s="464">
        <v>69.6</v>
      </c>
    </row>
    <row r="193">
      <c r="A193" s="463">
        <v>39587.0</v>
      </c>
      <c r="B193" s="464">
        <v>69.3</v>
      </c>
    </row>
    <row r="194">
      <c r="A194" s="463">
        <v>39588.0</v>
      </c>
      <c r="B194" s="464">
        <v>68.0</v>
      </c>
    </row>
    <row r="195">
      <c r="A195" s="463">
        <v>39589.0</v>
      </c>
      <c r="B195" s="464">
        <v>65.39</v>
      </c>
    </row>
    <row r="196">
      <c r="A196" s="463">
        <v>39590.0</v>
      </c>
      <c r="B196" s="464">
        <v>65.0</v>
      </c>
    </row>
    <row r="197">
      <c r="A197" s="463">
        <v>39591.0</v>
      </c>
      <c r="B197" s="464">
        <v>64.96</v>
      </c>
    </row>
    <row r="198">
      <c r="A198" s="463">
        <v>39595.0</v>
      </c>
      <c r="B198" s="464">
        <v>66.75</v>
      </c>
    </row>
    <row r="199">
      <c r="A199" s="463">
        <v>39596.0</v>
      </c>
      <c r="B199" s="464">
        <v>67.65</v>
      </c>
    </row>
    <row r="200">
      <c r="A200" s="463">
        <v>39597.0</v>
      </c>
      <c r="B200" s="464">
        <v>68.66</v>
      </c>
    </row>
    <row r="201">
      <c r="A201" s="463">
        <v>39598.0</v>
      </c>
      <c r="B201" s="464">
        <v>68.67</v>
      </c>
    </row>
    <row r="202">
      <c r="A202" s="463">
        <v>39601.0</v>
      </c>
      <c r="B202" s="464">
        <v>66.39</v>
      </c>
    </row>
    <row r="203">
      <c r="A203" s="463">
        <v>39602.0</v>
      </c>
      <c r="B203" s="464">
        <v>65.65</v>
      </c>
    </row>
    <row r="204">
      <c r="A204" s="463">
        <v>39603.0</v>
      </c>
      <c r="B204" s="464">
        <v>67.37</v>
      </c>
    </row>
    <row r="205">
      <c r="A205" s="463">
        <v>39604.0</v>
      </c>
      <c r="B205" s="464">
        <v>69.93</v>
      </c>
    </row>
    <row r="206">
      <c r="A206" s="463">
        <v>39605.0</v>
      </c>
      <c r="B206" s="464">
        <v>67.89</v>
      </c>
    </row>
    <row r="207">
      <c r="A207" s="463">
        <v>39608.0</v>
      </c>
      <c r="B207" s="464">
        <v>65.84</v>
      </c>
    </row>
    <row r="208">
      <c r="A208" s="463">
        <v>39609.0</v>
      </c>
      <c r="B208" s="464">
        <v>65.83</v>
      </c>
    </row>
    <row r="209">
      <c r="A209" s="463">
        <v>39610.0</v>
      </c>
      <c r="B209" s="464">
        <v>65.28</v>
      </c>
    </row>
    <row r="210">
      <c r="A210" s="463">
        <v>39611.0</v>
      </c>
      <c r="B210" s="464">
        <v>65.29</v>
      </c>
    </row>
    <row r="211">
      <c r="A211" s="463">
        <v>39612.0</v>
      </c>
      <c r="B211" s="464">
        <v>66.5</v>
      </c>
    </row>
    <row r="212">
      <c r="A212" s="463">
        <v>39615.0</v>
      </c>
      <c r="B212" s="464">
        <v>67.47</v>
      </c>
    </row>
    <row r="213">
      <c r="A213" s="463">
        <v>39616.0</v>
      </c>
      <c r="B213" s="464">
        <v>67.0</v>
      </c>
    </row>
    <row r="214">
      <c r="A214" s="463">
        <v>39617.0</v>
      </c>
      <c r="B214" s="464">
        <v>66.19</v>
      </c>
    </row>
    <row r="215">
      <c r="A215" s="463">
        <v>39618.0</v>
      </c>
      <c r="B215" s="464">
        <v>65.72</v>
      </c>
    </row>
    <row r="216">
      <c r="A216" s="463">
        <v>39619.0</v>
      </c>
      <c r="B216" s="464">
        <v>63.86</v>
      </c>
    </row>
    <row r="217">
      <c r="A217" s="463">
        <v>39622.0</v>
      </c>
      <c r="B217" s="464">
        <v>63.56</v>
      </c>
    </row>
    <row r="218">
      <c r="A218" s="463">
        <v>39623.0</v>
      </c>
      <c r="B218" s="464">
        <v>60.95</v>
      </c>
    </row>
    <row r="219">
      <c r="A219" s="463">
        <v>39624.0</v>
      </c>
      <c r="B219" s="464">
        <v>62.18</v>
      </c>
    </row>
    <row r="220">
      <c r="A220" s="463">
        <v>39625.0</v>
      </c>
      <c r="B220" s="464">
        <v>58.92</v>
      </c>
    </row>
    <row r="221">
      <c r="A221" s="463">
        <v>39626.0</v>
      </c>
      <c r="B221" s="464">
        <v>51.05</v>
      </c>
    </row>
    <row r="222">
      <c r="A222" s="463">
        <v>39629.0</v>
      </c>
      <c r="B222" s="464">
        <v>53.86</v>
      </c>
    </row>
    <row r="223">
      <c r="A223" s="463">
        <v>39630.0</v>
      </c>
      <c r="B223" s="464">
        <v>52.45</v>
      </c>
    </row>
    <row r="224">
      <c r="A224" s="463">
        <v>39631.0</v>
      </c>
      <c r="B224" s="464">
        <v>55.01</v>
      </c>
    </row>
    <row r="225">
      <c r="A225" s="463">
        <v>39632.0</v>
      </c>
      <c r="B225" s="464">
        <v>53.07</v>
      </c>
    </row>
    <row r="226">
      <c r="A226" s="463">
        <v>39636.0</v>
      </c>
      <c r="B226" s="464">
        <v>53.19</v>
      </c>
    </row>
    <row r="227">
      <c r="A227" s="463">
        <v>39637.0</v>
      </c>
      <c r="B227" s="464">
        <v>40.19</v>
      </c>
    </row>
    <row r="228">
      <c r="A228" s="463">
        <v>39638.0</v>
      </c>
      <c r="B228" s="464">
        <v>37.71</v>
      </c>
    </row>
    <row r="229">
      <c r="A229" s="463">
        <v>39639.0</v>
      </c>
      <c r="B229" s="464">
        <v>38.56</v>
      </c>
    </row>
    <row r="230">
      <c r="A230" s="463">
        <v>39640.0</v>
      </c>
      <c r="B230" s="464">
        <v>39.38</v>
      </c>
    </row>
    <row r="231">
      <c r="A231" s="463">
        <v>39643.0</v>
      </c>
      <c r="B231" s="464">
        <v>40.5</v>
      </c>
    </row>
    <row r="232">
      <c r="A232" s="463">
        <v>39644.0</v>
      </c>
      <c r="B232" s="464">
        <v>38.5</v>
      </c>
    </row>
    <row r="233">
      <c r="A233" s="463">
        <v>39645.0</v>
      </c>
      <c r="B233" s="464">
        <v>36.95</v>
      </c>
    </row>
    <row r="234">
      <c r="A234" s="463">
        <v>39646.0</v>
      </c>
      <c r="B234" s="464">
        <v>38.89</v>
      </c>
    </row>
    <row r="235">
      <c r="A235" s="463">
        <v>39647.0</v>
      </c>
      <c r="B235" s="464">
        <v>38.51</v>
      </c>
    </row>
    <row r="236">
      <c r="A236" s="463">
        <v>39650.0</v>
      </c>
      <c r="B236" s="464">
        <v>36.94</v>
      </c>
    </row>
    <row r="237">
      <c r="A237" s="463">
        <v>39651.0</v>
      </c>
      <c r="B237" s="464">
        <v>37.97</v>
      </c>
    </row>
    <row r="238">
      <c r="A238" s="463">
        <v>39652.0</v>
      </c>
      <c r="B238" s="464">
        <v>37.0</v>
      </c>
    </row>
    <row r="239">
      <c r="A239" s="463">
        <v>39653.0</v>
      </c>
      <c r="B239" s="464">
        <v>34.75</v>
      </c>
    </row>
    <row r="240">
      <c r="A240" s="463">
        <v>39654.0</v>
      </c>
      <c r="B240" s="464">
        <v>34.07</v>
      </c>
    </row>
    <row r="241">
      <c r="A241" s="463">
        <v>39657.0</v>
      </c>
      <c r="B241" s="464">
        <v>34.69</v>
      </c>
    </row>
    <row r="242">
      <c r="A242" s="463">
        <v>39658.0</v>
      </c>
      <c r="B242" s="464">
        <v>33.33</v>
      </c>
    </row>
    <row r="243">
      <c r="A243" s="463">
        <v>39659.0</v>
      </c>
      <c r="B243" s="464">
        <v>35.23</v>
      </c>
    </row>
    <row r="244">
      <c r="A244" s="463">
        <v>39660.0</v>
      </c>
      <c r="B244" s="464">
        <v>35.85</v>
      </c>
    </row>
    <row r="245">
      <c r="A245" s="463">
        <v>39661.0</v>
      </c>
      <c r="B245" s="464">
        <v>35.31</v>
      </c>
    </row>
    <row r="246">
      <c r="A246" s="463">
        <v>39664.0</v>
      </c>
      <c r="B246" s="464">
        <v>34.35</v>
      </c>
    </row>
    <row r="247">
      <c r="A247" s="463">
        <v>39665.0</v>
      </c>
      <c r="B247" s="464">
        <v>34.4</v>
      </c>
    </row>
    <row r="248">
      <c r="A248" s="463">
        <v>39666.0</v>
      </c>
      <c r="B248" s="464">
        <v>36.19</v>
      </c>
    </row>
    <row r="249">
      <c r="A249" s="463">
        <v>39667.0</v>
      </c>
      <c r="B249" s="464">
        <v>34.68</v>
      </c>
    </row>
    <row r="250">
      <c r="A250" s="463">
        <v>39668.0</v>
      </c>
      <c r="B250" s="464">
        <v>36.91</v>
      </c>
    </row>
    <row r="251">
      <c r="A251" s="463">
        <v>39671.0</v>
      </c>
      <c r="B251" s="464">
        <v>35.76</v>
      </c>
    </row>
    <row r="252">
      <c r="A252" s="463">
        <v>39672.0</v>
      </c>
      <c r="B252" s="464">
        <v>34.89</v>
      </c>
    </row>
    <row r="253">
      <c r="A253" s="463">
        <v>39673.0</v>
      </c>
      <c r="B253" s="464">
        <v>36.03</v>
      </c>
    </row>
    <row r="254">
      <c r="A254" s="463">
        <v>39674.0</v>
      </c>
      <c r="B254" s="464">
        <v>36.38</v>
      </c>
    </row>
    <row r="255">
      <c r="A255" s="463">
        <v>39675.0</v>
      </c>
      <c r="B255" s="464">
        <v>39.83</v>
      </c>
    </row>
    <row r="256">
      <c r="A256" s="463">
        <v>39678.0</v>
      </c>
      <c r="B256" s="464">
        <v>41.7</v>
      </c>
    </row>
    <row r="257">
      <c r="A257" s="463">
        <v>39679.0</v>
      </c>
      <c r="B257" s="464">
        <v>39.81</v>
      </c>
    </row>
    <row r="258">
      <c r="A258" s="463">
        <v>39680.0</v>
      </c>
      <c r="B258" s="464">
        <v>38.01</v>
      </c>
    </row>
    <row r="259">
      <c r="A259" s="463">
        <v>39681.0</v>
      </c>
      <c r="B259" s="464">
        <v>38.74</v>
      </c>
    </row>
    <row r="260">
      <c r="A260" s="463">
        <v>39682.0</v>
      </c>
      <c r="B260" s="464">
        <v>38.93</v>
      </c>
    </row>
    <row r="261">
      <c r="A261" s="463">
        <v>39685.0</v>
      </c>
      <c r="B261" s="464">
        <v>37.95</v>
      </c>
    </row>
    <row r="262">
      <c r="A262" s="463">
        <v>39686.0</v>
      </c>
      <c r="B262" s="464">
        <v>36.98</v>
      </c>
    </row>
    <row r="263">
      <c r="A263" s="463">
        <v>39687.0</v>
      </c>
      <c r="B263" s="464">
        <v>38.49</v>
      </c>
    </row>
    <row r="264">
      <c r="A264" s="463">
        <v>39688.0</v>
      </c>
      <c r="B264" s="464">
        <v>39.57</v>
      </c>
    </row>
    <row r="265">
      <c r="A265" s="463">
        <v>39689.0</v>
      </c>
      <c r="B265" s="464">
        <v>39.7</v>
      </c>
    </row>
    <row r="266">
      <c r="A266" s="463">
        <v>39693.0</v>
      </c>
      <c r="B266" s="464">
        <v>38.52</v>
      </c>
    </row>
    <row r="267">
      <c r="A267" s="463">
        <v>39694.0</v>
      </c>
      <c r="B267" s="464">
        <v>38.93</v>
      </c>
    </row>
    <row r="268">
      <c r="A268" s="463">
        <v>39695.0</v>
      </c>
      <c r="B268" s="464">
        <v>35.53</v>
      </c>
    </row>
    <row r="269">
      <c r="A269" s="463">
        <v>39696.0</v>
      </c>
      <c r="B269" s="464">
        <v>36.17</v>
      </c>
    </row>
    <row r="270">
      <c r="A270" s="463">
        <v>39699.0</v>
      </c>
      <c r="B270" s="464">
        <v>34.91</v>
      </c>
    </row>
    <row r="271">
      <c r="A271" s="463">
        <v>39700.0</v>
      </c>
      <c r="B271" s="464">
        <v>32.47</v>
      </c>
    </row>
    <row r="272">
      <c r="A272" s="463">
        <v>39701.0</v>
      </c>
      <c r="B272" s="464">
        <v>33.95</v>
      </c>
    </row>
    <row r="273">
      <c r="A273" s="463">
        <v>39702.0</v>
      </c>
      <c r="B273" s="464">
        <v>34.25</v>
      </c>
    </row>
    <row r="274">
      <c r="A274" s="463">
        <v>39703.0</v>
      </c>
      <c r="B274" s="464">
        <v>35.94</v>
      </c>
    </row>
    <row r="275">
      <c r="A275" s="463">
        <v>39706.0</v>
      </c>
      <c r="B275" s="464">
        <v>33.67</v>
      </c>
    </row>
    <row r="276">
      <c r="A276" s="463">
        <v>39707.0</v>
      </c>
      <c r="B276" s="464">
        <v>31.98</v>
      </c>
    </row>
    <row r="277">
      <c r="A277" s="463">
        <v>39708.0</v>
      </c>
      <c r="B277" s="464">
        <v>27.92</v>
      </c>
    </row>
    <row r="278">
      <c r="A278" s="463">
        <v>39709.0</v>
      </c>
      <c r="B278" s="464">
        <v>27.76</v>
      </c>
    </row>
    <row r="279">
      <c r="A279" s="463">
        <v>39710.0</v>
      </c>
      <c r="B279" s="464">
        <v>30.12</v>
      </c>
    </row>
    <row r="280">
      <c r="A280" s="463">
        <v>39713.0</v>
      </c>
      <c r="B280" s="464">
        <v>28.58</v>
      </c>
    </row>
    <row r="281">
      <c r="A281" s="463">
        <v>39714.0</v>
      </c>
      <c r="B281" s="464">
        <v>28.78</v>
      </c>
    </row>
    <row r="282">
      <c r="A282" s="463">
        <v>39715.0</v>
      </c>
      <c r="B282" s="464">
        <v>28.97</v>
      </c>
    </row>
    <row r="283">
      <c r="A283" s="463">
        <v>39716.0</v>
      </c>
      <c r="B283" s="464">
        <v>30.9</v>
      </c>
    </row>
    <row r="284">
      <c r="A284" s="463">
        <v>39717.0</v>
      </c>
      <c r="B284" s="464">
        <v>29.04</v>
      </c>
    </row>
    <row r="285">
      <c r="A285" s="463">
        <v>39720.0</v>
      </c>
      <c r="B285" s="464">
        <v>26.0</v>
      </c>
    </row>
    <row r="286">
      <c r="A286" s="463">
        <v>39721.0</v>
      </c>
      <c r="B286" s="464">
        <v>26.64</v>
      </c>
    </row>
    <row r="287">
      <c r="A287" s="463">
        <v>39722.0</v>
      </c>
      <c r="B287" s="464">
        <v>25.83</v>
      </c>
    </row>
    <row r="288">
      <c r="A288" s="463">
        <v>39723.0</v>
      </c>
      <c r="B288" s="464">
        <v>24.12</v>
      </c>
    </row>
    <row r="289">
      <c r="A289" s="463">
        <v>39724.0</v>
      </c>
      <c r="B289" s="464">
        <v>22.57</v>
      </c>
    </row>
    <row r="290">
      <c r="A290" s="463">
        <v>39727.0</v>
      </c>
      <c r="B290" s="464">
        <v>21.65</v>
      </c>
    </row>
    <row r="291">
      <c r="A291" s="463">
        <v>39728.0</v>
      </c>
      <c r="B291" s="464">
        <v>20.81</v>
      </c>
    </row>
    <row r="292">
      <c r="A292" s="463">
        <v>39729.0</v>
      </c>
      <c r="B292" s="464">
        <v>20.41</v>
      </c>
    </row>
    <row r="293">
      <c r="A293" s="463">
        <v>39730.0</v>
      </c>
      <c r="B293" s="464">
        <v>20.45</v>
      </c>
    </row>
    <row r="294">
      <c r="A294" s="463">
        <v>39731.0</v>
      </c>
      <c r="B294" s="464">
        <v>21.03</v>
      </c>
    </row>
    <row r="295">
      <c r="A295" s="463">
        <v>39734.0</v>
      </c>
      <c r="B295" s="464">
        <v>24.0</v>
      </c>
    </row>
    <row r="296">
      <c r="A296" s="463">
        <v>39735.0</v>
      </c>
      <c r="B296" s="464">
        <v>21.33</v>
      </c>
    </row>
    <row r="297">
      <c r="A297" s="463">
        <v>39736.0</v>
      </c>
      <c r="B297" s="464">
        <v>19.97</v>
      </c>
    </row>
    <row r="298">
      <c r="A298" s="463">
        <v>39737.0</v>
      </c>
      <c r="B298" s="464">
        <v>19.89</v>
      </c>
    </row>
    <row r="299">
      <c r="A299" s="463">
        <v>39738.0</v>
      </c>
      <c r="B299" s="464">
        <v>20.69</v>
      </c>
    </row>
    <row r="300">
      <c r="A300" s="463">
        <v>39741.0</v>
      </c>
      <c r="B300" s="464">
        <v>20.64</v>
      </c>
    </row>
    <row r="301">
      <c r="A301" s="463">
        <v>39742.0</v>
      </c>
      <c r="B301" s="464">
        <v>18.73</v>
      </c>
    </row>
    <row r="302">
      <c r="A302" s="463">
        <v>39743.0</v>
      </c>
      <c r="B302" s="464">
        <v>20.06</v>
      </c>
    </row>
    <row r="303">
      <c r="A303" s="463">
        <v>39744.0</v>
      </c>
      <c r="B303" s="464">
        <v>20.44</v>
      </c>
    </row>
    <row r="304">
      <c r="A304" s="463">
        <v>39745.0</v>
      </c>
      <c r="B304" s="464">
        <v>22.13</v>
      </c>
    </row>
    <row r="305">
      <c r="A305" s="463">
        <v>39748.0</v>
      </c>
      <c r="B305" s="464">
        <v>23.18</v>
      </c>
    </row>
    <row r="306">
      <c r="A306" s="463">
        <v>39749.0</v>
      </c>
      <c r="B306" s="464">
        <v>27.06</v>
      </c>
    </row>
    <row r="307">
      <c r="A307" s="463">
        <v>39750.0</v>
      </c>
      <c r="B307" s="464">
        <v>28.22</v>
      </c>
    </row>
    <row r="308">
      <c r="A308" s="463">
        <v>39751.0</v>
      </c>
      <c r="B308" s="464">
        <v>31.17</v>
      </c>
    </row>
    <row r="309">
      <c r="A309" s="463">
        <v>39752.0</v>
      </c>
      <c r="B309" s="464">
        <v>31.0</v>
      </c>
    </row>
    <row r="310">
      <c r="A310" s="463">
        <v>39755.0</v>
      </c>
      <c r="B310" s="464">
        <v>31.81</v>
      </c>
    </row>
    <row r="311">
      <c r="A311" s="463">
        <v>39756.0</v>
      </c>
      <c r="B311" s="464">
        <v>30.56</v>
      </c>
    </row>
    <row r="312">
      <c r="A312" s="463">
        <v>39757.0</v>
      </c>
      <c r="B312" s="464">
        <v>27.51</v>
      </c>
    </row>
    <row r="313">
      <c r="A313" s="463">
        <v>39758.0</v>
      </c>
      <c r="B313" s="464">
        <v>26.06</v>
      </c>
    </row>
    <row r="314">
      <c r="A314" s="463">
        <v>39759.0</v>
      </c>
      <c r="B314" s="464">
        <v>26.66</v>
      </c>
    </row>
    <row r="315">
      <c r="A315" s="463">
        <v>39762.0</v>
      </c>
      <c r="B315" s="464">
        <v>24.81</v>
      </c>
    </row>
    <row r="316">
      <c r="A316" s="463">
        <v>39763.0</v>
      </c>
      <c r="B316" s="464">
        <v>23.64</v>
      </c>
    </row>
    <row r="317">
      <c r="A317" s="463">
        <v>39764.0</v>
      </c>
      <c r="B317" s="464">
        <v>22.42</v>
      </c>
    </row>
    <row r="318">
      <c r="A318" s="463">
        <v>39765.0</v>
      </c>
      <c r="B318" s="464">
        <v>22.77</v>
      </c>
    </row>
    <row r="319">
      <c r="A319" s="463">
        <v>39766.0</v>
      </c>
      <c r="B319" s="464">
        <v>20.0</v>
      </c>
    </row>
    <row r="320">
      <c r="A320" s="463">
        <v>39769.0</v>
      </c>
      <c r="B320" s="464">
        <v>19.88</v>
      </c>
    </row>
    <row r="321">
      <c r="A321" s="463">
        <v>39770.0</v>
      </c>
      <c r="B321" s="464">
        <v>20.51</v>
      </c>
    </row>
    <row r="322">
      <c r="A322" s="463">
        <v>39771.0</v>
      </c>
      <c r="B322" s="464">
        <v>19.76</v>
      </c>
    </row>
    <row r="323">
      <c r="A323" s="463">
        <v>39772.0</v>
      </c>
      <c r="B323" s="464">
        <v>19.61</v>
      </c>
    </row>
    <row r="324">
      <c r="A324" s="463">
        <v>39773.0</v>
      </c>
      <c r="B324" s="464">
        <v>18.94</v>
      </c>
    </row>
    <row r="325">
      <c r="A325" s="463">
        <v>39776.0</v>
      </c>
      <c r="B325" s="464">
        <v>19.55</v>
      </c>
    </row>
    <row r="326">
      <c r="A326" s="463">
        <v>39777.0</v>
      </c>
      <c r="B326" s="464">
        <v>19.26</v>
      </c>
    </row>
    <row r="327">
      <c r="A327" s="463">
        <v>39778.0</v>
      </c>
      <c r="B327" s="464">
        <v>18.99</v>
      </c>
    </row>
    <row r="328">
      <c r="A328" s="463">
        <v>39780.0</v>
      </c>
      <c r="B328" s="464">
        <v>19.35</v>
      </c>
    </row>
    <row r="329">
      <c r="A329" s="463">
        <v>39783.0</v>
      </c>
      <c r="B329" s="464">
        <v>17.88</v>
      </c>
    </row>
    <row r="330">
      <c r="A330" s="463">
        <v>39784.0</v>
      </c>
      <c r="B330" s="464">
        <v>19.0</v>
      </c>
    </row>
    <row r="331">
      <c r="A331" s="463">
        <v>39785.0</v>
      </c>
      <c r="B331" s="464">
        <v>21.85</v>
      </c>
    </row>
    <row r="332">
      <c r="A332" s="463">
        <v>39786.0</v>
      </c>
      <c r="B332" s="464">
        <v>21.35</v>
      </c>
    </row>
    <row r="333">
      <c r="A333" s="463">
        <v>39787.0</v>
      </c>
      <c r="B333" s="464">
        <v>23.3</v>
      </c>
    </row>
    <row r="334">
      <c r="A334" s="463">
        <v>39790.0</v>
      </c>
      <c r="B334" s="464">
        <v>23.17</v>
      </c>
    </row>
    <row r="335">
      <c r="A335" s="463">
        <v>39791.0</v>
      </c>
      <c r="B335" s="464">
        <v>23.21</v>
      </c>
    </row>
    <row r="336">
      <c r="A336" s="463">
        <v>39792.0</v>
      </c>
      <c r="B336" s="464">
        <v>24.98</v>
      </c>
    </row>
    <row r="337">
      <c r="A337" s="463">
        <v>39793.0</v>
      </c>
      <c r="B337" s="464">
        <v>23.67</v>
      </c>
    </row>
    <row r="338">
      <c r="A338" s="463">
        <v>39794.0</v>
      </c>
      <c r="B338" s="464">
        <v>24.74</v>
      </c>
    </row>
    <row r="339">
      <c r="A339" s="463">
        <v>39797.0</v>
      </c>
      <c r="B339" s="464">
        <v>23.73</v>
      </c>
    </row>
    <row r="340">
      <c r="A340" s="463">
        <v>39798.0</v>
      </c>
      <c r="B340" s="464">
        <v>24.35</v>
      </c>
    </row>
    <row r="341">
      <c r="A341" s="463">
        <v>39799.0</v>
      </c>
      <c r="B341" s="464">
        <v>24.46</v>
      </c>
    </row>
    <row r="342">
      <c r="A342" s="463">
        <v>39800.0</v>
      </c>
      <c r="B342" s="464">
        <v>24.28</v>
      </c>
    </row>
    <row r="343">
      <c r="A343" s="463">
        <v>39801.0</v>
      </c>
      <c r="B343" s="464">
        <v>24.52</v>
      </c>
    </row>
    <row r="344">
      <c r="A344" s="463">
        <v>39804.0</v>
      </c>
      <c r="B344" s="464">
        <v>22.41</v>
      </c>
    </row>
    <row r="345">
      <c r="A345" s="463">
        <v>39805.0</v>
      </c>
      <c r="B345" s="464">
        <v>21.79</v>
      </c>
    </row>
    <row r="346">
      <c r="A346" s="463">
        <v>39806.0</v>
      </c>
      <c r="B346" s="464">
        <v>21.69</v>
      </c>
    </row>
    <row r="347">
      <c r="A347" s="463">
        <v>39808.0</v>
      </c>
      <c r="B347" s="464">
        <v>22.32</v>
      </c>
    </row>
    <row r="348">
      <c r="A348" s="463">
        <v>39811.0</v>
      </c>
      <c r="B348" s="464">
        <v>22.01</v>
      </c>
    </row>
    <row r="349">
      <c r="A349" s="463">
        <v>39812.0</v>
      </c>
      <c r="B349" s="464">
        <v>23.32</v>
      </c>
    </row>
    <row r="350">
      <c r="A350" s="463">
        <v>39813.0</v>
      </c>
      <c r="B350" s="464">
        <v>23.69</v>
      </c>
    </row>
    <row r="351">
      <c r="A351" s="463">
        <v>39815.0</v>
      </c>
      <c r="B351" s="464">
        <v>23.74</v>
      </c>
    </row>
    <row r="352">
      <c r="A352" s="463">
        <v>39818.0</v>
      </c>
      <c r="B352" s="464">
        <v>23.74</v>
      </c>
    </row>
    <row r="353">
      <c r="A353" s="463">
        <v>39819.0</v>
      </c>
      <c r="B353" s="464">
        <v>24.58</v>
      </c>
    </row>
    <row r="354">
      <c r="A354" s="463">
        <v>39820.0</v>
      </c>
      <c r="B354" s="464">
        <v>24.83</v>
      </c>
    </row>
    <row r="355">
      <c r="A355" s="463">
        <v>39821.0</v>
      </c>
      <c r="B355" s="464">
        <v>26.33</v>
      </c>
    </row>
    <row r="356">
      <c r="A356" s="463">
        <v>39822.0</v>
      </c>
      <c r="B356" s="464">
        <v>25.03</v>
      </c>
    </row>
    <row r="357">
      <c r="A357" s="463">
        <v>39825.0</v>
      </c>
      <c r="B357" s="464">
        <v>23.75</v>
      </c>
    </row>
    <row r="358">
      <c r="A358" s="463">
        <v>39826.0</v>
      </c>
      <c r="B358" s="464">
        <v>22.61</v>
      </c>
    </row>
    <row r="359">
      <c r="A359" s="463">
        <v>39827.0</v>
      </c>
      <c r="B359" s="464">
        <v>21.76</v>
      </c>
    </row>
    <row r="360">
      <c r="A360" s="463">
        <v>39828.0</v>
      </c>
      <c r="B360" s="464">
        <v>22.34</v>
      </c>
    </row>
    <row r="361">
      <c r="A361" s="463">
        <v>39829.0</v>
      </c>
      <c r="B361" s="464">
        <v>22.0</v>
      </c>
    </row>
    <row r="362">
      <c r="A362" s="463">
        <v>39833.0</v>
      </c>
      <c r="B362" s="464">
        <v>20.28</v>
      </c>
    </row>
    <row r="363">
      <c r="A363" s="463">
        <v>39834.0</v>
      </c>
      <c r="B363" s="464">
        <v>21.88</v>
      </c>
    </row>
    <row r="364">
      <c r="A364" s="463">
        <v>39835.0</v>
      </c>
      <c r="B364" s="464">
        <v>21.2</v>
      </c>
    </row>
    <row r="365">
      <c r="A365" s="463">
        <v>39836.0</v>
      </c>
      <c r="B365" s="464">
        <v>21.62</v>
      </c>
    </row>
    <row r="366">
      <c r="A366" s="463">
        <v>39839.0</v>
      </c>
      <c r="B366" s="464">
        <v>22.1</v>
      </c>
    </row>
    <row r="367">
      <c r="A367" s="463">
        <v>39840.0</v>
      </c>
      <c r="B367" s="464">
        <v>21.47</v>
      </c>
    </row>
    <row r="368">
      <c r="A368" s="463">
        <v>39841.0</v>
      </c>
      <c r="B368" s="464">
        <v>22.53</v>
      </c>
    </row>
    <row r="369">
      <c r="A369" s="463">
        <v>39842.0</v>
      </c>
      <c r="B369" s="464">
        <v>21.6</v>
      </c>
    </row>
    <row r="370">
      <c r="A370" s="463">
        <v>39843.0</v>
      </c>
      <c r="B370" s="464">
        <v>20.7</v>
      </c>
    </row>
    <row r="371">
      <c r="A371" s="463">
        <v>39846.0</v>
      </c>
      <c r="B371" s="464">
        <v>21.75</v>
      </c>
    </row>
    <row r="372">
      <c r="A372" s="463">
        <v>39847.0</v>
      </c>
      <c r="B372" s="464">
        <v>22.51</v>
      </c>
    </row>
    <row r="373">
      <c r="A373" s="463">
        <v>39848.0</v>
      </c>
      <c r="B373" s="464">
        <v>22.23</v>
      </c>
    </row>
    <row r="374">
      <c r="A374" s="463">
        <v>39849.0</v>
      </c>
      <c r="B374" s="464">
        <v>24.37</v>
      </c>
    </row>
    <row r="375">
      <c r="A375" s="463">
        <v>39850.0</v>
      </c>
      <c r="B375" s="464">
        <v>25.31</v>
      </c>
    </row>
    <row r="376">
      <c r="A376" s="463">
        <v>39853.0</v>
      </c>
      <c r="B376" s="464">
        <v>26.12</v>
      </c>
    </row>
    <row r="377">
      <c r="A377" s="463">
        <v>39854.0</v>
      </c>
      <c r="B377" s="464">
        <v>24.39</v>
      </c>
    </row>
    <row r="378">
      <c r="A378" s="463">
        <v>39855.0</v>
      </c>
      <c r="B378" s="464">
        <v>26.04</v>
      </c>
    </row>
    <row r="379">
      <c r="A379" s="463">
        <v>39856.0</v>
      </c>
      <c r="B379" s="464">
        <v>26.04</v>
      </c>
    </row>
    <row r="380">
      <c r="A380" s="463">
        <v>39857.0</v>
      </c>
      <c r="B380" s="464">
        <v>25.09</v>
      </c>
    </row>
    <row r="381">
      <c r="A381" s="463">
        <v>39861.0</v>
      </c>
      <c r="B381" s="464">
        <v>23.88</v>
      </c>
    </row>
    <row r="382">
      <c r="A382" s="463">
        <v>39862.0</v>
      </c>
      <c r="B382" s="464">
        <v>22.6</v>
      </c>
    </row>
    <row r="383">
      <c r="A383" s="463">
        <v>39863.0</v>
      </c>
      <c r="B383" s="464">
        <v>22.31</v>
      </c>
    </row>
    <row r="384">
      <c r="A384" s="463">
        <v>39864.0</v>
      </c>
      <c r="B384" s="464">
        <v>22.51</v>
      </c>
    </row>
    <row r="385">
      <c r="A385" s="463">
        <v>39867.0</v>
      </c>
      <c r="B385" s="464">
        <v>21.45</v>
      </c>
    </row>
    <row r="386">
      <c r="A386" s="463">
        <v>39868.0</v>
      </c>
      <c r="B386" s="464">
        <v>22.93</v>
      </c>
    </row>
    <row r="387">
      <c r="A387" s="463">
        <v>39869.0</v>
      </c>
      <c r="B387" s="464">
        <v>22.43</v>
      </c>
    </row>
    <row r="388">
      <c r="A388" s="463">
        <v>39870.0</v>
      </c>
      <c r="B388" s="464">
        <v>21.5</v>
      </c>
    </row>
    <row r="389">
      <c r="A389" s="463">
        <v>39871.0</v>
      </c>
      <c r="B389" s="464">
        <v>20.76</v>
      </c>
    </row>
    <row r="390">
      <c r="A390" s="463">
        <v>39874.0</v>
      </c>
      <c r="B390" s="464">
        <v>20.73</v>
      </c>
    </row>
    <row r="391">
      <c r="A391" s="463">
        <v>39875.0</v>
      </c>
      <c r="B391" s="464">
        <v>21.01</v>
      </c>
    </row>
    <row r="392">
      <c r="A392" s="463">
        <v>39876.0</v>
      </c>
      <c r="B392" s="464">
        <v>21.09</v>
      </c>
    </row>
    <row r="393">
      <c r="A393" s="463">
        <v>39877.0</v>
      </c>
      <c r="B393" s="464">
        <v>20.0</v>
      </c>
    </row>
    <row r="394">
      <c r="A394" s="463">
        <v>39878.0</v>
      </c>
      <c r="B394" s="464">
        <v>19.89</v>
      </c>
    </row>
    <row r="395">
      <c r="A395" s="463">
        <v>39881.0</v>
      </c>
      <c r="B395" s="464">
        <v>19.95</v>
      </c>
    </row>
    <row r="396">
      <c r="A396" s="463">
        <v>39882.0</v>
      </c>
      <c r="B396" s="464">
        <v>22.28</v>
      </c>
    </row>
    <row r="397">
      <c r="A397" s="463">
        <v>39883.0</v>
      </c>
      <c r="B397" s="464">
        <v>22.65</v>
      </c>
    </row>
    <row r="398">
      <c r="A398" s="463">
        <v>39884.0</v>
      </c>
      <c r="B398" s="464">
        <v>22.67</v>
      </c>
    </row>
    <row r="399">
      <c r="A399" s="463">
        <v>39885.0</v>
      </c>
      <c r="B399" s="464">
        <v>22.67</v>
      </c>
    </row>
    <row r="400">
      <c r="A400" s="463">
        <v>39888.0</v>
      </c>
      <c r="B400" s="464">
        <v>22.51</v>
      </c>
    </row>
    <row r="401">
      <c r="A401" s="463">
        <v>39889.0</v>
      </c>
      <c r="B401" s="464">
        <v>23.57</v>
      </c>
    </row>
    <row r="402">
      <c r="A402" s="463">
        <v>39890.0</v>
      </c>
      <c r="B402" s="464">
        <v>25.25</v>
      </c>
    </row>
    <row r="403">
      <c r="A403" s="463">
        <v>39891.0</v>
      </c>
      <c r="B403" s="464">
        <v>24.82</v>
      </c>
    </row>
    <row r="404">
      <c r="A404" s="463">
        <v>39892.0</v>
      </c>
      <c r="B404" s="464">
        <v>23.04</v>
      </c>
    </row>
    <row r="405">
      <c r="A405" s="463">
        <v>39895.0</v>
      </c>
      <c r="B405" s="464">
        <v>25.2</v>
      </c>
    </row>
    <row r="406">
      <c r="A406" s="463">
        <v>39896.0</v>
      </c>
      <c r="B406" s="464">
        <v>24.64</v>
      </c>
    </row>
    <row r="407">
      <c r="A407" s="463">
        <v>39897.0</v>
      </c>
      <c r="B407" s="464">
        <v>24.16</v>
      </c>
    </row>
    <row r="408">
      <c r="A408" s="463">
        <v>39898.0</v>
      </c>
      <c r="B408" s="464">
        <v>25.72</v>
      </c>
    </row>
    <row r="409">
      <c r="A409" s="463">
        <v>39899.0</v>
      </c>
      <c r="B409" s="464">
        <v>24.26</v>
      </c>
    </row>
    <row r="410">
      <c r="A410" s="463">
        <v>39902.0</v>
      </c>
      <c r="B410" s="464">
        <v>23.52</v>
      </c>
    </row>
    <row r="411">
      <c r="A411" s="463">
        <v>39903.0</v>
      </c>
      <c r="B411" s="464">
        <v>23.62</v>
      </c>
    </row>
    <row r="412">
      <c r="A412" s="463">
        <v>39904.0</v>
      </c>
      <c r="B412" s="464">
        <v>26.12</v>
      </c>
    </row>
    <row r="413">
      <c r="A413" s="463">
        <v>39905.0</v>
      </c>
      <c r="B413" s="464">
        <v>27.62</v>
      </c>
    </row>
    <row r="414">
      <c r="A414" s="463">
        <v>39906.0</v>
      </c>
      <c r="B414" s="464">
        <v>28.67</v>
      </c>
    </row>
    <row r="415">
      <c r="A415" s="463">
        <v>39909.0</v>
      </c>
      <c r="B415" s="464">
        <v>27.88</v>
      </c>
    </row>
    <row r="416">
      <c r="A416" s="463">
        <v>39910.0</v>
      </c>
      <c r="B416" s="464">
        <v>27.6</v>
      </c>
    </row>
    <row r="417">
      <c r="A417" s="463">
        <v>39911.0</v>
      </c>
      <c r="B417" s="464">
        <v>30.09</v>
      </c>
    </row>
    <row r="418">
      <c r="A418" s="463">
        <v>39912.0</v>
      </c>
      <c r="B418" s="464">
        <v>30.01</v>
      </c>
    </row>
    <row r="419">
      <c r="A419" s="463">
        <v>39916.0</v>
      </c>
      <c r="B419" s="464">
        <v>31.53</v>
      </c>
    </row>
    <row r="420">
      <c r="A420" s="463">
        <v>39917.0</v>
      </c>
      <c r="B420" s="464">
        <v>30.04</v>
      </c>
    </row>
    <row r="421">
      <c r="A421" s="463">
        <v>39918.0</v>
      </c>
      <c r="B421" s="464">
        <v>29.6</v>
      </c>
    </row>
    <row r="422">
      <c r="A422" s="463">
        <v>39919.0</v>
      </c>
      <c r="B422" s="464">
        <v>30.19</v>
      </c>
    </row>
    <row r="423">
      <c r="A423" s="463">
        <v>39920.0</v>
      </c>
      <c r="B423" s="464">
        <v>30.7</v>
      </c>
    </row>
    <row r="424">
      <c r="A424" s="463">
        <v>39923.0</v>
      </c>
      <c r="B424" s="464">
        <v>29.78</v>
      </c>
    </row>
    <row r="425">
      <c r="A425" s="463">
        <v>39924.0</v>
      </c>
      <c r="B425" s="464">
        <v>30.22</v>
      </c>
    </row>
    <row r="426">
      <c r="A426" s="463">
        <v>39925.0</v>
      </c>
      <c r="B426" s="464">
        <v>32.55</v>
      </c>
    </row>
    <row r="427">
      <c r="A427" s="463">
        <v>39926.0</v>
      </c>
      <c r="B427" s="464">
        <v>25.92</v>
      </c>
    </row>
    <row r="428">
      <c r="A428" s="463">
        <v>39927.0</v>
      </c>
      <c r="B428" s="464">
        <v>26.0</v>
      </c>
    </row>
    <row r="429">
      <c r="A429" s="463">
        <v>39930.0</v>
      </c>
      <c r="B429" s="464">
        <v>25.66</v>
      </c>
    </row>
    <row r="430">
      <c r="A430" s="463">
        <v>39931.0</v>
      </c>
      <c r="B430" s="464">
        <v>25.85</v>
      </c>
    </row>
    <row r="431">
      <c r="A431" s="463">
        <v>39932.0</v>
      </c>
      <c r="B431" s="464">
        <v>25.9</v>
      </c>
    </row>
    <row r="432">
      <c r="A432" s="463">
        <v>39933.0</v>
      </c>
      <c r="B432" s="464">
        <v>26.08</v>
      </c>
    </row>
    <row r="433">
      <c r="A433" s="463">
        <v>39934.0</v>
      </c>
      <c r="B433" s="464">
        <v>25.4</v>
      </c>
    </row>
    <row r="434">
      <c r="A434" s="463">
        <v>39937.0</v>
      </c>
      <c r="B434" s="464">
        <v>26.66</v>
      </c>
    </row>
    <row r="435">
      <c r="A435" s="463">
        <v>39938.0</v>
      </c>
      <c r="B435" s="464">
        <v>28.27</v>
      </c>
    </row>
    <row r="436">
      <c r="A436" s="463">
        <v>39939.0</v>
      </c>
      <c r="B436" s="464">
        <v>28.62</v>
      </c>
    </row>
    <row r="437">
      <c r="A437" s="463">
        <v>39940.0</v>
      </c>
      <c r="B437" s="464">
        <v>27.73</v>
      </c>
    </row>
    <row r="438">
      <c r="A438" s="463">
        <v>39941.0</v>
      </c>
      <c r="B438" s="464">
        <v>27.7</v>
      </c>
    </row>
    <row r="439">
      <c r="A439" s="463">
        <v>39944.0</v>
      </c>
      <c r="B439" s="464">
        <v>28.27</v>
      </c>
    </row>
    <row r="440">
      <c r="A440" s="463">
        <v>39945.0</v>
      </c>
      <c r="B440" s="464">
        <v>27.81</v>
      </c>
    </row>
    <row r="441">
      <c r="A441" s="463">
        <v>39946.0</v>
      </c>
      <c r="B441" s="464">
        <v>26.76</v>
      </c>
    </row>
    <row r="442">
      <c r="A442" s="463">
        <v>39947.0</v>
      </c>
      <c r="B442" s="464">
        <v>27.03</v>
      </c>
    </row>
    <row r="443">
      <c r="A443" s="463">
        <v>39948.0</v>
      </c>
      <c r="B443" s="464">
        <v>27.0</v>
      </c>
    </row>
    <row r="444">
      <c r="A444" s="463">
        <v>39951.0</v>
      </c>
      <c r="B444" s="464">
        <v>27.85</v>
      </c>
    </row>
    <row r="445">
      <c r="A445" s="463">
        <v>39952.0</v>
      </c>
      <c r="B445" s="464">
        <v>28.48</v>
      </c>
    </row>
    <row r="446">
      <c r="A446" s="463">
        <v>39953.0</v>
      </c>
      <c r="B446" s="464">
        <v>28.56</v>
      </c>
    </row>
    <row r="447">
      <c r="A447" s="463">
        <v>39954.0</v>
      </c>
      <c r="B447" s="464">
        <v>27.54</v>
      </c>
    </row>
    <row r="448">
      <c r="A448" s="463">
        <v>39955.0</v>
      </c>
      <c r="B448" s="464">
        <v>28.5</v>
      </c>
    </row>
    <row r="449">
      <c r="A449" s="463">
        <v>39959.0</v>
      </c>
      <c r="B449" s="464">
        <v>29.26</v>
      </c>
    </row>
    <row r="450">
      <c r="A450" s="463">
        <v>39960.0</v>
      </c>
      <c r="B450" s="464">
        <v>29.95</v>
      </c>
    </row>
    <row r="451">
      <c r="A451" s="463">
        <v>39961.0</v>
      </c>
      <c r="B451" s="464">
        <v>30.07</v>
      </c>
    </row>
    <row r="452">
      <c r="A452" s="463">
        <v>39962.0</v>
      </c>
      <c r="B452" s="464">
        <v>31.04</v>
      </c>
    </row>
    <row r="453">
      <c r="A453" s="463">
        <v>39965.0</v>
      </c>
      <c r="B453" s="464">
        <v>32.22</v>
      </c>
    </row>
    <row r="454">
      <c r="A454" s="463">
        <v>39966.0</v>
      </c>
      <c r="B454" s="464">
        <v>32.0</v>
      </c>
    </row>
    <row r="455">
      <c r="A455" s="463">
        <v>39967.0</v>
      </c>
      <c r="B455" s="464">
        <v>30.94</v>
      </c>
    </row>
    <row r="456">
      <c r="A456" s="463">
        <v>39968.0</v>
      </c>
      <c r="B456" s="464">
        <v>32.81</v>
      </c>
    </row>
    <row r="457">
      <c r="A457" s="463">
        <v>39969.0</v>
      </c>
      <c r="B457" s="464">
        <v>32.59</v>
      </c>
    </row>
    <row r="458">
      <c r="A458" s="463">
        <v>39972.0</v>
      </c>
      <c r="B458" s="464">
        <v>31.87</v>
      </c>
    </row>
    <row r="459">
      <c r="A459" s="463">
        <v>39973.0</v>
      </c>
      <c r="B459" s="464">
        <v>32.66</v>
      </c>
    </row>
    <row r="460">
      <c r="A460" s="463">
        <v>39974.0</v>
      </c>
      <c r="B460" s="464">
        <v>32.22</v>
      </c>
    </row>
    <row r="461">
      <c r="A461" s="463">
        <v>39975.0</v>
      </c>
      <c r="B461" s="464">
        <v>32.13</v>
      </c>
    </row>
    <row r="462">
      <c r="A462" s="463">
        <v>39976.0</v>
      </c>
      <c r="B462" s="464">
        <v>31.61</v>
      </c>
    </row>
    <row r="463">
      <c r="A463" s="463">
        <v>39979.0</v>
      </c>
      <c r="B463" s="464">
        <v>30.8</v>
      </c>
    </row>
    <row r="464">
      <c r="A464" s="463">
        <v>39980.0</v>
      </c>
      <c r="B464" s="464">
        <v>29.43</v>
      </c>
    </row>
    <row r="465">
      <c r="A465" s="463">
        <v>39981.0</v>
      </c>
      <c r="B465" s="464">
        <v>30.15</v>
      </c>
    </row>
    <row r="466">
      <c r="A466" s="463">
        <v>39982.0</v>
      </c>
      <c r="B466" s="464">
        <v>29.91</v>
      </c>
    </row>
    <row r="467">
      <c r="A467" s="463">
        <v>39983.0</v>
      </c>
      <c r="B467" s="464">
        <v>29.55</v>
      </c>
    </row>
    <row r="468">
      <c r="A468" s="463">
        <v>39986.0</v>
      </c>
      <c r="B468" s="464">
        <v>27.54</v>
      </c>
    </row>
    <row r="469">
      <c r="A469" s="463">
        <v>39987.0</v>
      </c>
      <c r="B469" s="464">
        <v>27.25</v>
      </c>
    </row>
    <row r="470">
      <c r="A470" s="463">
        <v>39988.0</v>
      </c>
      <c r="B470" s="464">
        <v>28.18</v>
      </c>
    </row>
    <row r="471">
      <c r="A471" s="463">
        <v>39989.0</v>
      </c>
      <c r="B471" s="464">
        <v>27.96</v>
      </c>
    </row>
    <row r="472">
      <c r="A472" s="463">
        <v>39990.0</v>
      </c>
      <c r="B472" s="464">
        <v>27.95</v>
      </c>
    </row>
    <row r="473">
      <c r="A473" s="463">
        <v>39993.0</v>
      </c>
      <c r="B473" s="464">
        <v>28.22</v>
      </c>
    </row>
    <row r="474">
      <c r="A474" s="463">
        <v>39994.0</v>
      </c>
      <c r="B474" s="464">
        <v>27.27</v>
      </c>
    </row>
    <row r="475">
      <c r="A475" s="463">
        <v>39995.0</v>
      </c>
      <c r="B475" s="464">
        <v>28.76</v>
      </c>
    </row>
    <row r="476">
      <c r="A476" s="463">
        <v>39996.0</v>
      </c>
      <c r="B476" s="464">
        <v>28.24</v>
      </c>
    </row>
    <row r="477">
      <c r="A477" s="463">
        <v>40000.0</v>
      </c>
      <c r="B477" s="464">
        <v>28.07</v>
      </c>
    </row>
    <row r="478">
      <c r="A478" s="463">
        <v>40001.0</v>
      </c>
      <c r="B478" s="464">
        <v>26.76</v>
      </c>
    </row>
    <row r="479">
      <c r="A479" s="463">
        <v>40002.0</v>
      </c>
      <c r="B479" s="464">
        <v>26.12</v>
      </c>
    </row>
    <row r="480">
      <c r="A480" s="463">
        <v>40003.0</v>
      </c>
      <c r="B480" s="464">
        <v>26.97</v>
      </c>
    </row>
    <row r="481">
      <c r="A481" s="463">
        <v>40004.0</v>
      </c>
      <c r="B481" s="464">
        <v>26.89</v>
      </c>
    </row>
    <row r="482">
      <c r="A482" s="463">
        <v>40007.0</v>
      </c>
      <c r="B482" s="464">
        <v>28.26</v>
      </c>
    </row>
    <row r="483">
      <c r="A483" s="463">
        <v>40008.0</v>
      </c>
      <c r="B483" s="464">
        <v>28.6</v>
      </c>
    </row>
    <row r="484">
      <c r="A484" s="463">
        <v>40009.0</v>
      </c>
      <c r="B484" s="464">
        <v>29.3</v>
      </c>
    </row>
    <row r="485">
      <c r="A485" s="463">
        <v>40010.0</v>
      </c>
      <c r="B485" s="464">
        <v>29.98</v>
      </c>
    </row>
    <row r="486">
      <c r="A486" s="463">
        <v>40011.0</v>
      </c>
      <c r="B486" s="464">
        <v>30.81</v>
      </c>
    </row>
    <row r="487">
      <c r="A487" s="463">
        <v>40014.0</v>
      </c>
      <c r="B487" s="464">
        <v>31.1</v>
      </c>
    </row>
    <row r="488">
      <c r="A488" s="463">
        <v>40015.0</v>
      </c>
      <c r="B488" s="464">
        <v>30.97</v>
      </c>
    </row>
    <row r="489">
      <c r="A489" s="463">
        <v>40016.0</v>
      </c>
      <c r="B489" s="464">
        <v>31.25</v>
      </c>
    </row>
    <row r="490">
      <c r="A490" s="463">
        <v>40017.0</v>
      </c>
      <c r="B490" s="464">
        <v>32.77</v>
      </c>
    </row>
    <row r="491">
      <c r="A491" s="463">
        <v>40018.0</v>
      </c>
      <c r="B491" s="464">
        <v>33.47</v>
      </c>
    </row>
    <row r="492">
      <c r="A492" s="463">
        <v>40021.0</v>
      </c>
      <c r="B492" s="464">
        <v>32.85</v>
      </c>
    </row>
    <row r="493">
      <c r="A493" s="463">
        <v>40022.0</v>
      </c>
      <c r="B493" s="464">
        <v>32.53</v>
      </c>
    </row>
    <row r="494">
      <c r="A494" s="463">
        <v>40023.0</v>
      </c>
      <c r="B494" s="464">
        <v>31.79</v>
      </c>
    </row>
    <row r="495">
      <c r="A495" s="463">
        <v>40024.0</v>
      </c>
      <c r="B495" s="464">
        <v>32.31</v>
      </c>
    </row>
    <row r="496">
      <c r="A496" s="463">
        <v>40025.0</v>
      </c>
      <c r="B496" s="464">
        <v>32.23</v>
      </c>
    </row>
    <row r="497">
      <c r="A497" s="463">
        <v>40028.0</v>
      </c>
      <c r="B497" s="464">
        <v>33.13</v>
      </c>
    </row>
    <row r="498">
      <c r="A498" s="463">
        <v>40029.0</v>
      </c>
      <c r="B498" s="464">
        <v>33.2</v>
      </c>
    </row>
    <row r="499">
      <c r="A499" s="463">
        <v>40030.0</v>
      </c>
      <c r="B499" s="464">
        <v>33.06</v>
      </c>
    </row>
    <row r="500">
      <c r="A500" s="463">
        <v>40031.0</v>
      </c>
      <c r="B500" s="464">
        <v>32.71</v>
      </c>
    </row>
    <row r="501">
      <c r="A501" s="463">
        <v>40032.0</v>
      </c>
      <c r="B501" s="464">
        <v>32.77</v>
      </c>
    </row>
    <row r="502">
      <c r="A502" s="463">
        <v>40035.0</v>
      </c>
      <c r="B502" s="464">
        <v>32.0</v>
      </c>
    </row>
    <row r="503">
      <c r="A503" s="463">
        <v>40036.0</v>
      </c>
      <c r="B503" s="464">
        <v>31.28</v>
      </c>
    </row>
    <row r="504">
      <c r="A504" s="463">
        <v>40037.0</v>
      </c>
      <c r="B504" s="464">
        <v>31.59</v>
      </c>
    </row>
    <row r="505">
      <c r="A505" s="463">
        <v>40038.0</v>
      </c>
      <c r="B505" s="464">
        <v>32.4</v>
      </c>
    </row>
    <row r="506">
      <c r="A506" s="463">
        <v>40039.0</v>
      </c>
      <c r="B506" s="464">
        <v>31.83</v>
      </c>
    </row>
    <row r="507">
      <c r="A507" s="463">
        <v>40042.0</v>
      </c>
      <c r="B507" s="464">
        <v>30.12</v>
      </c>
    </row>
    <row r="508">
      <c r="A508" s="463">
        <v>40043.0</v>
      </c>
      <c r="B508" s="464">
        <v>30.62</v>
      </c>
    </row>
    <row r="509">
      <c r="A509" s="463">
        <v>40044.0</v>
      </c>
      <c r="B509" s="464">
        <v>30.5</v>
      </c>
    </row>
    <row r="510">
      <c r="A510" s="463">
        <v>40045.0</v>
      </c>
      <c r="B510" s="464">
        <v>31.16</v>
      </c>
    </row>
    <row r="511">
      <c r="A511" s="463">
        <v>40046.0</v>
      </c>
      <c r="B511" s="464">
        <v>31.7</v>
      </c>
    </row>
    <row r="512">
      <c r="A512" s="463">
        <v>40049.0</v>
      </c>
      <c r="B512" s="464">
        <v>31.6</v>
      </c>
    </row>
    <row r="513">
      <c r="A513" s="463">
        <v>40050.0</v>
      </c>
      <c r="B513" s="464">
        <v>32.04</v>
      </c>
    </row>
    <row r="514">
      <c r="A514" s="463">
        <v>40051.0</v>
      </c>
      <c r="B514" s="464">
        <v>33.2</v>
      </c>
    </row>
    <row r="515">
      <c r="A515" s="463">
        <v>40052.0</v>
      </c>
      <c r="B515" s="464">
        <v>34.98</v>
      </c>
    </row>
    <row r="516">
      <c r="A516" s="463">
        <v>40053.0</v>
      </c>
      <c r="B516" s="464">
        <v>36.03</v>
      </c>
    </row>
    <row r="517">
      <c r="A517" s="463">
        <v>40056.0</v>
      </c>
      <c r="B517" s="464">
        <v>35.43</v>
      </c>
    </row>
    <row r="518">
      <c r="A518" s="463">
        <v>40057.0</v>
      </c>
      <c r="B518" s="464">
        <v>33.75</v>
      </c>
    </row>
    <row r="519">
      <c r="A519" s="463">
        <v>40058.0</v>
      </c>
      <c r="B519" s="464">
        <v>34.0</v>
      </c>
    </row>
    <row r="520">
      <c r="A520" s="463">
        <v>40059.0</v>
      </c>
      <c r="B520" s="464">
        <v>35.12</v>
      </c>
    </row>
    <row r="521">
      <c r="A521" s="463">
        <v>40060.0</v>
      </c>
      <c r="B521" s="464">
        <v>36.31</v>
      </c>
    </row>
    <row r="522">
      <c r="A522" s="463">
        <v>40064.0</v>
      </c>
      <c r="B522" s="464">
        <v>37.32</v>
      </c>
    </row>
    <row r="523">
      <c r="A523" s="463">
        <v>40065.0</v>
      </c>
      <c r="B523" s="464">
        <v>38.08</v>
      </c>
    </row>
    <row r="524">
      <c r="A524" s="463">
        <v>40066.0</v>
      </c>
      <c r="B524" s="464">
        <v>38.75</v>
      </c>
    </row>
    <row r="525">
      <c r="A525" s="463">
        <v>40067.0</v>
      </c>
      <c r="B525" s="464">
        <v>39.24</v>
      </c>
    </row>
    <row r="526">
      <c r="A526" s="463">
        <v>40070.0</v>
      </c>
      <c r="B526" s="464">
        <v>39.78</v>
      </c>
    </row>
    <row r="527">
      <c r="A527" s="463">
        <v>40071.0</v>
      </c>
      <c r="B527" s="464">
        <v>40.0</v>
      </c>
    </row>
    <row r="528">
      <c r="A528" s="463">
        <v>40072.0</v>
      </c>
      <c r="B528" s="464">
        <v>40.66</v>
      </c>
    </row>
    <row r="529">
      <c r="A529" s="463">
        <v>40073.0</v>
      </c>
      <c r="B529" s="464">
        <v>40.63</v>
      </c>
    </row>
    <row r="530">
      <c r="A530" s="463">
        <v>40074.0</v>
      </c>
      <c r="B530" s="464">
        <v>40.77</v>
      </c>
    </row>
    <row r="531">
      <c r="A531" s="463">
        <v>40077.0</v>
      </c>
      <c r="B531" s="464">
        <v>40.16</v>
      </c>
    </row>
    <row r="532">
      <c r="A532" s="463">
        <v>40078.0</v>
      </c>
      <c r="B532" s="464">
        <v>41.09</v>
      </c>
    </row>
    <row r="533">
      <c r="A533" s="463">
        <v>40079.0</v>
      </c>
      <c r="B533" s="464">
        <v>40.04</v>
      </c>
    </row>
    <row r="534">
      <c r="A534" s="463">
        <v>40080.0</v>
      </c>
      <c r="B534" s="464">
        <v>40.2</v>
      </c>
    </row>
    <row r="535">
      <c r="A535" s="463">
        <v>40081.0</v>
      </c>
      <c r="B535" s="464">
        <v>38.52</v>
      </c>
    </row>
    <row r="536">
      <c r="A536" s="463">
        <v>40084.0</v>
      </c>
      <c r="B536" s="464">
        <v>39.76</v>
      </c>
    </row>
    <row r="537">
      <c r="A537" s="463">
        <v>40085.0</v>
      </c>
      <c r="B537" s="464">
        <v>39.52</v>
      </c>
    </row>
    <row r="538">
      <c r="A538" s="463">
        <v>40086.0</v>
      </c>
      <c r="B538" s="464">
        <v>40.17</v>
      </c>
    </row>
    <row r="539">
      <c r="A539" s="463">
        <v>40087.0</v>
      </c>
      <c r="B539" s="464">
        <v>37.75</v>
      </c>
    </row>
    <row r="540">
      <c r="A540" s="463">
        <v>40088.0</v>
      </c>
      <c r="B540" s="464">
        <v>38.67</v>
      </c>
    </row>
    <row r="541">
      <c r="A541" s="463">
        <v>40091.0</v>
      </c>
      <c r="B541" s="464">
        <v>39.87</v>
      </c>
    </row>
    <row r="542">
      <c r="A542" s="463">
        <v>40092.0</v>
      </c>
      <c r="B542" s="464">
        <v>41.11</v>
      </c>
    </row>
    <row r="543">
      <c r="A543" s="463">
        <v>40093.0</v>
      </c>
      <c r="B543" s="464">
        <v>41.84</v>
      </c>
    </row>
    <row r="544">
      <c r="A544" s="463">
        <v>40094.0</v>
      </c>
      <c r="B544" s="464">
        <v>42.28</v>
      </c>
    </row>
    <row r="545">
      <c r="A545" s="463">
        <v>40095.0</v>
      </c>
      <c r="B545" s="464">
        <v>42.39</v>
      </c>
    </row>
    <row r="546">
      <c r="A546" s="463">
        <v>40098.0</v>
      </c>
      <c r="B546" s="464">
        <v>43.77</v>
      </c>
    </row>
    <row r="547">
      <c r="A547" s="463">
        <v>40099.0</v>
      </c>
      <c r="B547" s="464">
        <v>43.75</v>
      </c>
    </row>
    <row r="548">
      <c r="A548" s="463">
        <v>40100.0</v>
      </c>
      <c r="B548" s="464">
        <v>45.05</v>
      </c>
    </row>
    <row r="549">
      <c r="A549" s="463">
        <v>40101.0</v>
      </c>
      <c r="B549" s="464">
        <v>45.57</v>
      </c>
    </row>
    <row r="550">
      <c r="A550" s="463">
        <v>40102.0</v>
      </c>
      <c r="B550" s="464">
        <v>44.76</v>
      </c>
    </row>
    <row r="551">
      <c r="A551" s="463">
        <v>40105.0</v>
      </c>
      <c r="B551" s="464">
        <v>44.9</v>
      </c>
    </row>
    <row r="552">
      <c r="A552" s="463">
        <v>40106.0</v>
      </c>
      <c r="B552" s="464">
        <v>44.64</v>
      </c>
    </row>
    <row r="553">
      <c r="A553" s="463">
        <v>40107.0</v>
      </c>
      <c r="B553" s="464">
        <v>44.93</v>
      </c>
    </row>
    <row r="554">
      <c r="A554" s="463">
        <v>40108.0</v>
      </c>
      <c r="B554" s="464">
        <v>44.78</v>
      </c>
    </row>
    <row r="555">
      <c r="A555" s="463">
        <v>40109.0</v>
      </c>
      <c r="B555" s="464">
        <v>44.37</v>
      </c>
    </row>
    <row r="556">
      <c r="A556" s="463">
        <v>40112.0</v>
      </c>
      <c r="B556" s="464">
        <v>43.65</v>
      </c>
    </row>
    <row r="557">
      <c r="A557" s="463">
        <v>40113.0</v>
      </c>
      <c r="B557" s="464">
        <v>41.87</v>
      </c>
    </row>
    <row r="558">
      <c r="A558" s="463">
        <v>40114.0</v>
      </c>
      <c r="B558" s="464">
        <v>39.56</v>
      </c>
    </row>
    <row r="559">
      <c r="A559" s="463">
        <v>40115.0</v>
      </c>
      <c r="B559" s="464">
        <v>40.99</v>
      </c>
    </row>
    <row r="560">
      <c r="A560" s="463">
        <v>40116.0</v>
      </c>
      <c r="B560" s="464">
        <v>38.43</v>
      </c>
    </row>
    <row r="561">
      <c r="A561" s="463">
        <v>40119.0</v>
      </c>
      <c r="B561" s="464">
        <v>38.45</v>
      </c>
    </row>
    <row r="562">
      <c r="A562" s="463">
        <v>40120.0</v>
      </c>
      <c r="B562" s="464">
        <v>39.12</v>
      </c>
    </row>
    <row r="563">
      <c r="A563" s="463">
        <v>40121.0</v>
      </c>
      <c r="B563" s="464">
        <v>39.76</v>
      </c>
    </row>
    <row r="564">
      <c r="A564" s="463">
        <v>40122.0</v>
      </c>
      <c r="B564" s="464">
        <v>40.74</v>
      </c>
    </row>
    <row r="565">
      <c r="A565" s="463">
        <v>40123.0</v>
      </c>
      <c r="B565" s="464">
        <v>40.07</v>
      </c>
    </row>
    <row r="566">
      <c r="A566" s="463">
        <v>40126.0</v>
      </c>
      <c r="B566" s="464">
        <v>41.06</v>
      </c>
    </row>
    <row r="567">
      <c r="A567" s="463">
        <v>40127.0</v>
      </c>
      <c r="B567" s="464">
        <v>41.6</v>
      </c>
    </row>
    <row r="568">
      <c r="A568" s="463">
        <v>40128.0</v>
      </c>
      <c r="B568" s="464">
        <v>41.35</v>
      </c>
    </row>
    <row r="569">
      <c r="A569" s="463">
        <v>40129.0</v>
      </c>
      <c r="B569" s="464">
        <v>39.57</v>
      </c>
    </row>
    <row r="570">
      <c r="A570" s="463">
        <v>40130.0</v>
      </c>
      <c r="B570" s="464">
        <v>41.13</v>
      </c>
    </row>
    <row r="571">
      <c r="A571" s="463">
        <v>40133.0</v>
      </c>
      <c r="B571" s="464">
        <v>42.57</v>
      </c>
    </row>
    <row r="572">
      <c r="A572" s="463">
        <v>40134.0</v>
      </c>
      <c r="B572" s="464">
        <v>42.57</v>
      </c>
    </row>
    <row r="573">
      <c r="A573" s="463">
        <v>40135.0</v>
      </c>
      <c r="B573" s="464">
        <v>42.98</v>
      </c>
    </row>
    <row r="574">
      <c r="A574" s="463">
        <v>40136.0</v>
      </c>
      <c r="B574" s="464">
        <v>41.75</v>
      </c>
    </row>
    <row r="575">
      <c r="A575" s="463">
        <v>40137.0</v>
      </c>
      <c r="B575" s="464">
        <v>40.96</v>
      </c>
    </row>
    <row r="576">
      <c r="A576" s="463">
        <v>40140.0</v>
      </c>
      <c r="B576" s="464">
        <v>41.61</v>
      </c>
    </row>
    <row r="577">
      <c r="A577" s="463">
        <v>40141.0</v>
      </c>
      <c r="B577" s="464">
        <v>42.11</v>
      </c>
    </row>
    <row r="578">
      <c r="A578" s="463">
        <v>40142.0</v>
      </c>
      <c r="B578" s="464">
        <v>42.59</v>
      </c>
    </row>
    <row r="579">
      <c r="A579" s="463">
        <v>40144.0</v>
      </c>
      <c r="B579" s="464">
        <v>41.3</v>
      </c>
    </row>
    <row r="580">
      <c r="A580" s="463">
        <v>40147.0</v>
      </c>
      <c r="B580" s="464">
        <v>41.98</v>
      </c>
    </row>
    <row r="581">
      <c r="A581" s="463">
        <v>40148.0</v>
      </c>
      <c r="B581" s="464">
        <v>42.66</v>
      </c>
    </row>
    <row r="582">
      <c r="A582" s="463">
        <v>40149.0</v>
      </c>
      <c r="B582" s="464">
        <v>42.08</v>
      </c>
    </row>
    <row r="583">
      <c r="A583" s="463">
        <v>40150.0</v>
      </c>
      <c r="B583" s="464">
        <v>42.19</v>
      </c>
    </row>
    <row r="584">
      <c r="A584" s="463">
        <v>40151.0</v>
      </c>
      <c r="B584" s="464">
        <v>44.6</v>
      </c>
    </row>
    <row r="585">
      <c r="A585" s="463">
        <v>40154.0</v>
      </c>
      <c r="B585" s="464">
        <v>44.54</v>
      </c>
    </row>
    <row r="586">
      <c r="A586" s="463">
        <v>40155.0</v>
      </c>
      <c r="B586" s="464">
        <v>43.45</v>
      </c>
    </row>
    <row r="587">
      <c r="A587" s="463">
        <v>40156.0</v>
      </c>
      <c r="B587" s="464">
        <v>42.33</v>
      </c>
    </row>
    <row r="588">
      <c r="A588" s="463">
        <v>40157.0</v>
      </c>
      <c r="B588" s="464">
        <v>40.36</v>
      </c>
    </row>
    <row r="589">
      <c r="A589" s="463">
        <v>40158.0</v>
      </c>
      <c r="B589" s="464">
        <v>41.84</v>
      </c>
    </row>
    <row r="590">
      <c r="A590" s="463">
        <v>40161.0</v>
      </c>
      <c r="B590" s="464">
        <v>41.62</v>
      </c>
    </row>
    <row r="591">
      <c r="A591" s="463">
        <v>40162.0</v>
      </c>
      <c r="B591" s="464">
        <v>40.7</v>
      </c>
    </row>
    <row r="592">
      <c r="A592" s="463">
        <v>40163.0</v>
      </c>
      <c r="B592" s="464">
        <v>41.52</v>
      </c>
    </row>
    <row r="593">
      <c r="A593" s="463">
        <v>40164.0</v>
      </c>
      <c r="B593" s="464">
        <v>40.95</v>
      </c>
    </row>
    <row r="594">
      <c r="A594" s="463">
        <v>40165.0</v>
      </c>
      <c r="B594" s="464">
        <v>42.1</v>
      </c>
    </row>
    <row r="595">
      <c r="A595" s="463">
        <v>40168.0</v>
      </c>
      <c r="B595" s="464">
        <v>42.56</v>
      </c>
    </row>
    <row r="596">
      <c r="A596" s="463">
        <v>40169.0</v>
      </c>
      <c r="B596" s="464">
        <v>42.3</v>
      </c>
    </row>
    <row r="597">
      <c r="A597" s="463">
        <v>40170.0</v>
      </c>
      <c r="B597" s="464">
        <v>43.18</v>
      </c>
    </row>
    <row r="598">
      <c r="A598" s="463">
        <v>40171.0</v>
      </c>
      <c r="B598" s="464">
        <v>43.77</v>
      </c>
    </row>
    <row r="599">
      <c r="A599" s="463">
        <v>40175.0</v>
      </c>
      <c r="B599" s="464">
        <v>42.9</v>
      </c>
    </row>
    <row r="600">
      <c r="A600" s="463">
        <v>40176.0</v>
      </c>
      <c r="B600" s="464">
        <v>42.86</v>
      </c>
    </row>
    <row r="601">
      <c r="A601" s="463">
        <v>40177.0</v>
      </c>
      <c r="B601" s="464">
        <v>42.9</v>
      </c>
    </row>
    <row r="602">
      <c r="A602" s="463">
        <v>40178.0</v>
      </c>
      <c r="B602" s="464">
        <v>42.38</v>
      </c>
    </row>
    <row r="603">
      <c r="A603" s="463">
        <v>40182.0</v>
      </c>
      <c r="B603" s="464">
        <v>43.57</v>
      </c>
    </row>
    <row r="604">
      <c r="A604" s="463">
        <v>40183.0</v>
      </c>
      <c r="B604" s="464">
        <v>45.25</v>
      </c>
    </row>
    <row r="605">
      <c r="A605" s="463">
        <v>40184.0</v>
      </c>
      <c r="B605" s="464">
        <v>45.67</v>
      </c>
    </row>
    <row r="606">
      <c r="A606" s="463">
        <v>40185.0</v>
      </c>
      <c r="B606" s="464">
        <v>45.14</v>
      </c>
    </row>
    <row r="607">
      <c r="A607" s="463">
        <v>40186.0</v>
      </c>
      <c r="B607" s="464">
        <v>45.25</v>
      </c>
    </row>
    <row r="608">
      <c r="A608" s="463">
        <v>40189.0</v>
      </c>
      <c r="B608" s="464">
        <v>44.83</v>
      </c>
    </row>
    <row r="609">
      <c r="A609" s="463">
        <v>40190.0</v>
      </c>
      <c r="B609" s="464">
        <v>44.63</v>
      </c>
    </row>
    <row r="610">
      <c r="A610" s="463">
        <v>40191.0</v>
      </c>
      <c r="B610" s="464">
        <v>45.44</v>
      </c>
    </row>
    <row r="611">
      <c r="A611" s="463">
        <v>40192.0</v>
      </c>
      <c r="B611" s="464">
        <v>47.45</v>
      </c>
    </row>
    <row r="612">
      <c r="A612" s="463">
        <v>40193.0</v>
      </c>
      <c r="B612" s="464">
        <v>45.92</v>
      </c>
    </row>
    <row r="613">
      <c r="A613" s="463">
        <v>40197.0</v>
      </c>
      <c r="B613" s="464">
        <v>46.69</v>
      </c>
    </row>
    <row r="614">
      <c r="A614" s="463">
        <v>40198.0</v>
      </c>
      <c r="B614" s="464">
        <v>44.98</v>
      </c>
    </row>
    <row r="615">
      <c r="A615" s="463">
        <v>40199.0</v>
      </c>
      <c r="B615" s="464">
        <v>43.94</v>
      </c>
    </row>
    <row r="616">
      <c r="A616" s="463">
        <v>40200.0</v>
      </c>
      <c r="B616" s="464">
        <v>41.58</v>
      </c>
    </row>
    <row r="617">
      <c r="A617" s="463">
        <v>40203.0</v>
      </c>
      <c r="B617" s="464">
        <v>42.0</v>
      </c>
    </row>
    <row r="618">
      <c r="A618" s="463">
        <v>40204.0</v>
      </c>
      <c r="B618" s="464">
        <v>47.29</v>
      </c>
    </row>
    <row r="619">
      <c r="A619" s="463">
        <v>40205.0</v>
      </c>
      <c r="B619" s="464">
        <v>46.66</v>
      </c>
    </row>
    <row r="620">
      <c r="A620" s="463">
        <v>40206.0</v>
      </c>
      <c r="B620" s="464">
        <v>46.31</v>
      </c>
    </row>
    <row r="621">
      <c r="A621" s="463">
        <v>40207.0</v>
      </c>
      <c r="B621" s="464">
        <v>45.41</v>
      </c>
    </row>
    <row r="622">
      <c r="A622" s="463">
        <v>40210.0</v>
      </c>
      <c r="B622" s="464">
        <v>45.58</v>
      </c>
    </row>
    <row r="623">
      <c r="A623" s="463">
        <v>40211.0</v>
      </c>
      <c r="B623" s="464">
        <v>45.64</v>
      </c>
    </row>
    <row r="624">
      <c r="A624" s="463">
        <v>40212.0</v>
      </c>
      <c r="B624" s="464">
        <v>46.29</v>
      </c>
    </row>
    <row r="625">
      <c r="A625" s="463">
        <v>40213.0</v>
      </c>
      <c r="B625" s="464">
        <v>44.01</v>
      </c>
    </row>
    <row r="626">
      <c r="A626" s="463">
        <v>40214.0</v>
      </c>
      <c r="B626" s="464">
        <v>44.4</v>
      </c>
    </row>
    <row r="627">
      <c r="A627" s="463">
        <v>40217.0</v>
      </c>
      <c r="B627" s="464">
        <v>44.25</v>
      </c>
    </row>
    <row r="628">
      <c r="A628" s="463">
        <v>40218.0</v>
      </c>
      <c r="B628" s="464">
        <v>45.67</v>
      </c>
    </row>
    <row r="629">
      <c r="A629" s="463">
        <v>40219.0</v>
      </c>
      <c r="B629" s="464">
        <v>45.43</v>
      </c>
    </row>
    <row r="630">
      <c r="A630" s="463">
        <v>40220.0</v>
      </c>
      <c r="B630" s="464">
        <v>46.45</v>
      </c>
    </row>
    <row r="631">
      <c r="A631" s="463">
        <v>40221.0</v>
      </c>
      <c r="B631" s="464">
        <v>46.54</v>
      </c>
    </row>
    <row r="632">
      <c r="A632" s="463">
        <v>40225.0</v>
      </c>
      <c r="B632" s="464">
        <v>47.11</v>
      </c>
    </row>
    <row r="633">
      <c r="A633" s="463">
        <v>40226.0</v>
      </c>
      <c r="B633" s="464">
        <v>47.4</v>
      </c>
    </row>
    <row r="634">
      <c r="A634" s="463">
        <v>40227.0</v>
      </c>
      <c r="B634" s="464">
        <v>48.26</v>
      </c>
    </row>
    <row r="635">
      <c r="A635" s="463">
        <v>40228.0</v>
      </c>
      <c r="B635" s="464">
        <v>48.5</v>
      </c>
    </row>
    <row r="636">
      <c r="A636" s="463">
        <v>40231.0</v>
      </c>
      <c r="B636" s="464">
        <v>48.37</v>
      </c>
    </row>
    <row r="637">
      <c r="A637" s="463">
        <v>40232.0</v>
      </c>
      <c r="B637" s="464">
        <v>48.16</v>
      </c>
    </row>
    <row r="638">
      <c r="A638" s="463">
        <v>40233.0</v>
      </c>
      <c r="B638" s="464">
        <v>48.8</v>
      </c>
    </row>
    <row r="639">
      <c r="A639" s="463">
        <v>40234.0</v>
      </c>
      <c r="B639" s="464">
        <v>49.08</v>
      </c>
    </row>
    <row r="640">
      <c r="A640" s="463">
        <v>40235.0</v>
      </c>
      <c r="B640" s="464">
        <v>49.51</v>
      </c>
    </row>
    <row r="641">
      <c r="A641" s="463">
        <v>40238.0</v>
      </c>
      <c r="B641" s="464">
        <v>50.27</v>
      </c>
    </row>
    <row r="642">
      <c r="A642" s="463">
        <v>40239.0</v>
      </c>
      <c r="B642" s="464">
        <v>50.97</v>
      </c>
    </row>
    <row r="643">
      <c r="A643" s="463">
        <v>40240.0</v>
      </c>
      <c r="B643" s="464">
        <v>50.75</v>
      </c>
    </row>
    <row r="644">
      <c r="A644" s="463">
        <v>40241.0</v>
      </c>
      <c r="B644" s="464">
        <v>51.77</v>
      </c>
    </row>
    <row r="645">
      <c r="A645" s="463">
        <v>40242.0</v>
      </c>
      <c r="B645" s="464">
        <v>53.94</v>
      </c>
    </row>
    <row r="646">
      <c r="A646" s="463">
        <v>40245.0</v>
      </c>
      <c r="B646" s="464">
        <v>54.23</v>
      </c>
    </row>
    <row r="647">
      <c r="A647" s="463">
        <v>40246.0</v>
      </c>
      <c r="B647" s="464">
        <v>53.89</v>
      </c>
    </row>
    <row r="648">
      <c r="A648" s="463">
        <v>40247.0</v>
      </c>
      <c r="B648" s="464">
        <v>54.28</v>
      </c>
    </row>
    <row r="649">
      <c r="A649" s="463">
        <v>40248.0</v>
      </c>
      <c r="B649" s="464">
        <v>54.03</v>
      </c>
    </row>
    <row r="650">
      <c r="A650" s="463">
        <v>40249.0</v>
      </c>
      <c r="B650" s="464">
        <v>53.68</v>
      </c>
    </row>
    <row r="651">
      <c r="A651" s="463">
        <v>40252.0</v>
      </c>
      <c r="B651" s="464">
        <v>53.73</v>
      </c>
    </row>
    <row r="652">
      <c r="A652" s="463">
        <v>40253.0</v>
      </c>
      <c r="B652" s="464">
        <v>54.03</v>
      </c>
    </row>
    <row r="653">
      <c r="A653" s="463">
        <v>40254.0</v>
      </c>
      <c r="B653" s="464">
        <v>53.47</v>
      </c>
    </row>
    <row r="654">
      <c r="A654" s="463">
        <v>40255.0</v>
      </c>
      <c r="B654" s="464">
        <v>52.85</v>
      </c>
    </row>
    <row r="655">
      <c r="A655" s="463">
        <v>40256.0</v>
      </c>
      <c r="B655" s="464">
        <v>52.98</v>
      </c>
    </row>
    <row r="656">
      <c r="A656" s="463">
        <v>40259.0</v>
      </c>
      <c r="B656" s="464">
        <v>53.78</v>
      </c>
    </row>
    <row r="657">
      <c r="A657" s="463">
        <v>40260.0</v>
      </c>
      <c r="B657" s="464">
        <v>54.35</v>
      </c>
    </row>
    <row r="658">
      <c r="A658" s="463">
        <v>40261.0</v>
      </c>
      <c r="B658" s="464">
        <v>54.3</v>
      </c>
    </row>
    <row r="659">
      <c r="A659" s="463">
        <v>40262.0</v>
      </c>
      <c r="B659" s="464">
        <v>54.49</v>
      </c>
    </row>
    <row r="660">
      <c r="A660" s="463">
        <v>40263.0</v>
      </c>
      <c r="B660" s="464">
        <v>53.53</v>
      </c>
    </row>
    <row r="661">
      <c r="A661" s="463">
        <v>40266.0</v>
      </c>
      <c r="B661" s="464">
        <v>53.21</v>
      </c>
    </row>
    <row r="662">
      <c r="A662" s="463">
        <v>40267.0</v>
      </c>
      <c r="B662" s="464">
        <v>52.98</v>
      </c>
    </row>
    <row r="663">
      <c r="A663" s="463">
        <v>40268.0</v>
      </c>
      <c r="B663" s="464">
        <v>53.3</v>
      </c>
    </row>
    <row r="664">
      <c r="A664" s="463">
        <v>40269.0</v>
      </c>
      <c r="B664" s="464">
        <v>52.47</v>
      </c>
    </row>
    <row r="665">
      <c r="A665" s="463">
        <v>40273.0</v>
      </c>
      <c r="B665" s="464">
        <v>53.91</v>
      </c>
    </row>
    <row r="666">
      <c r="A666" s="463">
        <v>40274.0</v>
      </c>
      <c r="B666" s="464">
        <v>54.6</v>
      </c>
    </row>
    <row r="667">
      <c r="A667" s="463">
        <v>40275.0</v>
      </c>
      <c r="B667" s="464">
        <v>53.78</v>
      </c>
    </row>
    <row r="668">
      <c r="A668" s="463">
        <v>40276.0</v>
      </c>
      <c r="B668" s="464">
        <v>53.87</v>
      </c>
    </row>
    <row r="669">
      <c r="A669" s="463">
        <v>40277.0</v>
      </c>
      <c r="B669" s="464">
        <v>54.71</v>
      </c>
    </row>
    <row r="670">
      <c r="A670" s="463">
        <v>40280.0</v>
      </c>
      <c r="B670" s="464">
        <v>57.25</v>
      </c>
    </row>
    <row r="671">
      <c r="A671" s="463">
        <v>40281.0</v>
      </c>
      <c r="B671" s="464">
        <v>56.64</v>
      </c>
    </row>
    <row r="672">
      <c r="A672" s="463">
        <v>40282.0</v>
      </c>
      <c r="B672" s="464">
        <v>56.65</v>
      </c>
    </row>
    <row r="673">
      <c r="A673" s="463">
        <v>40283.0</v>
      </c>
      <c r="B673" s="464">
        <v>56.43</v>
      </c>
    </row>
    <row r="674">
      <c r="A674" s="463">
        <v>40284.0</v>
      </c>
      <c r="B674" s="464">
        <v>56.39</v>
      </c>
    </row>
    <row r="675">
      <c r="A675" s="463">
        <v>40287.0</v>
      </c>
      <c r="B675" s="464">
        <v>55.56</v>
      </c>
    </row>
    <row r="676">
      <c r="A676" s="463">
        <v>40288.0</v>
      </c>
      <c r="B676" s="464">
        <v>56.52</v>
      </c>
    </row>
    <row r="677">
      <c r="A677" s="463">
        <v>40289.0</v>
      </c>
      <c r="B677" s="464">
        <v>61.66</v>
      </c>
    </row>
    <row r="678">
      <c r="A678" s="463">
        <v>40290.0</v>
      </c>
      <c r="B678" s="464">
        <v>61.48</v>
      </c>
    </row>
    <row r="679">
      <c r="A679" s="463">
        <v>40291.0</v>
      </c>
      <c r="B679" s="464">
        <v>62.64</v>
      </c>
    </row>
    <row r="680">
      <c r="A680" s="463">
        <v>40294.0</v>
      </c>
      <c r="B680" s="464">
        <v>63.55</v>
      </c>
    </row>
    <row r="681">
      <c r="A681" s="463">
        <v>40295.0</v>
      </c>
      <c r="B681" s="464">
        <v>61.77</v>
      </c>
    </row>
    <row r="682">
      <c r="A682" s="463">
        <v>40296.0</v>
      </c>
      <c r="B682" s="464">
        <v>62.5</v>
      </c>
    </row>
    <row r="683">
      <c r="A683" s="463">
        <v>40297.0</v>
      </c>
      <c r="B683" s="464">
        <v>62.5</v>
      </c>
    </row>
    <row r="684">
      <c r="A684" s="463">
        <v>40298.0</v>
      </c>
      <c r="B684" s="464">
        <v>61.64</v>
      </c>
    </row>
    <row r="685">
      <c r="A685" s="463">
        <v>40301.0</v>
      </c>
      <c r="B685" s="464">
        <v>62.69</v>
      </c>
    </row>
    <row r="686">
      <c r="A686" s="463">
        <v>40302.0</v>
      </c>
      <c r="B686" s="464">
        <v>60.56</v>
      </c>
    </row>
    <row r="687">
      <c r="A687" s="463">
        <v>40303.0</v>
      </c>
      <c r="B687" s="464">
        <v>60.75</v>
      </c>
    </row>
    <row r="688">
      <c r="A688" s="463">
        <v>40304.0</v>
      </c>
      <c r="B688" s="464">
        <v>58.65</v>
      </c>
    </row>
    <row r="689">
      <c r="A689" s="463">
        <v>40305.0</v>
      </c>
      <c r="B689" s="464">
        <v>56.44</v>
      </c>
    </row>
    <row r="690">
      <c r="A690" s="463">
        <v>40308.0</v>
      </c>
      <c r="B690" s="464">
        <v>60.64</v>
      </c>
    </row>
    <row r="691">
      <c r="A691" s="463">
        <v>40309.0</v>
      </c>
      <c r="B691" s="464">
        <v>60.87</v>
      </c>
    </row>
    <row r="692">
      <c r="A692" s="463">
        <v>40310.0</v>
      </c>
      <c r="B692" s="464">
        <v>62.84</v>
      </c>
    </row>
    <row r="693">
      <c r="A693" s="463">
        <v>40311.0</v>
      </c>
      <c r="B693" s="464">
        <v>62.19</v>
      </c>
    </row>
    <row r="694">
      <c r="A694" s="463">
        <v>40312.0</v>
      </c>
      <c r="B694" s="464">
        <v>60.2</v>
      </c>
    </row>
    <row r="695">
      <c r="A695" s="463">
        <v>40315.0</v>
      </c>
      <c r="B695" s="464">
        <v>60.25</v>
      </c>
    </row>
    <row r="696">
      <c r="A696" s="463">
        <v>40316.0</v>
      </c>
      <c r="B696" s="464">
        <v>59.78</v>
      </c>
    </row>
    <row r="697">
      <c r="A697" s="463">
        <v>40317.0</v>
      </c>
      <c r="B697" s="464">
        <v>58.82</v>
      </c>
    </row>
    <row r="698">
      <c r="A698" s="463">
        <v>40318.0</v>
      </c>
      <c r="B698" s="464">
        <v>57.86</v>
      </c>
    </row>
    <row r="699">
      <c r="A699" s="463">
        <v>40319.0</v>
      </c>
      <c r="B699" s="464">
        <v>60.34</v>
      </c>
    </row>
    <row r="700">
      <c r="A700" s="463">
        <v>40322.0</v>
      </c>
      <c r="B700" s="464">
        <v>61.75</v>
      </c>
    </row>
    <row r="701">
      <c r="A701" s="463">
        <v>40323.0</v>
      </c>
      <c r="B701" s="464">
        <v>61.27</v>
      </c>
    </row>
    <row r="702">
      <c r="A702" s="463">
        <v>40324.0</v>
      </c>
      <c r="B702" s="464">
        <v>64.48</v>
      </c>
    </row>
    <row r="703">
      <c r="A703" s="463">
        <v>40325.0</v>
      </c>
      <c r="B703" s="464">
        <v>66.6</v>
      </c>
    </row>
    <row r="704">
      <c r="A704" s="463">
        <v>40326.0</v>
      </c>
      <c r="B704" s="464">
        <v>66.21</v>
      </c>
    </row>
    <row r="705">
      <c r="A705" s="463">
        <v>40330.0</v>
      </c>
      <c r="B705" s="464">
        <v>65.23</v>
      </c>
    </row>
    <row r="706">
      <c r="A706" s="463">
        <v>40331.0</v>
      </c>
      <c r="B706" s="464">
        <v>66.16</v>
      </c>
    </row>
    <row r="707">
      <c r="A707" s="463">
        <v>40332.0</v>
      </c>
      <c r="B707" s="464">
        <v>70.71</v>
      </c>
    </row>
    <row r="708">
      <c r="A708" s="463">
        <v>40333.0</v>
      </c>
      <c r="B708" s="464">
        <v>68.29</v>
      </c>
    </row>
    <row r="709">
      <c r="A709" s="463">
        <v>40336.0</v>
      </c>
      <c r="B709" s="464">
        <v>67.55</v>
      </c>
    </row>
    <row r="710">
      <c r="A710" s="463">
        <v>40337.0</v>
      </c>
      <c r="B710" s="464">
        <v>66.82</v>
      </c>
    </row>
    <row r="711">
      <c r="A711" s="463">
        <v>40338.0</v>
      </c>
      <c r="B711" s="464">
        <v>66.56</v>
      </c>
    </row>
    <row r="712">
      <c r="A712" s="463">
        <v>40339.0</v>
      </c>
      <c r="B712" s="464">
        <v>68.91</v>
      </c>
    </row>
    <row r="713">
      <c r="A713" s="463">
        <v>40340.0</v>
      </c>
      <c r="B713" s="464">
        <v>69.8</v>
      </c>
    </row>
    <row r="714">
      <c r="A714" s="463">
        <v>40343.0</v>
      </c>
      <c r="B714" s="464">
        <v>69.9</v>
      </c>
    </row>
    <row r="715">
      <c r="A715" s="463">
        <v>40344.0</v>
      </c>
      <c r="B715" s="464">
        <v>71.68</v>
      </c>
    </row>
    <row r="716">
      <c r="A716" s="463">
        <v>40345.0</v>
      </c>
      <c r="B716" s="464">
        <v>71.35</v>
      </c>
    </row>
    <row r="717">
      <c r="A717" s="463">
        <v>40346.0</v>
      </c>
      <c r="B717" s="464">
        <v>72.52</v>
      </c>
    </row>
    <row r="718">
      <c r="A718" s="463">
        <v>40347.0</v>
      </c>
      <c r="B718" s="464">
        <v>71.93</v>
      </c>
    </row>
    <row r="719">
      <c r="A719" s="463">
        <v>40350.0</v>
      </c>
      <c r="B719" s="464">
        <v>70.87</v>
      </c>
    </row>
    <row r="720">
      <c r="A720" s="463">
        <v>40351.0</v>
      </c>
      <c r="B720" s="464">
        <v>69.0</v>
      </c>
    </row>
    <row r="721">
      <c r="A721" s="463">
        <v>40352.0</v>
      </c>
      <c r="B721" s="464">
        <v>69.56</v>
      </c>
    </row>
    <row r="722">
      <c r="A722" s="463">
        <v>40353.0</v>
      </c>
      <c r="B722" s="464">
        <v>67.6</v>
      </c>
    </row>
    <row r="723">
      <c r="A723" s="463">
        <v>40354.0</v>
      </c>
      <c r="B723" s="464">
        <v>68.03</v>
      </c>
    </row>
    <row r="724">
      <c r="A724" s="463">
        <v>40357.0</v>
      </c>
      <c r="B724" s="464">
        <v>67.47</v>
      </c>
    </row>
    <row r="725">
      <c r="A725" s="463">
        <v>40358.0</v>
      </c>
      <c r="B725" s="464">
        <v>64.6</v>
      </c>
    </row>
    <row r="726">
      <c r="A726" s="463">
        <v>40359.0</v>
      </c>
      <c r="B726" s="464">
        <v>62.59</v>
      </c>
    </row>
    <row r="727">
      <c r="A727" s="463">
        <v>40360.0</v>
      </c>
      <c r="B727" s="464">
        <v>63.68</v>
      </c>
    </row>
    <row r="728">
      <c r="A728" s="463">
        <v>40361.0</v>
      </c>
      <c r="B728" s="464">
        <v>63.28</v>
      </c>
    </row>
    <row r="729">
      <c r="A729" s="463">
        <v>40365.0</v>
      </c>
      <c r="B729" s="464">
        <v>64.81</v>
      </c>
    </row>
    <row r="730">
      <c r="A730" s="463">
        <v>40366.0</v>
      </c>
      <c r="B730" s="464">
        <v>69.69</v>
      </c>
    </row>
    <row r="731">
      <c r="A731" s="463">
        <v>40367.0</v>
      </c>
      <c r="B731" s="464">
        <v>69.97</v>
      </c>
    </row>
    <row r="732">
      <c r="A732" s="463">
        <v>40368.0</v>
      </c>
      <c r="B732" s="464">
        <v>69.99</v>
      </c>
    </row>
    <row r="733">
      <c r="A733" s="463">
        <v>40371.0</v>
      </c>
      <c r="B733" s="464">
        <v>70.74</v>
      </c>
    </row>
    <row r="734">
      <c r="A734" s="463">
        <v>40372.0</v>
      </c>
      <c r="B734" s="464">
        <v>71.38</v>
      </c>
    </row>
    <row r="735">
      <c r="A735" s="463">
        <v>40373.0</v>
      </c>
      <c r="B735" s="464">
        <v>74.09</v>
      </c>
    </row>
    <row r="736">
      <c r="A736" s="463">
        <v>40374.0</v>
      </c>
      <c r="B736" s="464">
        <v>74.45</v>
      </c>
    </row>
    <row r="737">
      <c r="A737" s="463">
        <v>40375.0</v>
      </c>
      <c r="B737" s="464">
        <v>72.11</v>
      </c>
    </row>
    <row r="738">
      <c r="A738" s="463">
        <v>40378.0</v>
      </c>
      <c r="B738" s="464">
        <v>73.35</v>
      </c>
    </row>
    <row r="739">
      <c r="A739" s="463">
        <v>40379.0</v>
      </c>
      <c r="B739" s="464">
        <v>72.42</v>
      </c>
    </row>
    <row r="740">
      <c r="A740" s="463">
        <v>40380.0</v>
      </c>
      <c r="B740" s="464">
        <v>73.16</v>
      </c>
    </row>
    <row r="741">
      <c r="A741" s="463">
        <v>40381.0</v>
      </c>
      <c r="B741" s="464">
        <v>75.66</v>
      </c>
    </row>
    <row r="742">
      <c r="A742" s="463">
        <v>40382.0</v>
      </c>
      <c r="B742" s="464">
        <v>78.55</v>
      </c>
    </row>
    <row r="743">
      <c r="A743" s="463">
        <v>40385.0</v>
      </c>
      <c r="B743" s="464">
        <v>77.87</v>
      </c>
    </row>
    <row r="744">
      <c r="A744" s="463">
        <v>40386.0</v>
      </c>
      <c r="B744" s="464">
        <v>78.49</v>
      </c>
    </row>
    <row r="745">
      <c r="A745" s="463">
        <v>40387.0</v>
      </c>
      <c r="B745" s="464">
        <v>76.54</v>
      </c>
    </row>
    <row r="746">
      <c r="A746" s="463">
        <v>40388.0</v>
      </c>
      <c r="B746" s="464">
        <v>76.66</v>
      </c>
    </row>
    <row r="747">
      <c r="A747" s="463">
        <v>40389.0</v>
      </c>
      <c r="B747" s="464">
        <v>77.53</v>
      </c>
    </row>
    <row r="748">
      <c r="A748" s="463">
        <v>40392.0</v>
      </c>
      <c r="B748" s="464">
        <v>79.29</v>
      </c>
    </row>
    <row r="749">
      <c r="A749" s="463">
        <v>40393.0</v>
      </c>
      <c r="B749" s="464">
        <v>79.25</v>
      </c>
    </row>
    <row r="750">
      <c r="A750" s="463">
        <v>40394.0</v>
      </c>
      <c r="B750" s="464">
        <v>81.91</v>
      </c>
    </row>
    <row r="751">
      <c r="A751" s="463">
        <v>40395.0</v>
      </c>
      <c r="B751" s="464">
        <v>80.88</v>
      </c>
    </row>
    <row r="752">
      <c r="A752" s="463">
        <v>40396.0</v>
      </c>
      <c r="B752" s="464">
        <v>80.43</v>
      </c>
    </row>
    <row r="753">
      <c r="A753" s="463">
        <v>40399.0</v>
      </c>
      <c r="B753" s="464">
        <v>81.16</v>
      </c>
    </row>
    <row r="754">
      <c r="A754" s="463">
        <v>40400.0</v>
      </c>
      <c r="B754" s="464">
        <v>80.12</v>
      </c>
    </row>
    <row r="755">
      <c r="A755" s="463">
        <v>40401.0</v>
      </c>
      <c r="B755" s="464">
        <v>76.93</v>
      </c>
    </row>
    <row r="756">
      <c r="A756" s="463">
        <v>40402.0</v>
      </c>
      <c r="B756" s="464">
        <v>74.07</v>
      </c>
    </row>
    <row r="757">
      <c r="A757" s="463">
        <v>40403.0</v>
      </c>
      <c r="B757" s="464">
        <v>76.38</v>
      </c>
    </row>
    <row r="758">
      <c r="A758" s="463">
        <v>40406.0</v>
      </c>
      <c r="B758" s="464">
        <v>77.16</v>
      </c>
    </row>
    <row r="759">
      <c r="A759" s="463">
        <v>40407.0</v>
      </c>
      <c r="B759" s="464">
        <v>78.07</v>
      </c>
    </row>
    <row r="760">
      <c r="A760" s="463">
        <v>40408.0</v>
      </c>
      <c r="B760" s="464">
        <v>77.97</v>
      </c>
    </row>
    <row r="761">
      <c r="A761" s="463">
        <v>40409.0</v>
      </c>
      <c r="B761" s="464">
        <v>78.06</v>
      </c>
    </row>
    <row r="762">
      <c r="A762" s="463">
        <v>40410.0</v>
      </c>
      <c r="B762" s="464">
        <v>81.79</v>
      </c>
    </row>
    <row r="763">
      <c r="A763" s="463">
        <v>40413.0</v>
      </c>
      <c r="B763" s="464">
        <v>81.35</v>
      </c>
    </row>
    <row r="764">
      <c r="A764" s="463">
        <v>40414.0</v>
      </c>
      <c r="B764" s="464">
        <v>79.17</v>
      </c>
    </row>
    <row r="765">
      <c r="A765" s="463">
        <v>40415.0</v>
      </c>
      <c r="B765" s="464">
        <v>77.72</v>
      </c>
    </row>
    <row r="766">
      <c r="A766" s="463">
        <v>40416.0</v>
      </c>
      <c r="B766" s="464">
        <v>78.15</v>
      </c>
    </row>
    <row r="767">
      <c r="A767" s="463">
        <v>40417.0</v>
      </c>
      <c r="B767" s="464">
        <v>79.27</v>
      </c>
    </row>
    <row r="768">
      <c r="A768" s="463">
        <v>40420.0</v>
      </c>
      <c r="B768" s="464">
        <v>78.36</v>
      </c>
    </row>
    <row r="769">
      <c r="A769" s="463">
        <v>40421.0</v>
      </c>
      <c r="B769" s="464">
        <v>78.42</v>
      </c>
    </row>
    <row r="770">
      <c r="A770" s="463">
        <v>40422.0</v>
      </c>
      <c r="B770" s="464">
        <v>81.58</v>
      </c>
    </row>
    <row r="771">
      <c r="A771" s="463">
        <v>40423.0</v>
      </c>
      <c r="B771" s="464">
        <v>82.75</v>
      </c>
    </row>
    <row r="772">
      <c r="A772" s="463">
        <v>40424.0</v>
      </c>
      <c r="B772" s="464">
        <v>84.43</v>
      </c>
    </row>
    <row r="773">
      <c r="A773" s="463">
        <v>40428.0</v>
      </c>
      <c r="B773" s="464">
        <v>82.93</v>
      </c>
    </row>
    <row r="774">
      <c r="A774" s="463">
        <v>40429.0</v>
      </c>
      <c r="B774" s="464">
        <v>84.23</v>
      </c>
    </row>
    <row r="775">
      <c r="A775" s="463">
        <v>40430.0</v>
      </c>
      <c r="B775" s="464">
        <v>84.54</v>
      </c>
    </row>
    <row r="776">
      <c r="A776" s="463">
        <v>40431.0</v>
      </c>
      <c r="B776" s="464">
        <v>84.9</v>
      </c>
    </row>
    <row r="777">
      <c r="A777" s="463">
        <v>40434.0</v>
      </c>
      <c r="B777" s="464">
        <v>84.2</v>
      </c>
    </row>
    <row r="778">
      <c r="A778" s="463">
        <v>40435.0</v>
      </c>
      <c r="B778" s="464">
        <v>86.44</v>
      </c>
    </row>
    <row r="779">
      <c r="A779" s="463">
        <v>40436.0</v>
      </c>
      <c r="B779" s="464">
        <v>85.75</v>
      </c>
    </row>
    <row r="780">
      <c r="A780" s="463">
        <v>40437.0</v>
      </c>
      <c r="B780" s="464">
        <v>84.76</v>
      </c>
    </row>
    <row r="781">
      <c r="A781" s="463">
        <v>40438.0</v>
      </c>
      <c r="B781" s="464">
        <v>84.81</v>
      </c>
    </row>
    <row r="782">
      <c r="A782" s="463">
        <v>40441.0</v>
      </c>
      <c r="B782" s="464">
        <v>87.43</v>
      </c>
    </row>
    <row r="783">
      <c r="A783" s="463">
        <v>40442.0</v>
      </c>
      <c r="B783" s="464">
        <v>86.46</v>
      </c>
    </row>
    <row r="784">
      <c r="A784" s="463">
        <v>40443.0</v>
      </c>
      <c r="B784" s="464">
        <v>86.51</v>
      </c>
    </row>
    <row r="785">
      <c r="A785" s="463">
        <v>40444.0</v>
      </c>
      <c r="B785" s="464">
        <v>85.4</v>
      </c>
    </row>
    <row r="786">
      <c r="A786" s="463">
        <v>40445.0</v>
      </c>
      <c r="B786" s="464">
        <v>87.72</v>
      </c>
    </row>
    <row r="787">
      <c r="A787" s="463">
        <v>40448.0</v>
      </c>
      <c r="B787" s="464">
        <v>87.51</v>
      </c>
    </row>
    <row r="788">
      <c r="A788" s="463">
        <v>40449.0</v>
      </c>
      <c r="B788" s="464">
        <v>87.7</v>
      </c>
    </row>
    <row r="789">
      <c r="A789" s="463">
        <v>40450.0</v>
      </c>
      <c r="B789" s="464">
        <v>87.8</v>
      </c>
    </row>
    <row r="790">
      <c r="A790" s="463">
        <v>40451.0</v>
      </c>
      <c r="B790" s="464">
        <v>84.94</v>
      </c>
    </row>
    <row r="791">
      <c r="A791" s="463">
        <v>40452.0</v>
      </c>
      <c r="B791" s="464">
        <v>85.51</v>
      </c>
    </row>
    <row r="792">
      <c r="A792" s="463">
        <v>40455.0</v>
      </c>
      <c r="B792" s="464">
        <v>82.43</v>
      </c>
    </row>
    <row r="793">
      <c r="A793" s="463">
        <v>40456.0</v>
      </c>
      <c r="B793" s="464">
        <v>85.22</v>
      </c>
    </row>
    <row r="794">
      <c r="A794" s="463">
        <v>40457.0</v>
      </c>
      <c r="B794" s="464">
        <v>77.56</v>
      </c>
    </row>
    <row r="795">
      <c r="A795" s="463">
        <v>40458.0</v>
      </c>
      <c r="B795" s="464">
        <v>77.39</v>
      </c>
    </row>
    <row r="796">
      <c r="A796" s="463">
        <v>40459.0</v>
      </c>
      <c r="B796" s="464">
        <v>79.19</v>
      </c>
    </row>
    <row r="797">
      <c r="A797" s="463">
        <v>40462.0</v>
      </c>
      <c r="B797" s="464">
        <v>75.4</v>
      </c>
    </row>
    <row r="798">
      <c r="A798" s="463">
        <v>40463.0</v>
      </c>
      <c r="B798" s="464">
        <v>77.92</v>
      </c>
    </row>
    <row r="799">
      <c r="A799" s="463">
        <v>40464.0</v>
      </c>
      <c r="B799" s="464">
        <v>78.24</v>
      </c>
    </row>
    <row r="800">
      <c r="A800" s="463">
        <v>40465.0</v>
      </c>
      <c r="B800" s="464">
        <v>80.15</v>
      </c>
    </row>
    <row r="801">
      <c r="A801" s="463">
        <v>40466.0</v>
      </c>
      <c r="B801" s="464">
        <v>77.63</v>
      </c>
    </row>
    <row r="802">
      <c r="A802" s="463">
        <v>40469.0</v>
      </c>
      <c r="B802" s="464">
        <v>78.35</v>
      </c>
    </row>
    <row r="803">
      <c r="A803" s="463">
        <v>40470.0</v>
      </c>
      <c r="B803" s="464">
        <v>73.12</v>
      </c>
    </row>
    <row r="804">
      <c r="A804" s="463">
        <v>40471.0</v>
      </c>
      <c r="B804" s="464">
        <v>73.39</v>
      </c>
    </row>
    <row r="805">
      <c r="A805" s="463">
        <v>40472.0</v>
      </c>
      <c r="B805" s="464">
        <v>75.42</v>
      </c>
    </row>
    <row r="806">
      <c r="A806" s="463">
        <v>40473.0</v>
      </c>
      <c r="B806" s="464">
        <v>75.9</v>
      </c>
    </row>
    <row r="807">
      <c r="A807" s="463">
        <v>40476.0</v>
      </c>
      <c r="B807" s="464">
        <v>77.24</v>
      </c>
    </row>
    <row r="808">
      <c r="A808" s="463">
        <v>40477.0</v>
      </c>
      <c r="B808" s="464">
        <v>75.42</v>
      </c>
    </row>
    <row r="809">
      <c r="A809" s="463">
        <v>40478.0</v>
      </c>
      <c r="B809" s="464">
        <v>78.25</v>
      </c>
    </row>
    <row r="810">
      <c r="A810" s="463">
        <v>40479.0</v>
      </c>
      <c r="B810" s="464">
        <v>76.57</v>
      </c>
    </row>
    <row r="811">
      <c r="A811" s="463">
        <v>40480.0</v>
      </c>
      <c r="B811" s="464">
        <v>76.46</v>
      </c>
    </row>
    <row r="812">
      <c r="A812" s="463">
        <v>40483.0</v>
      </c>
      <c r="B812" s="464">
        <v>76.63</v>
      </c>
    </row>
    <row r="813">
      <c r="A813" s="463">
        <v>40484.0</v>
      </c>
      <c r="B813" s="464">
        <v>77.66</v>
      </c>
    </row>
    <row r="814">
      <c r="A814" s="463">
        <v>40485.0</v>
      </c>
      <c r="B814" s="464">
        <v>78.74</v>
      </c>
    </row>
    <row r="815">
      <c r="A815" s="463">
        <v>40486.0</v>
      </c>
      <c r="B815" s="464">
        <v>77.28</v>
      </c>
    </row>
    <row r="816">
      <c r="A816" s="463">
        <v>40487.0</v>
      </c>
      <c r="B816" s="464">
        <v>77.5</v>
      </c>
    </row>
    <row r="817">
      <c r="A817" s="463">
        <v>40490.0</v>
      </c>
      <c r="B817" s="464">
        <v>80.34</v>
      </c>
    </row>
    <row r="818">
      <c r="A818" s="463">
        <v>40491.0</v>
      </c>
      <c r="B818" s="464">
        <v>80.8</v>
      </c>
    </row>
    <row r="819">
      <c r="A819" s="463">
        <v>40492.0</v>
      </c>
      <c r="B819" s="464">
        <v>83.15</v>
      </c>
    </row>
    <row r="820">
      <c r="A820" s="463">
        <v>40493.0</v>
      </c>
      <c r="B820" s="464">
        <v>83.27</v>
      </c>
    </row>
    <row r="821">
      <c r="A821" s="463">
        <v>40494.0</v>
      </c>
      <c r="B821" s="464">
        <v>80.99</v>
      </c>
    </row>
    <row r="822">
      <c r="A822" s="463">
        <v>40497.0</v>
      </c>
      <c r="B822" s="464">
        <v>78.74</v>
      </c>
    </row>
    <row r="823">
      <c r="A823" s="463">
        <v>40498.0</v>
      </c>
      <c r="B823" s="464">
        <v>76.62</v>
      </c>
    </row>
    <row r="824">
      <c r="A824" s="463">
        <v>40499.0</v>
      </c>
      <c r="B824" s="464">
        <v>75.51</v>
      </c>
    </row>
    <row r="825">
      <c r="A825" s="463">
        <v>40500.0</v>
      </c>
      <c r="B825" s="464">
        <v>78.95</v>
      </c>
    </row>
    <row r="826">
      <c r="A826" s="463">
        <v>40501.0</v>
      </c>
      <c r="B826" s="464">
        <v>80.9</v>
      </c>
    </row>
    <row r="827">
      <c r="A827" s="463">
        <v>40504.0</v>
      </c>
      <c r="B827" s="464">
        <v>82.14</v>
      </c>
    </row>
    <row r="828">
      <c r="A828" s="463">
        <v>40505.0</v>
      </c>
      <c r="B828" s="464">
        <v>79.09</v>
      </c>
    </row>
    <row r="829">
      <c r="A829" s="463">
        <v>40506.0</v>
      </c>
      <c r="B829" s="464">
        <v>81.61</v>
      </c>
    </row>
    <row r="830">
      <c r="A830" s="463">
        <v>40508.0</v>
      </c>
      <c r="B830" s="464">
        <v>81.12</v>
      </c>
    </row>
    <row r="831">
      <c r="A831" s="463">
        <v>40511.0</v>
      </c>
      <c r="B831" s="464">
        <v>81.37</v>
      </c>
    </row>
    <row r="832">
      <c r="A832" s="463">
        <v>40512.0</v>
      </c>
      <c r="B832" s="464">
        <v>81.52</v>
      </c>
    </row>
    <row r="833">
      <c r="A833" s="463">
        <v>40513.0</v>
      </c>
      <c r="B833" s="464">
        <v>83.96</v>
      </c>
    </row>
    <row r="834">
      <c r="A834" s="463">
        <v>40514.0</v>
      </c>
      <c r="B834" s="464">
        <v>84.83</v>
      </c>
    </row>
    <row r="835">
      <c r="A835" s="463">
        <v>40515.0</v>
      </c>
      <c r="B835" s="464">
        <v>85.76</v>
      </c>
    </row>
    <row r="836">
      <c r="A836" s="463">
        <v>40518.0</v>
      </c>
      <c r="B836" s="464">
        <v>86.05</v>
      </c>
    </row>
    <row r="837">
      <c r="A837" s="463">
        <v>40519.0</v>
      </c>
      <c r="B837" s="464">
        <v>84.74</v>
      </c>
    </row>
    <row r="838">
      <c r="A838" s="463">
        <v>40520.0</v>
      </c>
      <c r="B838" s="464">
        <v>87.76</v>
      </c>
    </row>
    <row r="839">
      <c r="A839" s="463">
        <v>40521.0</v>
      </c>
      <c r="B839" s="464">
        <v>87.83</v>
      </c>
    </row>
    <row r="840">
      <c r="A840" s="463">
        <v>40522.0</v>
      </c>
      <c r="B840" s="464">
        <v>88.8</v>
      </c>
    </row>
    <row r="841">
      <c r="A841" s="463">
        <v>40525.0</v>
      </c>
      <c r="B841" s="464">
        <v>89.58</v>
      </c>
    </row>
    <row r="842">
      <c r="A842" s="463">
        <v>40526.0</v>
      </c>
      <c r="B842" s="464">
        <v>87.57</v>
      </c>
    </row>
    <row r="843">
      <c r="A843" s="463">
        <v>40527.0</v>
      </c>
      <c r="B843" s="464">
        <v>86.12</v>
      </c>
    </row>
    <row r="844">
      <c r="A844" s="463">
        <v>40528.0</v>
      </c>
      <c r="B844" s="464">
        <v>88.01</v>
      </c>
    </row>
    <row r="845">
      <c r="A845" s="463">
        <v>40529.0</v>
      </c>
      <c r="B845" s="464">
        <v>88.7</v>
      </c>
    </row>
    <row r="846">
      <c r="A846" s="463">
        <v>40532.0</v>
      </c>
      <c r="B846" s="464">
        <v>88.69</v>
      </c>
    </row>
    <row r="847">
      <c r="A847" s="463">
        <v>40533.0</v>
      </c>
      <c r="B847" s="464">
        <v>89.12</v>
      </c>
    </row>
    <row r="848">
      <c r="A848" s="463">
        <v>40534.0</v>
      </c>
      <c r="B848" s="464">
        <v>88.38</v>
      </c>
    </row>
    <row r="849">
      <c r="A849" s="463">
        <v>40535.0</v>
      </c>
      <c r="B849" s="464">
        <v>88.95</v>
      </c>
    </row>
    <row r="850">
      <c r="A850" s="463">
        <v>40539.0</v>
      </c>
      <c r="B850" s="464">
        <v>91.02</v>
      </c>
    </row>
    <row r="851">
      <c r="A851" s="463">
        <v>40540.0</v>
      </c>
      <c r="B851" s="464">
        <v>90.16</v>
      </c>
    </row>
    <row r="852">
      <c r="A852" s="463">
        <v>40541.0</v>
      </c>
      <c r="B852" s="464">
        <v>89.8</v>
      </c>
    </row>
    <row r="853">
      <c r="A853" s="463">
        <v>40542.0</v>
      </c>
      <c r="B853" s="464">
        <v>89.75</v>
      </c>
    </row>
    <row r="854">
      <c r="A854" s="463">
        <v>40543.0</v>
      </c>
      <c r="B854" s="464">
        <v>88.91</v>
      </c>
    </row>
    <row r="855">
      <c r="A855" s="463">
        <v>40546.0</v>
      </c>
      <c r="B855" s="464">
        <v>92.97</v>
      </c>
    </row>
    <row r="856">
      <c r="A856" s="463">
        <v>40547.0</v>
      </c>
      <c r="B856" s="464">
        <v>93.17</v>
      </c>
    </row>
    <row r="857">
      <c r="A857" s="463">
        <v>40548.0</v>
      </c>
      <c r="B857" s="464">
        <v>94.41</v>
      </c>
    </row>
    <row r="858">
      <c r="A858" s="463">
        <v>40549.0</v>
      </c>
      <c r="B858" s="464">
        <v>94.54</v>
      </c>
    </row>
    <row r="859">
      <c r="A859" s="463">
        <v>40550.0</v>
      </c>
      <c r="B859" s="464">
        <v>94.79</v>
      </c>
    </row>
    <row r="860">
      <c r="A860" s="463">
        <v>40553.0</v>
      </c>
      <c r="B860" s="464">
        <v>95.7</v>
      </c>
    </row>
    <row r="861">
      <c r="A861" s="463">
        <v>40554.0</v>
      </c>
      <c r="B861" s="464">
        <v>95.69</v>
      </c>
    </row>
    <row r="862">
      <c r="A862" s="463">
        <v>40555.0</v>
      </c>
      <c r="B862" s="464">
        <v>95.16</v>
      </c>
    </row>
    <row r="863">
      <c r="A863" s="463">
        <v>40556.0</v>
      </c>
      <c r="B863" s="464">
        <v>95.5</v>
      </c>
    </row>
    <row r="864">
      <c r="A864" s="463">
        <v>40557.0</v>
      </c>
      <c r="B864" s="464">
        <v>97.0</v>
      </c>
    </row>
    <row r="865">
      <c r="A865" s="463">
        <v>40561.0</v>
      </c>
      <c r="B865" s="464">
        <v>96.79</v>
      </c>
    </row>
    <row r="866">
      <c r="A866" s="463">
        <v>40562.0</v>
      </c>
      <c r="B866" s="464">
        <v>92.86</v>
      </c>
    </row>
    <row r="867">
      <c r="A867" s="463">
        <v>40563.0</v>
      </c>
      <c r="B867" s="464">
        <v>89.31</v>
      </c>
    </row>
    <row r="868">
      <c r="A868" s="463">
        <v>40564.0</v>
      </c>
      <c r="B868" s="464">
        <v>90.66</v>
      </c>
    </row>
    <row r="869">
      <c r="A869" s="463">
        <v>40567.0</v>
      </c>
      <c r="B869" s="464">
        <v>87.73</v>
      </c>
    </row>
    <row r="870">
      <c r="A870" s="463">
        <v>40568.0</v>
      </c>
      <c r="B870" s="464">
        <v>84.28</v>
      </c>
    </row>
    <row r="871">
      <c r="A871" s="463">
        <v>40569.0</v>
      </c>
      <c r="B871" s="464">
        <v>85.56</v>
      </c>
    </row>
    <row r="872">
      <c r="A872" s="463">
        <v>40570.0</v>
      </c>
      <c r="B872" s="464">
        <v>86.34</v>
      </c>
    </row>
    <row r="873">
      <c r="A873" s="463">
        <v>40571.0</v>
      </c>
      <c r="B873" s="464">
        <v>85.79</v>
      </c>
    </row>
    <row r="874">
      <c r="A874" s="463">
        <v>40574.0</v>
      </c>
      <c r="B874" s="464">
        <v>85.52</v>
      </c>
    </row>
    <row r="875">
      <c r="A875" s="463">
        <v>40575.0</v>
      </c>
      <c r="B875" s="464">
        <v>86.71</v>
      </c>
    </row>
    <row r="876">
      <c r="A876" s="463">
        <v>40576.0</v>
      </c>
      <c r="B876" s="464">
        <v>88.82</v>
      </c>
    </row>
    <row r="877">
      <c r="A877" s="463">
        <v>40577.0</v>
      </c>
      <c r="B877" s="464">
        <v>88.53</v>
      </c>
    </row>
    <row r="878">
      <c r="A878" s="463">
        <v>40578.0</v>
      </c>
      <c r="B878" s="464">
        <v>88.5</v>
      </c>
    </row>
    <row r="879">
      <c r="A879" s="463">
        <v>40581.0</v>
      </c>
      <c r="B879" s="464">
        <v>88.66</v>
      </c>
    </row>
    <row r="880">
      <c r="A880" s="463">
        <v>40582.0</v>
      </c>
      <c r="B880" s="464">
        <v>88.0</v>
      </c>
    </row>
    <row r="881">
      <c r="A881" s="463">
        <v>40583.0</v>
      </c>
      <c r="B881" s="464">
        <v>88.59</v>
      </c>
    </row>
    <row r="882">
      <c r="A882" s="463">
        <v>40584.0</v>
      </c>
      <c r="B882" s="464">
        <v>89.8</v>
      </c>
    </row>
    <row r="883">
      <c r="A883" s="463">
        <v>40585.0</v>
      </c>
      <c r="B883" s="464">
        <v>89.06</v>
      </c>
    </row>
    <row r="884">
      <c r="A884" s="463">
        <v>40588.0</v>
      </c>
      <c r="B884" s="464">
        <v>90.87</v>
      </c>
    </row>
    <row r="885">
      <c r="A885" s="463">
        <v>40589.0</v>
      </c>
      <c r="B885" s="464">
        <v>88.87</v>
      </c>
    </row>
    <row r="886">
      <c r="A886" s="463">
        <v>40590.0</v>
      </c>
      <c r="B886" s="464">
        <v>90.76</v>
      </c>
    </row>
    <row r="887">
      <c r="A887" s="463">
        <v>40591.0</v>
      </c>
      <c r="B887" s="464">
        <v>89.85</v>
      </c>
    </row>
    <row r="888">
      <c r="A888" s="463">
        <v>40592.0</v>
      </c>
      <c r="B888" s="464">
        <v>88.74</v>
      </c>
    </row>
    <row r="889">
      <c r="A889" s="463">
        <v>40596.0</v>
      </c>
      <c r="B889" s="464">
        <v>84.53</v>
      </c>
    </row>
    <row r="890">
      <c r="A890" s="463">
        <v>40597.0</v>
      </c>
      <c r="B890" s="464">
        <v>82.72</v>
      </c>
    </row>
    <row r="891">
      <c r="A891" s="463">
        <v>40598.0</v>
      </c>
      <c r="B891" s="464">
        <v>84.62</v>
      </c>
    </row>
    <row r="892">
      <c r="A892" s="463">
        <v>40599.0</v>
      </c>
      <c r="B892" s="464">
        <v>85.59</v>
      </c>
    </row>
    <row r="893">
      <c r="A893" s="463">
        <v>40602.0</v>
      </c>
      <c r="B893" s="464">
        <v>83.65</v>
      </c>
    </row>
    <row r="894">
      <c r="A894" s="463">
        <v>40603.0</v>
      </c>
      <c r="B894" s="464">
        <v>81.67</v>
      </c>
    </row>
    <row r="895">
      <c r="A895" s="463">
        <v>40604.0</v>
      </c>
      <c r="B895" s="464">
        <v>83.32</v>
      </c>
    </row>
    <row r="896">
      <c r="A896" s="463">
        <v>40605.0</v>
      </c>
      <c r="B896" s="464">
        <v>85.2</v>
      </c>
    </row>
    <row r="897">
      <c r="A897" s="463">
        <v>40606.0</v>
      </c>
      <c r="B897" s="464">
        <v>85.2</v>
      </c>
    </row>
    <row r="898">
      <c r="A898" s="463">
        <v>40609.0</v>
      </c>
      <c r="B898" s="464">
        <v>82.3</v>
      </c>
    </row>
    <row r="899">
      <c r="A899" s="463">
        <v>40610.0</v>
      </c>
      <c r="B899" s="464">
        <v>82.63</v>
      </c>
    </row>
    <row r="900">
      <c r="A900" s="463">
        <v>40611.0</v>
      </c>
      <c r="B900" s="464">
        <v>84.3</v>
      </c>
    </row>
    <row r="901">
      <c r="A901" s="463">
        <v>40612.0</v>
      </c>
      <c r="B901" s="464">
        <v>82.28</v>
      </c>
    </row>
    <row r="902">
      <c r="A902" s="463">
        <v>40613.0</v>
      </c>
      <c r="B902" s="464">
        <v>83.02</v>
      </c>
    </row>
    <row r="903">
      <c r="A903" s="463">
        <v>40616.0</v>
      </c>
      <c r="B903" s="464">
        <v>80.47</v>
      </c>
    </row>
    <row r="904">
      <c r="A904" s="463">
        <v>40617.0</v>
      </c>
      <c r="B904" s="464">
        <v>78.75</v>
      </c>
    </row>
    <row r="905">
      <c r="A905" s="463">
        <v>40618.0</v>
      </c>
      <c r="B905" s="464">
        <v>78.0</v>
      </c>
    </row>
    <row r="906">
      <c r="A906" s="463">
        <v>40619.0</v>
      </c>
      <c r="B906" s="464">
        <v>77.02</v>
      </c>
    </row>
    <row r="907">
      <c r="A907" s="463">
        <v>40620.0</v>
      </c>
      <c r="B907" s="464">
        <v>74.81</v>
      </c>
    </row>
    <row r="908">
      <c r="A908" s="463">
        <v>40623.0</v>
      </c>
      <c r="B908" s="464">
        <v>76.45</v>
      </c>
    </row>
    <row r="909">
      <c r="A909" s="463">
        <v>40624.0</v>
      </c>
      <c r="B909" s="464">
        <v>76.75</v>
      </c>
    </row>
    <row r="910">
      <c r="A910" s="463">
        <v>40625.0</v>
      </c>
      <c r="B910" s="464">
        <v>76.74</v>
      </c>
    </row>
    <row r="911">
      <c r="A911" s="463">
        <v>40626.0</v>
      </c>
      <c r="B911" s="464">
        <v>81.43</v>
      </c>
    </row>
    <row r="912">
      <c r="A912" s="463">
        <v>40627.0</v>
      </c>
      <c r="B912" s="464">
        <v>81.04</v>
      </c>
    </row>
    <row r="913">
      <c r="A913" s="463">
        <v>40630.0</v>
      </c>
      <c r="B913" s="464">
        <v>78.84</v>
      </c>
    </row>
    <row r="914">
      <c r="A914" s="463">
        <v>40631.0</v>
      </c>
      <c r="B914" s="464">
        <v>80.18</v>
      </c>
    </row>
    <row r="915">
      <c r="A915" s="463">
        <v>40632.0</v>
      </c>
      <c r="B915" s="464">
        <v>82.48</v>
      </c>
    </row>
    <row r="916">
      <c r="A916" s="463">
        <v>40633.0</v>
      </c>
      <c r="B916" s="464">
        <v>81.54</v>
      </c>
    </row>
    <row r="917">
      <c r="A917" s="463">
        <v>40634.0</v>
      </c>
      <c r="B917" s="464">
        <v>81.25</v>
      </c>
    </row>
    <row r="918">
      <c r="A918" s="463">
        <v>40637.0</v>
      </c>
      <c r="B918" s="464">
        <v>78.89</v>
      </c>
    </row>
    <row r="919">
      <c r="A919" s="463">
        <v>40638.0</v>
      </c>
      <c r="B919" s="464">
        <v>78.54</v>
      </c>
    </row>
    <row r="920">
      <c r="A920" s="463">
        <v>40639.0</v>
      </c>
      <c r="B920" s="464">
        <v>79.08</v>
      </c>
    </row>
    <row r="921">
      <c r="A921" s="463">
        <v>40640.0</v>
      </c>
      <c r="B921" s="464">
        <v>80.58</v>
      </c>
    </row>
    <row r="922">
      <c r="A922" s="463">
        <v>40641.0</v>
      </c>
      <c r="B922" s="464">
        <v>82.77</v>
      </c>
    </row>
    <row r="923">
      <c r="A923" s="463">
        <v>40644.0</v>
      </c>
      <c r="B923" s="464">
        <v>82.9</v>
      </c>
    </row>
    <row r="924">
      <c r="A924" s="463">
        <v>40645.0</v>
      </c>
      <c r="B924" s="464">
        <v>84.91</v>
      </c>
    </row>
    <row r="925">
      <c r="A925" s="463">
        <v>40646.0</v>
      </c>
      <c r="B925" s="464">
        <v>87.29</v>
      </c>
    </row>
    <row r="926">
      <c r="A926" s="463">
        <v>40647.0</v>
      </c>
      <c r="B926" s="464">
        <v>86.35</v>
      </c>
    </row>
    <row r="927">
      <c r="A927" s="463">
        <v>40648.0</v>
      </c>
      <c r="B927" s="464">
        <v>85.99</v>
      </c>
    </row>
    <row r="928">
      <c r="A928" s="463">
        <v>40651.0</v>
      </c>
      <c r="B928" s="464">
        <v>86.5</v>
      </c>
    </row>
    <row r="929">
      <c r="A929" s="463">
        <v>40652.0</v>
      </c>
      <c r="B929" s="464">
        <v>85.97</v>
      </c>
    </row>
    <row r="930">
      <c r="A930" s="463">
        <v>40653.0</v>
      </c>
      <c r="B930" s="464">
        <v>97.9</v>
      </c>
    </row>
    <row r="931">
      <c r="A931" s="463">
        <v>40654.0</v>
      </c>
      <c r="B931" s="464">
        <v>96.81</v>
      </c>
    </row>
    <row r="932">
      <c r="A932" s="463">
        <v>40658.0</v>
      </c>
      <c r="B932" s="464">
        <v>97.85</v>
      </c>
    </row>
    <row r="933">
      <c r="A933" s="463">
        <v>40659.0</v>
      </c>
      <c r="B933" s="464">
        <v>95.26</v>
      </c>
    </row>
    <row r="934">
      <c r="A934" s="463">
        <v>40660.0</v>
      </c>
      <c r="B934" s="464">
        <v>95.67</v>
      </c>
    </row>
    <row r="935">
      <c r="A935" s="463">
        <v>40661.0</v>
      </c>
      <c r="B935" s="464">
        <v>95.77</v>
      </c>
    </row>
    <row r="936">
      <c r="A936" s="463">
        <v>40662.0</v>
      </c>
      <c r="B936" s="464">
        <v>95.43</v>
      </c>
    </row>
    <row r="937">
      <c r="A937" s="463">
        <v>40665.0</v>
      </c>
      <c r="B937" s="464">
        <v>93.31</v>
      </c>
    </row>
    <row r="938">
      <c r="A938" s="463">
        <v>40666.0</v>
      </c>
      <c r="B938" s="464">
        <v>91.48</v>
      </c>
    </row>
    <row r="939">
      <c r="A939" s="463">
        <v>40667.0</v>
      </c>
      <c r="B939" s="464">
        <v>91.81</v>
      </c>
    </row>
    <row r="940">
      <c r="A940" s="463">
        <v>40668.0</v>
      </c>
      <c r="B940" s="464">
        <v>91.64</v>
      </c>
    </row>
    <row r="941">
      <c r="A941" s="463">
        <v>40669.0</v>
      </c>
      <c r="B941" s="464">
        <v>92.98</v>
      </c>
    </row>
    <row r="942">
      <c r="A942" s="463">
        <v>40672.0</v>
      </c>
      <c r="B942" s="464">
        <v>93.47</v>
      </c>
    </row>
    <row r="943">
      <c r="A943" s="463">
        <v>40673.0</v>
      </c>
      <c r="B943" s="464">
        <v>93.09</v>
      </c>
    </row>
    <row r="944">
      <c r="A944" s="463">
        <v>40674.0</v>
      </c>
      <c r="B944" s="464">
        <v>92.64</v>
      </c>
    </row>
    <row r="945">
      <c r="A945" s="463">
        <v>40675.0</v>
      </c>
      <c r="B945" s="464">
        <v>94.91</v>
      </c>
    </row>
    <row r="946">
      <c r="A946" s="463">
        <v>40676.0</v>
      </c>
      <c r="B946" s="464">
        <v>93.94</v>
      </c>
    </row>
    <row r="947">
      <c r="A947" s="463">
        <v>40679.0</v>
      </c>
      <c r="B947" s="464">
        <v>89.45</v>
      </c>
    </row>
    <row r="948">
      <c r="A948" s="463">
        <v>40680.0</v>
      </c>
      <c r="B948" s="464">
        <v>90.76</v>
      </c>
    </row>
    <row r="949">
      <c r="A949" s="463">
        <v>40681.0</v>
      </c>
      <c r="B949" s="464">
        <v>92.83</v>
      </c>
    </row>
    <row r="950">
      <c r="A950" s="463">
        <v>40682.0</v>
      </c>
      <c r="B950" s="464">
        <v>93.89</v>
      </c>
    </row>
    <row r="951">
      <c r="A951" s="463">
        <v>40683.0</v>
      </c>
      <c r="B951" s="464">
        <v>95.57</v>
      </c>
    </row>
    <row r="952">
      <c r="A952" s="463">
        <v>40686.0</v>
      </c>
      <c r="B952" s="464">
        <v>93.85</v>
      </c>
    </row>
    <row r="953">
      <c r="A953" s="463">
        <v>40687.0</v>
      </c>
      <c r="B953" s="464">
        <v>94.65</v>
      </c>
    </row>
    <row r="954">
      <c r="A954" s="463">
        <v>40688.0</v>
      </c>
      <c r="B954" s="464">
        <v>96.96</v>
      </c>
    </row>
    <row r="955">
      <c r="A955" s="463">
        <v>40689.0</v>
      </c>
      <c r="B955" s="464">
        <v>97.87</v>
      </c>
    </row>
    <row r="956">
      <c r="A956" s="463">
        <v>40690.0</v>
      </c>
      <c r="B956" s="464">
        <v>97.3</v>
      </c>
    </row>
    <row r="957">
      <c r="A957" s="463">
        <v>40694.0</v>
      </c>
      <c r="B957" s="464">
        <v>97.32</v>
      </c>
    </row>
    <row r="958">
      <c r="A958" s="463">
        <v>40695.0</v>
      </c>
      <c r="B958" s="464">
        <v>95.92</v>
      </c>
    </row>
    <row r="959">
      <c r="A959" s="463">
        <v>40696.0</v>
      </c>
      <c r="B959" s="464">
        <v>97.71</v>
      </c>
    </row>
    <row r="960">
      <c r="A960" s="463">
        <v>40697.0</v>
      </c>
      <c r="B960" s="464">
        <v>94.99</v>
      </c>
    </row>
    <row r="961">
      <c r="A961" s="463">
        <v>40700.0</v>
      </c>
      <c r="B961" s="464">
        <v>93.15</v>
      </c>
    </row>
    <row r="962">
      <c r="A962" s="463">
        <v>40701.0</v>
      </c>
      <c r="B962" s="464">
        <v>94.14</v>
      </c>
    </row>
    <row r="963">
      <c r="A963" s="463">
        <v>40702.0</v>
      </c>
      <c r="B963" s="464">
        <v>92.31</v>
      </c>
    </row>
    <row r="964">
      <c r="A964" s="463">
        <v>40703.0</v>
      </c>
      <c r="B964" s="464">
        <v>94.6</v>
      </c>
    </row>
    <row r="965">
      <c r="A965" s="463">
        <v>40704.0</v>
      </c>
      <c r="B965" s="464">
        <v>93.46</v>
      </c>
    </row>
    <row r="966">
      <c r="A966" s="463">
        <v>40707.0</v>
      </c>
      <c r="B966" s="464">
        <v>92.82</v>
      </c>
    </row>
    <row r="967">
      <c r="A967" s="463">
        <v>40708.0</v>
      </c>
      <c r="B967" s="464">
        <v>94.91</v>
      </c>
    </row>
    <row r="968">
      <c r="A968" s="463">
        <v>40709.0</v>
      </c>
      <c r="B968" s="464">
        <v>91.31</v>
      </c>
    </row>
    <row r="969">
      <c r="A969" s="463">
        <v>40710.0</v>
      </c>
      <c r="B969" s="464">
        <v>90.46</v>
      </c>
    </row>
    <row r="970">
      <c r="A970" s="463">
        <v>40711.0</v>
      </c>
      <c r="B970" s="464">
        <v>90.79</v>
      </c>
    </row>
    <row r="971">
      <c r="A971" s="463">
        <v>40714.0</v>
      </c>
      <c r="B971" s="464">
        <v>91.05</v>
      </c>
    </row>
    <row r="972">
      <c r="A972" s="463">
        <v>40715.0</v>
      </c>
      <c r="B972" s="464">
        <v>94.52</v>
      </c>
    </row>
    <row r="973">
      <c r="A973" s="463">
        <v>40716.0</v>
      </c>
      <c r="B973" s="464">
        <v>94.27</v>
      </c>
    </row>
    <row r="974">
      <c r="A974" s="463">
        <v>40717.0</v>
      </c>
      <c r="B974" s="464">
        <v>95.96</v>
      </c>
    </row>
    <row r="975">
      <c r="A975" s="463">
        <v>40718.0</v>
      </c>
      <c r="B975" s="464">
        <v>94.24</v>
      </c>
    </row>
    <row r="976">
      <c r="A976" s="463">
        <v>40721.0</v>
      </c>
      <c r="B976" s="464">
        <v>97.6</v>
      </c>
    </row>
    <row r="977">
      <c r="A977" s="463">
        <v>40722.0</v>
      </c>
      <c r="B977" s="464">
        <v>97.18</v>
      </c>
    </row>
    <row r="978">
      <c r="A978" s="463">
        <v>40723.0</v>
      </c>
      <c r="B978" s="464">
        <v>96.82</v>
      </c>
    </row>
    <row r="979">
      <c r="A979" s="463">
        <v>40724.0</v>
      </c>
      <c r="B979" s="464">
        <v>100.23</v>
      </c>
    </row>
    <row r="980">
      <c r="A980" s="463">
        <v>40725.0</v>
      </c>
      <c r="B980" s="464">
        <v>99.9</v>
      </c>
    </row>
    <row r="981">
      <c r="A981" s="463">
        <v>40729.0</v>
      </c>
      <c r="B981" s="464">
        <v>101.27</v>
      </c>
    </row>
    <row r="982">
      <c r="A982" s="463">
        <v>40730.0</v>
      </c>
      <c r="B982" s="464">
        <v>103.93</v>
      </c>
    </row>
    <row r="983">
      <c r="A983" s="463">
        <v>40731.0</v>
      </c>
      <c r="B983" s="464">
        <v>102.98</v>
      </c>
    </row>
    <row r="984">
      <c r="A984" s="463">
        <v>40732.0</v>
      </c>
      <c r="B984" s="464">
        <v>105.0</v>
      </c>
    </row>
    <row r="985">
      <c r="A985" s="463">
        <v>40735.0</v>
      </c>
      <c r="B985" s="464">
        <v>102.13</v>
      </c>
    </row>
    <row r="986">
      <c r="A986" s="463">
        <v>40736.0</v>
      </c>
      <c r="B986" s="464">
        <v>100.4</v>
      </c>
    </row>
    <row r="987">
      <c r="A987" s="463">
        <v>40737.0</v>
      </c>
      <c r="B987" s="464">
        <v>100.28</v>
      </c>
    </row>
    <row r="988">
      <c r="A988" s="463">
        <v>40738.0</v>
      </c>
      <c r="B988" s="464">
        <v>100.55</v>
      </c>
    </row>
    <row r="989">
      <c r="A989" s="463">
        <v>40739.0</v>
      </c>
      <c r="B989" s="464">
        <v>102.67</v>
      </c>
    </row>
    <row r="990">
      <c r="A990" s="463">
        <v>40742.0</v>
      </c>
      <c r="B990" s="464">
        <v>100.78</v>
      </c>
    </row>
    <row r="991">
      <c r="A991" s="463">
        <v>40743.0</v>
      </c>
      <c r="B991" s="464">
        <v>106.02</v>
      </c>
    </row>
    <row r="992">
      <c r="A992" s="463">
        <v>40744.0</v>
      </c>
      <c r="B992" s="464">
        <v>105.91</v>
      </c>
    </row>
    <row r="993">
      <c r="A993" s="463">
        <v>40745.0</v>
      </c>
      <c r="B993" s="464">
        <v>104.9</v>
      </c>
    </row>
    <row r="994">
      <c r="A994" s="463">
        <v>40746.0</v>
      </c>
      <c r="B994" s="464">
        <v>106.72</v>
      </c>
    </row>
    <row r="995">
      <c r="A995" s="463">
        <v>40749.0</v>
      </c>
      <c r="B995" s="464">
        <v>107.75</v>
      </c>
    </row>
    <row r="996">
      <c r="A996" s="463">
        <v>40750.0</v>
      </c>
      <c r="B996" s="464">
        <v>106.11</v>
      </c>
    </row>
    <row r="997">
      <c r="A997" s="463">
        <v>40751.0</v>
      </c>
      <c r="B997" s="464">
        <v>100.91</v>
      </c>
    </row>
    <row r="998">
      <c r="A998" s="463">
        <v>40752.0</v>
      </c>
      <c r="B998" s="464">
        <v>101.5</v>
      </c>
    </row>
    <row r="999">
      <c r="A999" s="463">
        <v>40753.0</v>
      </c>
      <c r="B999" s="464">
        <v>100.34</v>
      </c>
    </row>
    <row r="1000">
      <c r="A1000" s="463">
        <v>40756.0</v>
      </c>
      <c r="B1000" s="464">
        <v>99.95</v>
      </c>
    </row>
    <row r="1001">
      <c r="A1001" s="463">
        <v>40757.0</v>
      </c>
      <c r="B1001" s="464">
        <v>95.07</v>
      </c>
    </row>
    <row r="1002">
      <c r="A1002" s="463">
        <v>40758.0</v>
      </c>
      <c r="B1002" s="464">
        <v>97.0</v>
      </c>
    </row>
    <row r="1003">
      <c r="A1003" s="463">
        <v>40759.0</v>
      </c>
      <c r="B1003" s="464">
        <v>88.88</v>
      </c>
    </row>
    <row r="1004">
      <c r="A1004" s="463">
        <v>40760.0</v>
      </c>
      <c r="B1004" s="464">
        <v>87.28</v>
      </c>
    </row>
    <row r="1005">
      <c r="A1005" s="463">
        <v>40763.0</v>
      </c>
      <c r="B1005" s="464">
        <v>83.96</v>
      </c>
    </row>
    <row r="1006">
      <c r="A1006" s="463">
        <v>40764.0</v>
      </c>
      <c r="B1006" s="464">
        <v>88.17</v>
      </c>
    </row>
    <row r="1007">
      <c r="A1007" s="463">
        <v>40765.0</v>
      </c>
      <c r="B1007" s="464">
        <v>85.31</v>
      </c>
    </row>
    <row r="1008">
      <c r="A1008" s="463">
        <v>40766.0</v>
      </c>
      <c r="B1008" s="464">
        <v>90.25</v>
      </c>
    </row>
    <row r="1009">
      <c r="A1009" s="463">
        <v>40767.0</v>
      </c>
      <c r="B1009" s="464">
        <v>90.66</v>
      </c>
    </row>
    <row r="1010">
      <c r="A1010" s="463">
        <v>40770.0</v>
      </c>
      <c r="B1010" s="464">
        <v>94.68</v>
      </c>
    </row>
    <row r="1011">
      <c r="A1011" s="463">
        <v>40771.0</v>
      </c>
      <c r="B1011" s="464">
        <v>92.32</v>
      </c>
    </row>
    <row r="1012">
      <c r="A1012" s="463">
        <v>40772.0</v>
      </c>
      <c r="B1012" s="464">
        <v>88.18</v>
      </c>
    </row>
    <row r="1013">
      <c r="A1013" s="463">
        <v>40773.0</v>
      </c>
      <c r="B1013" s="464">
        <v>79.17</v>
      </c>
    </row>
    <row r="1014">
      <c r="A1014" s="463">
        <v>40774.0</v>
      </c>
      <c r="B1014" s="464">
        <v>76.76</v>
      </c>
    </row>
    <row r="1015">
      <c r="A1015" s="463">
        <v>40777.0</v>
      </c>
      <c r="B1015" s="464">
        <v>77.83</v>
      </c>
    </row>
    <row r="1016">
      <c r="A1016" s="463">
        <v>40778.0</v>
      </c>
      <c r="B1016" s="464">
        <v>82.0</v>
      </c>
    </row>
    <row r="1017">
      <c r="A1017" s="463">
        <v>40779.0</v>
      </c>
      <c r="B1017" s="464">
        <v>83.05</v>
      </c>
    </row>
    <row r="1018">
      <c r="A1018" s="463">
        <v>40780.0</v>
      </c>
      <c r="B1018" s="464">
        <v>80.18</v>
      </c>
    </row>
    <row r="1019">
      <c r="A1019" s="463">
        <v>40781.0</v>
      </c>
      <c r="B1019" s="464">
        <v>84.77</v>
      </c>
    </row>
    <row r="1020">
      <c r="A1020" s="463">
        <v>40784.0</v>
      </c>
      <c r="B1020" s="464">
        <v>88.5</v>
      </c>
    </row>
    <row r="1021">
      <c r="A1021" s="463">
        <v>40785.0</v>
      </c>
      <c r="B1021" s="464">
        <v>90.71</v>
      </c>
    </row>
    <row r="1022">
      <c r="A1022" s="463">
        <v>40786.0</v>
      </c>
      <c r="B1022" s="464">
        <v>94.36</v>
      </c>
    </row>
    <row r="1023">
      <c r="A1023" s="463">
        <v>40787.0</v>
      </c>
      <c r="B1023" s="464">
        <v>92.18</v>
      </c>
    </row>
    <row r="1024">
      <c r="A1024" s="463">
        <v>40788.0</v>
      </c>
      <c r="B1024" s="464">
        <v>88.08</v>
      </c>
    </row>
    <row r="1025">
      <c r="A1025" s="463">
        <v>40792.0</v>
      </c>
      <c r="B1025" s="464">
        <v>88.27</v>
      </c>
    </row>
    <row r="1026">
      <c r="A1026" s="463">
        <v>40793.0</v>
      </c>
      <c r="B1026" s="464">
        <v>92.03</v>
      </c>
    </row>
    <row r="1027">
      <c r="A1027" s="463">
        <v>40794.0</v>
      </c>
      <c r="B1027" s="464">
        <v>90.36</v>
      </c>
    </row>
    <row r="1028">
      <c r="A1028" s="463">
        <v>40795.0</v>
      </c>
      <c r="B1028" s="464">
        <v>87.99</v>
      </c>
    </row>
    <row r="1029">
      <c r="A1029" s="463">
        <v>40798.0</v>
      </c>
      <c r="B1029" s="464">
        <v>89.91</v>
      </c>
    </row>
    <row r="1030">
      <c r="A1030" s="463">
        <v>40799.0</v>
      </c>
      <c r="B1030" s="464">
        <v>90.91</v>
      </c>
    </row>
    <row r="1031">
      <c r="A1031" s="463">
        <v>40800.0</v>
      </c>
      <c r="B1031" s="464">
        <v>93.48</v>
      </c>
    </row>
    <row r="1032">
      <c r="A1032" s="463">
        <v>40801.0</v>
      </c>
      <c r="B1032" s="464">
        <v>94.7</v>
      </c>
    </row>
    <row r="1033">
      <c r="A1033" s="463">
        <v>40802.0</v>
      </c>
      <c r="B1033" s="464">
        <v>93.59</v>
      </c>
    </row>
    <row r="1034">
      <c r="A1034" s="463">
        <v>40805.0</v>
      </c>
      <c r="B1034" s="464">
        <v>91.8</v>
      </c>
    </row>
    <row r="1035">
      <c r="A1035" s="463">
        <v>40806.0</v>
      </c>
      <c r="B1035" s="464">
        <v>88.81</v>
      </c>
    </row>
    <row r="1036">
      <c r="A1036" s="463">
        <v>40807.0</v>
      </c>
      <c r="B1036" s="464">
        <v>88.14</v>
      </c>
    </row>
    <row r="1037">
      <c r="A1037" s="463">
        <v>40808.0</v>
      </c>
      <c r="B1037" s="464">
        <v>83.0</v>
      </c>
    </row>
    <row r="1038">
      <c r="A1038" s="463">
        <v>40809.0</v>
      </c>
      <c r="B1038" s="464">
        <v>85.6</v>
      </c>
    </row>
    <row r="1039">
      <c r="A1039" s="463">
        <v>40812.0</v>
      </c>
      <c r="B1039" s="464">
        <v>88.12</v>
      </c>
    </row>
    <row r="1040">
      <c r="A1040" s="463">
        <v>40813.0</v>
      </c>
      <c r="B1040" s="464">
        <v>86.47</v>
      </c>
    </row>
    <row r="1041">
      <c r="A1041" s="463">
        <v>40814.0</v>
      </c>
      <c r="B1041" s="464">
        <v>84.22</v>
      </c>
    </row>
    <row r="1042">
      <c r="A1042" s="463">
        <v>40815.0</v>
      </c>
      <c r="B1042" s="464">
        <v>83.06</v>
      </c>
    </row>
    <row r="1043">
      <c r="A1043" s="463">
        <v>40816.0</v>
      </c>
      <c r="B1043" s="464">
        <v>80.38</v>
      </c>
    </row>
    <row r="1044">
      <c r="A1044" s="463">
        <v>40819.0</v>
      </c>
      <c r="B1044" s="464">
        <v>78.89</v>
      </c>
    </row>
    <row r="1045">
      <c r="A1045" s="463">
        <v>40820.0</v>
      </c>
      <c r="B1045" s="464">
        <v>81.55</v>
      </c>
    </row>
    <row r="1046">
      <c r="A1046" s="463">
        <v>40821.0</v>
      </c>
      <c r="B1046" s="464">
        <v>85.43</v>
      </c>
    </row>
    <row r="1047">
      <c r="A1047" s="463">
        <v>40822.0</v>
      </c>
      <c r="B1047" s="464">
        <v>89.16</v>
      </c>
    </row>
    <row r="1048">
      <c r="A1048" s="463">
        <v>40823.0</v>
      </c>
      <c r="B1048" s="464">
        <v>87.67</v>
      </c>
    </row>
    <row r="1049">
      <c r="A1049" s="463">
        <v>40826.0</v>
      </c>
      <c r="B1049" s="464">
        <v>89.65</v>
      </c>
    </row>
    <row r="1050">
      <c r="A1050" s="463">
        <v>40827.0</v>
      </c>
      <c r="B1050" s="464">
        <v>90.28</v>
      </c>
    </row>
    <row r="1051">
      <c r="A1051" s="463">
        <v>40828.0</v>
      </c>
      <c r="B1051" s="464">
        <v>89.38</v>
      </c>
    </row>
    <row r="1052">
      <c r="A1052" s="463">
        <v>40829.0</v>
      </c>
      <c r="B1052" s="464">
        <v>90.61</v>
      </c>
    </row>
    <row r="1053">
      <c r="A1053" s="463">
        <v>40830.0</v>
      </c>
      <c r="B1053" s="464">
        <v>93.08</v>
      </c>
    </row>
    <row r="1054">
      <c r="A1054" s="463">
        <v>40833.0</v>
      </c>
      <c r="B1054" s="464">
        <v>89.52</v>
      </c>
    </row>
    <row r="1055">
      <c r="A1055" s="463">
        <v>40834.0</v>
      </c>
      <c r="B1055" s="464">
        <v>96.86</v>
      </c>
    </row>
    <row r="1056">
      <c r="A1056" s="463">
        <v>40835.0</v>
      </c>
      <c r="B1056" s="464">
        <v>93.8</v>
      </c>
    </row>
    <row r="1057">
      <c r="A1057" s="463">
        <v>40836.0</v>
      </c>
      <c r="B1057" s="464">
        <v>95.19</v>
      </c>
    </row>
    <row r="1058">
      <c r="A1058" s="463">
        <v>40837.0</v>
      </c>
      <c r="B1058" s="464">
        <v>95.82</v>
      </c>
    </row>
    <row r="1059">
      <c r="A1059" s="463">
        <v>40840.0</v>
      </c>
      <c r="B1059" s="464">
        <v>97.69</v>
      </c>
    </row>
    <row r="1060">
      <c r="A1060" s="463">
        <v>40841.0</v>
      </c>
      <c r="B1060" s="464">
        <v>95.7</v>
      </c>
    </row>
    <row r="1061">
      <c r="A1061" s="463">
        <v>40842.0</v>
      </c>
      <c r="B1061" s="464">
        <v>96.73</v>
      </c>
    </row>
    <row r="1062">
      <c r="A1062" s="463">
        <v>40843.0</v>
      </c>
      <c r="B1062" s="464">
        <v>99.4</v>
      </c>
    </row>
    <row r="1063">
      <c r="A1063" s="463">
        <v>40844.0</v>
      </c>
      <c r="B1063" s="464">
        <v>100.08</v>
      </c>
    </row>
    <row r="1064">
      <c r="A1064" s="463">
        <v>40847.0</v>
      </c>
      <c r="B1064" s="464">
        <v>97.75</v>
      </c>
    </row>
    <row r="1065">
      <c r="A1065" s="463">
        <v>40848.0</v>
      </c>
      <c r="B1065" s="464">
        <v>96.07</v>
      </c>
    </row>
    <row r="1066">
      <c r="A1066" s="463">
        <v>40849.0</v>
      </c>
      <c r="B1066" s="464">
        <v>97.19</v>
      </c>
    </row>
    <row r="1067">
      <c r="A1067" s="463">
        <v>40850.0</v>
      </c>
      <c r="B1067" s="464">
        <v>100.19</v>
      </c>
    </row>
    <row r="1068">
      <c r="A1068" s="463">
        <v>40851.0</v>
      </c>
      <c r="B1068" s="464">
        <v>100.32</v>
      </c>
    </row>
    <row r="1069">
      <c r="A1069" s="463">
        <v>40854.0</v>
      </c>
      <c r="B1069" s="464">
        <v>99.59</v>
      </c>
    </row>
    <row r="1070">
      <c r="A1070" s="463">
        <v>40855.0</v>
      </c>
      <c r="B1070" s="464">
        <v>100.77</v>
      </c>
    </row>
    <row r="1071">
      <c r="A1071" s="463">
        <v>40856.0</v>
      </c>
      <c r="B1071" s="464">
        <v>96.91</v>
      </c>
    </row>
    <row r="1072">
      <c r="A1072" s="463">
        <v>40857.0</v>
      </c>
      <c r="B1072" s="464">
        <v>97.19</v>
      </c>
    </row>
    <row r="1073">
      <c r="A1073" s="463">
        <v>40858.0</v>
      </c>
      <c r="B1073" s="464">
        <v>100.67</v>
      </c>
    </row>
    <row r="1074">
      <c r="A1074" s="463">
        <v>40861.0</v>
      </c>
      <c r="B1074" s="464">
        <v>102.59</v>
      </c>
    </row>
    <row r="1075">
      <c r="A1075" s="463">
        <v>40862.0</v>
      </c>
      <c r="B1075" s="464">
        <v>103.25</v>
      </c>
    </row>
    <row r="1076">
      <c r="A1076" s="463">
        <v>40863.0</v>
      </c>
      <c r="B1076" s="464">
        <v>101.11</v>
      </c>
    </row>
    <row r="1077">
      <c r="A1077" s="463">
        <v>40864.0</v>
      </c>
      <c r="B1077" s="464">
        <v>97.84</v>
      </c>
    </row>
    <row r="1078">
      <c r="A1078" s="463">
        <v>40865.0</v>
      </c>
      <c r="B1078" s="464">
        <v>93.85</v>
      </c>
    </row>
    <row r="1079">
      <c r="A1079" s="463">
        <v>40868.0</v>
      </c>
      <c r="B1079" s="464">
        <v>94.76</v>
      </c>
    </row>
    <row r="1080">
      <c r="A1080" s="463">
        <v>40869.0</v>
      </c>
      <c r="B1080" s="464">
        <v>92.5</v>
      </c>
    </row>
    <row r="1081">
      <c r="A1081" s="463">
        <v>40870.0</v>
      </c>
      <c r="B1081" s="464">
        <v>90.76</v>
      </c>
    </row>
    <row r="1082">
      <c r="A1082" s="463">
        <v>40872.0</v>
      </c>
      <c r="B1082" s="464">
        <v>89.37</v>
      </c>
    </row>
    <row r="1083">
      <c r="A1083" s="463">
        <v>40875.0</v>
      </c>
      <c r="B1083" s="464">
        <v>93.99</v>
      </c>
    </row>
    <row r="1084">
      <c r="A1084" s="463">
        <v>40876.0</v>
      </c>
      <c r="B1084" s="464">
        <v>92.06</v>
      </c>
    </row>
    <row r="1085">
      <c r="A1085" s="463">
        <v>40877.0</v>
      </c>
      <c r="B1085" s="464">
        <v>96.68</v>
      </c>
    </row>
    <row r="1086">
      <c r="A1086" s="463">
        <v>40878.0</v>
      </c>
      <c r="B1086" s="464">
        <v>96.7</v>
      </c>
    </row>
    <row r="1087">
      <c r="A1087" s="463">
        <v>40879.0</v>
      </c>
      <c r="B1087" s="464">
        <v>95.24</v>
      </c>
    </row>
    <row r="1088">
      <c r="A1088" s="463">
        <v>40882.0</v>
      </c>
      <c r="B1088" s="464">
        <v>97.09</v>
      </c>
    </row>
    <row r="1089">
      <c r="A1089" s="463">
        <v>40883.0</v>
      </c>
      <c r="B1089" s="464">
        <v>96.98</v>
      </c>
    </row>
    <row r="1090">
      <c r="A1090" s="463">
        <v>40884.0</v>
      </c>
      <c r="B1090" s="464">
        <v>96.96</v>
      </c>
    </row>
    <row r="1091">
      <c r="A1091" s="463">
        <v>40885.0</v>
      </c>
      <c r="B1091" s="464">
        <v>95.04</v>
      </c>
    </row>
    <row r="1092">
      <c r="A1092" s="463">
        <v>40886.0</v>
      </c>
      <c r="B1092" s="464">
        <v>96.43</v>
      </c>
    </row>
    <row r="1093">
      <c r="A1093" s="463">
        <v>40889.0</v>
      </c>
      <c r="B1093" s="464">
        <v>94.06</v>
      </c>
    </row>
    <row r="1094">
      <c r="A1094" s="463">
        <v>40890.0</v>
      </c>
      <c r="B1094" s="464">
        <v>90.95</v>
      </c>
    </row>
    <row r="1095">
      <c r="A1095" s="463">
        <v>40891.0</v>
      </c>
      <c r="B1095" s="464">
        <v>87.72</v>
      </c>
    </row>
    <row r="1096">
      <c r="A1096" s="463">
        <v>40892.0</v>
      </c>
      <c r="B1096" s="464">
        <v>85.13</v>
      </c>
    </row>
    <row r="1097">
      <c r="A1097" s="463">
        <v>40893.0</v>
      </c>
      <c r="B1097" s="464">
        <v>85.82</v>
      </c>
    </row>
    <row r="1098">
      <c r="A1098" s="463">
        <v>40896.0</v>
      </c>
      <c r="B1098" s="464">
        <v>84.34</v>
      </c>
    </row>
    <row r="1099">
      <c r="A1099" s="463">
        <v>40897.0</v>
      </c>
      <c r="B1099" s="464">
        <v>85.32</v>
      </c>
    </row>
    <row r="1100">
      <c r="A1100" s="463">
        <v>40898.0</v>
      </c>
      <c r="B1100" s="464">
        <v>76.85</v>
      </c>
    </row>
    <row r="1101">
      <c r="A1101" s="463">
        <v>40899.0</v>
      </c>
      <c r="B1101" s="464">
        <v>81.16</v>
      </c>
    </row>
    <row r="1102">
      <c r="A1102" s="463">
        <v>40900.0</v>
      </c>
      <c r="B1102" s="464">
        <v>83.67</v>
      </c>
    </row>
    <row r="1103">
      <c r="A1103" s="463">
        <v>40904.0</v>
      </c>
      <c r="B1103" s="464">
        <v>85.12</v>
      </c>
    </row>
    <row r="1104">
      <c r="A1104" s="463">
        <v>40905.0</v>
      </c>
      <c r="B1104" s="464">
        <v>83.18</v>
      </c>
    </row>
    <row r="1105">
      <c r="A1105" s="463">
        <v>40906.0</v>
      </c>
      <c r="B1105" s="464">
        <v>84.37</v>
      </c>
    </row>
    <row r="1106">
      <c r="A1106" s="463">
        <v>40907.0</v>
      </c>
      <c r="B1106" s="464">
        <v>83.19</v>
      </c>
    </row>
    <row r="1107">
      <c r="A1107" s="463">
        <v>40911.0</v>
      </c>
      <c r="B1107" s="464">
        <v>82.27</v>
      </c>
    </row>
    <row r="1108">
      <c r="A1108" s="463">
        <v>40912.0</v>
      </c>
      <c r="B1108" s="464">
        <v>81.67</v>
      </c>
    </row>
    <row r="1109">
      <c r="A1109" s="463">
        <v>40913.0</v>
      </c>
      <c r="B1109" s="464">
        <v>82.31</v>
      </c>
    </row>
    <row r="1110">
      <c r="A1110" s="463">
        <v>40914.0</v>
      </c>
      <c r="B1110" s="464">
        <v>83.31</v>
      </c>
    </row>
    <row r="1111">
      <c r="A1111" s="463">
        <v>40917.0</v>
      </c>
      <c r="B1111" s="464">
        <v>84.95</v>
      </c>
    </row>
    <row r="1112">
      <c r="A1112" s="463">
        <v>40918.0</v>
      </c>
      <c r="B1112" s="464">
        <v>85.3</v>
      </c>
    </row>
    <row r="1113">
      <c r="A1113" s="463">
        <v>40919.0</v>
      </c>
      <c r="B1113" s="464">
        <v>87.92</v>
      </c>
    </row>
    <row r="1114">
      <c r="A1114" s="463">
        <v>40920.0</v>
      </c>
      <c r="B1114" s="464">
        <v>87.88</v>
      </c>
    </row>
    <row r="1115">
      <c r="A1115" s="463">
        <v>40921.0</v>
      </c>
      <c r="B1115" s="464">
        <v>85.46</v>
      </c>
    </row>
    <row r="1116">
      <c r="A1116" s="463">
        <v>40925.0</v>
      </c>
      <c r="B1116" s="464">
        <v>84.0</v>
      </c>
    </row>
    <row r="1117">
      <c r="A1117" s="463">
        <v>40926.0</v>
      </c>
      <c r="B1117" s="464">
        <v>85.46</v>
      </c>
    </row>
    <row r="1118">
      <c r="A1118" s="463">
        <v>40927.0</v>
      </c>
      <c r="B1118" s="464">
        <v>87.81</v>
      </c>
    </row>
    <row r="1119">
      <c r="A1119" s="463">
        <v>40928.0</v>
      </c>
      <c r="B1119" s="464">
        <v>88.12</v>
      </c>
    </row>
    <row r="1120">
      <c r="A1120" s="463">
        <v>40931.0</v>
      </c>
      <c r="B1120" s="464">
        <v>86.0</v>
      </c>
    </row>
    <row r="1121">
      <c r="A1121" s="463">
        <v>40932.0</v>
      </c>
      <c r="B1121" s="464">
        <v>92.66</v>
      </c>
    </row>
    <row r="1122">
      <c r="A1122" s="463">
        <v>40933.0</v>
      </c>
      <c r="B1122" s="464">
        <v>92.15</v>
      </c>
    </row>
    <row r="1123">
      <c r="A1123" s="463">
        <v>40934.0</v>
      </c>
      <c r="B1123" s="464">
        <v>91.93</v>
      </c>
    </row>
    <row r="1124">
      <c r="A1124" s="463">
        <v>40935.0</v>
      </c>
      <c r="B1124" s="464">
        <v>92.27</v>
      </c>
    </row>
    <row r="1125">
      <c r="A1125" s="463">
        <v>40938.0</v>
      </c>
      <c r="B1125" s="464">
        <v>91.17</v>
      </c>
    </row>
    <row r="1126">
      <c r="A1126" s="463">
        <v>40939.0</v>
      </c>
      <c r="B1126" s="464">
        <v>91.27</v>
      </c>
    </row>
    <row r="1127">
      <c r="A1127" s="463">
        <v>40940.0</v>
      </c>
      <c r="B1127" s="464">
        <v>93.13</v>
      </c>
    </row>
    <row r="1128">
      <c r="A1128" s="463">
        <v>40941.0</v>
      </c>
      <c r="B1128" s="464">
        <v>93.77</v>
      </c>
    </row>
    <row r="1129">
      <c r="A1129" s="463">
        <v>40942.0</v>
      </c>
      <c r="B1129" s="464">
        <v>95.58</v>
      </c>
    </row>
    <row r="1130">
      <c r="A1130" s="463">
        <v>40945.0</v>
      </c>
      <c r="B1130" s="464">
        <v>94.91</v>
      </c>
    </row>
    <row r="1131">
      <c r="A1131" s="463">
        <v>40946.0</v>
      </c>
      <c r="B1131" s="464">
        <v>95.55</v>
      </c>
    </row>
    <row r="1132">
      <c r="A1132" s="463">
        <v>40947.0</v>
      </c>
      <c r="B1132" s="464">
        <v>94.21</v>
      </c>
    </row>
    <row r="1133">
      <c r="A1133" s="463">
        <v>40948.0</v>
      </c>
      <c r="B1133" s="464">
        <v>95.28</v>
      </c>
    </row>
    <row r="1134">
      <c r="A1134" s="463">
        <v>40949.0</v>
      </c>
      <c r="B1134" s="464">
        <v>94.48</v>
      </c>
    </row>
    <row r="1135">
      <c r="A1135" s="463">
        <v>40952.0</v>
      </c>
      <c r="B1135" s="464">
        <v>96.73</v>
      </c>
    </row>
    <row r="1136">
      <c r="A1136" s="463">
        <v>40953.0</v>
      </c>
      <c r="B1136" s="464">
        <v>97.51</v>
      </c>
    </row>
    <row r="1137">
      <c r="A1137" s="463">
        <v>40954.0</v>
      </c>
      <c r="B1137" s="464">
        <v>97.52</v>
      </c>
    </row>
    <row r="1138">
      <c r="A1138" s="463">
        <v>40955.0</v>
      </c>
      <c r="B1138" s="464">
        <v>99.27</v>
      </c>
    </row>
    <row r="1139">
      <c r="A1139" s="463">
        <v>40956.0</v>
      </c>
      <c r="B1139" s="464">
        <v>99.11</v>
      </c>
    </row>
    <row r="1140">
      <c r="A1140" s="463">
        <v>40960.0</v>
      </c>
      <c r="B1140" s="464">
        <v>98.09</v>
      </c>
    </row>
    <row r="1141">
      <c r="A1141" s="463">
        <v>40961.0</v>
      </c>
      <c r="B1141" s="464">
        <v>98.54</v>
      </c>
    </row>
    <row r="1142">
      <c r="A1142" s="463">
        <v>40962.0</v>
      </c>
      <c r="B1142" s="464">
        <v>99.62</v>
      </c>
    </row>
    <row r="1143">
      <c r="A1143" s="463">
        <v>40963.0</v>
      </c>
      <c r="B1143" s="464">
        <v>100.52</v>
      </c>
    </row>
    <row r="1144">
      <c r="A1144" s="463">
        <v>40966.0</v>
      </c>
      <c r="B1144" s="464">
        <v>100.46</v>
      </c>
    </row>
    <row r="1145">
      <c r="A1145" s="463">
        <v>40967.0</v>
      </c>
      <c r="B1145" s="464">
        <v>100.19</v>
      </c>
    </row>
    <row r="1146">
      <c r="A1146" s="463">
        <v>40968.0</v>
      </c>
      <c r="B1146" s="464">
        <v>98.89</v>
      </c>
    </row>
    <row r="1147">
      <c r="A1147" s="463">
        <v>40969.0</v>
      </c>
      <c r="B1147" s="464">
        <v>101.97</v>
      </c>
    </row>
    <row r="1148">
      <c r="A1148" s="463">
        <v>40970.0</v>
      </c>
      <c r="B1148" s="464">
        <v>100.89</v>
      </c>
    </row>
    <row r="1149">
      <c r="A1149" s="463">
        <v>40973.0</v>
      </c>
      <c r="B1149" s="464">
        <v>99.81</v>
      </c>
    </row>
    <row r="1150">
      <c r="A1150" s="463">
        <v>40974.0</v>
      </c>
      <c r="B1150" s="464">
        <v>98.13</v>
      </c>
    </row>
    <row r="1151">
      <c r="A1151" s="463">
        <v>40975.0</v>
      </c>
      <c r="B1151" s="464">
        <v>100.01</v>
      </c>
    </row>
    <row r="1152">
      <c r="A1152" s="463">
        <v>40976.0</v>
      </c>
      <c r="B1152" s="464">
        <v>100.61</v>
      </c>
    </row>
    <row r="1153">
      <c r="A1153" s="463">
        <v>40977.0</v>
      </c>
      <c r="B1153" s="464">
        <v>100.52</v>
      </c>
    </row>
    <row r="1154">
      <c r="A1154" s="463">
        <v>40980.0</v>
      </c>
      <c r="B1154" s="464">
        <v>99.96</v>
      </c>
    </row>
    <row r="1155">
      <c r="A1155" s="463">
        <v>40981.0</v>
      </c>
      <c r="B1155" s="464">
        <v>105.08</v>
      </c>
    </row>
    <row r="1156">
      <c r="A1156" s="463">
        <v>40982.0</v>
      </c>
      <c r="B1156" s="464">
        <v>105.49</v>
      </c>
    </row>
    <row r="1157">
      <c r="A1157" s="463">
        <v>40983.0</v>
      </c>
      <c r="B1157" s="464">
        <v>108.9</v>
      </c>
    </row>
    <row r="1158">
      <c r="A1158" s="463">
        <v>40984.0</v>
      </c>
      <c r="B1158" s="464">
        <v>107.11</v>
      </c>
    </row>
    <row r="1159">
      <c r="A1159" s="463">
        <v>40987.0</v>
      </c>
      <c r="B1159" s="464">
        <v>106.8</v>
      </c>
    </row>
    <row r="1160">
      <c r="A1160" s="463">
        <v>40988.0</v>
      </c>
      <c r="B1160" s="464">
        <v>106.47</v>
      </c>
    </row>
    <row r="1161">
      <c r="A1161" s="463">
        <v>40989.0</v>
      </c>
      <c r="B1161" s="464">
        <v>109.45</v>
      </c>
    </row>
    <row r="1162">
      <c r="A1162" s="463">
        <v>40990.0</v>
      </c>
      <c r="B1162" s="464">
        <v>108.66</v>
      </c>
    </row>
    <row r="1163">
      <c r="A1163" s="463">
        <v>40991.0</v>
      </c>
      <c r="B1163" s="464">
        <v>108.84</v>
      </c>
    </row>
    <row r="1164">
      <c r="A1164" s="463">
        <v>40994.0</v>
      </c>
      <c r="B1164" s="464">
        <v>110.35</v>
      </c>
    </row>
    <row r="1165">
      <c r="A1165" s="463">
        <v>40995.0</v>
      </c>
      <c r="B1165" s="464">
        <v>108.55</v>
      </c>
    </row>
    <row r="1166">
      <c r="A1166" s="463">
        <v>40996.0</v>
      </c>
      <c r="B1166" s="464">
        <v>108.59</v>
      </c>
    </row>
    <row r="1167">
      <c r="A1167" s="463">
        <v>40997.0</v>
      </c>
      <c r="B1167" s="464">
        <v>112.46</v>
      </c>
    </row>
    <row r="1168">
      <c r="A1168" s="463">
        <v>40998.0</v>
      </c>
      <c r="B1168" s="464">
        <v>112.37</v>
      </c>
    </row>
    <row r="1169">
      <c r="A1169" s="463">
        <v>41001.0</v>
      </c>
      <c r="B1169" s="464">
        <v>114.4</v>
      </c>
    </row>
    <row r="1170">
      <c r="A1170" s="463">
        <v>41002.0</v>
      </c>
      <c r="B1170" s="464">
        <v>114.53</v>
      </c>
    </row>
    <row r="1171">
      <c r="A1171" s="463">
        <v>41003.0</v>
      </c>
      <c r="B1171" s="464">
        <v>112.97</v>
      </c>
    </row>
    <row r="1172">
      <c r="A1172" s="463">
        <v>41004.0</v>
      </c>
      <c r="B1172" s="464">
        <v>113.75</v>
      </c>
    </row>
    <row r="1173">
      <c r="A1173" s="463">
        <v>41008.0</v>
      </c>
      <c r="B1173" s="464">
        <v>112.51</v>
      </c>
    </row>
    <row r="1174">
      <c r="A1174" s="463">
        <v>41009.0</v>
      </c>
      <c r="B1174" s="464">
        <v>110.37</v>
      </c>
    </row>
    <row r="1175">
      <c r="A1175" s="463">
        <v>41010.0</v>
      </c>
      <c r="B1175" s="464">
        <v>107.61</v>
      </c>
    </row>
    <row r="1176">
      <c r="A1176" s="463">
        <v>41011.0</v>
      </c>
      <c r="B1176" s="464">
        <v>109.07</v>
      </c>
    </row>
    <row r="1177">
      <c r="A1177" s="463">
        <v>41012.0</v>
      </c>
      <c r="B1177" s="464">
        <v>112.48</v>
      </c>
    </row>
    <row r="1178">
      <c r="A1178" s="463">
        <v>41015.0</v>
      </c>
      <c r="B1178" s="464">
        <v>109.0</v>
      </c>
    </row>
    <row r="1179">
      <c r="A1179" s="463">
        <v>41016.0</v>
      </c>
      <c r="B1179" s="464">
        <v>110.49</v>
      </c>
    </row>
    <row r="1180">
      <c r="A1180" s="463">
        <v>41017.0</v>
      </c>
      <c r="B1180" s="464">
        <v>111.29</v>
      </c>
    </row>
    <row r="1181">
      <c r="A1181" s="463">
        <v>41018.0</v>
      </c>
      <c r="B1181" s="464">
        <v>113.75</v>
      </c>
    </row>
    <row r="1182">
      <c r="A1182" s="463">
        <v>41019.0</v>
      </c>
      <c r="B1182" s="464">
        <v>111.24</v>
      </c>
    </row>
    <row r="1183">
      <c r="A1183" s="463">
        <v>41022.0</v>
      </c>
      <c r="B1183" s="464">
        <v>107.52</v>
      </c>
    </row>
    <row r="1184">
      <c r="A1184" s="463">
        <v>41023.0</v>
      </c>
      <c r="B1184" s="464">
        <v>103.48</v>
      </c>
    </row>
    <row r="1185">
      <c r="A1185" s="463">
        <v>41024.0</v>
      </c>
      <c r="B1185" s="464">
        <v>106.69</v>
      </c>
    </row>
    <row r="1186">
      <c r="A1186" s="463">
        <v>41025.0</v>
      </c>
      <c r="B1186" s="464">
        <v>110.92</v>
      </c>
    </row>
    <row r="1187">
      <c r="A1187" s="463">
        <v>41026.0</v>
      </c>
      <c r="B1187" s="464">
        <v>112.41</v>
      </c>
    </row>
    <row r="1188">
      <c r="A1188" s="463">
        <v>41029.0</v>
      </c>
      <c r="B1188" s="464">
        <v>111.72</v>
      </c>
    </row>
    <row r="1189">
      <c r="A1189" s="463">
        <v>41030.0</v>
      </c>
      <c r="B1189" s="464">
        <v>112.63</v>
      </c>
    </row>
    <row r="1190">
      <c r="A1190" s="463">
        <v>41031.0</v>
      </c>
      <c r="B1190" s="464">
        <v>114.62</v>
      </c>
    </row>
    <row r="1191">
      <c r="A1191" s="463">
        <v>41032.0</v>
      </c>
      <c r="B1191" s="464">
        <v>112.46</v>
      </c>
    </row>
    <row r="1192">
      <c r="A1192" s="463">
        <v>41033.0</v>
      </c>
      <c r="B1192" s="464">
        <v>108.02</v>
      </c>
    </row>
    <row r="1193">
      <c r="A1193" s="463">
        <v>41036.0</v>
      </c>
      <c r="B1193" s="464">
        <v>107.6</v>
      </c>
    </row>
    <row r="1194">
      <c r="A1194" s="463">
        <v>41037.0</v>
      </c>
      <c r="B1194" s="464">
        <v>105.07</v>
      </c>
    </row>
    <row r="1195">
      <c r="A1195" s="463">
        <v>41038.0</v>
      </c>
      <c r="B1195" s="464">
        <v>105.33</v>
      </c>
    </row>
    <row r="1196">
      <c r="A1196" s="463">
        <v>41039.0</v>
      </c>
      <c r="B1196" s="464">
        <v>101.18</v>
      </c>
    </row>
    <row r="1197">
      <c r="A1197" s="463">
        <v>41040.0</v>
      </c>
      <c r="B1197" s="464">
        <v>102.32</v>
      </c>
    </row>
    <row r="1198">
      <c r="A1198" s="463">
        <v>41043.0</v>
      </c>
      <c r="B1198" s="464">
        <v>100.67</v>
      </c>
    </row>
    <row r="1199">
      <c r="A1199" s="463">
        <v>41044.0</v>
      </c>
      <c r="B1199" s="464">
        <v>101.76</v>
      </c>
    </row>
    <row r="1200">
      <c r="A1200" s="463">
        <v>41045.0</v>
      </c>
      <c r="B1200" s="464">
        <v>99.58</v>
      </c>
    </row>
    <row r="1201">
      <c r="A1201" s="463">
        <v>41046.0</v>
      </c>
      <c r="B1201" s="464">
        <v>98.95</v>
      </c>
    </row>
    <row r="1202">
      <c r="A1202" s="463">
        <v>41047.0</v>
      </c>
      <c r="B1202" s="464">
        <v>97.9</v>
      </c>
    </row>
    <row r="1203">
      <c r="A1203" s="463">
        <v>41050.0</v>
      </c>
      <c r="B1203" s="464">
        <v>101.37</v>
      </c>
    </row>
    <row r="1204">
      <c r="A1204" s="463">
        <v>41051.0</v>
      </c>
      <c r="B1204" s="464">
        <v>100.89</v>
      </c>
    </row>
    <row r="1205">
      <c r="A1205" s="463">
        <v>41052.0</v>
      </c>
      <c r="B1205" s="464">
        <v>101.52</v>
      </c>
    </row>
    <row r="1206">
      <c r="A1206" s="463">
        <v>41053.0</v>
      </c>
      <c r="B1206" s="464">
        <v>95.43</v>
      </c>
    </row>
    <row r="1207">
      <c r="A1207" s="463">
        <v>41054.0</v>
      </c>
      <c r="B1207" s="464">
        <v>94.02</v>
      </c>
    </row>
    <row r="1208">
      <c r="A1208" s="463">
        <v>41058.0</v>
      </c>
      <c r="B1208" s="464">
        <v>94.89</v>
      </c>
    </row>
    <row r="1209">
      <c r="A1209" s="463">
        <v>41059.0</v>
      </c>
      <c r="B1209" s="464">
        <v>94.71</v>
      </c>
    </row>
    <row r="1210">
      <c r="A1210" s="463">
        <v>41060.0</v>
      </c>
      <c r="B1210" s="464">
        <v>93.01</v>
      </c>
    </row>
    <row r="1211">
      <c r="A1211" s="463">
        <v>41061.0</v>
      </c>
      <c r="B1211" s="464">
        <v>89.46</v>
      </c>
    </row>
    <row r="1212">
      <c r="A1212" s="463">
        <v>41064.0</v>
      </c>
      <c r="B1212" s="464">
        <v>88.33</v>
      </c>
    </row>
    <row r="1213">
      <c r="A1213" s="463">
        <v>41065.0</v>
      </c>
      <c r="B1213" s="464">
        <v>90.68</v>
      </c>
    </row>
    <row r="1214">
      <c r="A1214" s="463">
        <v>41066.0</v>
      </c>
      <c r="B1214" s="464">
        <v>93.9</v>
      </c>
    </row>
    <row r="1215">
      <c r="A1215" s="463">
        <v>41067.0</v>
      </c>
      <c r="B1215" s="464">
        <v>92.25</v>
      </c>
    </row>
    <row r="1216">
      <c r="A1216" s="463">
        <v>41068.0</v>
      </c>
      <c r="B1216" s="464">
        <v>93.8</v>
      </c>
    </row>
    <row r="1217">
      <c r="A1217" s="463">
        <v>41071.0</v>
      </c>
      <c r="B1217" s="464">
        <v>90.49</v>
      </c>
    </row>
    <row r="1218">
      <c r="A1218" s="463">
        <v>41072.0</v>
      </c>
      <c r="B1218" s="464">
        <v>90.86</v>
      </c>
    </row>
    <row r="1219">
      <c r="A1219" s="463">
        <v>41073.0</v>
      </c>
      <c r="B1219" s="464">
        <v>88.78</v>
      </c>
    </row>
    <row r="1220">
      <c r="A1220" s="463">
        <v>41074.0</v>
      </c>
      <c r="B1220" s="464">
        <v>88.6</v>
      </c>
    </row>
    <row r="1221">
      <c r="A1221" s="463">
        <v>41075.0</v>
      </c>
      <c r="B1221" s="464">
        <v>91.02</v>
      </c>
    </row>
    <row r="1222">
      <c r="A1222" s="463">
        <v>41078.0</v>
      </c>
      <c r="B1222" s="464">
        <v>92.07</v>
      </c>
    </row>
    <row r="1223">
      <c r="A1223" s="463">
        <v>41079.0</v>
      </c>
      <c r="B1223" s="464">
        <v>93.34</v>
      </c>
    </row>
    <row r="1224">
      <c r="A1224" s="463">
        <v>41080.0</v>
      </c>
      <c r="B1224" s="464">
        <v>93.47</v>
      </c>
    </row>
    <row r="1225">
      <c r="A1225" s="463">
        <v>41081.0</v>
      </c>
      <c r="B1225" s="464">
        <v>88.78</v>
      </c>
    </row>
    <row r="1226">
      <c r="A1226" s="463">
        <v>41082.0</v>
      </c>
      <c r="B1226" s="464">
        <v>92.45</v>
      </c>
    </row>
    <row r="1227">
      <c r="A1227" s="463">
        <v>41085.0</v>
      </c>
      <c r="B1227" s="464">
        <v>88.43</v>
      </c>
    </row>
    <row r="1228">
      <c r="A1228" s="463">
        <v>41086.0</v>
      </c>
      <c r="B1228" s="464">
        <v>88.22</v>
      </c>
    </row>
    <row r="1229">
      <c r="A1229" s="463">
        <v>41087.0</v>
      </c>
      <c r="B1229" s="464">
        <v>88.67</v>
      </c>
    </row>
    <row r="1230">
      <c r="A1230" s="463">
        <v>41088.0</v>
      </c>
      <c r="B1230" s="464">
        <v>84.06</v>
      </c>
    </row>
    <row r="1231">
      <c r="A1231" s="463">
        <v>41089.0</v>
      </c>
      <c r="B1231" s="464">
        <v>91.04</v>
      </c>
    </row>
    <row r="1232">
      <c r="A1232" s="463">
        <v>41092.0</v>
      </c>
      <c r="B1232" s="464">
        <v>90.51</v>
      </c>
    </row>
    <row r="1233">
      <c r="A1233" s="463">
        <v>41093.0</v>
      </c>
      <c r="B1233" s="464">
        <v>91.85</v>
      </c>
    </row>
    <row r="1234">
      <c r="A1234" s="463">
        <v>41095.0</v>
      </c>
      <c r="B1234" s="464">
        <v>90.21</v>
      </c>
    </row>
    <row r="1235">
      <c r="A1235" s="463">
        <v>41096.0</v>
      </c>
      <c r="B1235" s="464">
        <v>83.97</v>
      </c>
    </row>
    <row r="1236">
      <c r="A1236" s="463">
        <v>41099.0</v>
      </c>
      <c r="B1236" s="464">
        <v>83.08</v>
      </c>
    </row>
    <row r="1237">
      <c r="A1237" s="463">
        <v>41100.0</v>
      </c>
      <c r="B1237" s="464">
        <v>82.42</v>
      </c>
    </row>
    <row r="1238">
      <c r="A1238" s="463">
        <v>41101.0</v>
      </c>
      <c r="B1238" s="464">
        <v>81.78</v>
      </c>
    </row>
    <row r="1239">
      <c r="A1239" s="463">
        <v>41102.0</v>
      </c>
      <c r="B1239" s="464">
        <v>83.65</v>
      </c>
    </row>
    <row r="1240">
      <c r="A1240" s="463">
        <v>41103.0</v>
      </c>
      <c r="B1240" s="464">
        <v>85.38</v>
      </c>
    </row>
    <row r="1241">
      <c r="A1241" s="463">
        <v>41106.0</v>
      </c>
      <c r="B1241" s="464">
        <v>84.41</v>
      </c>
    </row>
    <row r="1242">
      <c r="A1242" s="463">
        <v>41107.0</v>
      </c>
      <c r="B1242" s="464">
        <v>80.29</v>
      </c>
    </row>
    <row r="1243">
      <c r="A1243" s="463">
        <v>41108.0</v>
      </c>
      <c r="B1243" s="464">
        <v>89.98</v>
      </c>
    </row>
    <row r="1244">
      <c r="A1244" s="463">
        <v>41109.0</v>
      </c>
      <c r="B1244" s="464">
        <v>92.76</v>
      </c>
    </row>
    <row r="1245">
      <c r="A1245" s="463">
        <v>41110.0</v>
      </c>
      <c r="B1245" s="464">
        <v>89.8</v>
      </c>
    </row>
    <row r="1246">
      <c r="A1246" s="463">
        <v>41113.0</v>
      </c>
      <c r="B1246" s="464">
        <v>89.23</v>
      </c>
    </row>
    <row r="1247">
      <c r="A1247" s="463">
        <v>41114.0</v>
      </c>
      <c r="B1247" s="464">
        <v>88.89</v>
      </c>
    </row>
    <row r="1248">
      <c r="A1248" s="463">
        <v>41115.0</v>
      </c>
      <c r="B1248" s="464">
        <v>87.69</v>
      </c>
    </row>
    <row r="1249">
      <c r="A1249" s="463">
        <v>41116.0</v>
      </c>
      <c r="B1249" s="464">
        <v>92.41</v>
      </c>
    </row>
    <row r="1250">
      <c r="A1250" s="463">
        <v>41117.0</v>
      </c>
      <c r="B1250" s="464">
        <v>95.7</v>
      </c>
    </row>
    <row r="1251">
      <c r="A1251" s="463">
        <v>41120.0</v>
      </c>
      <c r="B1251" s="464">
        <v>92.37</v>
      </c>
    </row>
    <row r="1252">
      <c r="A1252" s="463">
        <v>41121.0</v>
      </c>
      <c r="B1252" s="464">
        <v>90.76</v>
      </c>
    </row>
    <row r="1253">
      <c r="A1253" s="463">
        <v>41122.0</v>
      </c>
      <c r="B1253" s="464">
        <v>89.0</v>
      </c>
    </row>
    <row r="1254">
      <c r="A1254" s="463">
        <v>41123.0</v>
      </c>
      <c r="B1254" s="464">
        <v>87.59</v>
      </c>
    </row>
    <row r="1255">
      <c r="A1255" s="463">
        <v>41124.0</v>
      </c>
      <c r="B1255" s="464">
        <v>93.05</v>
      </c>
    </row>
    <row r="1256">
      <c r="A1256" s="463">
        <v>41127.0</v>
      </c>
      <c r="B1256" s="464">
        <v>93.14</v>
      </c>
    </row>
    <row r="1257">
      <c r="A1257" s="463">
        <v>41128.0</v>
      </c>
      <c r="B1257" s="464">
        <v>94.42</v>
      </c>
    </row>
    <row r="1258">
      <c r="A1258" s="463">
        <v>41129.0</v>
      </c>
      <c r="B1258" s="464">
        <v>93.57</v>
      </c>
    </row>
    <row r="1259">
      <c r="A1259" s="463">
        <v>41130.0</v>
      </c>
      <c r="B1259" s="464">
        <v>97.74</v>
      </c>
    </row>
    <row r="1260">
      <c r="A1260" s="463">
        <v>41131.0</v>
      </c>
      <c r="B1260" s="464">
        <v>97.41</v>
      </c>
    </row>
    <row r="1261">
      <c r="A1261" s="463">
        <v>41134.0</v>
      </c>
      <c r="B1261" s="464">
        <v>96.36</v>
      </c>
    </row>
    <row r="1262">
      <c r="A1262" s="463">
        <v>41135.0</v>
      </c>
      <c r="B1262" s="464">
        <v>94.07</v>
      </c>
    </row>
    <row r="1263">
      <c r="A1263" s="463">
        <v>41136.0</v>
      </c>
      <c r="B1263" s="464">
        <v>94.6</v>
      </c>
    </row>
    <row r="1264">
      <c r="A1264" s="463">
        <v>41137.0</v>
      </c>
      <c r="B1264" s="464">
        <v>98.05</v>
      </c>
    </row>
    <row r="1265">
      <c r="A1265" s="463">
        <v>41138.0</v>
      </c>
      <c r="B1265" s="464">
        <v>97.76</v>
      </c>
    </row>
    <row r="1266">
      <c r="A1266" s="463">
        <v>41141.0</v>
      </c>
      <c r="B1266" s="464">
        <v>96.12</v>
      </c>
    </row>
    <row r="1267">
      <c r="A1267" s="463">
        <v>41142.0</v>
      </c>
      <c r="B1267" s="464">
        <v>95.15</v>
      </c>
    </row>
    <row r="1268">
      <c r="A1268" s="463">
        <v>41143.0</v>
      </c>
      <c r="B1268" s="464">
        <v>95.07</v>
      </c>
    </row>
    <row r="1269">
      <c r="A1269" s="463">
        <v>41144.0</v>
      </c>
      <c r="B1269" s="464">
        <v>91.24</v>
      </c>
    </row>
    <row r="1270">
      <c r="A1270" s="463">
        <v>41145.0</v>
      </c>
      <c r="B1270" s="464">
        <v>92.21</v>
      </c>
    </row>
    <row r="1271">
      <c r="A1271" s="463">
        <v>41148.0</v>
      </c>
      <c r="B1271" s="464">
        <v>92.32</v>
      </c>
    </row>
    <row r="1272">
      <c r="A1272" s="463">
        <v>41149.0</v>
      </c>
      <c r="B1272" s="464">
        <v>90.82</v>
      </c>
    </row>
    <row r="1273">
      <c r="A1273" s="463">
        <v>41150.0</v>
      </c>
      <c r="B1273" s="464">
        <v>90.62</v>
      </c>
    </row>
    <row r="1274">
      <c r="A1274" s="463">
        <v>41151.0</v>
      </c>
      <c r="B1274" s="464">
        <v>88.51</v>
      </c>
    </row>
    <row r="1275">
      <c r="A1275" s="463">
        <v>41152.0</v>
      </c>
      <c r="B1275" s="464">
        <v>89.04</v>
      </c>
    </row>
    <row r="1276">
      <c r="A1276" s="463">
        <v>41156.0</v>
      </c>
      <c r="B1276" s="464">
        <v>87.94</v>
      </c>
    </row>
    <row r="1277">
      <c r="A1277" s="463">
        <v>41157.0</v>
      </c>
      <c r="B1277" s="464">
        <v>89.09</v>
      </c>
    </row>
    <row r="1278">
      <c r="A1278" s="463">
        <v>41158.0</v>
      </c>
      <c r="B1278" s="464">
        <v>94.02</v>
      </c>
    </row>
    <row r="1279">
      <c r="A1279" s="463">
        <v>41159.0</v>
      </c>
      <c r="B1279" s="464">
        <v>94.29</v>
      </c>
    </row>
    <row r="1280">
      <c r="A1280" s="463">
        <v>41162.0</v>
      </c>
      <c r="B1280" s="464">
        <v>93.75</v>
      </c>
    </row>
    <row r="1281">
      <c r="A1281" s="463">
        <v>41163.0</v>
      </c>
      <c r="B1281" s="464">
        <v>96.48</v>
      </c>
    </row>
    <row r="1282">
      <c r="A1282" s="463">
        <v>41164.0</v>
      </c>
      <c r="B1282" s="464">
        <v>97.6</v>
      </c>
    </row>
    <row r="1283">
      <c r="A1283" s="463">
        <v>41165.0</v>
      </c>
      <c r="B1283" s="464">
        <v>99.31</v>
      </c>
    </row>
    <row r="1284">
      <c r="A1284" s="463">
        <v>41166.0</v>
      </c>
      <c r="B1284" s="464">
        <v>102.27</v>
      </c>
    </row>
    <row r="1285">
      <c r="A1285" s="463">
        <v>41169.0</v>
      </c>
      <c r="B1285" s="464">
        <v>100.54</v>
      </c>
    </row>
    <row r="1286">
      <c r="A1286" s="463">
        <v>41170.0</v>
      </c>
      <c r="B1286" s="464">
        <v>99.55</v>
      </c>
    </row>
    <row r="1287">
      <c r="A1287" s="463">
        <v>41171.0</v>
      </c>
      <c r="B1287" s="464">
        <v>99.25</v>
      </c>
    </row>
    <row r="1288">
      <c r="A1288" s="463">
        <v>41172.0</v>
      </c>
      <c r="B1288" s="464">
        <v>99.75</v>
      </c>
    </row>
    <row r="1289">
      <c r="A1289" s="463">
        <v>41173.0</v>
      </c>
      <c r="B1289" s="464">
        <v>100.68</v>
      </c>
    </row>
    <row r="1290">
      <c r="A1290" s="463">
        <v>41176.0</v>
      </c>
      <c r="B1290" s="464">
        <v>97.29</v>
      </c>
    </row>
    <row r="1291">
      <c r="A1291" s="463">
        <v>41177.0</v>
      </c>
      <c r="B1291" s="464">
        <v>96.15</v>
      </c>
    </row>
    <row r="1292">
      <c r="A1292" s="463">
        <v>41178.0</v>
      </c>
      <c r="B1292" s="464">
        <v>94.21</v>
      </c>
    </row>
    <row r="1293">
      <c r="A1293" s="463">
        <v>41179.0</v>
      </c>
      <c r="B1293" s="464">
        <v>97.18</v>
      </c>
    </row>
    <row r="1294">
      <c r="A1294" s="463">
        <v>41180.0</v>
      </c>
      <c r="B1294" s="464">
        <v>96.74</v>
      </c>
    </row>
    <row r="1295">
      <c r="A1295" s="463">
        <v>41183.0</v>
      </c>
      <c r="B1295" s="464">
        <v>93.49</v>
      </c>
    </row>
    <row r="1296">
      <c r="A1296" s="463">
        <v>41184.0</v>
      </c>
      <c r="B1296" s="464">
        <v>95.19</v>
      </c>
    </row>
    <row r="1297">
      <c r="A1297" s="463">
        <v>41185.0</v>
      </c>
      <c r="B1297" s="464">
        <v>96.62</v>
      </c>
    </row>
    <row r="1298">
      <c r="A1298" s="463">
        <v>41186.0</v>
      </c>
      <c r="B1298" s="464">
        <v>97.33</v>
      </c>
    </row>
    <row r="1299">
      <c r="A1299" s="463">
        <v>41187.0</v>
      </c>
      <c r="B1299" s="464">
        <v>97.33</v>
      </c>
    </row>
    <row r="1300">
      <c r="A1300" s="463">
        <v>41190.0</v>
      </c>
      <c r="B1300" s="464">
        <v>96.41</v>
      </c>
    </row>
    <row r="1301">
      <c r="A1301" s="463">
        <v>41191.0</v>
      </c>
      <c r="B1301" s="464">
        <v>91.08</v>
      </c>
    </row>
    <row r="1302">
      <c r="A1302" s="463">
        <v>41192.0</v>
      </c>
      <c r="B1302" s="464">
        <v>90.32</v>
      </c>
    </row>
    <row r="1303">
      <c r="A1303" s="463">
        <v>41193.0</v>
      </c>
      <c r="B1303" s="464">
        <v>88.99</v>
      </c>
    </row>
    <row r="1304">
      <c r="A1304" s="463">
        <v>41194.0</v>
      </c>
      <c r="B1304" s="464">
        <v>87.3</v>
      </c>
    </row>
    <row r="1305">
      <c r="A1305" s="463">
        <v>41197.0</v>
      </c>
      <c r="B1305" s="464">
        <v>87.93</v>
      </c>
    </row>
    <row r="1306">
      <c r="A1306" s="463">
        <v>41198.0</v>
      </c>
      <c r="B1306" s="464">
        <v>90.76</v>
      </c>
    </row>
    <row r="1307">
      <c r="A1307" s="463">
        <v>41199.0</v>
      </c>
      <c r="B1307" s="464">
        <v>87.29</v>
      </c>
    </row>
    <row r="1308">
      <c r="A1308" s="463">
        <v>41200.0</v>
      </c>
      <c r="B1308" s="464">
        <v>85.56</v>
      </c>
    </row>
    <row r="1309">
      <c r="A1309" s="463">
        <v>41201.0</v>
      </c>
      <c r="B1309" s="464">
        <v>83.65</v>
      </c>
    </row>
    <row r="1310">
      <c r="A1310" s="463">
        <v>41204.0</v>
      </c>
      <c r="B1310" s="464">
        <v>83.36</v>
      </c>
    </row>
    <row r="1311">
      <c r="A1311" s="463">
        <v>41205.0</v>
      </c>
      <c r="B1311" s="464">
        <v>83.72</v>
      </c>
    </row>
    <row r="1312">
      <c r="A1312" s="463">
        <v>41206.0</v>
      </c>
      <c r="B1312" s="464">
        <v>85.67</v>
      </c>
    </row>
    <row r="1313">
      <c r="A1313" s="463">
        <v>41207.0</v>
      </c>
      <c r="B1313" s="464">
        <v>86.36</v>
      </c>
    </row>
    <row r="1314">
      <c r="A1314" s="463">
        <v>41208.0</v>
      </c>
      <c r="B1314" s="464">
        <v>85.01</v>
      </c>
    </row>
    <row r="1315">
      <c r="A1315" s="463">
        <v>41213.0</v>
      </c>
      <c r="B1315" s="464">
        <v>84.77</v>
      </c>
    </row>
    <row r="1316">
      <c r="A1316" s="463">
        <v>41214.0</v>
      </c>
      <c r="B1316" s="464">
        <v>88.02</v>
      </c>
    </row>
    <row r="1317">
      <c r="A1317" s="463">
        <v>41215.0</v>
      </c>
      <c r="B1317" s="464">
        <v>88.74</v>
      </c>
    </row>
    <row r="1318">
      <c r="A1318" s="463">
        <v>41218.0</v>
      </c>
      <c r="B1318" s="464">
        <v>89.62</v>
      </c>
    </row>
    <row r="1319">
      <c r="A1319" s="463">
        <v>41219.0</v>
      </c>
      <c r="B1319" s="464">
        <v>92.91</v>
      </c>
    </row>
    <row r="1320">
      <c r="A1320" s="463">
        <v>41220.0</v>
      </c>
      <c r="B1320" s="464">
        <v>90.19</v>
      </c>
    </row>
    <row r="1321">
      <c r="A1321" s="463">
        <v>41221.0</v>
      </c>
      <c r="B1321" s="464">
        <v>87.76</v>
      </c>
    </row>
    <row r="1322">
      <c r="A1322" s="463">
        <v>41222.0</v>
      </c>
      <c r="B1322" s="464">
        <v>87.59</v>
      </c>
    </row>
    <row r="1323">
      <c r="A1323" s="463">
        <v>41225.0</v>
      </c>
      <c r="B1323" s="464">
        <v>87.12</v>
      </c>
    </row>
    <row r="1324">
      <c r="A1324" s="463">
        <v>41226.0</v>
      </c>
      <c r="B1324" s="464">
        <v>86.6</v>
      </c>
    </row>
    <row r="1325">
      <c r="A1325" s="463">
        <v>41227.0</v>
      </c>
      <c r="B1325" s="464">
        <v>84.86</v>
      </c>
    </row>
    <row r="1326">
      <c r="A1326" s="463">
        <v>41228.0</v>
      </c>
      <c r="B1326" s="464">
        <v>84.77</v>
      </c>
    </row>
    <row r="1327">
      <c r="A1327" s="463">
        <v>41229.0</v>
      </c>
      <c r="B1327" s="464">
        <v>85.81</v>
      </c>
    </row>
    <row r="1328">
      <c r="A1328" s="463">
        <v>41232.0</v>
      </c>
      <c r="B1328" s="464">
        <v>86.45</v>
      </c>
    </row>
    <row r="1329">
      <c r="A1329" s="463">
        <v>41233.0</v>
      </c>
      <c r="B1329" s="464">
        <v>86.01</v>
      </c>
    </row>
    <row r="1330">
      <c r="A1330" s="463">
        <v>41234.0</v>
      </c>
      <c r="B1330" s="464">
        <v>88.06</v>
      </c>
    </row>
    <row r="1331">
      <c r="A1331" s="463">
        <v>41236.0</v>
      </c>
      <c r="B1331" s="464">
        <v>89.71</v>
      </c>
    </row>
    <row r="1332">
      <c r="A1332" s="463">
        <v>41239.0</v>
      </c>
      <c r="B1332" s="464">
        <v>90.3</v>
      </c>
    </row>
    <row r="1333">
      <c r="A1333" s="463">
        <v>41240.0</v>
      </c>
      <c r="B1333" s="464">
        <v>89.56</v>
      </c>
    </row>
    <row r="1334">
      <c r="A1334" s="463">
        <v>41241.0</v>
      </c>
      <c r="B1334" s="464">
        <v>92.68</v>
      </c>
    </row>
    <row r="1335">
      <c r="A1335" s="463">
        <v>41242.0</v>
      </c>
      <c r="B1335" s="464">
        <v>91.71</v>
      </c>
    </row>
    <row r="1336">
      <c r="A1336" s="463">
        <v>41243.0</v>
      </c>
      <c r="B1336" s="464">
        <v>90.95</v>
      </c>
    </row>
    <row r="1337">
      <c r="A1337" s="463">
        <v>41246.0</v>
      </c>
      <c r="B1337" s="464">
        <v>91.78</v>
      </c>
    </row>
    <row r="1338">
      <c r="A1338" s="463">
        <v>41247.0</v>
      </c>
      <c r="B1338" s="464">
        <v>91.47</v>
      </c>
    </row>
    <row r="1339">
      <c r="A1339" s="463">
        <v>41248.0</v>
      </c>
      <c r="B1339" s="464">
        <v>90.34</v>
      </c>
    </row>
    <row r="1340">
      <c r="A1340" s="463">
        <v>41249.0</v>
      </c>
      <c r="B1340" s="464">
        <v>91.77</v>
      </c>
    </row>
    <row r="1341">
      <c r="A1341" s="463">
        <v>41250.0</v>
      </c>
      <c r="B1341" s="464">
        <v>91.8</v>
      </c>
    </row>
    <row r="1342">
      <c r="A1342" s="463">
        <v>41253.0</v>
      </c>
      <c r="B1342" s="464">
        <v>92.6</v>
      </c>
    </row>
    <row r="1343">
      <c r="A1343" s="463">
        <v>41254.0</v>
      </c>
      <c r="B1343" s="464">
        <v>94.28</v>
      </c>
    </row>
    <row r="1344">
      <c r="A1344" s="463">
        <v>41255.0</v>
      </c>
      <c r="B1344" s="464">
        <v>91.75</v>
      </c>
    </row>
    <row r="1345">
      <c r="A1345" s="463">
        <v>41256.0</v>
      </c>
      <c r="B1345" s="464">
        <v>91.15</v>
      </c>
    </row>
    <row r="1346">
      <c r="A1346" s="463">
        <v>41257.0</v>
      </c>
      <c r="B1346" s="464">
        <v>92.51</v>
      </c>
    </row>
    <row r="1347">
      <c r="A1347" s="463">
        <v>41260.0</v>
      </c>
      <c r="B1347" s="464">
        <v>94.24</v>
      </c>
    </row>
    <row r="1348">
      <c r="A1348" s="463">
        <v>41261.0</v>
      </c>
      <c r="B1348" s="464">
        <v>95.5</v>
      </c>
    </row>
    <row r="1349">
      <c r="A1349" s="463">
        <v>41262.0</v>
      </c>
      <c r="B1349" s="464">
        <v>96.82</v>
      </c>
    </row>
    <row r="1350">
      <c r="A1350" s="463">
        <v>41263.0</v>
      </c>
      <c r="B1350" s="464">
        <v>96.61</v>
      </c>
    </row>
    <row r="1351">
      <c r="A1351" s="463">
        <v>41264.0</v>
      </c>
      <c r="B1351" s="464">
        <v>95.51</v>
      </c>
    </row>
    <row r="1352">
      <c r="A1352" s="463">
        <v>41267.0</v>
      </c>
      <c r="B1352" s="464">
        <v>95.83</v>
      </c>
    </row>
    <row r="1353">
      <c r="A1353" s="463">
        <v>41269.0</v>
      </c>
      <c r="B1353" s="464">
        <v>94.83</v>
      </c>
    </row>
    <row r="1354">
      <c r="A1354" s="463">
        <v>41270.0</v>
      </c>
      <c r="B1354" s="464">
        <v>94.61</v>
      </c>
    </row>
    <row r="1355">
      <c r="A1355" s="463">
        <v>41271.0</v>
      </c>
      <c r="B1355" s="464">
        <v>92.85</v>
      </c>
    </row>
    <row r="1356">
      <c r="A1356" s="463">
        <v>41274.0</v>
      </c>
      <c r="B1356" s="464">
        <v>94.14</v>
      </c>
    </row>
    <row r="1357">
      <c r="A1357" s="463">
        <v>41276.0</v>
      </c>
      <c r="B1357" s="464">
        <v>94.93</v>
      </c>
    </row>
    <row r="1358">
      <c r="A1358" s="463">
        <v>41277.0</v>
      </c>
      <c r="B1358" s="464">
        <v>91.94</v>
      </c>
    </row>
    <row r="1359">
      <c r="A1359" s="463">
        <v>41278.0</v>
      </c>
      <c r="B1359" s="464">
        <v>93.21</v>
      </c>
    </row>
    <row r="1360">
      <c r="A1360" s="463">
        <v>41281.0</v>
      </c>
      <c r="B1360" s="464">
        <v>92.02</v>
      </c>
    </row>
    <row r="1361">
      <c r="A1361" s="463">
        <v>41282.0</v>
      </c>
      <c r="B1361" s="464">
        <v>92.75</v>
      </c>
    </row>
    <row r="1362">
      <c r="A1362" s="463">
        <v>41283.0</v>
      </c>
      <c r="B1362" s="464">
        <v>94.87</v>
      </c>
    </row>
    <row r="1363">
      <c r="A1363" s="463">
        <v>41284.0</v>
      </c>
      <c r="B1363" s="464">
        <v>95.94</v>
      </c>
    </row>
    <row r="1364">
      <c r="A1364" s="463">
        <v>41285.0</v>
      </c>
      <c r="B1364" s="464">
        <v>95.62</v>
      </c>
    </row>
    <row r="1365">
      <c r="A1365" s="463">
        <v>41288.0</v>
      </c>
      <c r="B1365" s="464">
        <v>97.11</v>
      </c>
    </row>
    <row r="1366">
      <c r="A1366" s="463">
        <v>41289.0</v>
      </c>
      <c r="B1366" s="464">
        <v>97.71</v>
      </c>
    </row>
    <row r="1367">
      <c r="A1367" s="463">
        <v>41290.0</v>
      </c>
      <c r="B1367" s="464">
        <v>95.25</v>
      </c>
    </row>
    <row r="1368">
      <c r="A1368" s="463">
        <v>41291.0</v>
      </c>
      <c r="B1368" s="464">
        <v>95.36</v>
      </c>
    </row>
    <row r="1369">
      <c r="A1369" s="463">
        <v>41292.0</v>
      </c>
      <c r="B1369" s="464">
        <v>93.81</v>
      </c>
    </row>
    <row r="1370">
      <c r="A1370" s="463">
        <v>41296.0</v>
      </c>
      <c r="B1370" s="464">
        <v>92.78</v>
      </c>
    </row>
    <row r="1371">
      <c r="A1371" s="463">
        <v>41297.0</v>
      </c>
      <c r="B1371" s="464">
        <v>94.42</v>
      </c>
    </row>
    <row r="1372">
      <c r="A1372" s="463">
        <v>41298.0</v>
      </c>
      <c r="B1372" s="464">
        <v>95.7</v>
      </c>
    </row>
    <row r="1373">
      <c r="A1373" s="463">
        <v>41299.0</v>
      </c>
      <c r="B1373" s="464">
        <v>99.0</v>
      </c>
    </row>
    <row r="1374">
      <c r="A1374" s="463">
        <v>41302.0</v>
      </c>
      <c r="B1374" s="464">
        <v>98.32</v>
      </c>
    </row>
    <row r="1375">
      <c r="A1375" s="463">
        <v>41303.0</v>
      </c>
      <c r="B1375" s="464">
        <v>77.14</v>
      </c>
    </row>
    <row r="1376">
      <c r="A1376" s="463">
        <v>41304.0</v>
      </c>
      <c r="B1376" s="464">
        <v>77.65</v>
      </c>
    </row>
    <row r="1377">
      <c r="A1377" s="463">
        <v>41305.0</v>
      </c>
      <c r="B1377" s="464">
        <v>76.48</v>
      </c>
    </row>
    <row r="1378">
      <c r="A1378" s="463">
        <v>41306.0</v>
      </c>
      <c r="B1378" s="464">
        <v>78.79</v>
      </c>
    </row>
    <row r="1379">
      <c r="A1379" s="463">
        <v>41309.0</v>
      </c>
      <c r="B1379" s="464">
        <v>77.95</v>
      </c>
    </row>
    <row r="1380">
      <c r="A1380" s="463">
        <v>41310.0</v>
      </c>
      <c r="B1380" s="464">
        <v>78.34</v>
      </c>
    </row>
    <row r="1381">
      <c r="A1381" s="463">
        <v>41311.0</v>
      </c>
      <c r="B1381" s="464">
        <v>78.9</v>
      </c>
    </row>
    <row r="1382">
      <c r="A1382" s="463">
        <v>41312.0</v>
      </c>
      <c r="B1382" s="464">
        <v>79.05</v>
      </c>
    </row>
    <row r="1383">
      <c r="A1383" s="463">
        <v>41313.0</v>
      </c>
      <c r="B1383" s="464">
        <v>79.19</v>
      </c>
    </row>
    <row r="1384">
      <c r="A1384" s="463">
        <v>41316.0</v>
      </c>
      <c r="B1384" s="464">
        <v>77.04</v>
      </c>
    </row>
    <row r="1385">
      <c r="A1385" s="463">
        <v>41317.0</v>
      </c>
      <c r="B1385" s="464">
        <v>76.7</v>
      </c>
    </row>
    <row r="1386">
      <c r="A1386" s="463">
        <v>41318.0</v>
      </c>
      <c r="B1386" s="464">
        <v>74.28</v>
      </c>
    </row>
    <row r="1387">
      <c r="A1387" s="463">
        <v>41319.0</v>
      </c>
      <c r="B1387" s="464">
        <v>73.38</v>
      </c>
    </row>
    <row r="1388">
      <c r="A1388" s="463">
        <v>41320.0</v>
      </c>
      <c r="B1388" s="464">
        <v>74.95</v>
      </c>
    </row>
    <row r="1389">
      <c r="A1389" s="463">
        <v>41324.0</v>
      </c>
      <c r="B1389" s="464">
        <v>73.66</v>
      </c>
    </row>
    <row r="1390">
      <c r="A1390" s="463">
        <v>41325.0</v>
      </c>
      <c r="B1390" s="464">
        <v>71.34</v>
      </c>
    </row>
    <row r="1391">
      <c r="A1391" s="463">
        <v>41326.0</v>
      </c>
      <c r="B1391" s="464">
        <v>71.25</v>
      </c>
    </row>
    <row r="1392">
      <c r="A1392" s="463">
        <v>41327.0</v>
      </c>
      <c r="B1392" s="464">
        <v>72.38</v>
      </c>
    </row>
    <row r="1393">
      <c r="A1393" s="463">
        <v>41330.0</v>
      </c>
      <c r="B1393" s="464">
        <v>70.37</v>
      </c>
    </row>
    <row r="1394">
      <c r="A1394" s="463">
        <v>41331.0</v>
      </c>
      <c r="B1394" s="464">
        <v>71.79</v>
      </c>
    </row>
    <row r="1395">
      <c r="A1395" s="463">
        <v>41332.0</v>
      </c>
      <c r="B1395" s="464">
        <v>72.82</v>
      </c>
    </row>
    <row r="1396">
      <c r="A1396" s="463">
        <v>41333.0</v>
      </c>
      <c r="B1396" s="464">
        <v>71.83</v>
      </c>
    </row>
    <row r="1397">
      <c r="A1397" s="463">
        <v>41334.0</v>
      </c>
      <c r="B1397" s="464">
        <v>73.55</v>
      </c>
    </row>
    <row r="1398">
      <c r="A1398" s="463">
        <v>41337.0</v>
      </c>
      <c r="B1398" s="464">
        <v>73.57</v>
      </c>
    </row>
    <row r="1399">
      <c r="A1399" s="463">
        <v>41338.0</v>
      </c>
      <c r="B1399" s="464">
        <v>74.87</v>
      </c>
    </row>
    <row r="1400">
      <c r="A1400" s="463">
        <v>41339.0</v>
      </c>
      <c r="B1400" s="464">
        <v>74.31</v>
      </c>
    </row>
    <row r="1401">
      <c r="A1401" s="463">
        <v>41340.0</v>
      </c>
      <c r="B1401" s="464">
        <v>73.88</v>
      </c>
    </row>
    <row r="1402">
      <c r="A1402" s="463">
        <v>41341.0</v>
      </c>
      <c r="B1402" s="464">
        <v>74.56</v>
      </c>
    </row>
    <row r="1403">
      <c r="A1403" s="463">
        <v>41344.0</v>
      </c>
      <c r="B1403" s="464">
        <v>75.4</v>
      </c>
    </row>
    <row r="1404">
      <c r="A1404" s="463">
        <v>41345.0</v>
      </c>
      <c r="B1404" s="464">
        <v>75.29</v>
      </c>
    </row>
    <row r="1405">
      <c r="A1405" s="463">
        <v>41346.0</v>
      </c>
      <c r="B1405" s="464">
        <v>81.37</v>
      </c>
    </row>
    <row r="1406">
      <c r="A1406" s="463">
        <v>41347.0</v>
      </c>
      <c r="B1406" s="464">
        <v>85.1</v>
      </c>
    </row>
    <row r="1407">
      <c r="A1407" s="463">
        <v>41348.0</v>
      </c>
      <c r="B1407" s="464">
        <v>83.85</v>
      </c>
    </row>
    <row r="1408">
      <c r="A1408" s="463">
        <v>41351.0</v>
      </c>
      <c r="B1408" s="464">
        <v>82.77</v>
      </c>
    </row>
    <row r="1409">
      <c r="A1409" s="463">
        <v>41352.0</v>
      </c>
      <c r="B1409" s="464">
        <v>80.67</v>
      </c>
    </row>
    <row r="1410">
      <c r="A1410" s="463">
        <v>41353.0</v>
      </c>
      <c r="B1410" s="464">
        <v>81.31</v>
      </c>
    </row>
    <row r="1411">
      <c r="A1411" s="463">
        <v>41354.0</v>
      </c>
      <c r="B1411" s="464">
        <v>81.05</v>
      </c>
    </row>
    <row r="1412">
      <c r="A1412" s="463">
        <v>41355.0</v>
      </c>
      <c r="B1412" s="464">
        <v>80.15</v>
      </c>
    </row>
    <row r="1413">
      <c r="A1413" s="463">
        <v>41358.0</v>
      </c>
      <c r="B1413" s="464">
        <v>76.5</v>
      </c>
    </row>
    <row r="1414">
      <c r="A1414" s="463">
        <v>41359.0</v>
      </c>
      <c r="B1414" s="464">
        <v>76.09</v>
      </c>
    </row>
    <row r="1415">
      <c r="A1415" s="463">
        <v>41360.0</v>
      </c>
      <c r="B1415" s="464">
        <v>78.56</v>
      </c>
    </row>
    <row r="1416">
      <c r="A1416" s="463">
        <v>41361.0</v>
      </c>
      <c r="B1416" s="464">
        <v>78.88</v>
      </c>
    </row>
    <row r="1417">
      <c r="A1417" s="463">
        <v>41365.0</v>
      </c>
      <c r="B1417" s="464">
        <v>78.12</v>
      </c>
    </row>
    <row r="1418">
      <c r="A1418" s="463">
        <v>41366.0</v>
      </c>
      <c r="B1418" s="464">
        <v>77.65</v>
      </c>
    </row>
    <row r="1419">
      <c r="A1419" s="463">
        <v>41367.0</v>
      </c>
      <c r="B1419" s="464">
        <v>76.13</v>
      </c>
    </row>
    <row r="1420">
      <c r="A1420" s="463">
        <v>41368.0</v>
      </c>
      <c r="B1420" s="464">
        <v>76.67</v>
      </c>
    </row>
    <row r="1421">
      <c r="A1421" s="463">
        <v>41369.0</v>
      </c>
      <c r="B1421" s="464">
        <v>76.91</v>
      </c>
    </row>
    <row r="1422">
      <c r="A1422" s="463">
        <v>41372.0</v>
      </c>
      <c r="B1422" s="464">
        <v>76.36</v>
      </c>
    </row>
    <row r="1423">
      <c r="A1423" s="463">
        <v>41373.0</v>
      </c>
      <c r="B1423" s="464">
        <v>76.73</v>
      </c>
    </row>
    <row r="1424">
      <c r="A1424" s="463">
        <v>41374.0</v>
      </c>
      <c r="B1424" s="464">
        <v>77.95</v>
      </c>
    </row>
    <row r="1425">
      <c r="A1425" s="463">
        <v>41375.0</v>
      </c>
      <c r="B1425" s="464">
        <v>77.18</v>
      </c>
    </row>
    <row r="1426">
      <c r="A1426" s="463">
        <v>41376.0</v>
      </c>
      <c r="B1426" s="464">
        <v>76.67</v>
      </c>
    </row>
    <row r="1427">
      <c r="A1427" s="463">
        <v>41379.0</v>
      </c>
      <c r="B1427" s="464">
        <v>76.71</v>
      </c>
    </row>
    <row r="1428">
      <c r="A1428" s="463">
        <v>41380.0</v>
      </c>
      <c r="B1428" s="464">
        <v>78.45</v>
      </c>
    </row>
    <row r="1429">
      <c r="A1429" s="463">
        <v>41381.0</v>
      </c>
      <c r="B1429" s="464">
        <v>76.54</v>
      </c>
    </row>
    <row r="1430">
      <c r="A1430" s="463">
        <v>41382.0</v>
      </c>
      <c r="B1430" s="464">
        <v>74.39</v>
      </c>
    </row>
    <row r="1431">
      <c r="A1431" s="463">
        <v>41383.0</v>
      </c>
      <c r="B1431" s="464">
        <v>72.46</v>
      </c>
    </row>
    <row r="1432">
      <c r="A1432" s="463">
        <v>41386.0</v>
      </c>
      <c r="B1432" s="464">
        <v>73.79</v>
      </c>
    </row>
    <row r="1433">
      <c r="A1433" s="463">
        <v>41387.0</v>
      </c>
      <c r="B1433" s="464">
        <v>75.7</v>
      </c>
    </row>
    <row r="1434">
      <c r="A1434" s="463">
        <v>41388.0</v>
      </c>
      <c r="B1434" s="464">
        <v>71.23</v>
      </c>
    </row>
    <row r="1435">
      <c r="A1435" s="463">
        <v>41389.0</v>
      </c>
      <c r="B1435" s="464">
        <v>72.07</v>
      </c>
    </row>
    <row r="1436">
      <c r="A1436" s="463">
        <v>41390.0</v>
      </c>
      <c r="B1436" s="464">
        <v>71.46</v>
      </c>
    </row>
    <row r="1437">
      <c r="A1437" s="463">
        <v>41393.0</v>
      </c>
      <c r="B1437" s="464">
        <v>71.24</v>
      </c>
    </row>
    <row r="1438">
      <c r="A1438" s="463">
        <v>41394.0</v>
      </c>
      <c r="B1438" s="464">
        <v>70.5</v>
      </c>
    </row>
    <row r="1439">
      <c r="A1439" s="463">
        <v>41395.0</v>
      </c>
      <c r="B1439" s="464">
        <v>70.45</v>
      </c>
    </row>
    <row r="1440">
      <c r="A1440" s="463">
        <v>41396.0</v>
      </c>
      <c r="B1440" s="464">
        <v>71.4</v>
      </c>
    </row>
    <row r="1441">
      <c r="A1441" s="463">
        <v>41397.0</v>
      </c>
      <c r="B1441" s="464">
        <v>74.5</v>
      </c>
    </row>
    <row r="1442">
      <c r="A1442" s="463">
        <v>41400.0</v>
      </c>
      <c r="B1442" s="464">
        <v>76.76</v>
      </c>
    </row>
    <row r="1443">
      <c r="A1443" s="463">
        <v>41401.0</v>
      </c>
      <c r="B1443" s="464">
        <v>76.52</v>
      </c>
    </row>
    <row r="1444">
      <c r="A1444" s="463">
        <v>41402.0</v>
      </c>
      <c r="B1444" s="464">
        <v>76.94</v>
      </c>
    </row>
    <row r="1445">
      <c r="A1445" s="463">
        <v>41403.0</v>
      </c>
      <c r="B1445" s="464">
        <v>75.38</v>
      </c>
    </row>
    <row r="1446">
      <c r="A1446" s="463">
        <v>41404.0</v>
      </c>
      <c r="B1446" s="464">
        <v>76.9</v>
      </c>
    </row>
    <row r="1447">
      <c r="A1447" s="463">
        <v>41407.0</v>
      </c>
      <c r="B1447" s="464">
        <v>76.77</v>
      </c>
    </row>
    <row r="1448">
      <c r="A1448" s="463">
        <v>41408.0</v>
      </c>
      <c r="B1448" s="464">
        <v>77.39</v>
      </c>
    </row>
    <row r="1449">
      <c r="A1449" s="463">
        <v>41409.0</v>
      </c>
      <c r="B1449" s="464">
        <v>77.14</v>
      </c>
    </row>
    <row r="1450">
      <c r="A1450" s="463">
        <v>41410.0</v>
      </c>
      <c r="B1450" s="464">
        <v>78.88</v>
      </c>
    </row>
    <row r="1451">
      <c r="A1451" s="463">
        <v>41411.0</v>
      </c>
      <c r="B1451" s="464">
        <v>78.95</v>
      </c>
    </row>
    <row r="1452">
      <c r="A1452" s="463">
        <v>41414.0</v>
      </c>
      <c r="B1452" s="464">
        <v>76.76</v>
      </c>
    </row>
    <row r="1453">
      <c r="A1453" s="463">
        <v>41415.0</v>
      </c>
      <c r="B1453" s="464">
        <v>76.22</v>
      </c>
    </row>
    <row r="1454">
      <c r="A1454" s="463">
        <v>41416.0</v>
      </c>
      <c r="B1454" s="464">
        <v>73.6</v>
      </c>
    </row>
    <row r="1455">
      <c r="A1455" s="463">
        <v>41417.0</v>
      </c>
      <c r="B1455" s="464">
        <v>72.38</v>
      </c>
    </row>
    <row r="1456">
      <c r="A1456" s="463">
        <v>41418.0</v>
      </c>
      <c r="B1456" s="464">
        <v>72.29</v>
      </c>
    </row>
    <row r="1457">
      <c r="A1457" s="463">
        <v>41422.0</v>
      </c>
      <c r="B1457" s="464">
        <v>73.23</v>
      </c>
    </row>
    <row r="1458">
      <c r="A1458" s="463">
        <v>41423.0</v>
      </c>
      <c r="B1458" s="464">
        <v>72.42</v>
      </c>
    </row>
    <row r="1459">
      <c r="A1459" s="463">
        <v>41424.0</v>
      </c>
      <c r="B1459" s="464">
        <v>71.5</v>
      </c>
    </row>
    <row r="1460">
      <c r="A1460" s="463">
        <v>41425.0</v>
      </c>
      <c r="B1460" s="464">
        <v>71.12</v>
      </c>
    </row>
    <row r="1461">
      <c r="A1461" s="463">
        <v>41428.0</v>
      </c>
      <c r="B1461" s="464">
        <v>69.4</v>
      </c>
    </row>
    <row r="1462">
      <c r="A1462" s="463">
        <v>41429.0</v>
      </c>
      <c r="B1462" s="464">
        <v>68.62</v>
      </c>
    </row>
    <row r="1463">
      <c r="A1463" s="463">
        <v>41430.0</v>
      </c>
      <c r="B1463" s="464">
        <v>66.93</v>
      </c>
    </row>
    <row r="1464">
      <c r="A1464" s="463">
        <v>41431.0</v>
      </c>
      <c r="B1464" s="464">
        <v>71.83</v>
      </c>
    </row>
    <row r="1465">
      <c r="A1465" s="463">
        <v>41432.0</v>
      </c>
      <c r="B1465" s="464">
        <v>71.27</v>
      </c>
    </row>
    <row r="1466">
      <c r="A1466" s="463">
        <v>41435.0</v>
      </c>
      <c r="B1466" s="464">
        <v>70.29</v>
      </c>
    </row>
    <row r="1467">
      <c r="A1467" s="463">
        <v>41436.0</v>
      </c>
      <c r="B1467" s="464">
        <v>70.82</v>
      </c>
    </row>
    <row r="1468">
      <c r="A1468" s="463">
        <v>41437.0</v>
      </c>
      <c r="B1468" s="464">
        <v>70.54</v>
      </c>
    </row>
    <row r="1469">
      <c r="A1469" s="463">
        <v>41438.0</v>
      </c>
      <c r="B1469" s="464">
        <v>70.54</v>
      </c>
    </row>
    <row r="1470">
      <c r="A1470" s="463">
        <v>41439.0</v>
      </c>
      <c r="B1470" s="464">
        <v>69.73</v>
      </c>
    </row>
    <row r="1471">
      <c r="A1471" s="463">
        <v>41442.0</v>
      </c>
      <c r="B1471" s="464">
        <v>69.92</v>
      </c>
    </row>
    <row r="1472">
      <c r="A1472" s="463">
        <v>41443.0</v>
      </c>
      <c r="B1472" s="464">
        <v>70.26</v>
      </c>
    </row>
    <row r="1473">
      <c r="A1473" s="463">
        <v>41444.0</v>
      </c>
      <c r="B1473" s="464">
        <v>71.0</v>
      </c>
    </row>
    <row r="1474">
      <c r="A1474" s="463">
        <v>41445.0</v>
      </c>
      <c r="B1474" s="464">
        <v>69.83</v>
      </c>
    </row>
    <row r="1475">
      <c r="A1475" s="463">
        <v>41446.0</v>
      </c>
      <c r="B1475" s="464">
        <v>67.7</v>
      </c>
    </row>
    <row r="1476">
      <c r="A1476" s="463">
        <v>41449.0</v>
      </c>
      <c r="B1476" s="464">
        <v>65.93</v>
      </c>
    </row>
    <row r="1477">
      <c r="A1477" s="463">
        <v>41450.0</v>
      </c>
      <c r="B1477" s="464">
        <v>65.53</v>
      </c>
    </row>
    <row r="1478">
      <c r="A1478" s="463">
        <v>41451.0</v>
      </c>
      <c r="B1478" s="464">
        <v>67.2</v>
      </c>
    </row>
    <row r="1479">
      <c r="A1479" s="463">
        <v>41452.0</v>
      </c>
      <c r="B1479" s="464">
        <v>67.65</v>
      </c>
    </row>
    <row r="1480">
      <c r="A1480" s="463">
        <v>41453.0</v>
      </c>
      <c r="B1480" s="464">
        <v>66.99</v>
      </c>
    </row>
    <row r="1481">
      <c r="A1481" s="463">
        <v>41456.0</v>
      </c>
      <c r="B1481" s="464">
        <v>66.78</v>
      </c>
    </row>
    <row r="1482">
      <c r="A1482" s="463">
        <v>41457.0</v>
      </c>
      <c r="B1482" s="464">
        <v>65.6</v>
      </c>
    </row>
    <row r="1483">
      <c r="A1483" s="463">
        <v>41458.0</v>
      </c>
      <c r="B1483" s="464">
        <v>65.59</v>
      </c>
    </row>
    <row r="1484">
      <c r="A1484" s="463">
        <v>41460.0</v>
      </c>
      <c r="B1484" s="464">
        <v>66.51</v>
      </c>
    </row>
    <row r="1485">
      <c r="A1485" s="463">
        <v>41463.0</v>
      </c>
      <c r="B1485" s="464">
        <v>65.58</v>
      </c>
    </row>
    <row r="1486">
      <c r="A1486" s="463">
        <v>41464.0</v>
      </c>
      <c r="B1486" s="464">
        <v>66.13</v>
      </c>
    </row>
    <row r="1487">
      <c r="A1487" s="463">
        <v>41465.0</v>
      </c>
      <c r="B1487" s="464">
        <v>67.14</v>
      </c>
    </row>
    <row r="1488">
      <c r="A1488" s="463">
        <v>41466.0</v>
      </c>
      <c r="B1488" s="464">
        <v>71.28</v>
      </c>
    </row>
    <row r="1489">
      <c r="A1489" s="463">
        <v>41467.0</v>
      </c>
      <c r="B1489" s="464">
        <v>70.5</v>
      </c>
    </row>
    <row r="1490">
      <c r="A1490" s="463">
        <v>41470.0</v>
      </c>
      <c r="B1490" s="464">
        <v>71.01</v>
      </c>
    </row>
    <row r="1491">
      <c r="A1491" s="463">
        <v>41471.0</v>
      </c>
      <c r="B1491" s="464">
        <v>72.02</v>
      </c>
    </row>
    <row r="1492">
      <c r="A1492" s="463">
        <v>41472.0</v>
      </c>
      <c r="B1492" s="464">
        <v>71.77</v>
      </c>
    </row>
    <row r="1493">
      <c r="A1493" s="463">
        <v>41473.0</v>
      </c>
      <c r="B1493" s="464">
        <v>71.7</v>
      </c>
    </row>
    <row r="1494">
      <c r="A1494" s="463">
        <v>41474.0</v>
      </c>
      <c r="B1494" s="464">
        <v>70.63</v>
      </c>
    </row>
    <row r="1495">
      <c r="A1495" s="463">
        <v>41477.0</v>
      </c>
      <c r="B1495" s="464">
        <v>69.9</v>
      </c>
    </row>
    <row r="1496">
      <c r="A1496" s="463">
        <v>41478.0</v>
      </c>
      <c r="B1496" s="464">
        <v>71.28</v>
      </c>
    </row>
    <row r="1497">
      <c r="A1497" s="463">
        <v>41479.0</v>
      </c>
      <c r="B1497" s="464">
        <v>83.2</v>
      </c>
    </row>
    <row r="1498">
      <c r="A1498" s="463">
        <v>41480.0</v>
      </c>
      <c r="B1498" s="464">
        <v>84.04</v>
      </c>
    </row>
    <row r="1499">
      <c r="A1499" s="463">
        <v>41481.0</v>
      </c>
      <c r="B1499" s="464">
        <v>82.36</v>
      </c>
    </row>
    <row r="1500">
      <c r="A1500" s="463">
        <v>41484.0</v>
      </c>
      <c r="B1500" s="464">
        <v>83.06</v>
      </c>
    </row>
    <row r="1501">
      <c r="A1501" s="463">
        <v>41485.0</v>
      </c>
      <c r="B1501" s="464">
        <v>82.55</v>
      </c>
    </row>
    <row r="1502">
      <c r="A1502" s="463">
        <v>41486.0</v>
      </c>
      <c r="B1502" s="464">
        <v>82.19</v>
      </c>
    </row>
    <row r="1503">
      <c r="A1503" s="463">
        <v>41487.0</v>
      </c>
      <c r="B1503" s="464">
        <v>82.1</v>
      </c>
    </row>
    <row r="1504">
      <c r="A1504" s="463">
        <v>41488.0</v>
      </c>
      <c r="B1504" s="464">
        <v>82.17</v>
      </c>
    </row>
    <row r="1505">
      <c r="A1505" s="463">
        <v>41491.0</v>
      </c>
      <c r="B1505" s="464">
        <v>82.58</v>
      </c>
    </row>
    <row r="1506">
      <c r="A1506" s="463">
        <v>41492.0</v>
      </c>
      <c r="B1506" s="464">
        <v>82.57</v>
      </c>
    </row>
    <row r="1507">
      <c r="A1507" s="463">
        <v>41493.0</v>
      </c>
      <c r="B1507" s="464">
        <v>82.87</v>
      </c>
    </row>
    <row r="1508">
      <c r="A1508" s="463">
        <v>41494.0</v>
      </c>
      <c r="B1508" s="464">
        <v>84.95</v>
      </c>
    </row>
    <row r="1509">
      <c r="A1509" s="463">
        <v>41495.0</v>
      </c>
      <c r="B1509" s="464">
        <v>84.99</v>
      </c>
    </row>
    <row r="1510">
      <c r="A1510" s="463">
        <v>41498.0</v>
      </c>
      <c r="B1510" s="464">
        <v>86.02</v>
      </c>
    </row>
    <row r="1511">
      <c r="A1511" s="463">
        <v>41499.0</v>
      </c>
      <c r="B1511" s="464">
        <v>85.88</v>
      </c>
    </row>
    <row r="1512">
      <c r="A1512" s="463">
        <v>41500.0</v>
      </c>
      <c r="B1512" s="464">
        <v>85.69</v>
      </c>
    </row>
    <row r="1513">
      <c r="A1513" s="463">
        <v>41501.0</v>
      </c>
      <c r="B1513" s="464">
        <v>83.96</v>
      </c>
    </row>
    <row r="1514">
      <c r="A1514" s="463">
        <v>41502.0</v>
      </c>
      <c r="B1514" s="464">
        <v>83.97</v>
      </c>
    </row>
    <row r="1515">
      <c r="A1515" s="463">
        <v>41505.0</v>
      </c>
      <c r="B1515" s="464">
        <v>83.36</v>
      </c>
    </row>
    <row r="1516">
      <c r="A1516" s="463">
        <v>41506.0</v>
      </c>
      <c r="B1516" s="464">
        <v>83.44</v>
      </c>
    </row>
    <row r="1517">
      <c r="A1517" s="463">
        <v>41507.0</v>
      </c>
      <c r="B1517" s="464">
        <v>84.31</v>
      </c>
    </row>
    <row r="1518">
      <c r="A1518" s="463">
        <v>41508.0</v>
      </c>
      <c r="B1518" s="464">
        <v>85.46</v>
      </c>
    </row>
    <row r="1519">
      <c r="A1519" s="463">
        <v>41509.0</v>
      </c>
      <c r="B1519" s="464">
        <v>87.8</v>
      </c>
    </row>
    <row r="1520">
      <c r="A1520" s="463">
        <v>41512.0</v>
      </c>
      <c r="B1520" s="464">
        <v>86.52</v>
      </c>
    </row>
    <row r="1521">
      <c r="A1521" s="463">
        <v>41513.0</v>
      </c>
      <c r="B1521" s="464">
        <v>83.39</v>
      </c>
    </row>
    <row r="1522">
      <c r="A1522" s="463">
        <v>41514.0</v>
      </c>
      <c r="B1522" s="464">
        <v>83.82</v>
      </c>
    </row>
    <row r="1523">
      <c r="A1523" s="463">
        <v>41515.0</v>
      </c>
      <c r="B1523" s="464">
        <v>84.86</v>
      </c>
    </row>
    <row r="1524">
      <c r="A1524" s="463">
        <v>41516.0</v>
      </c>
      <c r="B1524" s="464">
        <v>84.15</v>
      </c>
    </row>
    <row r="1525">
      <c r="A1525" s="463">
        <v>41520.0</v>
      </c>
      <c r="B1525" s="464">
        <v>84.63</v>
      </c>
    </row>
    <row r="1526">
      <c r="A1526" s="463">
        <v>41521.0</v>
      </c>
      <c r="B1526" s="464">
        <v>84.97</v>
      </c>
    </row>
    <row r="1527">
      <c r="A1527" s="463">
        <v>41522.0</v>
      </c>
      <c r="B1527" s="464">
        <v>84.9</v>
      </c>
    </row>
    <row r="1528">
      <c r="A1528" s="463">
        <v>41523.0</v>
      </c>
      <c r="B1528" s="464">
        <v>84.81</v>
      </c>
    </row>
    <row r="1529">
      <c r="A1529" s="463">
        <v>41526.0</v>
      </c>
      <c r="B1529" s="464">
        <v>87.08</v>
      </c>
    </row>
    <row r="1530">
      <c r="A1530" s="463">
        <v>41527.0</v>
      </c>
      <c r="B1530" s="464">
        <v>88.78</v>
      </c>
    </row>
    <row r="1531">
      <c r="A1531" s="463">
        <v>41528.0</v>
      </c>
      <c r="B1531" s="464">
        <v>88.37</v>
      </c>
    </row>
    <row r="1532">
      <c r="A1532" s="463">
        <v>41529.0</v>
      </c>
      <c r="B1532" s="464">
        <v>87.95</v>
      </c>
    </row>
    <row r="1533">
      <c r="A1533" s="463">
        <v>41530.0</v>
      </c>
      <c r="B1533" s="464">
        <v>87.63</v>
      </c>
    </row>
    <row r="1534">
      <c r="A1534" s="463">
        <v>41533.0</v>
      </c>
      <c r="B1534" s="464">
        <v>88.32</v>
      </c>
    </row>
    <row r="1535">
      <c r="A1535" s="463">
        <v>41534.0</v>
      </c>
      <c r="B1535" s="464">
        <v>87.51</v>
      </c>
    </row>
    <row r="1536">
      <c r="A1536" s="463">
        <v>41535.0</v>
      </c>
      <c r="B1536" s="464">
        <v>89.16</v>
      </c>
    </row>
    <row r="1537">
      <c r="A1537" s="463">
        <v>41536.0</v>
      </c>
      <c r="B1537" s="464">
        <v>88.89</v>
      </c>
    </row>
    <row r="1538">
      <c r="A1538" s="463">
        <v>41537.0</v>
      </c>
      <c r="B1538" s="464">
        <v>87.51</v>
      </c>
    </row>
    <row r="1539">
      <c r="A1539" s="463">
        <v>41540.0</v>
      </c>
      <c r="B1539" s="464">
        <v>85.33</v>
      </c>
    </row>
    <row r="1540">
      <c r="A1540" s="463">
        <v>41541.0</v>
      </c>
      <c r="B1540" s="464">
        <v>83.19</v>
      </c>
    </row>
    <row r="1541">
      <c r="A1541" s="463">
        <v>41542.0</v>
      </c>
      <c r="B1541" s="464">
        <v>83.23</v>
      </c>
    </row>
    <row r="1542">
      <c r="A1542" s="463">
        <v>41543.0</v>
      </c>
      <c r="B1542" s="464">
        <v>83.8</v>
      </c>
    </row>
    <row r="1543">
      <c r="A1543" s="463">
        <v>41544.0</v>
      </c>
      <c r="B1543" s="464">
        <v>82.63</v>
      </c>
    </row>
    <row r="1544">
      <c r="A1544" s="463">
        <v>41547.0</v>
      </c>
      <c r="B1544" s="464">
        <v>80.9</v>
      </c>
    </row>
    <row r="1545">
      <c r="A1545" s="463">
        <v>41548.0</v>
      </c>
      <c r="B1545" s="464">
        <v>82.04</v>
      </c>
    </row>
    <row r="1546">
      <c r="A1546" s="463">
        <v>41549.0</v>
      </c>
      <c r="B1546" s="464">
        <v>82.44</v>
      </c>
    </row>
    <row r="1547">
      <c r="A1547" s="463">
        <v>41550.0</v>
      </c>
      <c r="B1547" s="464">
        <v>79.85</v>
      </c>
    </row>
    <row r="1548">
      <c r="A1548" s="463">
        <v>41551.0</v>
      </c>
      <c r="B1548" s="464">
        <v>81.06</v>
      </c>
    </row>
    <row r="1549">
      <c r="A1549" s="463">
        <v>41554.0</v>
      </c>
      <c r="B1549" s="464">
        <v>80.7</v>
      </c>
    </row>
    <row r="1550">
      <c r="A1550" s="463">
        <v>41555.0</v>
      </c>
      <c r="B1550" s="464">
        <v>78.06</v>
      </c>
    </row>
    <row r="1551">
      <c r="A1551" s="463">
        <v>41556.0</v>
      </c>
      <c r="B1551" s="464">
        <v>78.93</v>
      </c>
    </row>
    <row r="1552">
      <c r="A1552" s="463">
        <v>41557.0</v>
      </c>
      <c r="B1552" s="464">
        <v>79.52</v>
      </c>
    </row>
    <row r="1553">
      <c r="A1553" s="463">
        <v>41558.0</v>
      </c>
      <c r="B1553" s="464">
        <v>80.44</v>
      </c>
    </row>
    <row r="1554">
      <c r="A1554" s="463">
        <v>41561.0</v>
      </c>
      <c r="B1554" s="464">
        <v>80.28</v>
      </c>
    </row>
    <row r="1555">
      <c r="A1555" s="463">
        <v>41562.0</v>
      </c>
      <c r="B1555" s="464">
        <v>77.91</v>
      </c>
    </row>
    <row r="1556">
      <c r="A1556" s="463">
        <v>41563.0</v>
      </c>
      <c r="B1556" s="464">
        <v>79.66</v>
      </c>
    </row>
    <row r="1557">
      <c r="A1557" s="463">
        <v>41564.0</v>
      </c>
      <c r="B1557" s="464">
        <v>78.74</v>
      </c>
    </row>
    <row r="1558">
      <c r="A1558" s="463">
        <v>41565.0</v>
      </c>
      <c r="B1558" s="464">
        <v>81.43</v>
      </c>
    </row>
    <row r="1559">
      <c r="A1559" s="463">
        <v>41568.0</v>
      </c>
      <c r="B1559" s="464">
        <v>82.65</v>
      </c>
    </row>
    <row r="1560">
      <c r="A1560" s="463">
        <v>41569.0</v>
      </c>
      <c r="B1560" s="464">
        <v>85.0</v>
      </c>
    </row>
    <row r="1561">
      <c r="A1561" s="463">
        <v>41570.0</v>
      </c>
      <c r="B1561" s="464">
        <v>83.54</v>
      </c>
    </row>
    <row r="1562">
      <c r="A1562" s="463">
        <v>41571.0</v>
      </c>
      <c r="B1562" s="464">
        <v>84.78</v>
      </c>
    </row>
    <row r="1563">
      <c r="A1563" s="463">
        <v>41572.0</v>
      </c>
      <c r="B1563" s="464">
        <v>83.39</v>
      </c>
    </row>
    <row r="1564">
      <c r="A1564" s="463">
        <v>41575.0</v>
      </c>
      <c r="B1564" s="464">
        <v>82.26</v>
      </c>
    </row>
    <row r="1565">
      <c r="A1565" s="463">
        <v>41576.0</v>
      </c>
      <c r="B1565" s="464">
        <v>81.85</v>
      </c>
    </row>
    <row r="1566">
      <c r="A1566" s="463">
        <v>41577.0</v>
      </c>
      <c r="B1566" s="464">
        <v>81.44</v>
      </c>
    </row>
    <row r="1567">
      <c r="A1567" s="463">
        <v>41578.0</v>
      </c>
      <c r="B1567" s="464">
        <v>81.28</v>
      </c>
    </row>
    <row r="1568">
      <c r="A1568" s="463">
        <v>41579.0</v>
      </c>
      <c r="B1568" s="464">
        <v>80.75</v>
      </c>
    </row>
    <row r="1569">
      <c r="A1569" s="463">
        <v>41582.0</v>
      </c>
      <c r="B1569" s="464">
        <v>81.32</v>
      </c>
    </row>
    <row r="1570">
      <c r="A1570" s="463">
        <v>41583.0</v>
      </c>
      <c r="B1570" s="464">
        <v>80.52</v>
      </c>
    </row>
    <row r="1571">
      <c r="A1571" s="463">
        <v>41584.0</v>
      </c>
      <c r="B1571" s="464">
        <v>81.65</v>
      </c>
    </row>
    <row r="1572">
      <c r="A1572" s="463">
        <v>41585.0</v>
      </c>
      <c r="B1572" s="464">
        <v>80.66</v>
      </c>
    </row>
    <row r="1573">
      <c r="A1573" s="463">
        <v>41586.0</v>
      </c>
      <c r="B1573" s="464">
        <v>79.28</v>
      </c>
    </row>
    <row r="1574">
      <c r="A1574" s="463">
        <v>41589.0</v>
      </c>
      <c r="B1574" s="464">
        <v>80.32</v>
      </c>
    </row>
    <row r="1575">
      <c r="A1575" s="463">
        <v>41590.0</v>
      </c>
      <c r="B1575" s="464">
        <v>80.66</v>
      </c>
    </row>
    <row r="1576">
      <c r="A1576" s="463">
        <v>41591.0</v>
      </c>
      <c r="B1576" s="464">
        <v>79.58</v>
      </c>
    </row>
    <row r="1577">
      <c r="A1577" s="463">
        <v>41592.0</v>
      </c>
      <c r="B1577" s="464">
        <v>77.24</v>
      </c>
    </row>
    <row r="1578">
      <c r="A1578" s="463">
        <v>41593.0</v>
      </c>
      <c r="B1578" s="464">
        <v>78.96</v>
      </c>
    </row>
    <row r="1579">
      <c r="A1579" s="463">
        <v>41596.0</v>
      </c>
      <c r="B1579" s="464">
        <v>78.22</v>
      </c>
    </row>
    <row r="1580">
      <c r="A1580" s="463">
        <v>41597.0</v>
      </c>
      <c r="B1580" s="464">
        <v>78.29</v>
      </c>
    </row>
    <row r="1581">
      <c r="A1581" s="463">
        <v>41598.0</v>
      </c>
      <c r="B1581" s="464">
        <v>78.42</v>
      </c>
    </row>
    <row r="1582">
      <c r="A1582" s="463">
        <v>41599.0</v>
      </c>
      <c r="B1582" s="464">
        <v>80.99</v>
      </c>
    </row>
    <row r="1583">
      <c r="A1583" s="463">
        <v>41600.0</v>
      </c>
      <c r="B1583" s="464">
        <v>81.3</v>
      </c>
    </row>
    <row r="1584">
      <c r="A1584" s="463">
        <v>41603.0</v>
      </c>
      <c r="B1584" s="464">
        <v>80.33</v>
      </c>
    </row>
    <row r="1585">
      <c r="A1585" s="463">
        <v>41604.0</v>
      </c>
      <c r="B1585" s="464">
        <v>80.84</v>
      </c>
    </row>
    <row r="1586">
      <c r="A1586" s="463">
        <v>41605.0</v>
      </c>
      <c r="B1586" s="464">
        <v>80.79</v>
      </c>
    </row>
    <row r="1587">
      <c r="A1587" s="463">
        <v>41607.0</v>
      </c>
      <c r="B1587" s="464">
        <v>80.63</v>
      </c>
    </row>
    <row r="1588">
      <c r="A1588" s="463">
        <v>41610.0</v>
      </c>
      <c r="B1588" s="464">
        <v>79.51</v>
      </c>
    </row>
    <row r="1589">
      <c r="A1589" s="463">
        <v>41611.0</v>
      </c>
      <c r="B1589" s="464">
        <v>80.06</v>
      </c>
    </row>
    <row r="1590">
      <c r="A1590" s="463">
        <v>41612.0</v>
      </c>
      <c r="B1590" s="464">
        <v>83.7</v>
      </c>
    </row>
    <row r="1591">
      <c r="A1591" s="463">
        <v>41613.0</v>
      </c>
      <c r="B1591" s="464">
        <v>84.16</v>
      </c>
    </row>
    <row r="1592">
      <c r="A1592" s="463">
        <v>41614.0</v>
      </c>
      <c r="B1592" s="464">
        <v>86.48</v>
      </c>
    </row>
    <row r="1593">
      <c r="A1593" s="463">
        <v>41617.0</v>
      </c>
      <c r="B1593" s="464">
        <v>87.1</v>
      </c>
    </row>
    <row r="1594">
      <c r="A1594" s="463">
        <v>41618.0</v>
      </c>
      <c r="B1594" s="464">
        <v>86.62</v>
      </c>
    </row>
    <row r="1595">
      <c r="A1595" s="463">
        <v>41619.0</v>
      </c>
      <c r="B1595" s="464">
        <v>85.6</v>
      </c>
    </row>
    <row r="1596">
      <c r="A1596" s="463">
        <v>41620.0</v>
      </c>
      <c r="B1596" s="464">
        <v>86.26</v>
      </c>
    </row>
    <row r="1597">
      <c r="A1597" s="463">
        <v>41621.0</v>
      </c>
      <c r="B1597" s="464">
        <v>85.62</v>
      </c>
    </row>
    <row r="1598">
      <c r="A1598" s="463">
        <v>41624.0</v>
      </c>
      <c r="B1598" s="464">
        <v>86.49</v>
      </c>
    </row>
    <row r="1599">
      <c r="A1599" s="463">
        <v>41625.0</v>
      </c>
      <c r="B1599" s="464">
        <v>86.72</v>
      </c>
    </row>
    <row r="1600">
      <c r="A1600" s="463">
        <v>41626.0</v>
      </c>
      <c r="B1600" s="464">
        <v>87.54</v>
      </c>
    </row>
    <row r="1601">
      <c r="A1601" s="463">
        <v>41627.0</v>
      </c>
      <c r="B1601" s="464">
        <v>87.35</v>
      </c>
    </row>
    <row r="1602">
      <c r="A1602" s="463">
        <v>41628.0</v>
      </c>
      <c r="B1602" s="464">
        <v>90.18</v>
      </c>
    </row>
    <row r="1603">
      <c r="A1603" s="463">
        <v>41631.0</v>
      </c>
      <c r="B1603" s="464">
        <v>88.9</v>
      </c>
    </row>
    <row r="1604">
      <c r="A1604" s="463">
        <v>41632.0</v>
      </c>
      <c r="B1604" s="464">
        <v>89.44</v>
      </c>
    </row>
    <row r="1605">
      <c r="A1605" s="463">
        <v>41634.0</v>
      </c>
      <c r="B1605" s="464">
        <v>88.85</v>
      </c>
    </row>
    <row r="1606">
      <c r="A1606" s="463">
        <v>41635.0</v>
      </c>
      <c r="B1606" s="464">
        <v>88.96</v>
      </c>
    </row>
    <row r="1607">
      <c r="A1607" s="463">
        <v>41638.0</v>
      </c>
      <c r="B1607" s="464">
        <v>89.15</v>
      </c>
    </row>
    <row r="1608">
      <c r="A1608" s="463">
        <v>41639.0</v>
      </c>
      <c r="B1608" s="464">
        <v>89.71</v>
      </c>
    </row>
    <row r="1609">
      <c r="A1609" s="463">
        <v>41641.0</v>
      </c>
      <c r="B1609" s="464">
        <v>89.5</v>
      </c>
    </row>
    <row r="1610">
      <c r="A1610" s="463">
        <v>41642.0</v>
      </c>
      <c r="B1610" s="464">
        <v>89.42</v>
      </c>
    </row>
    <row r="1611">
      <c r="A1611" s="463">
        <v>41645.0</v>
      </c>
      <c r="B1611" s="464">
        <v>89.07</v>
      </c>
    </row>
    <row r="1612">
      <c r="A1612" s="463">
        <v>41646.0</v>
      </c>
      <c r="B1612" s="464">
        <v>94.71</v>
      </c>
    </row>
    <row r="1613">
      <c r="A1613" s="463">
        <v>41647.0</v>
      </c>
      <c r="B1613" s="464">
        <v>93.45</v>
      </c>
    </row>
    <row r="1614">
      <c r="A1614" s="463">
        <v>41648.0</v>
      </c>
      <c r="B1614" s="464">
        <v>92.84</v>
      </c>
    </row>
    <row r="1615">
      <c r="A1615" s="463">
        <v>41649.0</v>
      </c>
      <c r="B1615" s="464">
        <v>93.26</v>
      </c>
    </row>
    <row r="1616">
      <c r="A1616" s="463">
        <v>41652.0</v>
      </c>
      <c r="B1616" s="464">
        <v>93.01</v>
      </c>
    </row>
    <row r="1617">
      <c r="A1617" s="463">
        <v>41653.0</v>
      </c>
      <c r="B1617" s="464">
        <v>96.73</v>
      </c>
    </row>
    <row r="1618">
      <c r="A1618" s="463">
        <v>41654.0</v>
      </c>
      <c r="B1618" s="464">
        <v>98.33</v>
      </c>
    </row>
    <row r="1619">
      <c r="A1619" s="463">
        <v>41655.0</v>
      </c>
      <c r="B1619" s="464">
        <v>99.33</v>
      </c>
    </row>
    <row r="1620">
      <c r="A1620" s="463">
        <v>41656.0</v>
      </c>
      <c r="B1620" s="464">
        <v>98.2</v>
      </c>
    </row>
    <row r="1621">
      <c r="A1621" s="463">
        <v>41660.0</v>
      </c>
      <c r="B1621" s="464">
        <v>97.36</v>
      </c>
    </row>
    <row r="1622">
      <c r="A1622" s="463">
        <v>41661.0</v>
      </c>
      <c r="B1622" s="464">
        <v>98.51</v>
      </c>
    </row>
    <row r="1623">
      <c r="A1623" s="463">
        <v>41662.0</v>
      </c>
      <c r="B1623" s="464">
        <v>97.7</v>
      </c>
    </row>
    <row r="1624">
      <c r="A1624" s="463">
        <v>41663.0</v>
      </c>
      <c r="B1624" s="464">
        <v>94.94</v>
      </c>
    </row>
    <row r="1625">
      <c r="A1625" s="463">
        <v>41666.0</v>
      </c>
      <c r="B1625" s="464">
        <v>93.11</v>
      </c>
    </row>
    <row r="1626">
      <c r="A1626" s="463">
        <v>41667.0</v>
      </c>
      <c r="B1626" s="464">
        <v>94.94</v>
      </c>
    </row>
    <row r="1627">
      <c r="A1627" s="463">
        <v>41668.0</v>
      </c>
      <c r="B1627" s="464">
        <v>91.72</v>
      </c>
    </row>
    <row r="1628">
      <c r="A1628" s="463">
        <v>41669.0</v>
      </c>
      <c r="B1628" s="464">
        <v>90.77</v>
      </c>
    </row>
    <row r="1629">
      <c r="A1629" s="463">
        <v>41670.0</v>
      </c>
      <c r="B1629" s="464">
        <v>90.14</v>
      </c>
    </row>
    <row r="1630">
      <c r="A1630" s="463">
        <v>41673.0</v>
      </c>
      <c r="B1630" s="464">
        <v>87.1</v>
      </c>
    </row>
    <row r="1631">
      <c r="A1631" s="463">
        <v>41674.0</v>
      </c>
      <c r="B1631" s="464">
        <v>88.08</v>
      </c>
    </row>
    <row r="1632">
      <c r="A1632" s="463">
        <v>41675.0</v>
      </c>
      <c r="B1632" s="464">
        <v>89.6</v>
      </c>
    </row>
    <row r="1633">
      <c r="A1633" s="463">
        <v>41676.0</v>
      </c>
      <c r="B1633" s="464">
        <v>90.93</v>
      </c>
    </row>
    <row r="1634">
      <c r="A1634" s="463">
        <v>41677.0</v>
      </c>
      <c r="B1634" s="464">
        <v>91.72</v>
      </c>
    </row>
    <row r="1635">
      <c r="A1635" s="463">
        <v>41680.0</v>
      </c>
      <c r="B1635" s="464">
        <v>93.07</v>
      </c>
    </row>
    <row r="1636">
      <c r="A1636" s="463">
        <v>41681.0</v>
      </c>
      <c r="B1636" s="464">
        <v>93.06</v>
      </c>
    </row>
    <row r="1637">
      <c r="A1637" s="463">
        <v>41682.0</v>
      </c>
      <c r="B1637" s="464">
        <v>93.53</v>
      </c>
    </row>
    <row r="1638">
      <c r="A1638" s="463">
        <v>41683.0</v>
      </c>
      <c r="B1638" s="464">
        <v>93.72</v>
      </c>
    </row>
    <row r="1639">
      <c r="A1639" s="463">
        <v>41684.0</v>
      </c>
      <c r="B1639" s="464">
        <v>95.2</v>
      </c>
    </row>
    <row r="1640">
      <c r="A1640" s="463">
        <v>41688.0</v>
      </c>
      <c r="B1640" s="464">
        <v>95.61</v>
      </c>
    </row>
    <row r="1641">
      <c r="A1641" s="463">
        <v>41689.0</v>
      </c>
      <c r="B1641" s="464">
        <v>94.33</v>
      </c>
    </row>
    <row r="1642">
      <c r="A1642" s="463">
        <v>41690.0</v>
      </c>
      <c r="B1642" s="464">
        <v>95.82</v>
      </c>
    </row>
    <row r="1643">
      <c r="A1643" s="463">
        <v>41691.0</v>
      </c>
      <c r="B1643" s="464">
        <v>96.41</v>
      </c>
    </row>
    <row r="1644">
      <c r="A1644" s="463">
        <v>41694.0</v>
      </c>
      <c r="B1644" s="464">
        <v>96.69</v>
      </c>
    </row>
    <row r="1645">
      <c r="A1645" s="463">
        <v>41695.0</v>
      </c>
      <c r="B1645" s="464">
        <v>96.25</v>
      </c>
    </row>
    <row r="1646">
      <c r="A1646" s="463">
        <v>41696.0</v>
      </c>
      <c r="B1646" s="464">
        <v>97.69</v>
      </c>
    </row>
    <row r="1647">
      <c r="A1647" s="463">
        <v>41697.0</v>
      </c>
      <c r="B1647" s="464">
        <v>97.78</v>
      </c>
    </row>
    <row r="1648">
      <c r="A1648" s="463">
        <v>41698.0</v>
      </c>
      <c r="B1648" s="464">
        <v>96.05</v>
      </c>
    </row>
    <row r="1649">
      <c r="A1649" s="463">
        <v>41701.0</v>
      </c>
      <c r="B1649" s="464">
        <v>95.65</v>
      </c>
    </row>
    <row r="1650">
      <c r="A1650" s="463">
        <v>41702.0</v>
      </c>
      <c r="B1650" s="464">
        <v>101.04</v>
      </c>
    </row>
    <row r="1651">
      <c r="A1651" s="463">
        <v>41703.0</v>
      </c>
      <c r="B1651" s="464">
        <v>102.83</v>
      </c>
    </row>
    <row r="1652">
      <c r="A1652" s="463">
        <v>41704.0</v>
      </c>
      <c r="B1652" s="464">
        <v>101.96</v>
      </c>
    </row>
    <row r="1653">
      <c r="A1653" s="463">
        <v>41705.0</v>
      </c>
      <c r="B1653" s="464">
        <v>101.51</v>
      </c>
    </row>
    <row r="1654">
      <c r="A1654" s="463">
        <v>41708.0</v>
      </c>
      <c r="B1654" s="464">
        <v>103.03</v>
      </c>
    </row>
    <row r="1655">
      <c r="A1655" s="463">
        <v>41709.0</v>
      </c>
      <c r="B1655" s="464">
        <v>103.75</v>
      </c>
    </row>
    <row r="1656">
      <c r="A1656" s="463">
        <v>41710.0</v>
      </c>
      <c r="B1656" s="464">
        <v>106.87</v>
      </c>
    </row>
    <row r="1657">
      <c r="A1657" s="463">
        <v>41711.0</v>
      </c>
      <c r="B1657" s="464">
        <v>103.97</v>
      </c>
    </row>
    <row r="1658">
      <c r="A1658" s="463">
        <v>41712.0</v>
      </c>
      <c r="B1658" s="464">
        <v>105.5</v>
      </c>
    </row>
    <row r="1659">
      <c r="A1659" s="463">
        <v>41715.0</v>
      </c>
      <c r="B1659" s="464">
        <v>109.74</v>
      </c>
    </row>
    <row r="1660">
      <c r="A1660" s="463">
        <v>41716.0</v>
      </c>
      <c r="B1660" s="464">
        <v>110.22</v>
      </c>
    </row>
    <row r="1661">
      <c r="A1661" s="463">
        <v>41717.0</v>
      </c>
      <c r="B1661" s="464">
        <v>109.35</v>
      </c>
    </row>
    <row r="1662">
      <c r="A1662" s="463">
        <v>41718.0</v>
      </c>
      <c r="B1662" s="464">
        <v>110.67</v>
      </c>
    </row>
    <row r="1663">
      <c r="A1663" s="463">
        <v>41719.0</v>
      </c>
      <c r="B1663" s="464">
        <v>109.21</v>
      </c>
    </row>
    <row r="1664">
      <c r="A1664" s="463">
        <v>41722.0</v>
      </c>
      <c r="B1664" s="464">
        <v>108.76</v>
      </c>
    </row>
    <row r="1665">
      <c r="A1665" s="463">
        <v>41723.0</v>
      </c>
      <c r="B1665" s="464">
        <v>110.08</v>
      </c>
    </row>
    <row r="1666">
      <c r="A1666" s="463">
        <v>41724.0</v>
      </c>
      <c r="B1666" s="464">
        <v>105.56</v>
      </c>
    </row>
    <row r="1667">
      <c r="A1667" s="463">
        <v>41725.0</v>
      </c>
      <c r="B1667" s="464">
        <v>106.66</v>
      </c>
    </row>
    <row r="1668">
      <c r="A1668" s="463">
        <v>41726.0</v>
      </c>
      <c r="B1668" s="464">
        <v>106.29</v>
      </c>
    </row>
    <row r="1669">
      <c r="A1669" s="463">
        <v>41729.0</v>
      </c>
      <c r="B1669" s="464">
        <v>108.02</v>
      </c>
    </row>
    <row r="1670">
      <c r="A1670" s="463">
        <v>41730.0</v>
      </c>
      <c r="B1670" s="464">
        <v>111.8</v>
      </c>
    </row>
    <row r="1671">
      <c r="A1671" s="463">
        <v>41731.0</v>
      </c>
      <c r="B1671" s="464">
        <v>109.55</v>
      </c>
    </row>
    <row r="1672">
      <c r="A1672" s="463">
        <v>41732.0</v>
      </c>
      <c r="B1672" s="464">
        <v>107.92</v>
      </c>
    </row>
    <row r="1673">
      <c r="A1673" s="463">
        <v>41733.0</v>
      </c>
      <c r="B1673" s="464">
        <v>103.98</v>
      </c>
    </row>
    <row r="1674">
      <c r="A1674" s="463">
        <v>41736.0</v>
      </c>
      <c r="B1674" s="464">
        <v>104.36</v>
      </c>
    </row>
    <row r="1675">
      <c r="A1675" s="463">
        <v>41737.0</v>
      </c>
      <c r="B1675" s="464">
        <v>107.68</v>
      </c>
    </row>
    <row r="1676">
      <c r="A1676" s="463">
        <v>41738.0</v>
      </c>
      <c r="B1676" s="464">
        <v>106.4</v>
      </c>
    </row>
    <row r="1677">
      <c r="A1677" s="463">
        <v>41739.0</v>
      </c>
      <c r="B1677" s="464">
        <v>102.18</v>
      </c>
    </row>
    <row r="1678">
      <c r="A1678" s="463">
        <v>41740.0</v>
      </c>
      <c r="B1678" s="464">
        <v>99.24</v>
      </c>
    </row>
    <row r="1679">
      <c r="A1679" s="463">
        <v>41743.0</v>
      </c>
      <c r="B1679" s="464">
        <v>100.78</v>
      </c>
    </row>
    <row r="1680">
      <c r="A1680" s="463">
        <v>41744.0</v>
      </c>
      <c r="B1680" s="464">
        <v>102.22</v>
      </c>
    </row>
    <row r="1681">
      <c r="A1681" s="463">
        <v>41745.0</v>
      </c>
      <c r="B1681" s="464">
        <v>102.34</v>
      </c>
    </row>
    <row r="1682">
      <c r="A1682" s="463">
        <v>41746.0</v>
      </c>
      <c r="B1682" s="464">
        <v>103.17</v>
      </c>
    </row>
    <row r="1683">
      <c r="A1683" s="463">
        <v>41750.0</v>
      </c>
      <c r="B1683" s="464">
        <v>104.84</v>
      </c>
    </row>
    <row r="1684">
      <c r="A1684" s="463">
        <v>41751.0</v>
      </c>
      <c r="B1684" s="464">
        <v>105.15</v>
      </c>
    </row>
    <row r="1685">
      <c r="A1685" s="463">
        <v>41752.0</v>
      </c>
      <c r="B1685" s="464">
        <v>95.53</v>
      </c>
    </row>
    <row r="1686">
      <c r="A1686" s="463">
        <v>41753.0</v>
      </c>
      <c r="B1686" s="464">
        <v>96.44</v>
      </c>
    </row>
    <row r="1687">
      <c r="A1687" s="463">
        <v>41754.0</v>
      </c>
      <c r="B1687" s="464">
        <v>92.87</v>
      </c>
    </row>
    <row r="1688">
      <c r="A1688" s="463">
        <v>41757.0</v>
      </c>
      <c r="B1688" s="464">
        <v>90.06</v>
      </c>
    </row>
    <row r="1689">
      <c r="A1689" s="463">
        <v>41758.0</v>
      </c>
      <c r="B1689" s="464">
        <v>90.0</v>
      </c>
    </row>
    <row r="1690">
      <c r="A1690" s="463">
        <v>41759.0</v>
      </c>
      <c r="B1690" s="464">
        <v>92.51</v>
      </c>
    </row>
    <row r="1691">
      <c r="A1691" s="463">
        <v>41760.0</v>
      </c>
      <c r="B1691" s="464">
        <v>92.05</v>
      </c>
    </row>
    <row r="1692">
      <c r="A1692" s="463">
        <v>41761.0</v>
      </c>
      <c r="B1692" s="464">
        <v>93.68</v>
      </c>
    </row>
    <row r="1693">
      <c r="A1693" s="463">
        <v>41764.0</v>
      </c>
      <c r="B1693" s="464">
        <v>93.15</v>
      </c>
    </row>
    <row r="1694">
      <c r="A1694" s="463">
        <v>41765.0</v>
      </c>
      <c r="B1694" s="464">
        <v>93.17</v>
      </c>
    </row>
    <row r="1695">
      <c r="A1695" s="463">
        <v>41766.0</v>
      </c>
      <c r="B1695" s="464">
        <v>92.28</v>
      </c>
    </row>
    <row r="1696">
      <c r="A1696" s="463">
        <v>41767.0</v>
      </c>
      <c r="B1696" s="464">
        <v>92.67</v>
      </c>
    </row>
    <row r="1697">
      <c r="A1697" s="463">
        <v>41768.0</v>
      </c>
      <c r="B1697" s="464">
        <v>93.25</v>
      </c>
    </row>
    <row r="1698">
      <c r="A1698" s="463">
        <v>41771.0</v>
      </c>
      <c r="B1698" s="464">
        <v>95.0</v>
      </c>
    </row>
    <row r="1699">
      <c r="A1699" s="463">
        <v>41772.0</v>
      </c>
      <c r="B1699" s="464">
        <v>94.02</v>
      </c>
    </row>
    <row r="1700">
      <c r="A1700" s="463">
        <v>41773.0</v>
      </c>
      <c r="B1700" s="464">
        <v>93.73</v>
      </c>
    </row>
    <row r="1701">
      <c r="A1701" s="463">
        <v>41774.0</v>
      </c>
      <c r="B1701" s="464">
        <v>93.85</v>
      </c>
    </row>
    <row r="1702">
      <c r="A1702" s="463">
        <v>41775.0</v>
      </c>
      <c r="B1702" s="464">
        <v>94.46</v>
      </c>
    </row>
    <row r="1703">
      <c r="A1703" s="463">
        <v>41778.0</v>
      </c>
      <c r="B1703" s="464">
        <v>95.23</v>
      </c>
    </row>
    <row r="1704">
      <c r="A1704" s="463">
        <v>41779.0</v>
      </c>
      <c r="B1704" s="464">
        <v>93.33</v>
      </c>
    </row>
    <row r="1705">
      <c r="A1705" s="463">
        <v>41780.0</v>
      </c>
      <c r="B1705" s="464">
        <v>94.98</v>
      </c>
    </row>
    <row r="1706">
      <c r="A1706" s="463">
        <v>41781.0</v>
      </c>
      <c r="B1706" s="464">
        <v>96.44</v>
      </c>
    </row>
    <row r="1707">
      <c r="A1707" s="463">
        <v>41782.0</v>
      </c>
      <c r="B1707" s="464">
        <v>96.51</v>
      </c>
    </row>
    <row r="1708">
      <c r="A1708" s="463">
        <v>41786.0</v>
      </c>
      <c r="B1708" s="464">
        <v>96.79</v>
      </c>
    </row>
    <row r="1709">
      <c r="A1709" s="463">
        <v>41787.0</v>
      </c>
      <c r="B1709" s="464">
        <v>96.03</v>
      </c>
    </row>
    <row r="1710">
      <c r="A1710" s="463">
        <v>41788.0</v>
      </c>
      <c r="B1710" s="464">
        <v>98.64</v>
      </c>
    </row>
    <row r="1711">
      <c r="A1711" s="463">
        <v>41789.0</v>
      </c>
      <c r="B1711" s="464">
        <v>96.5</v>
      </c>
    </row>
    <row r="1712">
      <c r="A1712" s="463">
        <v>41792.0</v>
      </c>
      <c r="B1712" s="464">
        <v>96.79</v>
      </c>
    </row>
    <row r="1713">
      <c r="A1713" s="463">
        <v>41793.0</v>
      </c>
      <c r="B1713" s="464">
        <v>96.0</v>
      </c>
    </row>
    <row r="1714">
      <c r="A1714" s="463">
        <v>41794.0</v>
      </c>
      <c r="B1714" s="464">
        <v>96.38</v>
      </c>
    </row>
    <row r="1715">
      <c r="A1715" s="463">
        <v>41795.0</v>
      </c>
      <c r="B1715" s="464">
        <v>96.7</v>
      </c>
    </row>
    <row r="1716">
      <c r="A1716" s="463">
        <v>41796.0</v>
      </c>
      <c r="B1716" s="464">
        <v>96.97</v>
      </c>
    </row>
    <row r="1717">
      <c r="A1717" s="463">
        <v>41799.0</v>
      </c>
      <c r="B1717" s="464">
        <v>96.57</v>
      </c>
    </row>
    <row r="1718">
      <c r="A1718" s="463">
        <v>41800.0</v>
      </c>
      <c r="B1718" s="464">
        <v>96.35</v>
      </c>
    </row>
    <row r="1719">
      <c r="A1719" s="463">
        <v>41801.0</v>
      </c>
      <c r="B1719" s="464">
        <v>96.48</v>
      </c>
    </row>
    <row r="1720">
      <c r="A1720" s="463">
        <v>41802.0</v>
      </c>
      <c r="B1720" s="464">
        <v>94.11</v>
      </c>
    </row>
    <row r="1721">
      <c r="A1721" s="463">
        <v>41803.0</v>
      </c>
      <c r="B1721" s="464">
        <v>95.05</v>
      </c>
    </row>
    <row r="1722">
      <c r="A1722" s="463">
        <v>41806.0</v>
      </c>
      <c r="B1722" s="464">
        <v>95.16</v>
      </c>
    </row>
    <row r="1723">
      <c r="A1723" s="463">
        <v>41807.0</v>
      </c>
      <c r="B1723" s="464">
        <v>94.73</v>
      </c>
    </row>
    <row r="1724">
      <c r="A1724" s="463">
        <v>41808.0</v>
      </c>
      <c r="B1724" s="464">
        <v>95.28</v>
      </c>
    </row>
    <row r="1725">
      <c r="A1725" s="463">
        <v>41809.0</v>
      </c>
      <c r="B1725" s="464">
        <v>94.33</v>
      </c>
    </row>
    <row r="1726">
      <c r="A1726" s="463">
        <v>41810.0</v>
      </c>
      <c r="B1726" s="464">
        <v>93.16</v>
      </c>
    </row>
    <row r="1727">
      <c r="A1727" s="463">
        <v>41813.0</v>
      </c>
      <c r="B1727" s="464">
        <v>94.41</v>
      </c>
    </row>
    <row r="1728">
      <c r="A1728" s="463">
        <v>41814.0</v>
      </c>
      <c r="B1728" s="464">
        <v>93.72</v>
      </c>
    </row>
    <row r="1729">
      <c r="A1729" s="463">
        <v>41815.0</v>
      </c>
      <c r="B1729" s="464">
        <v>96.07</v>
      </c>
    </row>
    <row r="1730">
      <c r="A1730" s="463">
        <v>41816.0</v>
      </c>
      <c r="B1730" s="464">
        <v>97.71</v>
      </c>
    </row>
    <row r="1731">
      <c r="A1731" s="463">
        <v>41817.0</v>
      </c>
      <c r="B1731" s="464">
        <v>97.01</v>
      </c>
    </row>
    <row r="1732">
      <c r="A1732" s="463">
        <v>41820.0</v>
      </c>
      <c r="B1732" s="464">
        <v>96.81</v>
      </c>
    </row>
    <row r="1733">
      <c r="A1733" s="463">
        <v>41821.0</v>
      </c>
      <c r="B1733" s="464">
        <v>98.29</v>
      </c>
    </row>
    <row r="1734">
      <c r="A1734" s="463">
        <v>41822.0</v>
      </c>
      <c r="B1734" s="464">
        <v>97.59</v>
      </c>
    </row>
    <row r="1735">
      <c r="A1735" s="463">
        <v>41823.0</v>
      </c>
      <c r="B1735" s="464">
        <v>98.33</v>
      </c>
    </row>
    <row r="1736">
      <c r="A1736" s="463">
        <v>41827.0</v>
      </c>
      <c r="B1736" s="464">
        <v>97.09</v>
      </c>
    </row>
    <row r="1737">
      <c r="A1737" s="463">
        <v>41828.0</v>
      </c>
      <c r="B1737" s="464">
        <v>95.22</v>
      </c>
    </row>
    <row r="1738">
      <c r="A1738" s="463">
        <v>41829.0</v>
      </c>
      <c r="B1738" s="464">
        <v>94.72</v>
      </c>
    </row>
    <row r="1739">
      <c r="A1739" s="463">
        <v>41830.0</v>
      </c>
      <c r="B1739" s="464">
        <v>95.45</v>
      </c>
    </row>
    <row r="1740">
      <c r="A1740" s="463">
        <v>41831.0</v>
      </c>
      <c r="B1740" s="464">
        <v>94.16</v>
      </c>
    </row>
    <row r="1741">
      <c r="A1741" s="463">
        <v>41834.0</v>
      </c>
      <c r="B1741" s="464">
        <v>95.97</v>
      </c>
    </row>
    <row r="1742">
      <c r="A1742" s="463">
        <v>41835.0</v>
      </c>
      <c r="B1742" s="464">
        <v>94.82</v>
      </c>
    </row>
    <row r="1743">
      <c r="A1743" s="463">
        <v>41836.0</v>
      </c>
      <c r="B1743" s="464">
        <v>94.05</v>
      </c>
    </row>
    <row r="1744">
      <c r="A1744" s="463">
        <v>41837.0</v>
      </c>
      <c r="B1744" s="464">
        <v>93.13</v>
      </c>
    </row>
    <row r="1745">
      <c r="A1745" s="463">
        <v>41838.0</v>
      </c>
      <c r="B1745" s="464">
        <v>95.31</v>
      </c>
    </row>
    <row r="1746">
      <c r="A1746" s="463">
        <v>41841.0</v>
      </c>
      <c r="B1746" s="464">
        <v>92.95</v>
      </c>
    </row>
    <row r="1747">
      <c r="A1747" s="463">
        <v>41842.0</v>
      </c>
      <c r="B1747" s="464">
        <v>96.03</v>
      </c>
    </row>
    <row r="1748">
      <c r="A1748" s="463">
        <v>41843.0</v>
      </c>
      <c r="B1748" s="464">
        <v>94.52</v>
      </c>
    </row>
    <row r="1749">
      <c r="A1749" s="463">
        <v>41844.0</v>
      </c>
      <c r="B1749" s="464">
        <v>96.61</v>
      </c>
    </row>
    <row r="1750">
      <c r="A1750" s="463">
        <v>41845.0</v>
      </c>
      <c r="B1750" s="464">
        <v>97.23</v>
      </c>
    </row>
    <row r="1751">
      <c r="A1751" s="463">
        <v>41848.0</v>
      </c>
      <c r="B1751" s="464">
        <v>97.5</v>
      </c>
    </row>
    <row r="1752">
      <c r="A1752" s="463">
        <v>41849.0</v>
      </c>
      <c r="B1752" s="464">
        <v>98.61</v>
      </c>
    </row>
    <row r="1753">
      <c r="A1753" s="463">
        <v>41850.0</v>
      </c>
      <c r="B1753" s="464">
        <v>101.83</v>
      </c>
    </row>
    <row r="1754">
      <c r="A1754" s="463">
        <v>41851.0</v>
      </c>
      <c r="B1754" s="464">
        <v>99.36</v>
      </c>
    </row>
    <row r="1755">
      <c r="A1755" s="463">
        <v>41852.0</v>
      </c>
      <c r="B1755" s="464">
        <v>98.33</v>
      </c>
    </row>
    <row r="1756">
      <c r="A1756" s="463">
        <v>41855.0</v>
      </c>
      <c r="B1756" s="464">
        <v>100.03</v>
      </c>
    </row>
    <row r="1757">
      <c r="A1757" s="463">
        <v>41856.0</v>
      </c>
      <c r="B1757" s="464">
        <v>98.66</v>
      </c>
    </row>
    <row r="1758">
      <c r="A1758" s="463">
        <v>41857.0</v>
      </c>
      <c r="B1758" s="464">
        <v>100.0</v>
      </c>
    </row>
    <row r="1759">
      <c r="A1759" s="463">
        <v>41858.0</v>
      </c>
      <c r="B1759" s="464">
        <v>98.77</v>
      </c>
    </row>
    <row r="1760">
      <c r="A1760" s="463">
        <v>41859.0</v>
      </c>
      <c r="B1760" s="464">
        <v>98.61</v>
      </c>
    </row>
    <row r="1761">
      <c r="A1761" s="463">
        <v>41862.0</v>
      </c>
      <c r="B1761" s="464">
        <v>100.19</v>
      </c>
    </row>
    <row r="1762">
      <c r="A1762" s="463">
        <v>41863.0</v>
      </c>
      <c r="B1762" s="464">
        <v>99.03</v>
      </c>
    </row>
    <row r="1763">
      <c r="A1763" s="463">
        <v>41864.0</v>
      </c>
      <c r="B1763" s="464">
        <v>100.08</v>
      </c>
    </row>
    <row r="1764">
      <c r="A1764" s="463">
        <v>41865.0</v>
      </c>
      <c r="B1764" s="464">
        <v>100.92</v>
      </c>
    </row>
    <row r="1765">
      <c r="A1765" s="463">
        <v>41866.0</v>
      </c>
      <c r="B1765" s="464">
        <v>101.26</v>
      </c>
    </row>
    <row r="1766">
      <c r="A1766" s="463">
        <v>41869.0</v>
      </c>
      <c r="B1766" s="464">
        <v>103.23</v>
      </c>
    </row>
    <row r="1767">
      <c r="A1767" s="463">
        <v>41870.0</v>
      </c>
      <c r="B1767" s="464">
        <v>102.69</v>
      </c>
    </row>
    <row r="1768">
      <c r="A1768" s="463">
        <v>41871.0</v>
      </c>
      <c r="B1768" s="464">
        <v>103.64</v>
      </c>
    </row>
    <row r="1769">
      <c r="A1769" s="463">
        <v>41872.0</v>
      </c>
      <c r="B1769" s="464">
        <v>102.57</v>
      </c>
    </row>
    <row r="1770">
      <c r="A1770" s="463">
        <v>41873.0</v>
      </c>
      <c r="B1770" s="464">
        <v>102.24</v>
      </c>
    </row>
    <row r="1771">
      <c r="A1771" s="463">
        <v>41876.0</v>
      </c>
      <c r="B1771" s="464">
        <v>100.78</v>
      </c>
    </row>
    <row r="1772">
      <c r="A1772" s="463">
        <v>41877.0</v>
      </c>
      <c r="B1772" s="464">
        <v>97.8</v>
      </c>
    </row>
    <row r="1773">
      <c r="A1773" s="463">
        <v>41878.0</v>
      </c>
      <c r="B1773" s="464">
        <v>97.5</v>
      </c>
    </row>
    <row r="1774">
      <c r="A1774" s="463">
        <v>41879.0</v>
      </c>
      <c r="B1774" s="464">
        <v>97.92</v>
      </c>
    </row>
    <row r="1775">
      <c r="A1775" s="463">
        <v>41880.0</v>
      </c>
      <c r="B1775" s="464">
        <v>98.58</v>
      </c>
    </row>
    <row r="1776">
      <c r="A1776" s="463">
        <v>41884.0</v>
      </c>
      <c r="B1776" s="464">
        <v>98.98</v>
      </c>
    </row>
    <row r="1777">
      <c r="A1777" s="463">
        <v>41885.0</v>
      </c>
      <c r="B1777" s="464">
        <v>97.99</v>
      </c>
    </row>
    <row r="1778">
      <c r="A1778" s="463">
        <v>41886.0</v>
      </c>
      <c r="B1778" s="464">
        <v>96.26</v>
      </c>
    </row>
    <row r="1779">
      <c r="A1779" s="463">
        <v>41887.0</v>
      </c>
      <c r="B1779" s="464">
        <v>95.4</v>
      </c>
    </row>
    <row r="1780">
      <c r="A1780" s="463">
        <v>41890.0</v>
      </c>
      <c r="B1780" s="464">
        <v>94.59</v>
      </c>
    </row>
    <row r="1781">
      <c r="A1781" s="463">
        <v>41891.0</v>
      </c>
      <c r="B1781" s="464">
        <v>95.49</v>
      </c>
    </row>
    <row r="1782">
      <c r="A1782" s="463">
        <v>41892.0</v>
      </c>
      <c r="B1782" s="464">
        <v>97.38</v>
      </c>
    </row>
    <row r="1783">
      <c r="A1783" s="463">
        <v>41893.0</v>
      </c>
      <c r="B1783" s="464">
        <v>96.7</v>
      </c>
    </row>
    <row r="1784">
      <c r="A1784" s="463">
        <v>41894.0</v>
      </c>
      <c r="B1784" s="464">
        <v>95.75</v>
      </c>
    </row>
    <row r="1785">
      <c r="A1785" s="463">
        <v>41897.0</v>
      </c>
      <c r="B1785" s="464">
        <v>94.14</v>
      </c>
    </row>
    <row r="1786">
      <c r="A1786" s="463">
        <v>41898.0</v>
      </c>
      <c r="B1786" s="464">
        <v>95.14</v>
      </c>
    </row>
    <row r="1787">
      <c r="A1787" s="463">
        <v>41899.0</v>
      </c>
      <c r="B1787" s="464">
        <v>94.5</v>
      </c>
    </row>
    <row r="1788">
      <c r="A1788" s="463">
        <v>41900.0</v>
      </c>
      <c r="B1788" s="464">
        <v>96.34</v>
      </c>
    </row>
    <row r="1789">
      <c r="A1789" s="463">
        <v>41901.0</v>
      </c>
      <c r="B1789" s="464">
        <v>94.14</v>
      </c>
    </row>
    <row r="1790">
      <c r="A1790" s="463">
        <v>41904.0</v>
      </c>
      <c r="B1790" s="464">
        <v>96.16</v>
      </c>
    </row>
    <row r="1791">
      <c r="A1791" s="463">
        <v>41905.0</v>
      </c>
      <c r="B1791" s="464">
        <v>95.6</v>
      </c>
    </row>
    <row r="1792">
      <c r="A1792" s="463">
        <v>41906.0</v>
      </c>
      <c r="B1792" s="464">
        <v>95.42</v>
      </c>
    </row>
    <row r="1793">
      <c r="A1793" s="463">
        <v>41907.0</v>
      </c>
      <c r="B1793" s="464">
        <v>92.73</v>
      </c>
    </row>
    <row r="1794">
      <c r="A1794" s="463">
        <v>41908.0</v>
      </c>
      <c r="B1794" s="464">
        <v>94.15</v>
      </c>
    </row>
    <row r="1795">
      <c r="A1795" s="463">
        <v>41911.0</v>
      </c>
      <c r="B1795" s="464">
        <v>94.1</v>
      </c>
    </row>
    <row r="1796">
      <c r="A1796" s="463">
        <v>41912.0</v>
      </c>
      <c r="B1796" s="464">
        <v>93.84</v>
      </c>
    </row>
    <row r="1797">
      <c r="A1797" s="463">
        <v>41913.0</v>
      </c>
      <c r="B1797" s="464">
        <v>93.34</v>
      </c>
    </row>
    <row r="1798">
      <c r="A1798" s="463">
        <v>41914.0</v>
      </c>
      <c r="B1798" s="464">
        <v>94.15</v>
      </c>
    </row>
    <row r="1799">
      <c r="A1799" s="463">
        <v>41915.0</v>
      </c>
      <c r="B1799" s="464">
        <v>94.05</v>
      </c>
    </row>
    <row r="1800">
      <c r="A1800" s="463">
        <v>41918.0</v>
      </c>
      <c r="B1800" s="464">
        <v>93.17</v>
      </c>
    </row>
    <row r="1801">
      <c r="A1801" s="463">
        <v>41919.0</v>
      </c>
      <c r="B1801" s="464">
        <v>91.42</v>
      </c>
    </row>
    <row r="1802">
      <c r="A1802" s="463">
        <v>41920.0</v>
      </c>
      <c r="B1802" s="464">
        <v>92.98</v>
      </c>
    </row>
    <row r="1803">
      <c r="A1803" s="463">
        <v>41921.0</v>
      </c>
      <c r="B1803" s="464">
        <v>92.74</v>
      </c>
    </row>
    <row r="1804">
      <c r="A1804" s="463">
        <v>41922.0</v>
      </c>
      <c r="B1804" s="464">
        <v>90.48</v>
      </c>
    </row>
    <row r="1805">
      <c r="A1805" s="463">
        <v>41925.0</v>
      </c>
      <c r="B1805" s="464">
        <v>90.48</v>
      </c>
    </row>
    <row r="1806">
      <c r="A1806" s="463">
        <v>41926.0</v>
      </c>
      <c r="B1806" s="464">
        <v>89.43</v>
      </c>
    </row>
    <row r="1807">
      <c r="A1807" s="463">
        <v>41927.0</v>
      </c>
      <c r="B1807" s="464">
        <v>89.57</v>
      </c>
    </row>
    <row r="1808">
      <c r="A1808" s="463">
        <v>41928.0</v>
      </c>
      <c r="B1808" s="464">
        <v>88.6</v>
      </c>
    </row>
    <row r="1809">
      <c r="A1809" s="463">
        <v>41929.0</v>
      </c>
      <c r="B1809" s="464">
        <v>89.35</v>
      </c>
    </row>
    <row r="1810">
      <c r="A1810" s="463">
        <v>41932.0</v>
      </c>
      <c r="B1810" s="464">
        <v>87.66</v>
      </c>
    </row>
    <row r="1811">
      <c r="A1811" s="463">
        <v>41933.0</v>
      </c>
      <c r="B1811" s="464">
        <v>88.19</v>
      </c>
    </row>
    <row r="1812">
      <c r="A1812" s="463">
        <v>41934.0</v>
      </c>
      <c r="B1812" s="464">
        <v>81.95</v>
      </c>
    </row>
    <row r="1813">
      <c r="A1813" s="463">
        <v>41935.0</v>
      </c>
      <c r="B1813" s="464">
        <v>82.53</v>
      </c>
    </row>
    <row r="1814">
      <c r="A1814" s="463">
        <v>41936.0</v>
      </c>
      <c r="B1814" s="464">
        <v>83.84</v>
      </c>
    </row>
    <row r="1815">
      <c r="A1815" s="463">
        <v>41939.0</v>
      </c>
      <c r="B1815" s="464">
        <v>83.96</v>
      </c>
    </row>
    <row r="1816">
      <c r="A1816" s="463">
        <v>41940.0</v>
      </c>
      <c r="B1816" s="464">
        <v>85.4</v>
      </c>
    </row>
    <row r="1817">
      <c r="A1817" s="463">
        <v>41941.0</v>
      </c>
      <c r="B1817" s="464">
        <v>83.81</v>
      </c>
    </row>
    <row r="1818">
      <c r="A1818" s="463">
        <v>41942.0</v>
      </c>
      <c r="B1818" s="464">
        <v>83.67</v>
      </c>
    </row>
    <row r="1819">
      <c r="A1819" s="463">
        <v>41943.0</v>
      </c>
      <c r="B1819" s="464">
        <v>83.57</v>
      </c>
    </row>
    <row r="1820">
      <c r="A1820" s="463">
        <v>41946.0</v>
      </c>
      <c r="B1820" s="464">
        <v>84.27</v>
      </c>
    </row>
    <row r="1821">
      <c r="A1821" s="463">
        <v>41947.0</v>
      </c>
      <c r="B1821" s="464">
        <v>83.54</v>
      </c>
    </row>
    <row r="1822">
      <c r="A1822" s="463">
        <v>41948.0</v>
      </c>
      <c r="B1822" s="464">
        <v>83.71</v>
      </c>
    </row>
    <row r="1823">
      <c r="A1823" s="463">
        <v>41949.0</v>
      </c>
      <c r="B1823" s="464">
        <v>83.57</v>
      </c>
    </row>
    <row r="1824">
      <c r="A1824" s="463">
        <v>41950.0</v>
      </c>
      <c r="B1824" s="464">
        <v>83.14</v>
      </c>
    </row>
    <row r="1825">
      <c r="A1825" s="463">
        <v>41953.0</v>
      </c>
      <c r="B1825" s="464">
        <v>84.33</v>
      </c>
    </row>
    <row r="1826">
      <c r="A1826" s="463">
        <v>41954.0</v>
      </c>
      <c r="B1826" s="464">
        <v>84.33</v>
      </c>
    </row>
    <row r="1827">
      <c r="A1827" s="463">
        <v>41955.0</v>
      </c>
      <c r="B1827" s="464">
        <v>86.5</v>
      </c>
    </row>
    <row r="1828">
      <c r="A1828" s="463">
        <v>41956.0</v>
      </c>
      <c r="B1828" s="464">
        <v>85.58</v>
      </c>
    </row>
    <row r="1829">
      <c r="A1829" s="463">
        <v>41957.0</v>
      </c>
      <c r="B1829" s="464">
        <v>86.33</v>
      </c>
    </row>
    <row r="1830">
      <c r="A1830" s="463">
        <v>41960.0</v>
      </c>
      <c r="B1830" s="464">
        <v>86.64</v>
      </c>
    </row>
    <row r="1831">
      <c r="A1831" s="463">
        <v>41961.0</v>
      </c>
      <c r="B1831" s="464">
        <v>86.29</v>
      </c>
    </row>
    <row r="1832">
      <c r="A1832" s="463">
        <v>41962.0</v>
      </c>
      <c r="B1832" s="464">
        <v>83.89</v>
      </c>
    </row>
    <row r="1833">
      <c r="A1833" s="463">
        <v>41963.0</v>
      </c>
      <c r="B1833" s="464">
        <v>82.93</v>
      </c>
    </row>
    <row r="1834">
      <c r="A1834" s="463">
        <v>41964.0</v>
      </c>
      <c r="B1834" s="464">
        <v>85.26</v>
      </c>
    </row>
    <row r="1835">
      <c r="A1835" s="463">
        <v>41967.0</v>
      </c>
      <c r="B1835" s="464">
        <v>84.96</v>
      </c>
    </row>
    <row r="1836">
      <c r="A1836" s="463">
        <v>41968.0</v>
      </c>
      <c r="B1836" s="464">
        <v>86.91</v>
      </c>
    </row>
    <row r="1837">
      <c r="A1837" s="463">
        <v>41969.0</v>
      </c>
      <c r="B1837" s="464">
        <v>88.28</v>
      </c>
    </row>
    <row r="1838">
      <c r="A1838" s="463">
        <v>41971.0</v>
      </c>
      <c r="B1838" s="464">
        <v>87.96</v>
      </c>
    </row>
    <row r="1839">
      <c r="A1839" s="463">
        <v>41974.0</v>
      </c>
      <c r="B1839" s="464">
        <v>87.01</v>
      </c>
    </row>
    <row r="1840">
      <c r="A1840" s="463">
        <v>41975.0</v>
      </c>
      <c r="B1840" s="464">
        <v>84.61</v>
      </c>
    </row>
    <row r="1841">
      <c r="A1841" s="463">
        <v>41976.0</v>
      </c>
      <c r="B1841" s="464">
        <v>85.28</v>
      </c>
    </row>
    <row r="1842">
      <c r="A1842" s="463">
        <v>41977.0</v>
      </c>
      <c r="B1842" s="464">
        <v>84.14</v>
      </c>
    </row>
    <row r="1843">
      <c r="A1843" s="463">
        <v>41978.0</v>
      </c>
      <c r="B1843" s="464">
        <v>84.03</v>
      </c>
    </row>
    <row r="1844">
      <c r="A1844" s="463">
        <v>41981.0</v>
      </c>
      <c r="B1844" s="464">
        <v>82.26</v>
      </c>
    </row>
    <row r="1845">
      <c r="A1845" s="463">
        <v>41982.0</v>
      </c>
      <c r="B1845" s="464">
        <v>81.33</v>
      </c>
    </row>
    <row r="1846">
      <c r="A1846" s="463">
        <v>41983.0</v>
      </c>
      <c r="B1846" s="464">
        <v>79.88</v>
      </c>
    </row>
    <row r="1847">
      <c r="A1847" s="463">
        <v>41984.0</v>
      </c>
      <c r="B1847" s="464">
        <v>78.13</v>
      </c>
    </row>
    <row r="1848">
      <c r="A1848" s="463">
        <v>41985.0</v>
      </c>
      <c r="B1848" s="464">
        <v>76.73</v>
      </c>
    </row>
    <row r="1849">
      <c r="A1849" s="463">
        <v>41988.0</v>
      </c>
      <c r="B1849" s="464">
        <v>76.43</v>
      </c>
    </row>
    <row r="1850">
      <c r="A1850" s="463">
        <v>41989.0</v>
      </c>
      <c r="B1850" s="464">
        <v>76.73</v>
      </c>
    </row>
    <row r="1851">
      <c r="A1851" s="463">
        <v>41990.0</v>
      </c>
      <c r="B1851" s="464">
        <v>78.65</v>
      </c>
    </row>
    <row r="1852">
      <c r="A1852" s="463">
        <v>41991.0</v>
      </c>
      <c r="B1852" s="464">
        <v>83.6</v>
      </c>
    </row>
    <row r="1853">
      <c r="A1853" s="463">
        <v>41992.0</v>
      </c>
      <c r="B1853" s="464">
        <v>83.99</v>
      </c>
    </row>
    <row r="1854">
      <c r="A1854" s="463">
        <v>41995.0</v>
      </c>
      <c r="B1854" s="464">
        <v>83.73</v>
      </c>
    </row>
    <row r="1855">
      <c r="A1855" s="463">
        <v>41996.0</v>
      </c>
      <c r="B1855" s="464">
        <v>83.95</v>
      </c>
    </row>
    <row r="1856">
      <c r="A1856" s="463">
        <v>41997.0</v>
      </c>
      <c r="B1856" s="464">
        <v>84.23</v>
      </c>
    </row>
    <row r="1857">
      <c r="A1857" s="463">
        <v>41999.0</v>
      </c>
      <c r="B1857" s="464">
        <v>84.26</v>
      </c>
    </row>
    <row r="1858">
      <c r="A1858" s="463">
        <v>42002.0</v>
      </c>
      <c r="B1858" s="464">
        <v>83.39</v>
      </c>
    </row>
    <row r="1859">
      <c r="A1859" s="463">
        <v>42003.0</v>
      </c>
      <c r="B1859" s="464">
        <v>82.67</v>
      </c>
    </row>
    <row r="1860">
      <c r="A1860" s="463">
        <v>42004.0</v>
      </c>
      <c r="B1860" s="464">
        <v>82.52</v>
      </c>
    </row>
    <row r="1861">
      <c r="A1861" s="463">
        <v>42006.0</v>
      </c>
      <c r="B1861" s="464">
        <v>82.07</v>
      </c>
    </row>
    <row r="1862">
      <c r="A1862" s="463">
        <v>42009.0</v>
      </c>
      <c r="B1862" s="464">
        <v>81.03</v>
      </c>
    </row>
    <row r="1863">
      <c r="A1863" s="463">
        <v>42010.0</v>
      </c>
      <c r="B1863" s="464">
        <v>78.79</v>
      </c>
    </row>
    <row r="1864">
      <c r="A1864" s="463">
        <v>42011.0</v>
      </c>
      <c r="B1864" s="464">
        <v>78.85</v>
      </c>
    </row>
    <row r="1865">
      <c r="A1865" s="463">
        <v>42012.0</v>
      </c>
      <c r="B1865" s="464">
        <v>79.78</v>
      </c>
    </row>
    <row r="1866">
      <c r="A1866" s="463">
        <v>42013.0</v>
      </c>
      <c r="B1866" s="464">
        <v>78.9</v>
      </c>
    </row>
    <row r="1867">
      <c r="A1867" s="463">
        <v>42016.0</v>
      </c>
      <c r="B1867" s="464">
        <v>80.74</v>
      </c>
    </row>
    <row r="1868">
      <c r="A1868" s="463">
        <v>42017.0</v>
      </c>
      <c r="B1868" s="464">
        <v>80.0</v>
      </c>
    </row>
    <row r="1869">
      <c r="A1869" s="463">
        <v>42018.0</v>
      </c>
      <c r="B1869" s="464">
        <v>77.74</v>
      </c>
    </row>
    <row r="1870">
      <c r="A1870" s="463">
        <v>42019.0</v>
      </c>
      <c r="B1870" s="464">
        <v>79.16</v>
      </c>
    </row>
    <row r="1871">
      <c r="A1871" s="463">
        <v>42020.0</v>
      </c>
      <c r="B1871" s="464">
        <v>80.61</v>
      </c>
    </row>
    <row r="1872">
      <c r="A1872" s="463">
        <v>42024.0</v>
      </c>
      <c r="B1872" s="464">
        <v>80.64</v>
      </c>
    </row>
    <row r="1873">
      <c r="A1873" s="463">
        <v>42025.0</v>
      </c>
      <c r="B1873" s="464">
        <v>79.96</v>
      </c>
    </row>
    <row r="1874">
      <c r="A1874" s="463">
        <v>42026.0</v>
      </c>
      <c r="B1874" s="464">
        <v>82.15</v>
      </c>
    </row>
    <row r="1875">
      <c r="A1875" s="463">
        <v>42027.0</v>
      </c>
      <c r="B1875" s="464">
        <v>82.98</v>
      </c>
    </row>
    <row r="1876">
      <c r="A1876" s="463">
        <v>42030.0</v>
      </c>
      <c r="B1876" s="464">
        <v>82.46</v>
      </c>
    </row>
    <row r="1877">
      <c r="A1877" s="463">
        <v>42031.0</v>
      </c>
      <c r="B1877" s="464">
        <v>80.61</v>
      </c>
    </row>
    <row r="1878">
      <c r="A1878" s="463">
        <v>42032.0</v>
      </c>
      <c r="B1878" s="464">
        <v>75.06</v>
      </c>
    </row>
    <row r="1879">
      <c r="A1879" s="463">
        <v>42033.0</v>
      </c>
      <c r="B1879" s="464">
        <v>76.19</v>
      </c>
    </row>
    <row r="1880">
      <c r="A1880" s="463">
        <v>42034.0</v>
      </c>
      <c r="B1880" s="464">
        <v>77.1</v>
      </c>
    </row>
    <row r="1881">
      <c r="A1881" s="463">
        <v>42037.0</v>
      </c>
      <c r="B1881" s="464">
        <v>79.22</v>
      </c>
    </row>
    <row r="1882">
      <c r="A1882" s="463">
        <v>42038.0</v>
      </c>
      <c r="B1882" s="464">
        <v>80.03</v>
      </c>
    </row>
    <row r="1883">
      <c r="A1883" s="463">
        <v>42039.0</v>
      </c>
      <c r="B1883" s="464">
        <v>80.73</v>
      </c>
    </row>
    <row r="1884">
      <c r="A1884" s="463">
        <v>42040.0</v>
      </c>
      <c r="B1884" s="464">
        <v>79.44</v>
      </c>
    </row>
    <row r="1885">
      <c r="A1885" s="463">
        <v>42041.0</v>
      </c>
      <c r="B1885" s="464">
        <v>78.58</v>
      </c>
    </row>
    <row r="1886">
      <c r="A1886" s="463">
        <v>42044.0</v>
      </c>
      <c r="B1886" s="464">
        <v>77.51</v>
      </c>
    </row>
    <row r="1887">
      <c r="A1887" s="463">
        <v>42045.0</v>
      </c>
      <c r="B1887" s="464">
        <v>78.77</v>
      </c>
    </row>
    <row r="1888">
      <c r="A1888" s="463">
        <v>42046.0</v>
      </c>
      <c r="B1888" s="464">
        <v>81.65</v>
      </c>
    </row>
    <row r="1889">
      <c r="A1889" s="463">
        <v>42047.0</v>
      </c>
      <c r="B1889" s="464">
        <v>83.62</v>
      </c>
    </row>
    <row r="1890">
      <c r="A1890" s="463">
        <v>42048.0</v>
      </c>
      <c r="B1890" s="464">
        <v>84.68</v>
      </c>
    </row>
    <row r="1891">
      <c r="A1891" s="463">
        <v>42052.0</v>
      </c>
      <c r="B1891" s="464">
        <v>83.94</v>
      </c>
    </row>
    <row r="1892">
      <c r="A1892" s="463">
        <v>42053.0</v>
      </c>
      <c r="B1892" s="464">
        <v>84.74</v>
      </c>
    </row>
    <row r="1893">
      <c r="A1893" s="463">
        <v>42054.0</v>
      </c>
      <c r="B1893" s="464">
        <v>84.68</v>
      </c>
    </row>
    <row r="1894">
      <c r="A1894" s="463">
        <v>42055.0</v>
      </c>
      <c r="B1894" s="464">
        <v>85.16</v>
      </c>
    </row>
    <row r="1895">
      <c r="A1895" s="463">
        <v>42058.0</v>
      </c>
      <c r="B1895" s="464">
        <v>83.3</v>
      </c>
    </row>
    <row r="1896">
      <c r="A1896" s="463">
        <v>42059.0</v>
      </c>
      <c r="B1896" s="464">
        <v>83.4</v>
      </c>
    </row>
    <row r="1897">
      <c r="A1897" s="463">
        <v>42060.0</v>
      </c>
      <c r="B1897" s="464">
        <v>84.5</v>
      </c>
    </row>
    <row r="1898">
      <c r="A1898" s="463">
        <v>42061.0</v>
      </c>
      <c r="B1898" s="464">
        <v>83.98</v>
      </c>
    </row>
    <row r="1899">
      <c r="A1899" s="463">
        <v>42062.0</v>
      </c>
      <c r="B1899" s="464">
        <v>85.07</v>
      </c>
    </row>
    <row r="1900">
      <c r="A1900" s="463">
        <v>42065.0</v>
      </c>
      <c r="B1900" s="464">
        <v>86.59</v>
      </c>
    </row>
    <row r="1901">
      <c r="A1901" s="463">
        <v>42066.0</v>
      </c>
      <c r="B1901" s="464">
        <v>85.97</v>
      </c>
    </row>
    <row r="1902">
      <c r="A1902" s="463">
        <v>42067.0</v>
      </c>
      <c r="B1902" s="464">
        <v>86.08</v>
      </c>
    </row>
    <row r="1903">
      <c r="A1903" s="463">
        <v>42068.0</v>
      </c>
      <c r="B1903" s="464">
        <v>86.59</v>
      </c>
    </row>
    <row r="1904">
      <c r="A1904" s="463">
        <v>42069.0</v>
      </c>
      <c r="B1904" s="464">
        <v>85.19</v>
      </c>
    </row>
    <row r="1905">
      <c r="A1905" s="463">
        <v>42072.0</v>
      </c>
      <c r="B1905" s="464">
        <v>84.78</v>
      </c>
    </row>
    <row r="1906">
      <c r="A1906" s="463">
        <v>42073.0</v>
      </c>
      <c r="B1906" s="464">
        <v>83.09</v>
      </c>
    </row>
    <row r="1907">
      <c r="A1907" s="463">
        <v>42074.0</v>
      </c>
      <c r="B1907" s="464">
        <v>81.01</v>
      </c>
    </row>
    <row r="1908">
      <c r="A1908" s="463">
        <v>42075.0</v>
      </c>
      <c r="B1908" s="464">
        <v>81.3</v>
      </c>
    </row>
    <row r="1909">
      <c r="A1909" s="463">
        <v>42076.0</v>
      </c>
      <c r="B1909" s="464">
        <v>81.15</v>
      </c>
    </row>
    <row r="1910">
      <c r="A1910" s="463">
        <v>42079.0</v>
      </c>
      <c r="B1910" s="464">
        <v>81.56</v>
      </c>
    </row>
    <row r="1911">
      <c r="A1911" s="463">
        <v>42080.0</v>
      </c>
      <c r="B1911" s="464">
        <v>81.95</v>
      </c>
    </row>
    <row r="1912">
      <c r="A1912" s="463">
        <v>42081.0</v>
      </c>
      <c r="B1912" s="464">
        <v>82.99</v>
      </c>
    </row>
    <row r="1913">
      <c r="A1913" s="463">
        <v>42082.0</v>
      </c>
      <c r="B1913" s="464">
        <v>81.77</v>
      </c>
    </row>
    <row r="1914">
      <c r="A1914" s="463">
        <v>42083.0</v>
      </c>
      <c r="B1914" s="464">
        <v>82.82</v>
      </c>
    </row>
    <row r="1915">
      <c r="A1915" s="463">
        <v>42086.0</v>
      </c>
      <c r="B1915" s="464">
        <v>83.27</v>
      </c>
    </row>
    <row r="1916">
      <c r="A1916" s="463">
        <v>42087.0</v>
      </c>
      <c r="B1916" s="464">
        <v>84.28</v>
      </c>
    </row>
    <row r="1917">
      <c r="A1917" s="463">
        <v>42088.0</v>
      </c>
      <c r="B1917" s="464">
        <v>82.03</v>
      </c>
    </row>
    <row r="1918">
      <c r="A1918" s="463">
        <v>42089.0</v>
      </c>
      <c r="B1918" s="464">
        <v>82.28</v>
      </c>
    </row>
    <row r="1919">
      <c r="A1919" s="463">
        <v>42090.0</v>
      </c>
      <c r="B1919" s="464">
        <v>82.06</v>
      </c>
    </row>
    <row r="1920">
      <c r="A1920" s="463">
        <v>42093.0</v>
      </c>
      <c r="B1920" s="464">
        <v>82.98</v>
      </c>
    </row>
    <row r="1921">
      <c r="A1921" s="463">
        <v>42094.0</v>
      </c>
      <c r="B1921" s="464">
        <v>82.01</v>
      </c>
    </row>
    <row r="1922">
      <c r="A1922" s="463">
        <v>42095.0</v>
      </c>
      <c r="B1922" s="464">
        <v>82.1</v>
      </c>
    </row>
    <row r="1923">
      <c r="A1923" s="463">
        <v>42096.0</v>
      </c>
      <c r="B1923" s="464">
        <v>80.36</v>
      </c>
    </row>
    <row r="1924">
      <c r="A1924" s="463">
        <v>42100.0</v>
      </c>
      <c r="B1924" s="464">
        <v>83.4</v>
      </c>
    </row>
    <row r="1925">
      <c r="A1925" s="463">
        <v>42101.0</v>
      </c>
      <c r="B1925" s="464">
        <v>83.48</v>
      </c>
    </row>
    <row r="1926">
      <c r="A1926" s="463">
        <v>42102.0</v>
      </c>
      <c r="B1926" s="464">
        <v>82.58</v>
      </c>
    </row>
    <row r="1927">
      <c r="A1927" s="463">
        <v>42103.0</v>
      </c>
      <c r="B1927" s="464">
        <v>82.0</v>
      </c>
    </row>
    <row r="1928">
      <c r="A1928" s="463">
        <v>42104.0</v>
      </c>
      <c r="B1928" s="464">
        <v>83.38</v>
      </c>
    </row>
    <row r="1929">
      <c r="A1929" s="463">
        <v>42107.0</v>
      </c>
      <c r="B1929" s="464">
        <v>83.1</v>
      </c>
    </row>
    <row r="1930">
      <c r="A1930" s="463">
        <v>42108.0</v>
      </c>
      <c r="B1930" s="464">
        <v>84.04</v>
      </c>
    </row>
    <row r="1931">
      <c r="A1931" s="463">
        <v>42109.0</v>
      </c>
      <c r="B1931" s="464">
        <v>85.06</v>
      </c>
    </row>
    <row r="1932">
      <c r="A1932" s="463">
        <v>42110.0</v>
      </c>
      <c r="B1932" s="464">
        <v>84.64</v>
      </c>
    </row>
    <row r="1933">
      <c r="A1933" s="463">
        <v>42111.0</v>
      </c>
      <c r="B1933" s="464">
        <v>85.07</v>
      </c>
    </row>
    <row r="1934">
      <c r="A1934" s="463">
        <v>42114.0</v>
      </c>
      <c r="B1934" s="464">
        <v>84.27</v>
      </c>
    </row>
    <row r="1935">
      <c r="A1935" s="463">
        <v>42115.0</v>
      </c>
      <c r="B1935" s="464">
        <v>85.4</v>
      </c>
    </row>
    <row r="1936">
      <c r="A1936" s="463">
        <v>42116.0</v>
      </c>
      <c r="B1936" s="464">
        <v>90.97</v>
      </c>
    </row>
    <row r="1937">
      <c r="A1937" s="463">
        <v>42117.0</v>
      </c>
      <c r="B1937" s="464">
        <v>89.09</v>
      </c>
    </row>
    <row r="1938">
      <c r="A1938" s="463">
        <v>42118.0</v>
      </c>
      <c r="B1938" s="464">
        <v>88.23</v>
      </c>
    </row>
    <row r="1939">
      <c r="A1939" s="463">
        <v>42121.0</v>
      </c>
      <c r="B1939" s="464">
        <v>88.99</v>
      </c>
    </row>
    <row r="1940">
      <c r="A1940" s="463">
        <v>42122.0</v>
      </c>
      <c r="B1940" s="464">
        <v>89.68</v>
      </c>
    </row>
    <row r="1941">
      <c r="A1941" s="463">
        <v>42123.0</v>
      </c>
      <c r="B1941" s="464">
        <v>89.12</v>
      </c>
    </row>
    <row r="1942">
      <c r="A1942" s="463">
        <v>42124.0</v>
      </c>
      <c r="B1942" s="464">
        <v>88.1</v>
      </c>
    </row>
    <row r="1943">
      <c r="A1943" s="463">
        <v>42125.0</v>
      </c>
      <c r="B1943" s="464">
        <v>87.47</v>
      </c>
    </row>
    <row r="1944">
      <c r="A1944" s="463">
        <v>42128.0</v>
      </c>
      <c r="B1944" s="464">
        <v>87.69</v>
      </c>
    </row>
    <row r="1945">
      <c r="A1945" s="463">
        <v>42129.0</v>
      </c>
      <c r="B1945" s="464">
        <v>87.7</v>
      </c>
    </row>
    <row r="1946">
      <c r="A1946" s="463">
        <v>42130.0</v>
      </c>
      <c r="B1946" s="464">
        <v>86.79</v>
      </c>
    </row>
    <row r="1947">
      <c r="A1947" s="463">
        <v>42131.0</v>
      </c>
      <c r="B1947" s="464">
        <v>86.35</v>
      </c>
    </row>
    <row r="1948">
      <c r="A1948" s="463">
        <v>42132.0</v>
      </c>
      <c r="B1948" s="464">
        <v>88.0</v>
      </c>
    </row>
    <row r="1949">
      <c r="A1949" s="463">
        <v>42135.0</v>
      </c>
      <c r="B1949" s="464">
        <v>89.57</v>
      </c>
    </row>
    <row r="1950">
      <c r="A1950" s="463">
        <v>42136.0</v>
      </c>
      <c r="B1950" s="464">
        <v>87.81</v>
      </c>
    </row>
    <row r="1951">
      <c r="A1951" s="463">
        <v>42137.0</v>
      </c>
      <c r="B1951" s="464">
        <v>87.59</v>
      </c>
    </row>
    <row r="1952">
      <c r="A1952" s="463">
        <v>42138.0</v>
      </c>
      <c r="B1952" s="464">
        <v>87.94</v>
      </c>
    </row>
    <row r="1953">
      <c r="A1953" s="463">
        <v>42139.0</v>
      </c>
      <c r="B1953" s="464">
        <v>87.5</v>
      </c>
    </row>
    <row r="1954">
      <c r="A1954" s="463">
        <v>42142.0</v>
      </c>
      <c r="B1954" s="464">
        <v>87.78</v>
      </c>
    </row>
    <row r="1955">
      <c r="A1955" s="463">
        <v>42143.0</v>
      </c>
      <c r="B1955" s="464">
        <v>87.64</v>
      </c>
    </row>
    <row r="1956">
      <c r="A1956" s="463">
        <v>42144.0</v>
      </c>
      <c r="B1956" s="464">
        <v>87.52</v>
      </c>
    </row>
    <row r="1957">
      <c r="A1957" s="463">
        <v>42145.0</v>
      </c>
      <c r="B1957" s="464">
        <v>87.15</v>
      </c>
    </row>
    <row r="1958">
      <c r="A1958" s="463">
        <v>42146.0</v>
      </c>
      <c r="B1958" s="464">
        <v>87.72</v>
      </c>
    </row>
    <row r="1959">
      <c r="A1959" s="463">
        <v>42150.0</v>
      </c>
      <c r="B1959" s="464">
        <v>86.84</v>
      </c>
    </row>
    <row r="1960">
      <c r="A1960" s="463">
        <v>42151.0</v>
      </c>
      <c r="B1960" s="464">
        <v>86.54</v>
      </c>
    </row>
    <row r="1961">
      <c r="A1961" s="463">
        <v>42152.0</v>
      </c>
      <c r="B1961" s="464">
        <v>87.12</v>
      </c>
    </row>
    <row r="1962">
      <c r="A1962" s="463">
        <v>42153.0</v>
      </c>
      <c r="B1962" s="464">
        <v>87.32</v>
      </c>
    </row>
    <row r="1963">
      <c r="A1963" s="463">
        <v>42156.0</v>
      </c>
      <c r="B1963" s="464">
        <v>87.21</v>
      </c>
    </row>
    <row r="1964">
      <c r="A1964" s="463">
        <v>42157.0</v>
      </c>
      <c r="B1964" s="464">
        <v>87.72</v>
      </c>
    </row>
    <row r="1965">
      <c r="A1965" s="463">
        <v>42158.0</v>
      </c>
      <c r="B1965" s="464">
        <v>89.05</v>
      </c>
    </row>
    <row r="1966">
      <c r="A1966" s="463">
        <v>42159.0</v>
      </c>
      <c r="B1966" s="464">
        <v>88.44</v>
      </c>
    </row>
    <row r="1967">
      <c r="A1967" s="463">
        <v>42160.0</v>
      </c>
      <c r="B1967" s="464">
        <v>89.45</v>
      </c>
    </row>
    <row r="1968">
      <c r="A1968" s="463">
        <v>42163.0</v>
      </c>
      <c r="B1968" s="464">
        <v>88.23</v>
      </c>
    </row>
    <row r="1969">
      <c r="A1969" s="463">
        <v>42164.0</v>
      </c>
      <c r="B1969" s="464">
        <v>87.94</v>
      </c>
    </row>
    <row r="1970">
      <c r="A1970" s="463">
        <v>42165.0</v>
      </c>
      <c r="B1970" s="464">
        <v>90.72</v>
      </c>
    </row>
    <row r="1971">
      <c r="A1971" s="463">
        <v>42166.0</v>
      </c>
      <c r="B1971" s="464">
        <v>89.36</v>
      </c>
    </row>
    <row r="1972">
      <c r="A1972" s="463">
        <v>42167.0</v>
      </c>
      <c r="B1972" s="464">
        <v>88.91</v>
      </c>
    </row>
    <row r="1973">
      <c r="A1973" s="463">
        <v>42170.0</v>
      </c>
      <c r="B1973" s="464">
        <v>88.41</v>
      </c>
    </row>
    <row r="1974">
      <c r="A1974" s="463">
        <v>42171.0</v>
      </c>
      <c r="B1974" s="464">
        <v>89.35</v>
      </c>
    </row>
    <row r="1975">
      <c r="A1975" s="463">
        <v>42172.0</v>
      </c>
      <c r="B1975" s="464">
        <v>89.96</v>
      </c>
    </row>
    <row r="1976">
      <c r="A1976" s="463">
        <v>42173.0</v>
      </c>
      <c r="B1976" s="464">
        <v>89.16</v>
      </c>
    </row>
    <row r="1977">
      <c r="A1977" s="463">
        <v>42174.0</v>
      </c>
      <c r="B1977" s="464">
        <v>88.75</v>
      </c>
    </row>
    <row r="1978">
      <c r="A1978" s="463">
        <v>42177.0</v>
      </c>
      <c r="B1978" s="464">
        <v>89.89</v>
      </c>
    </row>
    <row r="1979">
      <c r="A1979" s="463">
        <v>42178.0</v>
      </c>
      <c r="B1979" s="464">
        <v>90.69</v>
      </c>
    </row>
    <row r="1980">
      <c r="A1980" s="463">
        <v>42179.0</v>
      </c>
      <c r="B1980" s="464">
        <v>90.36</v>
      </c>
    </row>
    <row r="1981">
      <c r="A1981" s="463">
        <v>42180.0</v>
      </c>
      <c r="B1981" s="464">
        <v>89.34</v>
      </c>
    </row>
    <row r="1982">
      <c r="A1982" s="463">
        <v>42181.0</v>
      </c>
      <c r="B1982" s="464">
        <v>87.59</v>
      </c>
    </row>
    <row r="1983">
      <c r="A1983" s="463">
        <v>42184.0</v>
      </c>
      <c r="B1983" s="464">
        <v>85.85</v>
      </c>
    </row>
    <row r="1984">
      <c r="A1984" s="463">
        <v>42185.0</v>
      </c>
      <c r="B1984" s="464">
        <v>85.74</v>
      </c>
    </row>
    <row r="1985">
      <c r="A1985" s="463">
        <v>42186.0</v>
      </c>
      <c r="B1985" s="464">
        <v>84.86</v>
      </c>
    </row>
    <row r="1986">
      <c r="A1986" s="463">
        <v>42187.0</v>
      </c>
      <c r="B1986" s="464">
        <v>85.2</v>
      </c>
    </row>
    <row r="1987">
      <c r="A1987" s="463">
        <v>42191.0</v>
      </c>
      <c r="B1987" s="464">
        <v>83.06</v>
      </c>
    </row>
    <row r="1988">
      <c r="A1988" s="463">
        <v>42192.0</v>
      </c>
      <c r="B1988" s="464">
        <v>82.98</v>
      </c>
    </row>
    <row r="1989">
      <c r="A1989" s="463">
        <v>42193.0</v>
      </c>
      <c r="B1989" s="464">
        <v>81.9</v>
      </c>
    </row>
    <row r="1990">
      <c r="A1990" s="463">
        <v>42194.0</v>
      </c>
      <c r="B1990" s="464">
        <v>81.61</v>
      </c>
    </row>
    <row r="1991">
      <c r="A1991" s="463">
        <v>42195.0</v>
      </c>
      <c r="B1991" s="464">
        <v>82.07</v>
      </c>
    </row>
    <row r="1992">
      <c r="A1992" s="463">
        <v>42198.0</v>
      </c>
      <c r="B1992" s="464">
        <v>83.8</v>
      </c>
    </row>
    <row r="1993">
      <c r="A1993" s="463">
        <v>42199.0</v>
      </c>
      <c r="B1993" s="464">
        <v>84.31</v>
      </c>
    </row>
    <row r="1994">
      <c r="A1994" s="463">
        <v>42200.0</v>
      </c>
      <c r="B1994" s="464">
        <v>84.17</v>
      </c>
    </row>
    <row r="1995">
      <c r="A1995" s="463">
        <v>42201.0</v>
      </c>
      <c r="B1995" s="464">
        <v>85.04</v>
      </c>
    </row>
    <row r="1996">
      <c r="A1996" s="463">
        <v>42202.0</v>
      </c>
      <c r="B1996" s="464">
        <v>84.54</v>
      </c>
    </row>
    <row r="1997">
      <c r="A1997" s="463">
        <v>42205.0</v>
      </c>
      <c r="B1997" s="464">
        <v>84.02</v>
      </c>
    </row>
    <row r="1998">
      <c r="A1998" s="463">
        <v>42206.0</v>
      </c>
      <c r="B1998" s="464">
        <v>83.19</v>
      </c>
    </row>
    <row r="1999">
      <c r="A1999" s="463">
        <v>42207.0</v>
      </c>
      <c r="B1999" s="464">
        <v>86.11</v>
      </c>
    </row>
    <row r="2000">
      <c r="A2000" s="463">
        <v>42208.0</v>
      </c>
      <c r="B2000" s="464">
        <v>87.3</v>
      </c>
    </row>
    <row r="2001">
      <c r="A2001" s="463">
        <v>42209.0</v>
      </c>
      <c r="B2001" s="464">
        <v>86.9</v>
      </c>
    </row>
    <row r="2002">
      <c r="A2002" s="463">
        <v>42212.0</v>
      </c>
      <c r="B2002" s="464">
        <v>85.28</v>
      </c>
    </row>
    <row r="2003">
      <c r="A2003" s="463">
        <v>42213.0</v>
      </c>
      <c r="B2003" s="464">
        <v>86.49</v>
      </c>
    </row>
    <row r="2004">
      <c r="A2004" s="463">
        <v>42214.0</v>
      </c>
      <c r="B2004" s="464">
        <v>87.23</v>
      </c>
    </row>
    <row r="2005">
      <c r="A2005" s="463">
        <v>42215.0</v>
      </c>
      <c r="B2005" s="464">
        <v>88.51</v>
      </c>
    </row>
    <row r="2006">
      <c r="A2006" s="463">
        <v>42216.0</v>
      </c>
      <c r="B2006" s="464">
        <v>89.13</v>
      </c>
    </row>
    <row r="2007">
      <c r="A2007" s="463">
        <v>42219.0</v>
      </c>
      <c r="B2007" s="464">
        <v>91.14</v>
      </c>
    </row>
    <row r="2008">
      <c r="A2008" s="463">
        <v>42220.0</v>
      </c>
      <c r="B2008" s="464">
        <v>90.94</v>
      </c>
    </row>
    <row r="2009">
      <c r="A2009" s="463">
        <v>42221.0</v>
      </c>
      <c r="B2009" s="464">
        <v>86.22</v>
      </c>
    </row>
    <row r="2010">
      <c r="A2010" s="463">
        <v>42222.0</v>
      </c>
      <c r="B2010" s="464">
        <v>83.04</v>
      </c>
    </row>
    <row r="2011">
      <c r="A2011" s="463">
        <v>42223.0</v>
      </c>
      <c r="B2011" s="464">
        <v>84.86</v>
      </c>
    </row>
    <row r="2012">
      <c r="A2012" s="463">
        <v>42226.0</v>
      </c>
      <c r="B2012" s="464">
        <v>86.95</v>
      </c>
    </row>
    <row r="2013">
      <c r="A2013" s="463">
        <v>42227.0</v>
      </c>
      <c r="B2013" s="464">
        <v>85.77</v>
      </c>
    </row>
    <row r="2014">
      <c r="A2014" s="463">
        <v>42228.0</v>
      </c>
      <c r="B2014" s="464">
        <v>86.54</v>
      </c>
    </row>
    <row r="2015">
      <c r="A2015" s="463">
        <v>42229.0</v>
      </c>
      <c r="B2015" s="464">
        <v>87.06</v>
      </c>
    </row>
    <row r="2016">
      <c r="A2016" s="463">
        <v>42230.0</v>
      </c>
      <c r="B2016" s="464">
        <v>88.49</v>
      </c>
    </row>
    <row r="2017">
      <c r="A2017" s="463">
        <v>42233.0</v>
      </c>
      <c r="B2017" s="464">
        <v>89.01</v>
      </c>
    </row>
    <row r="2018">
      <c r="A2018" s="463">
        <v>42234.0</v>
      </c>
      <c r="B2018" s="464">
        <v>89.15</v>
      </c>
    </row>
    <row r="2019">
      <c r="A2019" s="463">
        <v>42235.0</v>
      </c>
      <c r="B2019" s="464">
        <v>88.46</v>
      </c>
    </row>
    <row r="2020">
      <c r="A2020" s="463">
        <v>42236.0</v>
      </c>
      <c r="B2020" s="464">
        <v>86.43</v>
      </c>
    </row>
    <row r="2021">
      <c r="A2021" s="463">
        <v>42237.0</v>
      </c>
      <c r="B2021" s="464">
        <v>84.38</v>
      </c>
    </row>
    <row r="2022">
      <c r="A2022" s="463">
        <v>42240.0</v>
      </c>
      <c r="B2022" s="464">
        <v>82.01</v>
      </c>
    </row>
    <row r="2023">
      <c r="A2023" s="463">
        <v>42241.0</v>
      </c>
      <c r="B2023" s="464">
        <v>81.22</v>
      </c>
    </row>
    <row r="2024">
      <c r="A2024" s="463">
        <v>42242.0</v>
      </c>
      <c r="B2024" s="464">
        <v>78.09</v>
      </c>
    </row>
    <row r="2025">
      <c r="A2025" s="463">
        <v>42243.0</v>
      </c>
      <c r="B2025" s="464">
        <v>79.43</v>
      </c>
    </row>
    <row r="2026">
      <c r="A2026" s="463">
        <v>42244.0</v>
      </c>
      <c r="B2026" s="464">
        <v>77.55</v>
      </c>
    </row>
    <row r="2027">
      <c r="A2027" s="463">
        <v>42247.0</v>
      </c>
      <c r="B2027" s="464">
        <v>79.15</v>
      </c>
    </row>
    <row r="2028">
      <c r="A2028" s="463">
        <v>42248.0</v>
      </c>
      <c r="B2028" s="464">
        <v>79.1</v>
      </c>
    </row>
    <row r="2029">
      <c r="A2029" s="463">
        <v>42249.0</v>
      </c>
      <c r="B2029" s="464">
        <v>80.2</v>
      </c>
    </row>
    <row r="2030">
      <c r="A2030" s="463">
        <v>42250.0</v>
      </c>
      <c r="B2030" s="464">
        <v>79.82</v>
      </c>
    </row>
    <row r="2031">
      <c r="A2031" s="463">
        <v>42251.0</v>
      </c>
      <c r="B2031" s="464">
        <v>79.55</v>
      </c>
    </row>
    <row r="2032">
      <c r="A2032" s="463">
        <v>42255.0</v>
      </c>
      <c r="B2032" s="464">
        <v>80.5</v>
      </c>
    </row>
    <row r="2033">
      <c r="A2033" s="463">
        <v>42256.0</v>
      </c>
      <c r="B2033" s="464">
        <v>78.39</v>
      </c>
    </row>
    <row r="2034">
      <c r="A2034" s="463">
        <v>42257.0</v>
      </c>
      <c r="B2034" s="464">
        <v>79.26</v>
      </c>
    </row>
    <row r="2035">
      <c r="A2035" s="463">
        <v>42258.0</v>
      </c>
      <c r="B2035" s="464">
        <v>80.56</v>
      </c>
    </row>
    <row r="2036">
      <c r="A2036" s="463">
        <v>42261.0</v>
      </c>
      <c r="B2036" s="464">
        <v>79.98</v>
      </c>
    </row>
    <row r="2037">
      <c r="A2037" s="463">
        <v>42262.0</v>
      </c>
      <c r="B2037" s="464">
        <v>80.49</v>
      </c>
    </row>
    <row r="2038">
      <c r="A2038" s="463">
        <v>42263.0</v>
      </c>
      <c r="B2038" s="464">
        <v>80.96</v>
      </c>
    </row>
    <row r="2039">
      <c r="A2039" s="463">
        <v>42264.0</v>
      </c>
      <c r="B2039" s="464">
        <v>80.72</v>
      </c>
    </row>
    <row r="2040">
      <c r="A2040" s="463">
        <v>42265.0</v>
      </c>
      <c r="B2040" s="464">
        <v>79.1</v>
      </c>
    </row>
    <row r="2041">
      <c r="A2041" s="463">
        <v>42268.0</v>
      </c>
      <c r="B2041" s="464">
        <v>79.83</v>
      </c>
    </row>
    <row r="2042">
      <c r="A2042" s="463">
        <v>42269.0</v>
      </c>
      <c r="B2042" s="464">
        <v>79.18</v>
      </c>
    </row>
    <row r="2043">
      <c r="A2043" s="463">
        <v>42270.0</v>
      </c>
      <c r="B2043" s="464">
        <v>78.63</v>
      </c>
    </row>
    <row r="2044">
      <c r="A2044" s="463">
        <v>42271.0</v>
      </c>
      <c r="B2044" s="464">
        <v>78.82</v>
      </c>
    </row>
    <row r="2045">
      <c r="A2045" s="463">
        <v>42272.0</v>
      </c>
      <c r="B2045" s="464">
        <v>79.12</v>
      </c>
    </row>
    <row r="2046">
      <c r="A2046" s="463">
        <v>42275.0</v>
      </c>
      <c r="B2046" s="464">
        <v>77.13</v>
      </c>
    </row>
    <row r="2047">
      <c r="A2047" s="463">
        <v>42276.0</v>
      </c>
      <c r="B2047" s="464">
        <v>77.41</v>
      </c>
    </row>
    <row r="2048">
      <c r="A2048" s="463">
        <v>42277.0</v>
      </c>
      <c r="B2048" s="464">
        <v>78.79</v>
      </c>
    </row>
    <row r="2049">
      <c r="A2049" s="463">
        <v>42278.0</v>
      </c>
      <c r="B2049" s="464">
        <v>80.62</v>
      </c>
    </row>
    <row r="2050">
      <c r="A2050" s="463">
        <v>42279.0</v>
      </c>
      <c r="B2050" s="464">
        <v>79.71</v>
      </c>
    </row>
    <row r="2051">
      <c r="A2051" s="463">
        <v>42282.0</v>
      </c>
      <c r="B2051" s="464">
        <v>79.49</v>
      </c>
    </row>
    <row r="2052">
      <c r="A2052" s="463">
        <v>42283.0</v>
      </c>
      <c r="B2052" s="464">
        <v>81.28</v>
      </c>
    </row>
    <row r="2053">
      <c r="A2053" s="463">
        <v>42284.0</v>
      </c>
      <c r="B2053" s="464">
        <v>82.09</v>
      </c>
    </row>
    <row r="2054">
      <c r="A2054" s="463">
        <v>42285.0</v>
      </c>
      <c r="B2054" s="464">
        <v>77.3</v>
      </c>
    </row>
    <row r="2055">
      <c r="A2055" s="463">
        <v>42286.0</v>
      </c>
      <c r="B2055" s="464">
        <v>78.65</v>
      </c>
    </row>
    <row r="2056">
      <c r="A2056" s="463">
        <v>42289.0</v>
      </c>
      <c r="B2056" s="464">
        <v>72.27</v>
      </c>
    </row>
    <row r="2057">
      <c r="A2057" s="463">
        <v>42290.0</v>
      </c>
      <c r="B2057" s="464">
        <v>69.31</v>
      </c>
    </row>
    <row r="2058">
      <c r="A2058" s="463">
        <v>42291.0</v>
      </c>
      <c r="B2058" s="464">
        <v>67.97</v>
      </c>
    </row>
    <row r="2059">
      <c r="A2059" s="463">
        <v>42292.0</v>
      </c>
      <c r="B2059" s="464">
        <v>68.46</v>
      </c>
    </row>
    <row r="2060">
      <c r="A2060" s="463">
        <v>42293.0</v>
      </c>
      <c r="B2060" s="464">
        <v>69.62</v>
      </c>
    </row>
    <row r="2061">
      <c r="A2061" s="463">
        <v>42296.0</v>
      </c>
      <c r="B2061" s="464">
        <v>69.22</v>
      </c>
    </row>
    <row r="2062">
      <c r="A2062" s="463">
        <v>42297.0</v>
      </c>
      <c r="B2062" s="464">
        <v>68.76</v>
      </c>
    </row>
    <row r="2063">
      <c r="A2063" s="463">
        <v>42298.0</v>
      </c>
      <c r="B2063" s="464">
        <v>55.42</v>
      </c>
    </row>
    <row r="2064">
      <c r="A2064" s="463">
        <v>42299.0</v>
      </c>
      <c r="B2064" s="464">
        <v>56.79</v>
      </c>
    </row>
    <row r="2065">
      <c r="A2065" s="463">
        <v>42300.0</v>
      </c>
      <c r="B2065" s="464">
        <v>58.18</v>
      </c>
    </row>
    <row r="2066">
      <c r="A2066" s="463">
        <v>42303.0</v>
      </c>
      <c r="B2066" s="464">
        <v>59.74</v>
      </c>
    </row>
    <row r="2067">
      <c r="A2067" s="463">
        <v>42304.0</v>
      </c>
      <c r="B2067" s="464">
        <v>58.64</v>
      </c>
    </row>
    <row r="2068">
      <c r="A2068" s="463">
        <v>42305.0</v>
      </c>
      <c r="B2068" s="464">
        <v>60.9</v>
      </c>
    </row>
    <row r="2069">
      <c r="A2069" s="463">
        <v>42306.0</v>
      </c>
      <c r="B2069" s="464">
        <v>58.52</v>
      </c>
    </row>
    <row r="2070">
      <c r="A2070" s="463">
        <v>42307.0</v>
      </c>
      <c r="B2070" s="464">
        <v>60.15</v>
      </c>
    </row>
    <row r="2071">
      <c r="A2071" s="463">
        <v>42310.0</v>
      </c>
      <c r="B2071" s="464">
        <v>59.55</v>
      </c>
    </row>
    <row r="2072">
      <c r="A2072" s="463">
        <v>42311.0</v>
      </c>
      <c r="B2072" s="464">
        <v>59.03</v>
      </c>
    </row>
    <row r="2073">
      <c r="A2073" s="463">
        <v>42312.0</v>
      </c>
      <c r="B2073" s="464">
        <v>59.77</v>
      </c>
    </row>
    <row r="2074">
      <c r="A2074" s="463">
        <v>42313.0</v>
      </c>
      <c r="B2074" s="464">
        <v>59.08</v>
      </c>
    </row>
    <row r="2075">
      <c r="A2075" s="463">
        <v>42314.0</v>
      </c>
      <c r="B2075" s="464">
        <v>59.49</v>
      </c>
    </row>
    <row r="2076">
      <c r="A2076" s="463">
        <v>42317.0</v>
      </c>
      <c r="B2076" s="464">
        <v>59.46</v>
      </c>
    </row>
    <row r="2077">
      <c r="A2077" s="463">
        <v>42318.0</v>
      </c>
      <c r="B2077" s="464">
        <v>60.44</v>
      </c>
    </row>
    <row r="2078">
      <c r="A2078" s="463">
        <v>42319.0</v>
      </c>
      <c r="B2078" s="464">
        <v>59.25</v>
      </c>
    </row>
    <row r="2079">
      <c r="A2079" s="463">
        <v>42320.0</v>
      </c>
      <c r="B2079" s="464">
        <v>58.93</v>
      </c>
    </row>
    <row r="2080">
      <c r="A2080" s="463">
        <v>42321.0</v>
      </c>
      <c r="B2080" s="464">
        <v>58.71</v>
      </c>
    </row>
    <row r="2081">
      <c r="A2081" s="463">
        <v>42324.0</v>
      </c>
      <c r="B2081" s="464">
        <v>59.3</v>
      </c>
    </row>
    <row r="2082">
      <c r="A2082" s="463">
        <v>42325.0</v>
      </c>
      <c r="B2082" s="464">
        <v>58.35</v>
      </c>
    </row>
    <row r="2083">
      <c r="A2083" s="463">
        <v>42326.0</v>
      </c>
      <c r="B2083" s="464">
        <v>57.49</v>
      </c>
    </row>
    <row r="2084">
      <c r="A2084" s="463">
        <v>42327.0</v>
      </c>
      <c r="B2084" s="464">
        <v>58.44</v>
      </c>
    </row>
    <row r="2085">
      <c r="A2085" s="463">
        <v>42328.0</v>
      </c>
      <c r="B2085" s="464">
        <v>58.66</v>
      </c>
    </row>
    <row r="2086">
      <c r="A2086" s="463">
        <v>42331.0</v>
      </c>
      <c r="B2086" s="464">
        <v>58.11</v>
      </c>
    </row>
    <row r="2087">
      <c r="A2087" s="463">
        <v>42332.0</v>
      </c>
      <c r="B2087" s="464">
        <v>60.35</v>
      </c>
    </row>
    <row r="2088">
      <c r="A2088" s="463">
        <v>42333.0</v>
      </c>
      <c r="B2088" s="464">
        <v>59.95</v>
      </c>
    </row>
    <row r="2089">
      <c r="A2089" s="463">
        <v>42335.0</v>
      </c>
      <c r="B2089" s="464">
        <v>60.45</v>
      </c>
    </row>
    <row r="2090">
      <c r="A2090" s="463">
        <v>42338.0</v>
      </c>
      <c r="B2090" s="464">
        <v>61.41</v>
      </c>
    </row>
    <row r="2091">
      <c r="A2091" s="463">
        <v>42339.0</v>
      </c>
      <c r="B2091" s="464">
        <v>62.19</v>
      </c>
    </row>
    <row r="2092">
      <c r="A2092" s="463">
        <v>42340.0</v>
      </c>
      <c r="B2092" s="464">
        <v>60.66</v>
      </c>
    </row>
    <row r="2093">
      <c r="A2093" s="463">
        <v>42341.0</v>
      </c>
      <c r="B2093" s="464">
        <v>59.01</v>
      </c>
    </row>
    <row r="2094">
      <c r="A2094" s="463">
        <v>42342.0</v>
      </c>
      <c r="B2094" s="464">
        <v>59.62</v>
      </c>
    </row>
    <row r="2095">
      <c r="A2095" s="463">
        <v>42345.0</v>
      </c>
      <c r="B2095" s="464">
        <v>60.76</v>
      </c>
    </row>
    <row r="2096">
      <c r="A2096" s="463">
        <v>42346.0</v>
      </c>
      <c r="B2096" s="464">
        <v>60.08</v>
      </c>
    </row>
    <row r="2097">
      <c r="A2097" s="463">
        <v>42347.0</v>
      </c>
      <c r="B2097" s="464">
        <v>58.84</v>
      </c>
    </row>
    <row r="2098">
      <c r="A2098" s="463">
        <v>42348.0</v>
      </c>
      <c r="B2098" s="464">
        <v>58.75</v>
      </c>
    </row>
    <row r="2099">
      <c r="A2099" s="463">
        <v>42349.0</v>
      </c>
      <c r="B2099" s="464">
        <v>59.05</v>
      </c>
    </row>
    <row r="2100">
      <c r="A2100" s="463">
        <v>42352.0</v>
      </c>
      <c r="B2100" s="464">
        <v>57.25</v>
      </c>
    </row>
    <row r="2101">
      <c r="A2101" s="463">
        <v>42353.0</v>
      </c>
      <c r="B2101" s="464">
        <v>58.0</v>
      </c>
    </row>
    <row r="2102">
      <c r="A2102" s="463">
        <v>42354.0</v>
      </c>
      <c r="B2102" s="464">
        <v>57.95</v>
      </c>
    </row>
    <row r="2103">
      <c r="A2103" s="463">
        <v>42355.0</v>
      </c>
      <c r="B2103" s="464">
        <v>57.08</v>
      </c>
    </row>
    <row r="2104">
      <c r="A2104" s="463">
        <v>42356.0</v>
      </c>
      <c r="B2104" s="464">
        <v>56.86</v>
      </c>
    </row>
    <row r="2105">
      <c r="A2105" s="463">
        <v>42359.0</v>
      </c>
      <c r="B2105" s="464">
        <v>56.12</v>
      </c>
    </row>
    <row r="2106">
      <c r="A2106" s="463">
        <v>42360.0</v>
      </c>
      <c r="B2106" s="464">
        <v>56.68</v>
      </c>
    </row>
    <row r="2107">
      <c r="A2107" s="463">
        <v>42361.0</v>
      </c>
      <c r="B2107" s="464">
        <v>57.5</v>
      </c>
    </row>
    <row r="2108">
      <c r="A2108" s="463">
        <v>42362.0</v>
      </c>
      <c r="B2108" s="464">
        <v>57.36</v>
      </c>
    </row>
    <row r="2109">
      <c r="A2109" s="463">
        <v>42366.0</v>
      </c>
      <c r="B2109" s="464">
        <v>56.97</v>
      </c>
    </row>
    <row r="2110">
      <c r="A2110" s="463">
        <v>42367.0</v>
      </c>
      <c r="B2110" s="464">
        <v>56.94</v>
      </c>
    </row>
    <row r="2111">
      <c r="A2111" s="463">
        <v>42368.0</v>
      </c>
      <c r="B2111" s="464">
        <v>57.03</v>
      </c>
    </row>
    <row r="2112">
      <c r="A2112" s="463">
        <v>42369.0</v>
      </c>
      <c r="B2112" s="464">
        <v>56.57</v>
      </c>
    </row>
    <row r="2113">
      <c r="A2113" s="463">
        <v>42373.0</v>
      </c>
      <c r="B2113" s="464">
        <v>56.3</v>
      </c>
    </row>
    <row r="2114">
      <c r="A2114" s="463">
        <v>42374.0</v>
      </c>
      <c r="B2114" s="464">
        <v>57.02</v>
      </c>
    </row>
    <row r="2115">
      <c r="A2115" s="463">
        <v>42375.0</v>
      </c>
      <c r="B2115" s="464">
        <v>55.25</v>
      </c>
    </row>
    <row r="2116">
      <c r="A2116" s="463">
        <v>42376.0</v>
      </c>
      <c r="B2116" s="464">
        <v>54.52</v>
      </c>
    </row>
    <row r="2117">
      <c r="A2117" s="463">
        <v>42377.0</v>
      </c>
      <c r="B2117" s="464">
        <v>54.1</v>
      </c>
    </row>
    <row r="2118">
      <c r="A2118" s="463">
        <v>42380.0</v>
      </c>
      <c r="B2118" s="464">
        <v>53.11</v>
      </c>
    </row>
    <row r="2119">
      <c r="A2119" s="463">
        <v>42381.0</v>
      </c>
      <c r="B2119" s="464">
        <v>52.84</v>
      </c>
    </row>
    <row r="2120">
      <c r="A2120" s="463">
        <v>42382.0</v>
      </c>
      <c r="B2120" s="464">
        <v>52.27</v>
      </c>
    </row>
    <row r="2121">
      <c r="A2121" s="463">
        <v>42383.0</v>
      </c>
      <c r="B2121" s="464">
        <v>52.33</v>
      </c>
    </row>
    <row r="2122">
      <c r="A2122" s="463">
        <v>42384.0</v>
      </c>
      <c r="B2122" s="464">
        <v>52.11</v>
      </c>
    </row>
    <row r="2123">
      <c r="A2123" s="463">
        <v>42388.0</v>
      </c>
      <c r="B2123" s="464">
        <v>48.99</v>
      </c>
    </row>
    <row r="2124">
      <c r="A2124" s="463">
        <v>42389.0</v>
      </c>
      <c r="B2124" s="464">
        <v>49.19</v>
      </c>
    </row>
    <row r="2125">
      <c r="A2125" s="463">
        <v>42390.0</v>
      </c>
      <c r="B2125" s="464">
        <v>49.58</v>
      </c>
    </row>
    <row r="2126">
      <c r="A2126" s="463">
        <v>42391.0</v>
      </c>
      <c r="B2126" s="464">
        <v>49.5</v>
      </c>
    </row>
    <row r="2127">
      <c r="A2127" s="463">
        <v>42394.0</v>
      </c>
      <c r="B2127" s="464">
        <v>48.76</v>
      </c>
    </row>
    <row r="2128">
      <c r="A2128" s="463">
        <v>42395.0</v>
      </c>
      <c r="B2128" s="464">
        <v>49.28</v>
      </c>
    </row>
    <row r="2129">
      <c r="A2129" s="463">
        <v>42396.0</v>
      </c>
      <c r="B2129" s="464">
        <v>44.44</v>
      </c>
    </row>
    <row r="2130">
      <c r="A2130" s="463">
        <v>42397.0</v>
      </c>
      <c r="B2130" s="464">
        <v>45.0</v>
      </c>
    </row>
    <row r="2131">
      <c r="A2131" s="463">
        <v>42398.0</v>
      </c>
      <c r="B2131" s="464">
        <v>45.75</v>
      </c>
    </row>
    <row r="2132">
      <c r="A2132" s="463">
        <v>42401.0</v>
      </c>
      <c r="B2132" s="464">
        <v>45.49</v>
      </c>
    </row>
    <row r="2133">
      <c r="A2133" s="463">
        <v>42402.0</v>
      </c>
      <c r="B2133" s="464">
        <v>44.21</v>
      </c>
    </row>
    <row r="2134">
      <c r="A2134" s="463">
        <v>42403.0</v>
      </c>
      <c r="B2134" s="464">
        <v>44.96</v>
      </c>
    </row>
    <row r="2135">
      <c r="A2135" s="463">
        <v>42404.0</v>
      </c>
      <c r="B2135" s="464">
        <v>45.28</v>
      </c>
    </row>
    <row r="2136">
      <c r="A2136" s="463">
        <v>42405.0</v>
      </c>
      <c r="B2136" s="464">
        <v>44.54</v>
      </c>
    </row>
    <row r="2137">
      <c r="A2137" s="463">
        <v>42408.0</v>
      </c>
      <c r="B2137" s="464">
        <v>44.66</v>
      </c>
    </row>
    <row r="2138">
      <c r="A2138" s="463">
        <v>42409.0</v>
      </c>
      <c r="B2138" s="464">
        <v>43.84</v>
      </c>
    </row>
    <row r="2139">
      <c r="A2139" s="463">
        <v>42410.0</v>
      </c>
      <c r="B2139" s="464">
        <v>44.48</v>
      </c>
    </row>
    <row r="2140">
      <c r="A2140" s="463">
        <v>42411.0</v>
      </c>
      <c r="B2140" s="464">
        <v>44.7</v>
      </c>
    </row>
    <row r="2141">
      <c r="A2141" s="463">
        <v>42412.0</v>
      </c>
      <c r="B2141" s="464">
        <v>45.01</v>
      </c>
    </row>
    <row r="2142">
      <c r="A2142" s="463">
        <v>42416.0</v>
      </c>
      <c r="B2142" s="464">
        <v>46.13</v>
      </c>
    </row>
    <row r="2143">
      <c r="A2143" s="463">
        <v>42417.0</v>
      </c>
      <c r="B2143" s="464">
        <v>47.91</v>
      </c>
    </row>
    <row r="2144">
      <c r="A2144" s="463">
        <v>42418.0</v>
      </c>
      <c r="B2144" s="464">
        <v>48.16</v>
      </c>
    </row>
    <row r="2145">
      <c r="A2145" s="463">
        <v>42419.0</v>
      </c>
      <c r="B2145" s="464">
        <v>49.22</v>
      </c>
    </row>
    <row r="2146">
      <c r="A2146" s="463">
        <v>42422.0</v>
      </c>
      <c r="B2146" s="464">
        <v>49.95</v>
      </c>
    </row>
    <row r="2147">
      <c r="A2147" s="463">
        <v>42423.0</v>
      </c>
      <c r="B2147" s="464">
        <v>48.65</v>
      </c>
    </row>
    <row r="2148">
      <c r="A2148" s="463">
        <v>42424.0</v>
      </c>
      <c r="B2148" s="464">
        <v>49.19</v>
      </c>
    </row>
    <row r="2149">
      <c r="A2149" s="463">
        <v>42425.0</v>
      </c>
      <c r="B2149" s="464">
        <v>50.5</v>
      </c>
    </row>
    <row r="2150">
      <c r="A2150" s="463">
        <v>42426.0</v>
      </c>
      <c r="B2150" s="464">
        <v>50.76</v>
      </c>
    </row>
    <row r="2151">
      <c r="A2151" s="463">
        <v>42429.0</v>
      </c>
      <c r="B2151" s="464">
        <v>50.49</v>
      </c>
    </row>
    <row r="2152">
      <c r="A2152" s="463">
        <v>42430.0</v>
      </c>
      <c r="B2152" s="464">
        <v>50.75</v>
      </c>
    </row>
    <row r="2153">
      <c r="A2153" s="463">
        <v>42431.0</v>
      </c>
      <c r="B2153" s="464">
        <v>49.13</v>
      </c>
    </row>
    <row r="2154">
      <c r="A2154" s="463">
        <v>42432.0</v>
      </c>
      <c r="B2154" s="464">
        <v>49.43</v>
      </c>
    </row>
    <row r="2155">
      <c r="A2155" s="463">
        <v>42433.0</v>
      </c>
      <c r="B2155" s="464">
        <v>49.45</v>
      </c>
    </row>
    <row r="2156">
      <c r="A2156" s="463">
        <v>42436.0</v>
      </c>
      <c r="B2156" s="464">
        <v>50.34</v>
      </c>
    </row>
    <row r="2157">
      <c r="A2157" s="463">
        <v>42437.0</v>
      </c>
      <c r="B2157" s="464">
        <v>48.94</v>
      </c>
    </row>
    <row r="2158">
      <c r="A2158" s="463">
        <v>42438.0</v>
      </c>
      <c r="B2158" s="464">
        <v>49.2</v>
      </c>
    </row>
    <row r="2159">
      <c r="A2159" s="463">
        <v>42439.0</v>
      </c>
      <c r="B2159" s="464">
        <v>49.28</v>
      </c>
    </row>
    <row r="2160">
      <c r="A2160" s="463">
        <v>42440.0</v>
      </c>
      <c r="B2160" s="464">
        <v>49.62</v>
      </c>
    </row>
    <row r="2161">
      <c r="A2161" s="463">
        <v>42443.0</v>
      </c>
      <c r="B2161" s="464">
        <v>49.68</v>
      </c>
    </row>
    <row r="2162">
      <c r="A2162" s="463">
        <v>42444.0</v>
      </c>
      <c r="B2162" s="464">
        <v>49.18</v>
      </c>
    </row>
    <row r="2163">
      <c r="A2163" s="463">
        <v>42445.0</v>
      </c>
      <c r="B2163" s="464">
        <v>49.85</v>
      </c>
    </row>
    <row r="2164">
      <c r="A2164" s="463">
        <v>42446.0</v>
      </c>
      <c r="B2164" s="464">
        <v>51.53</v>
      </c>
    </row>
    <row r="2165">
      <c r="A2165" s="463">
        <v>42447.0</v>
      </c>
      <c r="B2165" s="464">
        <v>51.52</v>
      </c>
    </row>
    <row r="2166">
      <c r="A2166" s="463">
        <v>42450.0</v>
      </c>
      <c r="B2166" s="464">
        <v>52.37</v>
      </c>
    </row>
    <row r="2167">
      <c r="A2167" s="463">
        <v>42451.0</v>
      </c>
      <c r="B2167" s="464">
        <v>52.85</v>
      </c>
    </row>
    <row r="2168">
      <c r="A2168" s="463">
        <v>42452.0</v>
      </c>
      <c r="B2168" s="464">
        <v>51.85</v>
      </c>
    </row>
    <row r="2169">
      <c r="A2169" s="463">
        <v>42453.0</v>
      </c>
      <c r="B2169" s="464">
        <v>51.08</v>
      </c>
    </row>
    <row r="2170">
      <c r="A2170" s="463">
        <v>42457.0</v>
      </c>
      <c r="B2170" s="464">
        <v>51.09</v>
      </c>
    </row>
    <row r="2171">
      <c r="A2171" s="463">
        <v>42458.0</v>
      </c>
      <c r="B2171" s="464">
        <v>51.37</v>
      </c>
    </row>
    <row r="2172">
      <c r="A2172" s="463">
        <v>42459.0</v>
      </c>
      <c r="B2172" s="464">
        <v>52.09</v>
      </c>
    </row>
    <row r="2173">
      <c r="A2173" s="463">
        <v>42460.0</v>
      </c>
      <c r="B2173" s="464">
        <v>52.31</v>
      </c>
    </row>
    <row r="2174">
      <c r="A2174" s="463">
        <v>42461.0</v>
      </c>
      <c r="B2174" s="464">
        <v>52.03</v>
      </c>
    </row>
    <row r="2175">
      <c r="A2175" s="463">
        <v>42464.0</v>
      </c>
      <c r="B2175" s="464">
        <v>51.7</v>
      </c>
    </row>
    <row r="2176">
      <c r="A2176" s="463">
        <v>42465.0</v>
      </c>
      <c r="B2176" s="464">
        <v>50.7</v>
      </c>
    </row>
    <row r="2177">
      <c r="A2177" s="463">
        <v>42466.0</v>
      </c>
      <c r="B2177" s="464">
        <v>51.0</v>
      </c>
    </row>
    <row r="2178">
      <c r="A2178" s="463">
        <v>42467.0</v>
      </c>
      <c r="B2178" s="464">
        <v>50.84</v>
      </c>
    </row>
    <row r="2179">
      <c r="A2179" s="463">
        <v>42468.0</v>
      </c>
      <c r="B2179" s="464">
        <v>52.0</v>
      </c>
    </row>
    <row r="2180">
      <c r="A2180" s="463">
        <v>42471.0</v>
      </c>
      <c r="B2180" s="464">
        <v>51.19</v>
      </c>
    </row>
    <row r="2181">
      <c r="A2181" s="463">
        <v>42472.0</v>
      </c>
      <c r="B2181" s="464">
        <v>50.38</v>
      </c>
    </row>
    <row r="2182">
      <c r="A2182" s="463">
        <v>42473.0</v>
      </c>
      <c r="B2182" s="464">
        <v>51.89</v>
      </c>
    </row>
    <row r="2183">
      <c r="A2183" s="463">
        <v>42474.0</v>
      </c>
      <c r="B2183" s="464">
        <v>51.92</v>
      </c>
    </row>
    <row r="2184">
      <c r="A2184" s="463">
        <v>42475.0</v>
      </c>
      <c r="B2184" s="464">
        <v>51.73</v>
      </c>
    </row>
    <row r="2185">
      <c r="A2185" s="463">
        <v>42478.0</v>
      </c>
      <c r="B2185" s="464">
        <v>51.69</v>
      </c>
    </row>
    <row r="2186">
      <c r="A2186" s="463">
        <v>42479.0</v>
      </c>
      <c r="B2186" s="464">
        <v>51.46</v>
      </c>
    </row>
    <row r="2187">
      <c r="A2187" s="463">
        <v>42480.0</v>
      </c>
      <c r="B2187" s="464">
        <v>58.53</v>
      </c>
    </row>
    <row r="2188">
      <c r="A2188" s="463">
        <v>42481.0</v>
      </c>
      <c r="B2188" s="464">
        <v>58.11</v>
      </c>
    </row>
    <row r="2189">
      <c r="A2189" s="463">
        <v>42482.0</v>
      </c>
      <c r="B2189" s="464">
        <v>58.3</v>
      </c>
    </row>
    <row r="2190">
      <c r="A2190" s="463">
        <v>42485.0</v>
      </c>
      <c r="B2190" s="464">
        <v>57.38</v>
      </c>
    </row>
    <row r="2191">
      <c r="A2191" s="463">
        <v>42486.0</v>
      </c>
      <c r="B2191" s="464">
        <v>57.69</v>
      </c>
    </row>
    <row r="2192">
      <c r="A2192" s="463">
        <v>42487.0</v>
      </c>
      <c r="B2192" s="464">
        <v>58.49</v>
      </c>
    </row>
    <row r="2193">
      <c r="A2193" s="463">
        <v>42488.0</v>
      </c>
      <c r="B2193" s="464">
        <v>57.54</v>
      </c>
    </row>
    <row r="2194">
      <c r="A2194" s="463">
        <v>42489.0</v>
      </c>
      <c r="B2194" s="464">
        <v>56.91</v>
      </c>
    </row>
    <row r="2195">
      <c r="A2195" s="463">
        <v>42492.0</v>
      </c>
      <c r="B2195" s="464">
        <v>57.33</v>
      </c>
    </row>
    <row r="2196">
      <c r="A2196" s="463">
        <v>42493.0</v>
      </c>
      <c r="B2196" s="464">
        <v>56.05</v>
      </c>
    </row>
    <row r="2197">
      <c r="A2197" s="463">
        <v>42494.0</v>
      </c>
      <c r="B2197" s="464">
        <v>55.36</v>
      </c>
    </row>
    <row r="2198">
      <c r="A2198" s="463">
        <v>42495.0</v>
      </c>
      <c r="B2198" s="464">
        <v>55.4</v>
      </c>
    </row>
    <row r="2199">
      <c r="A2199" s="463">
        <v>42496.0</v>
      </c>
      <c r="B2199" s="464">
        <v>55.35</v>
      </c>
    </row>
    <row r="2200">
      <c r="A2200" s="463">
        <v>42499.0</v>
      </c>
      <c r="B2200" s="464">
        <v>55.38</v>
      </c>
    </row>
    <row r="2201">
      <c r="A2201" s="463">
        <v>42500.0</v>
      </c>
      <c r="B2201" s="464">
        <v>56.45</v>
      </c>
    </row>
    <row r="2202">
      <c r="A2202" s="463">
        <v>42501.0</v>
      </c>
      <c r="B2202" s="464">
        <v>56.22</v>
      </c>
    </row>
    <row r="2203">
      <c r="A2203" s="463">
        <v>42502.0</v>
      </c>
      <c r="B2203" s="464">
        <v>56.62</v>
      </c>
    </row>
    <row r="2204">
      <c r="A2204" s="463">
        <v>42503.0</v>
      </c>
      <c r="B2204" s="464">
        <v>57.92</v>
      </c>
    </row>
    <row r="2205">
      <c r="A2205" s="463">
        <v>42506.0</v>
      </c>
      <c r="B2205" s="464">
        <v>59.29</v>
      </c>
    </row>
    <row r="2206">
      <c r="A2206" s="463">
        <v>42507.0</v>
      </c>
      <c r="B2206" s="464">
        <v>59.59</v>
      </c>
    </row>
    <row r="2207">
      <c r="A2207" s="463">
        <v>42508.0</v>
      </c>
      <c r="B2207" s="464">
        <v>59.53</v>
      </c>
    </row>
    <row r="2208">
      <c r="A2208" s="463">
        <v>42509.0</v>
      </c>
      <c r="B2208" s="464">
        <v>58.8</v>
      </c>
    </row>
    <row r="2209">
      <c r="A2209" s="463">
        <v>42510.0</v>
      </c>
      <c r="B2209" s="464">
        <v>59.76</v>
      </c>
    </row>
    <row r="2210">
      <c r="A2210" s="463">
        <v>42513.0</v>
      </c>
      <c r="B2210" s="464">
        <v>59.46</v>
      </c>
    </row>
    <row r="2211">
      <c r="A2211" s="463">
        <v>42514.0</v>
      </c>
      <c r="B2211" s="464">
        <v>60.15</v>
      </c>
    </row>
    <row r="2212">
      <c r="A2212" s="463">
        <v>42515.0</v>
      </c>
      <c r="B2212" s="464">
        <v>60.04</v>
      </c>
    </row>
    <row r="2213">
      <c r="A2213" s="463">
        <v>42516.0</v>
      </c>
      <c r="B2213" s="464">
        <v>59.37</v>
      </c>
    </row>
    <row r="2214">
      <c r="A2214" s="463">
        <v>42517.0</v>
      </c>
      <c r="B2214" s="464">
        <v>59.63</v>
      </c>
    </row>
    <row r="2215">
      <c r="A2215" s="463">
        <v>42521.0</v>
      </c>
      <c r="B2215" s="464">
        <v>60.56</v>
      </c>
    </row>
    <row r="2216">
      <c r="A2216" s="463">
        <v>42522.0</v>
      </c>
      <c r="B2216" s="464">
        <v>61.51</v>
      </c>
    </row>
    <row r="2217">
      <c r="A2217" s="463">
        <v>42523.0</v>
      </c>
      <c r="B2217" s="464">
        <v>62.02</v>
      </c>
    </row>
    <row r="2218">
      <c r="A2218" s="463">
        <v>42524.0</v>
      </c>
      <c r="B2218" s="464">
        <v>62.08</v>
      </c>
    </row>
    <row r="2219">
      <c r="A2219" s="463">
        <v>42527.0</v>
      </c>
      <c r="B2219" s="464">
        <v>62.55</v>
      </c>
    </row>
    <row r="2220">
      <c r="A2220" s="463">
        <v>42528.0</v>
      </c>
      <c r="B2220" s="464">
        <v>63.98</v>
      </c>
    </row>
    <row r="2221">
      <c r="A2221" s="463">
        <v>42529.0</v>
      </c>
      <c r="B2221" s="464">
        <v>64.18</v>
      </c>
    </row>
    <row r="2222">
      <c r="A2222" s="463">
        <v>42530.0</v>
      </c>
      <c r="B2222" s="464">
        <v>64.0</v>
      </c>
    </row>
    <row r="2223">
      <c r="A2223" s="463">
        <v>42531.0</v>
      </c>
      <c r="B2223" s="464">
        <v>63.21</v>
      </c>
    </row>
    <row r="2224">
      <c r="A2224" s="463">
        <v>42534.0</v>
      </c>
      <c r="B2224" s="464">
        <v>62.79</v>
      </c>
    </row>
    <row r="2225">
      <c r="A2225" s="463">
        <v>42535.0</v>
      </c>
      <c r="B2225" s="464">
        <v>61.52</v>
      </c>
    </row>
    <row r="2226">
      <c r="A2226" s="463">
        <v>42536.0</v>
      </c>
      <c r="B2226" s="464">
        <v>61.44</v>
      </c>
    </row>
    <row r="2227">
      <c r="A2227" s="463">
        <v>42537.0</v>
      </c>
      <c r="B2227" s="464">
        <v>61.07</v>
      </c>
    </row>
    <row r="2228">
      <c r="A2228" s="463">
        <v>42538.0</v>
      </c>
      <c r="B2228" s="464">
        <v>60.27</v>
      </c>
    </row>
    <row r="2229">
      <c r="A2229" s="463">
        <v>42541.0</v>
      </c>
      <c r="B2229" s="464">
        <v>60.77</v>
      </c>
    </row>
    <row r="2230">
      <c r="A2230" s="463">
        <v>42542.0</v>
      </c>
      <c r="B2230" s="464">
        <v>60.98</v>
      </c>
    </row>
    <row r="2231">
      <c r="A2231" s="463">
        <v>42543.0</v>
      </c>
      <c r="B2231" s="464">
        <v>60.79</v>
      </c>
    </row>
    <row r="2232">
      <c r="A2232" s="463">
        <v>42544.0</v>
      </c>
      <c r="B2232" s="464">
        <v>62.15</v>
      </c>
    </row>
    <row r="2233">
      <c r="A2233" s="463">
        <v>42545.0</v>
      </c>
      <c r="B2233" s="464">
        <v>58.54</v>
      </c>
    </row>
    <row r="2234">
      <c r="A2234" s="463">
        <v>42548.0</v>
      </c>
      <c r="B2234" s="464">
        <v>55.34</v>
      </c>
    </row>
    <row r="2235">
      <c r="A2235" s="463">
        <v>42549.0</v>
      </c>
      <c r="B2235" s="464">
        <v>56.3</v>
      </c>
    </row>
    <row r="2236">
      <c r="A2236" s="463">
        <v>42550.0</v>
      </c>
      <c r="B2236" s="464">
        <v>56.7</v>
      </c>
    </row>
    <row r="2237">
      <c r="A2237" s="463">
        <v>42551.0</v>
      </c>
      <c r="B2237" s="464">
        <v>57.22</v>
      </c>
    </row>
    <row r="2238">
      <c r="A2238" s="463">
        <v>42552.0</v>
      </c>
      <c r="B2238" s="464">
        <v>58.01</v>
      </c>
    </row>
    <row r="2239">
      <c r="A2239" s="463">
        <v>42556.0</v>
      </c>
      <c r="B2239" s="464">
        <v>56.59</v>
      </c>
    </row>
    <row r="2240">
      <c r="A2240" s="463">
        <v>42557.0</v>
      </c>
      <c r="B2240" s="464">
        <v>57.3</v>
      </c>
    </row>
    <row r="2241">
      <c r="A2241" s="463">
        <v>42558.0</v>
      </c>
      <c r="B2241" s="464">
        <v>57.93</v>
      </c>
    </row>
    <row r="2242">
      <c r="A2242" s="463">
        <v>42559.0</v>
      </c>
      <c r="B2242" s="464">
        <v>59.18</v>
      </c>
    </row>
    <row r="2243">
      <c r="A2243" s="463">
        <v>42562.0</v>
      </c>
      <c r="B2243" s="464">
        <v>59.57</v>
      </c>
    </row>
    <row r="2244">
      <c r="A2244" s="463">
        <v>42563.0</v>
      </c>
      <c r="B2244" s="464">
        <v>61.15</v>
      </c>
    </row>
    <row r="2245">
      <c r="A2245" s="463">
        <v>42564.0</v>
      </c>
      <c r="B2245" s="464">
        <v>60.96</v>
      </c>
    </row>
    <row r="2246">
      <c r="A2246" s="463">
        <v>42565.0</v>
      </c>
      <c r="B2246" s="464">
        <v>61.04</v>
      </c>
    </row>
    <row r="2247">
      <c r="A2247" s="463">
        <v>42566.0</v>
      </c>
      <c r="B2247" s="464">
        <v>62.07</v>
      </c>
    </row>
    <row r="2248">
      <c r="A2248" s="463">
        <v>42569.0</v>
      </c>
      <c r="B2248" s="464">
        <v>62.57</v>
      </c>
    </row>
    <row r="2249">
      <c r="A2249" s="463">
        <v>42570.0</v>
      </c>
      <c r="B2249" s="464">
        <v>68.23</v>
      </c>
    </row>
    <row r="2250">
      <c r="A2250" s="463">
        <v>42571.0</v>
      </c>
      <c r="B2250" s="464">
        <v>69.95</v>
      </c>
    </row>
    <row r="2251">
      <c r="A2251" s="463">
        <v>42572.0</v>
      </c>
      <c r="B2251" s="464">
        <v>70.69</v>
      </c>
    </row>
    <row r="2252">
      <c r="A2252" s="463">
        <v>42573.0</v>
      </c>
      <c r="B2252" s="464">
        <v>71.55</v>
      </c>
    </row>
    <row r="2253">
      <c r="A2253" s="463">
        <v>42576.0</v>
      </c>
      <c r="B2253" s="464">
        <v>72.46</v>
      </c>
    </row>
    <row r="2254">
      <c r="A2254" s="463">
        <v>42577.0</v>
      </c>
      <c r="B2254" s="464">
        <v>72.68</v>
      </c>
    </row>
    <row r="2255">
      <c r="A2255" s="463">
        <v>42578.0</v>
      </c>
      <c r="B2255" s="464">
        <v>72.77</v>
      </c>
    </row>
    <row r="2256">
      <c r="A2256" s="463">
        <v>42579.0</v>
      </c>
      <c r="B2256" s="464">
        <v>72.97</v>
      </c>
    </row>
    <row r="2257">
      <c r="A2257" s="463">
        <v>42580.0</v>
      </c>
      <c r="B2257" s="464">
        <v>72.98</v>
      </c>
    </row>
    <row r="2258">
      <c r="A2258" s="463">
        <v>42583.0</v>
      </c>
      <c r="B2258" s="464">
        <v>72.49</v>
      </c>
    </row>
    <row r="2259">
      <c r="A2259" s="463">
        <v>42584.0</v>
      </c>
      <c r="B2259" s="464">
        <v>70.11</v>
      </c>
    </row>
    <row r="2260">
      <c r="A2260" s="463">
        <v>42585.0</v>
      </c>
      <c r="B2260" s="464">
        <v>70.4</v>
      </c>
    </row>
    <row r="2261">
      <c r="A2261" s="463">
        <v>42586.0</v>
      </c>
      <c r="B2261" s="464">
        <v>70.33</v>
      </c>
    </row>
    <row r="2262">
      <c r="A2262" s="463">
        <v>42587.0</v>
      </c>
      <c r="B2262" s="464">
        <v>70.98</v>
      </c>
    </row>
    <row r="2263">
      <c r="A2263" s="463">
        <v>42590.0</v>
      </c>
      <c r="B2263" s="464">
        <v>71.09</v>
      </c>
    </row>
    <row r="2264">
      <c r="A2264" s="463">
        <v>42591.0</v>
      </c>
      <c r="B2264" s="464">
        <v>71.53</v>
      </c>
    </row>
    <row r="2265">
      <c r="A2265" s="463">
        <v>42592.0</v>
      </c>
      <c r="B2265" s="464">
        <v>70.72</v>
      </c>
    </row>
    <row r="2266">
      <c r="A2266" s="463">
        <v>42593.0</v>
      </c>
      <c r="B2266" s="464">
        <v>71.02</v>
      </c>
    </row>
    <row r="2267">
      <c r="A2267" s="463">
        <v>42594.0</v>
      </c>
      <c r="B2267" s="464">
        <v>71.08</v>
      </c>
    </row>
    <row r="2268">
      <c r="A2268" s="463">
        <v>42597.0</v>
      </c>
      <c r="B2268" s="464">
        <v>70.87</v>
      </c>
    </row>
    <row r="2269">
      <c r="A2269" s="463">
        <v>42598.0</v>
      </c>
      <c r="B2269" s="464">
        <v>70.81</v>
      </c>
    </row>
    <row r="2270">
      <c r="A2270" s="463">
        <v>42599.0</v>
      </c>
      <c r="B2270" s="464">
        <v>70.41</v>
      </c>
    </row>
    <row r="2271">
      <c r="A2271" s="463">
        <v>42600.0</v>
      </c>
      <c r="B2271" s="464">
        <v>72.05</v>
      </c>
    </row>
    <row r="2272">
      <c r="A2272" s="463">
        <v>42601.0</v>
      </c>
      <c r="B2272" s="464">
        <v>72.84</v>
      </c>
    </row>
    <row r="2273">
      <c r="A2273" s="463">
        <v>42604.0</v>
      </c>
      <c r="B2273" s="464">
        <v>73.08</v>
      </c>
    </row>
    <row r="2274">
      <c r="A2274" s="463">
        <v>42605.0</v>
      </c>
      <c r="B2274" s="464">
        <v>74.56</v>
      </c>
    </row>
    <row r="2275">
      <c r="A2275" s="463">
        <v>42606.0</v>
      </c>
      <c r="B2275" s="464">
        <v>74.69</v>
      </c>
    </row>
    <row r="2276">
      <c r="A2276" s="463">
        <v>42607.0</v>
      </c>
      <c r="B2276" s="464">
        <v>74.53</v>
      </c>
    </row>
    <row r="2277">
      <c r="A2277" s="463">
        <v>42608.0</v>
      </c>
      <c r="B2277" s="464">
        <v>74.25</v>
      </c>
    </row>
    <row r="2278">
      <c r="A2278" s="463">
        <v>42611.0</v>
      </c>
      <c r="B2278" s="464">
        <v>75.23</v>
      </c>
    </row>
    <row r="2279">
      <c r="A2279" s="463">
        <v>42612.0</v>
      </c>
      <c r="B2279" s="464">
        <v>74.22</v>
      </c>
    </row>
    <row r="2280">
      <c r="A2280" s="463">
        <v>42613.0</v>
      </c>
      <c r="B2280" s="464">
        <v>73.33</v>
      </c>
    </row>
    <row r="2281">
      <c r="A2281" s="463">
        <v>42614.0</v>
      </c>
      <c r="B2281" s="464">
        <v>73.78</v>
      </c>
    </row>
    <row r="2282">
      <c r="A2282" s="463">
        <v>42615.0</v>
      </c>
      <c r="B2282" s="464">
        <v>73.78</v>
      </c>
    </row>
    <row r="2283">
      <c r="A2283" s="463">
        <v>42619.0</v>
      </c>
      <c r="B2283" s="464">
        <v>73.39</v>
      </c>
    </row>
    <row r="2284">
      <c r="A2284" s="463">
        <v>42620.0</v>
      </c>
      <c r="B2284" s="464">
        <v>72.76</v>
      </c>
    </row>
    <row r="2285">
      <c r="A2285" s="463">
        <v>42621.0</v>
      </c>
      <c r="B2285" s="464">
        <v>74.34</v>
      </c>
    </row>
    <row r="2286">
      <c r="A2286" s="463">
        <v>42622.0</v>
      </c>
      <c r="B2286" s="464">
        <v>73.08</v>
      </c>
    </row>
    <row r="2287">
      <c r="A2287" s="463">
        <v>42625.0</v>
      </c>
      <c r="B2287" s="464">
        <v>73.67</v>
      </c>
    </row>
    <row r="2288">
      <c r="A2288" s="463">
        <v>42626.0</v>
      </c>
      <c r="B2288" s="464">
        <v>73.1</v>
      </c>
    </row>
    <row r="2289">
      <c r="A2289" s="463">
        <v>42627.0</v>
      </c>
      <c r="B2289" s="464">
        <v>73.3</v>
      </c>
    </row>
    <row r="2290">
      <c r="A2290" s="463">
        <v>42628.0</v>
      </c>
      <c r="B2290" s="464">
        <v>73.36</v>
      </c>
    </row>
    <row r="2291">
      <c r="A2291" s="463">
        <v>42629.0</v>
      </c>
      <c r="B2291" s="464">
        <v>72.44</v>
      </c>
    </row>
    <row r="2292">
      <c r="A2292" s="463">
        <v>42632.0</v>
      </c>
      <c r="B2292" s="464">
        <v>72.68</v>
      </c>
    </row>
    <row r="2293">
      <c r="A2293" s="463">
        <v>42633.0</v>
      </c>
      <c r="B2293" s="464">
        <v>73.05</v>
      </c>
    </row>
    <row r="2294">
      <c r="A2294" s="463">
        <v>42634.0</v>
      </c>
      <c r="B2294" s="464">
        <v>73.42</v>
      </c>
    </row>
    <row r="2295">
      <c r="A2295" s="463">
        <v>42635.0</v>
      </c>
      <c r="B2295" s="464">
        <v>73.81</v>
      </c>
    </row>
    <row r="2296">
      <c r="A2296" s="463">
        <v>42636.0</v>
      </c>
      <c r="B2296" s="464">
        <v>73.38</v>
      </c>
    </row>
    <row r="2297">
      <c r="A2297" s="463">
        <v>42639.0</v>
      </c>
      <c r="B2297" s="464">
        <v>73.44</v>
      </c>
    </row>
    <row r="2298">
      <c r="A2298" s="463">
        <v>42640.0</v>
      </c>
      <c r="B2298" s="464">
        <v>73.6</v>
      </c>
    </row>
    <row r="2299">
      <c r="A2299" s="463">
        <v>42641.0</v>
      </c>
      <c r="B2299" s="464">
        <v>73.85</v>
      </c>
    </row>
    <row r="2300">
      <c r="A2300" s="463">
        <v>42642.0</v>
      </c>
      <c r="B2300" s="464">
        <v>73.08</v>
      </c>
    </row>
    <row r="2301">
      <c r="A2301" s="463">
        <v>42643.0</v>
      </c>
      <c r="B2301" s="464">
        <v>73.35</v>
      </c>
    </row>
    <row r="2302">
      <c r="A2302" s="463">
        <v>42646.0</v>
      </c>
      <c r="B2302" s="464">
        <v>73.61</v>
      </c>
    </row>
    <row r="2303">
      <c r="A2303" s="463">
        <v>42647.0</v>
      </c>
      <c r="B2303" s="464">
        <v>72.45</v>
      </c>
    </row>
    <row r="2304">
      <c r="A2304" s="463">
        <v>42648.0</v>
      </c>
      <c r="B2304" s="464">
        <v>74.0</v>
      </c>
    </row>
    <row r="2305">
      <c r="A2305" s="463">
        <v>42649.0</v>
      </c>
      <c r="B2305" s="464">
        <v>74.28</v>
      </c>
    </row>
    <row r="2306">
      <c r="A2306" s="463">
        <v>42650.0</v>
      </c>
      <c r="B2306" s="464">
        <v>73.99</v>
      </c>
    </row>
    <row r="2307">
      <c r="A2307" s="463">
        <v>42653.0</v>
      </c>
      <c r="B2307" s="464">
        <v>73.15</v>
      </c>
    </row>
    <row r="2308">
      <c r="A2308" s="463">
        <v>42654.0</v>
      </c>
      <c r="B2308" s="464">
        <v>73.4</v>
      </c>
    </row>
    <row r="2309">
      <c r="A2309" s="463">
        <v>42655.0</v>
      </c>
      <c r="B2309" s="464">
        <v>73.21</v>
      </c>
    </row>
    <row r="2310">
      <c r="A2310" s="463">
        <v>42656.0</v>
      </c>
      <c r="B2310" s="464">
        <v>73.03</v>
      </c>
    </row>
    <row r="2311">
      <c r="A2311" s="463">
        <v>42657.0</v>
      </c>
      <c r="B2311" s="464">
        <v>72.98</v>
      </c>
    </row>
    <row r="2312">
      <c r="A2312" s="463">
        <v>42660.0</v>
      </c>
      <c r="B2312" s="464">
        <v>72.87</v>
      </c>
    </row>
    <row r="2313">
      <c r="A2313" s="463">
        <v>42661.0</v>
      </c>
      <c r="B2313" s="464">
        <v>73.13</v>
      </c>
    </row>
    <row r="2314">
      <c r="A2314" s="463">
        <v>42662.0</v>
      </c>
      <c r="B2314" s="464">
        <v>73.49</v>
      </c>
    </row>
    <row r="2315">
      <c r="A2315" s="463">
        <v>42663.0</v>
      </c>
      <c r="B2315" s="464">
        <v>73.26</v>
      </c>
    </row>
    <row r="2316">
      <c r="A2316" s="463">
        <v>42664.0</v>
      </c>
      <c r="B2316" s="464">
        <v>72.91</v>
      </c>
    </row>
    <row r="2317">
      <c r="A2317" s="463">
        <v>42667.0</v>
      </c>
      <c r="B2317" s="464">
        <v>73.97</v>
      </c>
    </row>
    <row r="2318">
      <c r="A2318" s="463">
        <v>42668.0</v>
      </c>
      <c r="B2318" s="464">
        <v>73.2</v>
      </c>
    </row>
    <row r="2319">
      <c r="A2319" s="463">
        <v>42669.0</v>
      </c>
      <c r="B2319" s="464">
        <v>73.31</v>
      </c>
    </row>
    <row r="2320">
      <c r="A2320" s="463">
        <v>42670.0</v>
      </c>
      <c r="B2320" s="464">
        <v>75.77</v>
      </c>
    </row>
    <row r="2321">
      <c r="A2321" s="463">
        <v>42671.0</v>
      </c>
      <c r="B2321" s="464">
        <v>77.65</v>
      </c>
    </row>
    <row r="2322">
      <c r="A2322" s="463">
        <v>42674.0</v>
      </c>
      <c r="B2322" s="464">
        <v>78.6</v>
      </c>
    </row>
    <row r="2323">
      <c r="A2323" s="463">
        <v>42675.0</v>
      </c>
      <c r="B2323" s="464">
        <v>77.97</v>
      </c>
    </row>
    <row r="2324">
      <c r="A2324" s="463">
        <v>42676.0</v>
      </c>
      <c r="B2324" s="464">
        <v>78.27</v>
      </c>
    </row>
    <row r="2325">
      <c r="A2325" s="463">
        <v>42677.0</v>
      </c>
      <c r="B2325" s="464">
        <v>77.73</v>
      </c>
    </row>
    <row r="2326">
      <c r="A2326" s="463">
        <v>42678.0</v>
      </c>
      <c r="B2326" s="464">
        <v>76.79</v>
      </c>
    </row>
    <row r="2327">
      <c r="A2327" s="463">
        <v>42681.0</v>
      </c>
      <c r="B2327" s="464">
        <v>77.89</v>
      </c>
    </row>
    <row r="2328">
      <c r="A2328" s="463">
        <v>42682.0</v>
      </c>
      <c r="B2328" s="464">
        <v>77.46</v>
      </c>
    </row>
    <row r="2329">
      <c r="A2329" s="463">
        <v>42683.0</v>
      </c>
      <c r="B2329" s="464">
        <v>76.97</v>
      </c>
    </row>
    <row r="2330">
      <c r="A2330" s="463">
        <v>42684.0</v>
      </c>
      <c r="B2330" s="464">
        <v>76.82</v>
      </c>
    </row>
    <row r="2331">
      <c r="A2331" s="463">
        <v>42685.0</v>
      </c>
      <c r="B2331" s="464">
        <v>76.44</v>
      </c>
    </row>
    <row r="2332">
      <c r="A2332" s="463">
        <v>42688.0</v>
      </c>
      <c r="B2332" s="464">
        <v>75.82</v>
      </c>
    </row>
    <row r="2333">
      <c r="A2333" s="463">
        <v>42689.0</v>
      </c>
      <c r="B2333" s="464">
        <v>78.25</v>
      </c>
    </row>
    <row r="2334">
      <c r="A2334" s="463">
        <v>42690.0</v>
      </c>
      <c r="B2334" s="464">
        <v>78.47</v>
      </c>
    </row>
    <row r="2335">
      <c r="A2335" s="463">
        <v>42691.0</v>
      </c>
      <c r="B2335" s="464">
        <v>79.97</v>
      </c>
    </row>
    <row r="2336">
      <c r="A2336" s="463">
        <v>42692.0</v>
      </c>
      <c r="B2336" s="464">
        <v>80.14</v>
      </c>
    </row>
    <row r="2337">
      <c r="A2337" s="463">
        <v>42695.0</v>
      </c>
      <c r="B2337" s="464">
        <v>80.4</v>
      </c>
    </row>
    <row r="2338">
      <c r="A2338" s="463">
        <v>42696.0</v>
      </c>
      <c r="B2338" s="464">
        <v>80.19</v>
      </c>
    </row>
    <row r="2339">
      <c r="A2339" s="463">
        <v>42697.0</v>
      </c>
      <c r="B2339" s="464">
        <v>79.35</v>
      </c>
    </row>
    <row r="2340">
      <c r="A2340" s="463">
        <v>42699.0</v>
      </c>
      <c r="B2340" s="464">
        <v>79.8</v>
      </c>
    </row>
    <row r="2341">
      <c r="A2341" s="463">
        <v>42702.0</v>
      </c>
      <c r="B2341" s="464">
        <v>79.88</v>
      </c>
    </row>
    <row r="2342">
      <c r="A2342" s="463">
        <v>42703.0</v>
      </c>
      <c r="B2342" s="464">
        <v>81.61</v>
      </c>
    </row>
    <row r="2343">
      <c r="A2343" s="463">
        <v>42704.0</v>
      </c>
      <c r="B2343" s="464">
        <v>81.14</v>
      </c>
    </row>
    <row r="2344">
      <c r="A2344" s="463">
        <v>42705.0</v>
      </c>
      <c r="B2344" s="464">
        <v>78.04</v>
      </c>
    </row>
    <row r="2345">
      <c r="A2345" s="463">
        <v>42706.0</v>
      </c>
      <c r="B2345" s="464">
        <v>78.76</v>
      </c>
    </row>
    <row r="2346">
      <c r="A2346" s="463">
        <v>42709.0</v>
      </c>
      <c r="B2346" s="464">
        <v>80.21</v>
      </c>
    </row>
    <row r="2347">
      <c r="A2347" s="463">
        <v>42710.0</v>
      </c>
      <c r="B2347" s="464">
        <v>80.55</v>
      </c>
    </row>
    <row r="2348">
      <c r="A2348" s="463">
        <v>42711.0</v>
      </c>
      <c r="B2348" s="464">
        <v>81.16</v>
      </c>
    </row>
    <row r="2349">
      <c r="A2349" s="463">
        <v>42712.0</v>
      </c>
      <c r="B2349" s="464">
        <v>80.75</v>
      </c>
    </row>
    <row r="2350">
      <c r="A2350" s="463">
        <v>42713.0</v>
      </c>
      <c r="B2350" s="464">
        <v>80.58</v>
      </c>
    </row>
    <row r="2351">
      <c r="A2351" s="463">
        <v>42716.0</v>
      </c>
      <c r="B2351" s="464">
        <v>80.34</v>
      </c>
    </row>
    <row r="2352">
      <c r="A2352" s="463">
        <v>42717.0</v>
      </c>
      <c r="B2352" s="464">
        <v>80.02</v>
      </c>
    </row>
    <row r="2353">
      <c r="A2353" s="463">
        <v>42718.0</v>
      </c>
      <c r="B2353" s="464">
        <v>80.92</v>
      </c>
    </row>
    <row r="2354">
      <c r="A2354" s="463">
        <v>42719.0</v>
      </c>
      <c r="B2354" s="464">
        <v>82.58</v>
      </c>
    </row>
    <row r="2355">
      <c r="A2355" s="463">
        <v>42720.0</v>
      </c>
      <c r="B2355" s="464">
        <v>80.79</v>
      </c>
    </row>
    <row r="2356">
      <c r="A2356" s="463">
        <v>42723.0</v>
      </c>
      <c r="B2356" s="464">
        <v>81.38</v>
      </c>
    </row>
    <row r="2357">
      <c r="A2357" s="463">
        <v>42724.0</v>
      </c>
      <c r="B2357" s="464">
        <v>81.86</v>
      </c>
    </row>
    <row r="2358">
      <c r="A2358" s="463">
        <v>42725.0</v>
      </c>
      <c r="B2358" s="464">
        <v>81.91</v>
      </c>
    </row>
    <row r="2359">
      <c r="A2359" s="463">
        <v>42726.0</v>
      </c>
      <c r="B2359" s="464">
        <v>79.54</v>
      </c>
    </row>
    <row r="2360">
      <c r="A2360" s="463">
        <v>42727.0</v>
      </c>
      <c r="B2360" s="464">
        <v>80.12</v>
      </c>
    </row>
    <row r="2361">
      <c r="A2361" s="463">
        <v>42731.0</v>
      </c>
      <c r="B2361" s="464">
        <v>80.21</v>
      </c>
    </row>
    <row r="2362">
      <c r="A2362" s="463">
        <v>42732.0</v>
      </c>
      <c r="B2362" s="464">
        <v>79.47</v>
      </c>
    </row>
    <row r="2363">
      <c r="A2363" s="463">
        <v>42733.0</v>
      </c>
      <c r="B2363" s="464">
        <v>79.11</v>
      </c>
    </row>
    <row r="2364">
      <c r="A2364" s="463">
        <v>42734.0</v>
      </c>
      <c r="B2364" s="464">
        <v>78.73</v>
      </c>
    </row>
    <row r="2365">
      <c r="A2365" s="463">
        <v>42738.0</v>
      </c>
      <c r="B2365" s="464">
        <v>78.88</v>
      </c>
    </row>
    <row r="2366">
      <c r="A2366" s="463">
        <v>42739.0</v>
      </c>
      <c r="B2366" s="464">
        <v>79.49</v>
      </c>
    </row>
    <row r="2367">
      <c r="A2367" s="463">
        <v>42740.0</v>
      </c>
      <c r="B2367" s="464">
        <v>79.46</v>
      </c>
    </row>
    <row r="2368">
      <c r="A2368" s="463">
        <v>42741.0</v>
      </c>
      <c r="B2368" s="464">
        <v>81.5</v>
      </c>
    </row>
    <row r="2369">
      <c r="A2369" s="463">
        <v>42744.0</v>
      </c>
      <c r="B2369" s="464">
        <v>80.55</v>
      </c>
    </row>
    <row r="2370">
      <c r="A2370" s="463">
        <v>42745.0</v>
      </c>
      <c r="B2370" s="464">
        <v>81.48</v>
      </c>
    </row>
    <row r="2371">
      <c r="A2371" s="463">
        <v>42746.0</v>
      </c>
      <c r="B2371" s="464">
        <v>82.1</v>
      </c>
    </row>
    <row r="2372">
      <c r="A2372" s="463">
        <v>42747.0</v>
      </c>
      <c r="B2372" s="464">
        <v>81.78</v>
      </c>
    </row>
    <row r="2373">
      <c r="A2373" s="463">
        <v>42748.0</v>
      </c>
      <c r="B2373" s="464">
        <v>82.01</v>
      </c>
    </row>
    <row r="2374">
      <c r="A2374" s="463">
        <v>42752.0</v>
      </c>
      <c r="B2374" s="464">
        <v>81.49</v>
      </c>
    </row>
    <row r="2375">
      <c r="A2375" s="463">
        <v>42753.0</v>
      </c>
      <c r="B2375" s="464">
        <v>82.78</v>
      </c>
    </row>
    <row r="2376">
      <c r="A2376" s="463">
        <v>42754.0</v>
      </c>
      <c r="B2376" s="464">
        <v>82.69</v>
      </c>
    </row>
    <row r="2377">
      <c r="A2377" s="463">
        <v>42755.0</v>
      </c>
      <c r="B2377" s="464">
        <v>82.64</v>
      </c>
    </row>
    <row r="2378">
      <c r="A2378" s="463">
        <v>42758.0</v>
      </c>
      <c r="B2378" s="464">
        <v>82.05</v>
      </c>
    </row>
    <row r="2379">
      <c r="A2379" s="463">
        <v>42759.0</v>
      </c>
      <c r="B2379" s="464">
        <v>84.62</v>
      </c>
    </row>
    <row r="2380">
      <c r="A2380" s="463">
        <v>42760.0</v>
      </c>
      <c r="B2380" s="464">
        <v>84.9</v>
      </c>
    </row>
    <row r="2381">
      <c r="A2381" s="463">
        <v>42761.0</v>
      </c>
      <c r="B2381" s="464">
        <v>84.22</v>
      </c>
    </row>
    <row r="2382">
      <c r="A2382" s="463">
        <v>42762.0</v>
      </c>
      <c r="B2382" s="464">
        <v>87.16</v>
      </c>
    </row>
    <row r="2383">
      <c r="A2383" s="463">
        <v>42765.0</v>
      </c>
      <c r="B2383" s="464">
        <v>87.03</v>
      </c>
    </row>
    <row r="2384">
      <c r="A2384" s="463">
        <v>42766.0</v>
      </c>
      <c r="B2384" s="464">
        <v>87.54</v>
      </c>
    </row>
    <row r="2385">
      <c r="A2385" s="463">
        <v>42767.0</v>
      </c>
      <c r="B2385" s="464">
        <v>87.19</v>
      </c>
    </row>
    <row r="2386">
      <c r="A2386" s="463">
        <v>42768.0</v>
      </c>
      <c r="B2386" s="464">
        <v>88.0</v>
      </c>
    </row>
    <row r="2387">
      <c r="A2387" s="463">
        <v>42769.0</v>
      </c>
      <c r="B2387" s="464">
        <v>88.95</v>
      </c>
    </row>
    <row r="2388">
      <c r="A2388" s="463">
        <v>42772.0</v>
      </c>
      <c r="B2388" s="464">
        <v>89.37</v>
      </c>
    </row>
    <row r="2389">
      <c r="A2389" s="463">
        <v>42773.0</v>
      </c>
      <c r="B2389" s="464">
        <v>89.47</v>
      </c>
    </row>
    <row r="2390">
      <c r="A2390" s="463">
        <v>42774.0</v>
      </c>
      <c r="B2390" s="464">
        <v>89.76</v>
      </c>
    </row>
    <row r="2391">
      <c r="A2391" s="463">
        <v>42775.0</v>
      </c>
      <c r="B2391" s="464">
        <v>89.99</v>
      </c>
    </row>
    <row r="2392">
      <c r="A2392" s="463">
        <v>42776.0</v>
      </c>
      <c r="B2392" s="464">
        <v>89.92</v>
      </c>
    </row>
    <row r="2393">
      <c r="A2393" s="463">
        <v>42779.0</v>
      </c>
      <c r="B2393" s="464">
        <v>90.37</v>
      </c>
    </row>
    <row r="2394">
      <c r="A2394" s="463">
        <v>42780.0</v>
      </c>
      <c r="B2394" s="464">
        <v>90.62</v>
      </c>
    </row>
    <row r="2395">
      <c r="A2395" s="463">
        <v>42781.0</v>
      </c>
      <c r="B2395" s="464">
        <v>90.76</v>
      </c>
    </row>
    <row r="2396">
      <c r="A2396" s="463">
        <v>42782.0</v>
      </c>
      <c r="B2396" s="464">
        <v>90.95</v>
      </c>
    </row>
    <row r="2397">
      <c r="A2397" s="463">
        <v>42783.0</v>
      </c>
      <c r="B2397" s="464">
        <v>91.22</v>
      </c>
    </row>
    <row r="2398">
      <c r="A2398" s="463">
        <v>42787.0</v>
      </c>
      <c r="B2398" s="464">
        <v>92.35</v>
      </c>
    </row>
    <row r="2399">
      <c r="A2399" s="463">
        <v>42788.0</v>
      </c>
      <c r="B2399" s="464">
        <v>91.76</v>
      </c>
    </row>
    <row r="2400">
      <c r="A2400" s="463">
        <v>42789.0</v>
      </c>
      <c r="B2400" s="464">
        <v>90.74</v>
      </c>
    </row>
    <row r="2401">
      <c r="A2401" s="463">
        <v>42790.0</v>
      </c>
      <c r="B2401" s="464">
        <v>91.01</v>
      </c>
    </row>
    <row r="2402">
      <c r="A2402" s="463">
        <v>42793.0</v>
      </c>
      <c r="B2402" s="464">
        <v>90.57</v>
      </c>
    </row>
    <row r="2403">
      <c r="A2403" s="463">
        <v>42794.0</v>
      </c>
      <c r="B2403" s="464">
        <v>89.89</v>
      </c>
    </row>
    <row r="2404">
      <c r="A2404" s="463">
        <v>42795.0</v>
      </c>
      <c r="B2404" s="464">
        <v>90.76</v>
      </c>
    </row>
    <row r="2405">
      <c r="A2405" s="463">
        <v>42796.0</v>
      </c>
      <c r="B2405" s="464">
        <v>89.7</v>
      </c>
    </row>
    <row r="2406">
      <c r="A2406" s="463">
        <v>42797.0</v>
      </c>
      <c r="B2406" s="464">
        <v>89.69</v>
      </c>
    </row>
    <row r="2407">
      <c r="A2407" s="463">
        <v>42800.0</v>
      </c>
      <c r="B2407" s="464">
        <v>88.86</v>
      </c>
    </row>
    <row r="2408">
      <c r="A2408" s="463">
        <v>42801.0</v>
      </c>
      <c r="B2408" s="464">
        <v>89.33</v>
      </c>
    </row>
    <row r="2409">
      <c r="A2409" s="463">
        <v>42802.0</v>
      </c>
      <c r="B2409" s="464">
        <v>89.74</v>
      </c>
    </row>
    <row r="2410">
      <c r="A2410" s="463">
        <v>42803.0</v>
      </c>
      <c r="B2410" s="464">
        <v>89.33</v>
      </c>
    </row>
    <row r="2411">
      <c r="A2411" s="463">
        <v>42804.0</v>
      </c>
      <c r="B2411" s="464">
        <v>89.9</v>
      </c>
    </row>
    <row r="2412">
      <c r="A2412" s="463">
        <v>42807.0</v>
      </c>
      <c r="B2412" s="464">
        <v>89.88</v>
      </c>
    </row>
    <row r="2413">
      <c r="A2413" s="463">
        <v>42808.0</v>
      </c>
      <c r="B2413" s="464">
        <v>90.38</v>
      </c>
    </row>
    <row r="2414">
      <c r="A2414" s="463">
        <v>42809.0</v>
      </c>
      <c r="B2414" s="464">
        <v>91.09</v>
      </c>
    </row>
    <row r="2415">
      <c r="A2415" s="463">
        <v>42810.0</v>
      </c>
      <c r="B2415" s="464">
        <v>92.07</v>
      </c>
    </row>
    <row r="2416">
      <c r="A2416" s="463">
        <v>42811.0</v>
      </c>
      <c r="B2416" s="464">
        <v>92.6</v>
      </c>
    </row>
    <row r="2417">
      <c r="A2417" s="463">
        <v>42814.0</v>
      </c>
      <c r="B2417" s="464">
        <v>92.61</v>
      </c>
    </row>
    <row r="2418">
      <c r="A2418" s="463">
        <v>42815.0</v>
      </c>
      <c r="B2418" s="464">
        <v>90.12</v>
      </c>
    </row>
    <row r="2419">
      <c r="A2419" s="463">
        <v>42816.0</v>
      </c>
      <c r="B2419" s="464">
        <v>91.25</v>
      </c>
    </row>
    <row r="2420">
      <c r="A2420" s="463">
        <v>42817.0</v>
      </c>
      <c r="B2420" s="464">
        <v>91.14</v>
      </c>
    </row>
    <row r="2421">
      <c r="A2421" s="463">
        <v>42818.0</v>
      </c>
      <c r="B2421" s="464">
        <v>91.73</v>
      </c>
    </row>
    <row r="2422">
      <c r="A2422" s="463">
        <v>42821.0</v>
      </c>
      <c r="B2422" s="464">
        <v>91.9</v>
      </c>
    </row>
    <row r="2423">
      <c r="A2423" s="463">
        <v>42822.0</v>
      </c>
      <c r="B2423" s="464">
        <v>92.14</v>
      </c>
    </row>
    <row r="2424">
      <c r="A2424" s="463">
        <v>42823.0</v>
      </c>
      <c r="B2424" s="464">
        <v>91.84</v>
      </c>
    </row>
    <row r="2425">
      <c r="A2425" s="463">
        <v>42824.0</v>
      </c>
      <c r="B2425" s="464">
        <v>91.42</v>
      </c>
    </row>
    <row r="2426">
      <c r="A2426" s="463">
        <v>42825.0</v>
      </c>
      <c r="B2426" s="464">
        <v>92.14</v>
      </c>
    </row>
    <row r="2427">
      <c r="A2427" s="463">
        <v>42828.0</v>
      </c>
      <c r="B2427" s="464">
        <v>91.67</v>
      </c>
    </row>
    <row r="2428">
      <c r="A2428" s="463">
        <v>42829.0</v>
      </c>
      <c r="B2428" s="464">
        <v>92.23</v>
      </c>
    </row>
    <row r="2429">
      <c r="A2429" s="463">
        <v>42830.0</v>
      </c>
      <c r="B2429" s="464">
        <v>91.15</v>
      </c>
    </row>
    <row r="2430">
      <c r="A2430" s="463">
        <v>42831.0</v>
      </c>
      <c r="B2430" s="464">
        <v>91.52</v>
      </c>
    </row>
    <row r="2431">
      <c r="A2431" s="463">
        <v>42832.0</v>
      </c>
      <c r="B2431" s="464">
        <v>92.33</v>
      </c>
    </row>
    <row r="2432">
      <c r="A2432" s="463">
        <v>42835.0</v>
      </c>
      <c r="B2432" s="464">
        <v>92.52</v>
      </c>
    </row>
    <row r="2433">
      <c r="A2433" s="463">
        <v>42836.0</v>
      </c>
      <c r="B2433" s="464">
        <v>92.43</v>
      </c>
    </row>
    <row r="2434">
      <c r="A2434" s="463">
        <v>42837.0</v>
      </c>
      <c r="B2434" s="464">
        <v>91.22</v>
      </c>
    </row>
    <row r="2435">
      <c r="A2435" s="463">
        <v>42838.0</v>
      </c>
      <c r="B2435" s="464">
        <v>90.81</v>
      </c>
    </row>
    <row r="2436">
      <c r="A2436" s="463">
        <v>42842.0</v>
      </c>
      <c r="B2436" s="464">
        <v>91.33</v>
      </c>
    </row>
    <row r="2437">
      <c r="A2437" s="463">
        <v>42843.0</v>
      </c>
      <c r="B2437" s="464">
        <v>91.69</v>
      </c>
    </row>
    <row r="2438">
      <c r="A2438" s="463">
        <v>42844.0</v>
      </c>
      <c r="B2438" s="464">
        <v>91.81</v>
      </c>
    </row>
    <row r="2439">
      <c r="A2439" s="463">
        <v>42845.0</v>
      </c>
      <c r="B2439" s="464">
        <v>91.86</v>
      </c>
    </row>
    <row r="2440">
      <c r="A2440" s="463">
        <v>42846.0</v>
      </c>
      <c r="B2440" s="464">
        <v>90.85</v>
      </c>
    </row>
    <row r="2441">
      <c r="A2441" s="463">
        <v>42849.0</v>
      </c>
      <c r="B2441" s="464">
        <v>93.07</v>
      </c>
    </row>
    <row r="2442">
      <c r="A2442" s="463">
        <v>42850.0</v>
      </c>
      <c r="B2442" s="464">
        <v>93.0</v>
      </c>
    </row>
    <row r="2443">
      <c r="A2443" s="463">
        <v>42851.0</v>
      </c>
      <c r="B2443" s="464">
        <v>93.91</v>
      </c>
    </row>
    <row r="2444">
      <c r="A2444" s="463">
        <v>42852.0</v>
      </c>
      <c r="B2444" s="464">
        <v>94.25</v>
      </c>
    </row>
    <row r="2445">
      <c r="A2445" s="463">
        <v>42853.0</v>
      </c>
      <c r="B2445" s="464">
        <v>94.12</v>
      </c>
    </row>
    <row r="2446">
      <c r="A2446" s="463">
        <v>42856.0</v>
      </c>
      <c r="B2446" s="464">
        <v>94.58</v>
      </c>
    </row>
    <row r="2447">
      <c r="A2447" s="463">
        <v>42857.0</v>
      </c>
      <c r="B2447" s="464">
        <v>93.4</v>
      </c>
    </row>
    <row r="2448">
      <c r="A2448" s="463">
        <v>42858.0</v>
      </c>
      <c r="B2448" s="464">
        <v>92.63</v>
      </c>
    </row>
    <row r="2449">
      <c r="A2449" s="463">
        <v>42859.0</v>
      </c>
      <c r="B2449" s="464">
        <v>92.82</v>
      </c>
    </row>
    <row r="2450">
      <c r="A2450" s="463">
        <v>42860.0</v>
      </c>
      <c r="B2450" s="464">
        <v>93.97</v>
      </c>
    </row>
    <row r="2451">
      <c r="A2451" s="463">
        <v>42863.0</v>
      </c>
      <c r="B2451" s="464">
        <v>94.59</v>
      </c>
    </row>
    <row r="2452">
      <c r="A2452" s="463">
        <v>42864.0</v>
      </c>
      <c r="B2452" s="464">
        <v>94.06</v>
      </c>
    </row>
    <row r="2453">
      <c r="A2453" s="463">
        <v>42865.0</v>
      </c>
      <c r="B2453" s="464">
        <v>94.15</v>
      </c>
    </row>
    <row r="2454">
      <c r="A2454" s="463">
        <v>42866.0</v>
      </c>
      <c r="B2454" s="464">
        <v>93.49</v>
      </c>
    </row>
    <row r="2455">
      <c r="A2455" s="463">
        <v>42867.0</v>
      </c>
      <c r="B2455" s="464">
        <v>93.2</v>
      </c>
    </row>
    <row r="2456">
      <c r="A2456" s="463">
        <v>42870.0</v>
      </c>
      <c r="B2456" s="464">
        <v>94.65</v>
      </c>
    </row>
    <row r="2457">
      <c r="A2457" s="463">
        <v>42871.0</v>
      </c>
      <c r="B2457" s="464">
        <v>94.64</v>
      </c>
    </row>
    <row r="2458">
      <c r="A2458" s="463">
        <v>42872.0</v>
      </c>
      <c r="B2458" s="464">
        <v>92.27</v>
      </c>
    </row>
    <row r="2459">
      <c r="A2459" s="463">
        <v>42873.0</v>
      </c>
      <c r="B2459" s="464">
        <v>92.28</v>
      </c>
    </row>
    <row r="2460">
      <c r="A2460" s="463">
        <v>42874.0</v>
      </c>
      <c r="B2460" s="464">
        <v>92.52</v>
      </c>
    </row>
    <row r="2461">
      <c r="A2461" s="463">
        <v>42877.0</v>
      </c>
      <c r="B2461" s="464">
        <v>95.24</v>
      </c>
    </row>
    <row r="2462">
      <c r="A2462" s="463">
        <v>42878.0</v>
      </c>
      <c r="B2462" s="464">
        <v>94.87</v>
      </c>
    </row>
    <row r="2463">
      <c r="A2463" s="463">
        <v>42879.0</v>
      </c>
      <c r="B2463" s="464">
        <v>96.02</v>
      </c>
    </row>
    <row r="2464">
      <c r="A2464" s="463">
        <v>42880.0</v>
      </c>
      <c r="B2464" s="464">
        <v>96.77</v>
      </c>
    </row>
    <row r="2465">
      <c r="A2465" s="463">
        <v>42881.0</v>
      </c>
      <c r="B2465" s="464">
        <v>96.81</v>
      </c>
    </row>
    <row r="2466">
      <c r="A2466" s="463">
        <v>42885.0</v>
      </c>
      <c r="B2466" s="464">
        <v>96.74</v>
      </c>
    </row>
    <row r="2467">
      <c r="A2467" s="463">
        <v>42886.0</v>
      </c>
      <c r="B2467" s="464">
        <v>97.15</v>
      </c>
    </row>
    <row r="2468">
      <c r="A2468" s="463">
        <v>42887.0</v>
      </c>
      <c r="B2468" s="464">
        <v>97.4</v>
      </c>
    </row>
    <row r="2469">
      <c r="A2469" s="463">
        <v>42888.0</v>
      </c>
      <c r="B2469" s="464">
        <v>95.36</v>
      </c>
    </row>
    <row r="2470">
      <c r="A2470" s="463">
        <v>42891.0</v>
      </c>
      <c r="B2470" s="464">
        <v>91.9</v>
      </c>
    </row>
    <row r="2471">
      <c r="A2471" s="463">
        <v>42892.0</v>
      </c>
      <c r="B2471" s="464">
        <v>92.08</v>
      </c>
    </row>
    <row r="2472">
      <c r="A2472" s="463">
        <v>42893.0</v>
      </c>
      <c r="B2472" s="464">
        <v>92.85</v>
      </c>
    </row>
    <row r="2473">
      <c r="A2473" s="463">
        <v>42894.0</v>
      </c>
      <c r="B2473" s="464">
        <v>90.61</v>
      </c>
    </row>
    <row r="2474">
      <c r="A2474" s="463">
        <v>42895.0</v>
      </c>
      <c r="B2474" s="464">
        <v>87.63</v>
      </c>
    </row>
    <row r="2475">
      <c r="A2475" s="463">
        <v>42898.0</v>
      </c>
      <c r="B2475" s="464">
        <v>87.36</v>
      </c>
    </row>
    <row r="2476">
      <c r="A2476" s="463">
        <v>42899.0</v>
      </c>
      <c r="B2476" s="464">
        <v>88.81</v>
      </c>
    </row>
    <row r="2477">
      <c r="A2477" s="463">
        <v>42900.0</v>
      </c>
      <c r="B2477" s="464">
        <v>87.95</v>
      </c>
    </row>
    <row r="2478">
      <c r="A2478" s="463">
        <v>42901.0</v>
      </c>
      <c r="B2478" s="464">
        <v>87.73</v>
      </c>
    </row>
    <row r="2479">
      <c r="A2479" s="463">
        <v>42902.0</v>
      </c>
      <c r="B2479" s="464">
        <v>88.1</v>
      </c>
    </row>
    <row r="2480">
      <c r="A2480" s="463">
        <v>42905.0</v>
      </c>
      <c r="B2480" s="464">
        <v>88.78</v>
      </c>
    </row>
    <row r="2481">
      <c r="A2481" s="463">
        <v>42906.0</v>
      </c>
      <c r="B2481" s="464">
        <v>88.22</v>
      </c>
    </row>
    <row r="2482">
      <c r="A2482" s="463">
        <v>42907.0</v>
      </c>
      <c r="B2482" s="464">
        <v>90.01</v>
      </c>
    </row>
    <row r="2483">
      <c r="A2483" s="463">
        <v>42908.0</v>
      </c>
      <c r="B2483" s="464">
        <v>90.44</v>
      </c>
    </row>
    <row r="2484">
      <c r="A2484" s="463">
        <v>42909.0</v>
      </c>
      <c r="B2484" s="464">
        <v>90.92</v>
      </c>
    </row>
    <row r="2485">
      <c r="A2485" s="463">
        <v>42912.0</v>
      </c>
      <c r="B2485" s="464">
        <v>90.66</v>
      </c>
    </row>
    <row r="2486">
      <c r="A2486" s="463">
        <v>42913.0</v>
      </c>
      <c r="B2486" s="464">
        <v>89.25</v>
      </c>
    </row>
    <row r="2487">
      <c r="A2487" s="463">
        <v>42914.0</v>
      </c>
      <c r="B2487" s="464">
        <v>89.58</v>
      </c>
    </row>
    <row r="2488">
      <c r="A2488" s="463">
        <v>42915.0</v>
      </c>
      <c r="B2488" s="464">
        <v>87.05</v>
      </c>
    </row>
    <row r="2489">
      <c r="A2489" s="463">
        <v>42916.0</v>
      </c>
      <c r="B2489" s="464">
        <v>87.43</v>
      </c>
    </row>
    <row r="2490">
      <c r="A2490" s="463">
        <v>42919.0</v>
      </c>
      <c r="B2490" s="464">
        <v>85.89</v>
      </c>
    </row>
    <row r="2491">
      <c r="A2491" s="463">
        <v>42921.0</v>
      </c>
      <c r="B2491" s="464">
        <v>87.25</v>
      </c>
    </row>
    <row r="2492">
      <c r="A2492" s="463">
        <v>42922.0</v>
      </c>
      <c r="B2492" s="464">
        <v>87.51</v>
      </c>
    </row>
    <row r="2493">
      <c r="A2493" s="463">
        <v>42923.0</v>
      </c>
      <c r="B2493" s="464">
        <v>88.19</v>
      </c>
    </row>
    <row r="2494">
      <c r="A2494" s="463">
        <v>42926.0</v>
      </c>
      <c r="B2494" s="464">
        <v>88.34</v>
      </c>
    </row>
    <row r="2495">
      <c r="A2495" s="463">
        <v>42927.0</v>
      </c>
      <c r="B2495" s="464">
        <v>88.56</v>
      </c>
    </row>
    <row r="2496">
      <c r="A2496" s="463">
        <v>42928.0</v>
      </c>
      <c r="B2496" s="464">
        <v>88.78</v>
      </c>
    </row>
    <row r="2497">
      <c r="A2497" s="463">
        <v>42929.0</v>
      </c>
      <c r="B2497" s="464">
        <v>88.5</v>
      </c>
    </row>
    <row r="2498">
      <c r="A2498" s="463">
        <v>42930.0</v>
      </c>
      <c r="B2498" s="464">
        <v>88.37</v>
      </c>
    </row>
    <row r="2499">
      <c r="A2499" s="463">
        <v>42933.0</v>
      </c>
      <c r="B2499" s="464">
        <v>91.05</v>
      </c>
    </row>
    <row r="2500">
      <c r="A2500" s="463">
        <v>42934.0</v>
      </c>
      <c r="B2500" s="464">
        <v>91.01</v>
      </c>
    </row>
    <row r="2501">
      <c r="A2501" s="463">
        <v>42935.0</v>
      </c>
      <c r="B2501" s="464">
        <v>92.26</v>
      </c>
    </row>
    <row r="2502">
      <c r="A2502" s="463">
        <v>42936.0</v>
      </c>
      <c r="B2502" s="464">
        <v>92.54</v>
      </c>
    </row>
    <row r="2503">
      <c r="A2503" s="463">
        <v>42937.0</v>
      </c>
      <c r="B2503" s="464">
        <v>92.27</v>
      </c>
    </row>
    <row r="2504">
      <c r="A2504" s="463">
        <v>42940.0</v>
      </c>
      <c r="B2504" s="464">
        <v>92.29</v>
      </c>
    </row>
    <row r="2505">
      <c r="A2505" s="463">
        <v>42941.0</v>
      </c>
      <c r="B2505" s="464">
        <v>92.38</v>
      </c>
    </row>
    <row r="2506">
      <c r="A2506" s="463">
        <v>42942.0</v>
      </c>
      <c r="B2506" s="464">
        <v>92.36</v>
      </c>
    </row>
    <row r="2507">
      <c r="A2507" s="463">
        <v>42943.0</v>
      </c>
      <c r="B2507" s="464">
        <v>92.0</v>
      </c>
    </row>
    <row r="2508">
      <c r="A2508" s="463">
        <v>42944.0</v>
      </c>
      <c r="B2508" s="464">
        <v>92.3</v>
      </c>
    </row>
    <row r="2509">
      <c r="A2509" s="463">
        <v>42947.0</v>
      </c>
      <c r="B2509" s="464">
        <v>92.71</v>
      </c>
    </row>
    <row r="2510">
      <c r="A2510" s="463">
        <v>42948.0</v>
      </c>
      <c r="B2510" s="464">
        <v>92.7</v>
      </c>
    </row>
    <row r="2511">
      <c r="A2511" s="463">
        <v>42949.0</v>
      </c>
      <c r="B2511" s="464">
        <v>92.11</v>
      </c>
    </row>
    <row r="2512">
      <c r="A2512" s="463">
        <v>42950.0</v>
      </c>
      <c r="B2512" s="464">
        <v>92.43</v>
      </c>
    </row>
    <row r="2513">
      <c r="A2513" s="463">
        <v>42951.0</v>
      </c>
      <c r="B2513" s="464">
        <v>93.09</v>
      </c>
    </row>
    <row r="2514">
      <c r="A2514" s="463">
        <v>42954.0</v>
      </c>
      <c r="B2514" s="464">
        <v>93.42</v>
      </c>
    </row>
    <row r="2515">
      <c r="A2515" s="463">
        <v>42955.0</v>
      </c>
      <c r="B2515" s="464">
        <v>93.4</v>
      </c>
    </row>
    <row r="2516">
      <c r="A2516" s="463">
        <v>42956.0</v>
      </c>
      <c r="B2516" s="464">
        <v>92.93</v>
      </c>
    </row>
    <row r="2517">
      <c r="A2517" s="463">
        <v>42957.0</v>
      </c>
      <c r="B2517" s="464">
        <v>92.0</v>
      </c>
    </row>
    <row r="2518">
      <c r="A2518" s="463">
        <v>42958.0</v>
      </c>
      <c r="B2518" s="464">
        <v>91.95</v>
      </c>
    </row>
    <row r="2519">
      <c r="A2519" s="463">
        <v>42961.0</v>
      </c>
      <c r="B2519" s="464">
        <v>98.02</v>
      </c>
    </row>
    <row r="2520">
      <c r="A2520" s="463">
        <v>42962.0</v>
      </c>
      <c r="B2520" s="464">
        <v>95.29</v>
      </c>
    </row>
    <row r="2521">
      <c r="A2521" s="463">
        <v>42963.0</v>
      </c>
      <c r="B2521" s="464">
        <v>96.66</v>
      </c>
    </row>
    <row r="2522">
      <c r="A2522" s="463">
        <v>42964.0</v>
      </c>
      <c r="B2522" s="464">
        <v>95.77</v>
      </c>
    </row>
    <row r="2523">
      <c r="A2523" s="463">
        <v>42965.0</v>
      </c>
      <c r="B2523" s="464">
        <v>96.27</v>
      </c>
    </row>
    <row r="2524">
      <c r="A2524" s="463">
        <v>42968.0</v>
      </c>
      <c r="B2524" s="464">
        <v>97.01</v>
      </c>
    </row>
    <row r="2525">
      <c r="A2525" s="463">
        <v>42969.0</v>
      </c>
      <c r="B2525" s="464">
        <v>99.93</v>
      </c>
    </row>
    <row r="2526">
      <c r="A2526" s="463">
        <v>42970.0</v>
      </c>
      <c r="B2526" s="464">
        <v>100.39</v>
      </c>
    </row>
    <row r="2527">
      <c r="A2527" s="463">
        <v>42971.0</v>
      </c>
      <c r="B2527" s="464">
        <v>100.83</v>
      </c>
    </row>
    <row r="2528">
      <c r="A2528" s="463">
        <v>42972.0</v>
      </c>
      <c r="B2528" s="464">
        <v>102.74</v>
      </c>
    </row>
    <row r="2529">
      <c r="A2529" s="463">
        <v>42975.0</v>
      </c>
      <c r="B2529" s="464">
        <v>104.68</v>
      </c>
    </row>
    <row r="2530">
      <c r="A2530" s="463">
        <v>42976.0</v>
      </c>
      <c r="B2530" s="464">
        <v>104.93</v>
      </c>
    </row>
    <row r="2531">
      <c r="A2531" s="463">
        <v>42977.0</v>
      </c>
      <c r="B2531" s="464">
        <v>106.96</v>
      </c>
    </row>
    <row r="2532">
      <c r="A2532" s="463">
        <v>42978.0</v>
      </c>
      <c r="B2532" s="464">
        <v>108.1</v>
      </c>
    </row>
    <row r="2533">
      <c r="A2533" s="463">
        <v>42979.0</v>
      </c>
      <c r="B2533" s="464">
        <v>107.48</v>
      </c>
    </row>
    <row r="2534">
      <c r="A2534" s="463">
        <v>42983.0</v>
      </c>
      <c r="B2534" s="464">
        <v>107.08</v>
      </c>
    </row>
    <row r="2535">
      <c r="A2535" s="463">
        <v>42984.0</v>
      </c>
      <c r="B2535" s="464">
        <v>107.29</v>
      </c>
    </row>
    <row r="2536">
      <c r="A2536" s="463">
        <v>42985.0</v>
      </c>
      <c r="B2536" s="464">
        <v>106.5</v>
      </c>
    </row>
    <row r="2537">
      <c r="A2537" s="463">
        <v>42986.0</v>
      </c>
      <c r="B2537" s="464">
        <v>106.1</v>
      </c>
    </row>
    <row r="2538">
      <c r="A2538" s="463">
        <v>42989.0</v>
      </c>
      <c r="B2538" s="464">
        <v>107.72</v>
      </c>
    </row>
    <row r="2539">
      <c r="A2539" s="463">
        <v>42990.0</v>
      </c>
      <c r="B2539" s="464">
        <v>109.6</v>
      </c>
    </row>
    <row r="2540">
      <c r="A2540" s="463">
        <v>42991.0</v>
      </c>
      <c r="B2540" s="464">
        <v>110.43</v>
      </c>
    </row>
    <row r="2541">
      <c r="A2541" s="463">
        <v>42992.0</v>
      </c>
      <c r="B2541" s="464">
        <v>110.75</v>
      </c>
    </row>
    <row r="2542">
      <c r="A2542" s="463">
        <v>42993.0</v>
      </c>
      <c r="B2542" s="464">
        <v>110.25</v>
      </c>
    </row>
    <row r="2543">
      <c r="A2543" s="463">
        <v>42996.0</v>
      </c>
      <c r="B2543" s="464">
        <v>109.98</v>
      </c>
    </row>
    <row r="2544">
      <c r="A2544" s="463">
        <v>42997.0</v>
      </c>
      <c r="B2544" s="464">
        <v>109.68</v>
      </c>
    </row>
    <row r="2545">
      <c r="A2545" s="463">
        <v>42998.0</v>
      </c>
      <c r="B2545" s="464">
        <v>110.13</v>
      </c>
    </row>
    <row r="2546">
      <c r="A2546" s="463">
        <v>42999.0</v>
      </c>
      <c r="B2546" s="464">
        <v>109.07</v>
      </c>
    </row>
    <row r="2547">
      <c r="A2547" s="463">
        <v>43000.0</v>
      </c>
      <c r="B2547" s="464">
        <v>109.15</v>
      </c>
    </row>
    <row r="2548">
      <c r="A2548" s="463">
        <v>43003.0</v>
      </c>
      <c r="B2548" s="464">
        <v>107.52</v>
      </c>
    </row>
    <row r="2549">
      <c r="A2549" s="463">
        <v>43004.0</v>
      </c>
      <c r="B2549" s="464">
        <v>107.83</v>
      </c>
    </row>
    <row r="2550">
      <c r="A2550" s="463">
        <v>43005.0</v>
      </c>
      <c r="B2550" s="464">
        <v>109.21</v>
      </c>
    </row>
    <row r="2551">
      <c r="A2551" s="463">
        <v>43006.0</v>
      </c>
      <c r="B2551" s="464">
        <v>109.2</v>
      </c>
    </row>
    <row r="2552">
      <c r="A2552" s="463">
        <v>43007.0</v>
      </c>
      <c r="B2552" s="464">
        <v>109.19</v>
      </c>
    </row>
    <row r="2553">
      <c r="A2553" s="463">
        <v>43010.0</v>
      </c>
      <c r="B2553" s="464">
        <v>110.15</v>
      </c>
    </row>
    <row r="2554">
      <c r="A2554" s="463">
        <v>43011.0</v>
      </c>
      <c r="B2554" s="464">
        <v>110.6</v>
      </c>
    </row>
    <row r="2555">
      <c r="A2555" s="463">
        <v>43012.0</v>
      </c>
      <c r="B2555" s="464">
        <v>110.59</v>
      </c>
    </row>
    <row r="2556">
      <c r="A2556" s="463">
        <v>43013.0</v>
      </c>
      <c r="B2556" s="464">
        <v>111.59</v>
      </c>
    </row>
    <row r="2557">
      <c r="A2557" s="463">
        <v>43014.0</v>
      </c>
      <c r="B2557" s="464">
        <v>111.53</v>
      </c>
    </row>
    <row r="2558">
      <c r="A2558" s="463">
        <v>43017.0</v>
      </c>
      <c r="B2558" s="464">
        <v>111.85</v>
      </c>
    </row>
    <row r="2559">
      <c r="A2559" s="463">
        <v>43018.0</v>
      </c>
      <c r="B2559" s="464">
        <v>111.79</v>
      </c>
    </row>
    <row r="2560">
      <c r="A2560" s="463">
        <v>43019.0</v>
      </c>
      <c r="B2560" s="464">
        <v>112.03</v>
      </c>
    </row>
    <row r="2561">
      <c r="A2561" s="463">
        <v>43020.0</v>
      </c>
      <c r="B2561" s="464">
        <v>113.16</v>
      </c>
    </row>
    <row r="2562">
      <c r="A2562" s="463">
        <v>43021.0</v>
      </c>
      <c r="B2562" s="464">
        <v>113.62</v>
      </c>
    </row>
    <row r="2563">
      <c r="A2563" s="463">
        <v>43024.0</v>
      </c>
      <c r="B2563" s="464">
        <v>115.15</v>
      </c>
    </row>
    <row r="2564">
      <c r="A2564" s="463">
        <v>43025.0</v>
      </c>
      <c r="B2564" s="464">
        <v>115.6</v>
      </c>
    </row>
    <row r="2565">
      <c r="A2565" s="463">
        <v>43026.0</v>
      </c>
      <c r="B2565" s="464">
        <v>116.6</v>
      </c>
    </row>
    <row r="2566">
      <c r="A2566" s="463">
        <v>43027.0</v>
      </c>
      <c r="B2566" s="464">
        <v>117.4</v>
      </c>
    </row>
    <row r="2567">
      <c r="A2567" s="463">
        <v>43028.0</v>
      </c>
      <c r="B2567" s="464">
        <v>118.34</v>
      </c>
    </row>
    <row r="2568">
      <c r="A2568" s="463">
        <v>43031.0</v>
      </c>
      <c r="B2568" s="464">
        <v>119.11</v>
      </c>
    </row>
    <row r="2569">
      <c r="A2569" s="463">
        <v>43032.0</v>
      </c>
      <c r="B2569" s="464">
        <v>119.63</v>
      </c>
    </row>
    <row r="2570">
      <c r="A2570" s="463">
        <v>43033.0</v>
      </c>
      <c r="B2570" s="464">
        <v>118.91</v>
      </c>
    </row>
    <row r="2571">
      <c r="A2571" s="463">
        <v>43034.0</v>
      </c>
      <c r="B2571" s="464">
        <v>119.01</v>
      </c>
    </row>
    <row r="2572">
      <c r="A2572" s="463">
        <v>43035.0</v>
      </c>
      <c r="B2572" s="464">
        <v>120.97</v>
      </c>
    </row>
    <row r="2573">
      <c r="A2573" s="463">
        <v>43038.0</v>
      </c>
      <c r="B2573" s="464">
        <v>119.93</v>
      </c>
    </row>
    <row r="2574">
      <c r="A2574" s="463">
        <v>43039.0</v>
      </c>
      <c r="B2574" s="464">
        <v>119.69</v>
      </c>
    </row>
    <row r="2575">
      <c r="A2575" s="463">
        <v>43040.0</v>
      </c>
      <c r="B2575" s="464">
        <v>119.12</v>
      </c>
    </row>
    <row r="2576">
      <c r="A2576" s="463">
        <v>43041.0</v>
      </c>
      <c r="B2576" s="464">
        <v>118.9</v>
      </c>
    </row>
    <row r="2577">
      <c r="A2577" s="463">
        <v>43042.0</v>
      </c>
      <c r="B2577" s="464">
        <v>117.94</v>
      </c>
    </row>
    <row r="2578">
      <c r="A2578" s="463">
        <v>43045.0</v>
      </c>
      <c r="B2578" s="464">
        <v>119.21</v>
      </c>
    </row>
    <row r="2579">
      <c r="A2579" s="463">
        <v>43046.0</v>
      </c>
      <c r="B2579" s="464">
        <v>120.43</v>
      </c>
    </row>
    <row r="2580">
      <c r="A2580" s="463">
        <v>43047.0</v>
      </c>
      <c r="B2580" s="464">
        <v>120.55</v>
      </c>
    </row>
    <row r="2581">
      <c r="A2581" s="463">
        <v>43048.0</v>
      </c>
      <c r="B2581" s="464">
        <v>120.97</v>
      </c>
    </row>
    <row r="2582">
      <c r="A2582" s="463">
        <v>43049.0</v>
      </c>
      <c r="B2582" s="464">
        <v>122.15</v>
      </c>
    </row>
    <row r="2583">
      <c r="A2583" s="463">
        <v>43052.0</v>
      </c>
      <c r="B2583" s="464">
        <v>121.84</v>
      </c>
    </row>
    <row r="2584">
      <c r="A2584" s="463">
        <v>43053.0</v>
      </c>
      <c r="B2584" s="464">
        <v>122.47</v>
      </c>
    </row>
    <row r="2585">
      <c r="A2585" s="463">
        <v>43054.0</v>
      </c>
      <c r="B2585" s="464">
        <v>121.19</v>
      </c>
    </row>
    <row r="2586">
      <c r="A2586" s="463">
        <v>43055.0</v>
      </c>
      <c r="B2586" s="464">
        <v>122.71</v>
      </c>
    </row>
    <row r="2587">
      <c r="A2587" s="463">
        <v>43056.0</v>
      </c>
      <c r="B2587" s="464">
        <v>123.26</v>
      </c>
    </row>
    <row r="2588">
      <c r="A2588" s="463">
        <v>43059.0</v>
      </c>
      <c r="B2588" s="464">
        <v>124.06</v>
      </c>
    </row>
    <row r="2589">
      <c r="A2589" s="463">
        <v>43060.0</v>
      </c>
      <c r="B2589" s="464">
        <v>125.39</v>
      </c>
    </row>
    <row r="2590">
      <c r="A2590" s="463">
        <v>43061.0</v>
      </c>
      <c r="B2590" s="464">
        <v>123.59</v>
      </c>
    </row>
    <row r="2591">
      <c r="A2591" s="463">
        <v>43063.0</v>
      </c>
      <c r="B2591" s="464">
        <v>124.22</v>
      </c>
    </row>
    <row r="2592">
      <c r="A2592" s="463">
        <v>43066.0</v>
      </c>
      <c r="B2592" s="464">
        <v>126.21</v>
      </c>
    </row>
    <row r="2593">
      <c r="A2593" s="463">
        <v>43067.0</v>
      </c>
      <c r="B2593" s="464">
        <v>127.34</v>
      </c>
    </row>
    <row r="2594">
      <c r="A2594" s="463">
        <v>43068.0</v>
      </c>
      <c r="B2594" s="464">
        <v>119.42</v>
      </c>
    </row>
    <row r="2595">
      <c r="A2595" s="463">
        <v>43069.0</v>
      </c>
      <c r="B2595" s="464">
        <v>120.11</v>
      </c>
    </row>
    <row r="2596">
      <c r="A2596" s="463">
        <v>43070.0</v>
      </c>
      <c r="B2596" s="464">
        <v>124.44</v>
      </c>
    </row>
    <row r="2597">
      <c r="A2597" s="463">
        <v>43073.0</v>
      </c>
      <c r="B2597" s="464">
        <v>115.09</v>
      </c>
    </row>
    <row r="2598">
      <c r="A2598" s="463">
        <v>43074.0</v>
      </c>
      <c r="B2598" s="464">
        <v>114.54</v>
      </c>
    </row>
    <row r="2599">
      <c r="A2599" s="463">
        <v>43075.0</v>
      </c>
      <c r="B2599" s="464">
        <v>116.67</v>
      </c>
    </row>
    <row r="2600">
      <c r="A2600" s="463">
        <v>43076.0</v>
      </c>
      <c r="B2600" s="464">
        <v>117.22</v>
      </c>
    </row>
    <row r="2601">
      <c r="A2601" s="463">
        <v>43077.0</v>
      </c>
      <c r="B2601" s="464">
        <v>119.57</v>
      </c>
    </row>
    <row r="2602">
      <c r="A2602" s="463">
        <v>43080.0</v>
      </c>
      <c r="B2602" s="464">
        <v>121.09</v>
      </c>
    </row>
    <row r="2603">
      <c r="A2603" s="463">
        <v>43081.0</v>
      </c>
      <c r="B2603" s="464">
        <v>120.04</v>
      </c>
    </row>
    <row r="2604">
      <c r="A2604" s="463">
        <v>43082.0</v>
      </c>
      <c r="B2604" s="464">
        <v>121.87</v>
      </c>
    </row>
    <row r="2605">
      <c r="A2605" s="463">
        <v>43083.0</v>
      </c>
      <c r="B2605" s="464">
        <v>121.25</v>
      </c>
    </row>
    <row r="2606">
      <c r="A2606" s="463">
        <v>43084.0</v>
      </c>
      <c r="B2606" s="464">
        <v>123.8</v>
      </c>
    </row>
    <row r="2607">
      <c r="A2607" s="463">
        <v>43087.0</v>
      </c>
      <c r="B2607" s="464">
        <v>128.89</v>
      </c>
    </row>
    <row r="2608">
      <c r="A2608" s="463">
        <v>43088.0</v>
      </c>
      <c r="B2608" s="464">
        <v>128.14</v>
      </c>
    </row>
    <row r="2609">
      <c r="A2609" s="463">
        <v>43089.0</v>
      </c>
      <c r="B2609" s="464">
        <v>128.62</v>
      </c>
    </row>
    <row r="2610">
      <c r="A2610" s="463">
        <v>43090.0</v>
      </c>
      <c r="B2610" s="464">
        <v>127.17</v>
      </c>
    </row>
    <row r="2611">
      <c r="A2611" s="463">
        <v>43091.0</v>
      </c>
      <c r="B2611" s="464">
        <v>127.69</v>
      </c>
    </row>
    <row r="2612">
      <c r="A2612" s="463">
        <v>43095.0</v>
      </c>
      <c r="B2612" s="464">
        <v>127.56</v>
      </c>
    </row>
    <row r="2613">
      <c r="A2613" s="463">
        <v>43096.0</v>
      </c>
      <c r="B2613" s="464">
        <v>126.96</v>
      </c>
    </row>
    <row r="2614">
      <c r="A2614" s="463">
        <v>43097.0</v>
      </c>
      <c r="B2614" s="464">
        <v>126.61</v>
      </c>
    </row>
    <row r="2615">
      <c r="A2615" s="463">
        <v>43098.0</v>
      </c>
      <c r="B2615" s="464">
        <v>125.32</v>
      </c>
    </row>
    <row r="2616">
      <c r="A2616" s="463">
        <v>43102.0</v>
      </c>
      <c r="B2616" s="464">
        <v>127.29</v>
      </c>
    </row>
    <row r="2617">
      <c r="A2617" s="463">
        <v>43103.0</v>
      </c>
      <c r="B2617" s="464">
        <v>130.03</v>
      </c>
    </row>
    <row r="2618">
      <c r="A2618" s="463">
        <v>43104.0</v>
      </c>
      <c r="B2618" s="464">
        <v>131.24</v>
      </c>
    </row>
    <row r="2619">
      <c r="A2619" s="463">
        <v>43105.0</v>
      </c>
      <c r="B2619" s="464">
        <v>131.26</v>
      </c>
    </row>
    <row r="2620">
      <c r="A2620" s="463">
        <v>43108.0</v>
      </c>
      <c r="B2620" s="464">
        <v>130.9</v>
      </c>
    </row>
    <row r="2621">
      <c r="A2621" s="463">
        <v>43109.0</v>
      </c>
      <c r="B2621" s="464">
        <v>129.27</v>
      </c>
    </row>
    <row r="2622">
      <c r="A2622" s="463">
        <v>43110.0</v>
      </c>
      <c r="B2622" s="464">
        <v>129.22</v>
      </c>
    </row>
    <row r="2623">
      <c r="A2623" s="463">
        <v>43111.0</v>
      </c>
      <c r="B2623" s="464">
        <v>133.27</v>
      </c>
    </row>
    <row r="2624">
      <c r="A2624" s="463">
        <v>43112.0</v>
      </c>
      <c r="B2624" s="464">
        <v>132.53</v>
      </c>
    </row>
    <row r="2625">
      <c r="A2625" s="463">
        <v>43116.0</v>
      </c>
      <c r="B2625" s="464">
        <v>132.14</v>
      </c>
    </row>
    <row r="2626">
      <c r="A2626" s="463">
        <v>43117.0</v>
      </c>
      <c r="B2626" s="464">
        <v>135.33</v>
      </c>
    </row>
    <row r="2627">
      <c r="A2627" s="463">
        <v>43118.0</v>
      </c>
      <c r="B2627" s="464">
        <v>135.63</v>
      </c>
    </row>
    <row r="2628">
      <c r="A2628" s="463">
        <v>43119.0</v>
      </c>
      <c r="B2628" s="464">
        <v>136.04</v>
      </c>
    </row>
    <row r="2629">
      <c r="A2629" s="463">
        <v>43122.0</v>
      </c>
      <c r="B2629" s="464">
        <v>136.69</v>
      </c>
    </row>
    <row r="2630">
      <c r="A2630" s="463">
        <v>43123.0</v>
      </c>
      <c r="B2630" s="464">
        <v>137.96</v>
      </c>
    </row>
    <row r="2631">
      <c r="A2631" s="463">
        <v>43124.0</v>
      </c>
      <c r="B2631" s="464">
        <v>137.07</v>
      </c>
    </row>
    <row r="2632">
      <c r="A2632" s="463">
        <v>43125.0</v>
      </c>
      <c r="B2632" s="464">
        <v>137.63</v>
      </c>
    </row>
    <row r="2633">
      <c r="A2633" s="463">
        <v>43126.0</v>
      </c>
      <c r="B2633" s="464">
        <v>150.0</v>
      </c>
    </row>
    <row r="2634">
      <c r="A2634" s="463">
        <v>43129.0</v>
      </c>
      <c r="B2634" s="464">
        <v>125.05</v>
      </c>
    </row>
    <row r="2635">
      <c r="A2635" s="463">
        <v>43130.0</v>
      </c>
      <c r="B2635" s="464">
        <v>118.74</v>
      </c>
    </row>
    <row r="2636">
      <c r="A2636" s="463">
        <v>43131.0</v>
      </c>
      <c r="B2636" s="464">
        <v>123.79</v>
      </c>
    </row>
    <row r="2637">
      <c r="A2637" s="463">
        <v>43132.0</v>
      </c>
      <c r="B2637" s="464">
        <v>125.71</v>
      </c>
    </row>
    <row r="2638">
      <c r="A2638" s="463">
        <v>43133.0</v>
      </c>
      <c r="B2638" s="464">
        <v>122.72</v>
      </c>
    </row>
    <row r="2639">
      <c r="A2639" s="463">
        <v>43136.0</v>
      </c>
      <c r="B2639" s="464">
        <v>116.4</v>
      </c>
    </row>
    <row r="2640">
      <c r="A2640" s="463">
        <v>43137.0</v>
      </c>
      <c r="B2640" s="464">
        <v>115.56</v>
      </c>
    </row>
    <row r="2641">
      <c r="A2641" s="463">
        <v>43138.0</v>
      </c>
      <c r="B2641" s="464">
        <v>112.9</v>
      </c>
    </row>
    <row r="2642">
      <c r="A2642" s="463">
        <v>43139.0</v>
      </c>
      <c r="B2642" s="464">
        <v>108.46</v>
      </c>
    </row>
    <row r="2643">
      <c r="A2643" s="463">
        <v>43140.0</v>
      </c>
      <c r="B2643" s="464">
        <v>113.13</v>
      </c>
    </row>
    <row r="2644">
      <c r="A2644" s="463">
        <v>43143.0</v>
      </c>
      <c r="B2644" s="464">
        <v>116.58</v>
      </c>
    </row>
    <row r="2645">
      <c r="A2645" s="463">
        <v>43144.0</v>
      </c>
      <c r="B2645" s="464">
        <v>120.08</v>
      </c>
    </row>
    <row r="2646">
      <c r="A2646" s="463">
        <v>43145.0</v>
      </c>
      <c r="B2646" s="464">
        <v>124.42</v>
      </c>
    </row>
    <row r="2647">
      <c r="A2647" s="463">
        <v>43146.0</v>
      </c>
      <c r="B2647" s="464">
        <v>123.62</v>
      </c>
    </row>
    <row r="2648">
      <c r="A2648" s="463">
        <v>43147.0</v>
      </c>
      <c r="B2648" s="464">
        <v>124.55</v>
      </c>
    </row>
    <row r="2649">
      <c r="A2649" s="463">
        <v>43151.0</v>
      </c>
      <c r="B2649" s="464">
        <v>123.6</v>
      </c>
    </row>
    <row r="2650">
      <c r="A2650" s="463">
        <v>43152.0</v>
      </c>
      <c r="B2650" s="464">
        <v>122.94</v>
      </c>
    </row>
    <row r="2651">
      <c r="A2651" s="463">
        <v>43153.0</v>
      </c>
      <c r="B2651" s="464">
        <v>125.23</v>
      </c>
    </row>
    <row r="2652">
      <c r="A2652" s="463">
        <v>43154.0</v>
      </c>
      <c r="B2652" s="464">
        <v>126.42</v>
      </c>
    </row>
    <row r="2653">
      <c r="A2653" s="463">
        <v>43157.0</v>
      </c>
      <c r="B2653" s="464">
        <v>128.66</v>
      </c>
    </row>
    <row r="2654">
      <c r="A2654" s="463">
        <v>43158.0</v>
      </c>
      <c r="B2654" s="464">
        <v>128.85</v>
      </c>
    </row>
    <row r="2655">
      <c r="A2655" s="463">
        <v>43159.0</v>
      </c>
      <c r="B2655" s="464">
        <v>131.75</v>
      </c>
    </row>
    <row r="2656">
      <c r="A2656" s="463">
        <v>43160.0</v>
      </c>
      <c r="B2656" s="464">
        <v>123.66</v>
      </c>
    </row>
    <row r="2657">
      <c r="A2657" s="463">
        <v>43161.0</v>
      </c>
      <c r="B2657" s="464">
        <v>116.34</v>
      </c>
    </row>
    <row r="2658">
      <c r="A2658" s="463">
        <v>43164.0</v>
      </c>
      <c r="B2658" s="464">
        <v>118.24</v>
      </c>
    </row>
    <row r="2659">
      <c r="A2659" s="463">
        <v>43165.0</v>
      </c>
      <c r="B2659" s="464">
        <v>120.53</v>
      </c>
    </row>
    <row r="2660">
      <c r="A2660" s="463">
        <v>43166.0</v>
      </c>
      <c r="B2660" s="464">
        <v>124.25</v>
      </c>
    </row>
    <row r="2661">
      <c r="A2661" s="463">
        <v>43167.0</v>
      </c>
      <c r="B2661" s="464">
        <v>123.52</v>
      </c>
    </row>
    <row r="2662">
      <c r="A2662" s="463">
        <v>43168.0</v>
      </c>
      <c r="B2662" s="464">
        <v>125.84</v>
      </c>
    </row>
    <row r="2663">
      <c r="A2663" s="463">
        <v>43171.0</v>
      </c>
      <c r="B2663" s="464">
        <v>127.19</v>
      </c>
    </row>
    <row r="2664">
      <c r="A2664" s="463">
        <v>43172.0</v>
      </c>
      <c r="B2664" s="464">
        <v>124.03</v>
      </c>
    </row>
    <row r="2665">
      <c r="A2665" s="463">
        <v>43173.0</v>
      </c>
      <c r="B2665" s="464">
        <v>124.75</v>
      </c>
    </row>
    <row r="2666">
      <c r="A2666" s="463">
        <v>43174.0</v>
      </c>
      <c r="B2666" s="464">
        <v>125.51</v>
      </c>
    </row>
    <row r="2667">
      <c r="A2667" s="463">
        <v>43175.0</v>
      </c>
      <c r="B2667" s="464">
        <v>124.47</v>
      </c>
    </row>
    <row r="2668">
      <c r="A2668" s="463">
        <v>43178.0</v>
      </c>
      <c r="B2668" s="464">
        <v>125.59</v>
      </c>
    </row>
    <row r="2669">
      <c r="A2669" s="463">
        <v>43179.0</v>
      </c>
      <c r="B2669" s="464">
        <v>126.16</v>
      </c>
    </row>
    <row r="2670">
      <c r="A2670" s="463">
        <v>43180.0</v>
      </c>
      <c r="B2670" s="464">
        <v>124.35</v>
      </c>
    </row>
    <row r="2671">
      <c r="A2671" s="463">
        <v>43181.0</v>
      </c>
      <c r="B2671" s="464">
        <v>122.1</v>
      </c>
    </row>
    <row r="2672">
      <c r="A2672" s="463">
        <v>43182.0</v>
      </c>
      <c r="B2672" s="464">
        <v>122.06</v>
      </c>
    </row>
    <row r="2673">
      <c r="A2673" s="463">
        <v>43185.0</v>
      </c>
      <c r="B2673" s="464">
        <v>126.03</v>
      </c>
    </row>
    <row r="2674">
      <c r="A2674" s="463">
        <v>43186.0</v>
      </c>
      <c r="B2674" s="464">
        <v>123.37</v>
      </c>
    </row>
    <row r="2675">
      <c r="A2675" s="463">
        <v>43187.0</v>
      </c>
      <c r="B2675" s="464">
        <v>119.95</v>
      </c>
    </row>
    <row r="2676">
      <c r="A2676" s="463">
        <v>43188.0</v>
      </c>
      <c r="B2676" s="464">
        <v>121.27</v>
      </c>
    </row>
    <row r="2677">
      <c r="A2677" s="463">
        <v>43192.0</v>
      </c>
      <c r="B2677" s="464">
        <v>120.48</v>
      </c>
    </row>
    <row r="2678">
      <c r="A2678" s="463">
        <v>43193.0</v>
      </c>
      <c r="B2678" s="464">
        <v>119.87</v>
      </c>
    </row>
    <row r="2679">
      <c r="A2679" s="463">
        <v>43194.0</v>
      </c>
      <c r="B2679" s="464">
        <v>121.83</v>
      </c>
    </row>
    <row r="2680">
      <c r="A2680" s="463">
        <v>43195.0</v>
      </c>
      <c r="B2680" s="464">
        <v>121.81</v>
      </c>
    </row>
    <row r="2681">
      <c r="A2681" s="463">
        <v>43196.0</v>
      </c>
      <c r="B2681" s="464">
        <v>118.65</v>
      </c>
    </row>
    <row r="2682">
      <c r="A2682" s="463">
        <v>43199.0</v>
      </c>
      <c r="B2682" s="464">
        <v>120.47</v>
      </c>
    </row>
    <row r="2683">
      <c r="A2683" s="463">
        <v>43200.0</v>
      </c>
      <c r="B2683" s="464">
        <v>121.75</v>
      </c>
    </row>
    <row r="2684">
      <c r="A2684" s="463">
        <v>43201.0</v>
      </c>
      <c r="B2684" s="464">
        <v>121.49</v>
      </c>
    </row>
    <row r="2685">
      <c r="A2685" s="463">
        <v>43202.0</v>
      </c>
      <c r="B2685" s="464">
        <v>122.15</v>
      </c>
    </row>
    <row r="2686">
      <c r="A2686" s="463">
        <v>43203.0</v>
      </c>
      <c r="B2686" s="464">
        <v>121.34</v>
      </c>
    </row>
    <row r="2687">
      <c r="A2687" s="463">
        <v>43206.0</v>
      </c>
      <c r="B2687" s="464">
        <v>127.76</v>
      </c>
    </row>
    <row r="2688">
      <c r="A2688" s="463">
        <v>43207.0</v>
      </c>
      <c r="B2688" s="464">
        <v>131.88</v>
      </c>
    </row>
    <row r="2689">
      <c r="A2689" s="463">
        <v>43208.0</v>
      </c>
      <c r="B2689" s="464">
        <v>137.54</v>
      </c>
    </row>
    <row r="2690">
      <c r="A2690" s="463">
        <v>43209.0</v>
      </c>
      <c r="B2690" s="464">
        <v>135.59</v>
      </c>
    </row>
    <row r="2691">
      <c r="A2691" s="463">
        <v>43210.0</v>
      </c>
      <c r="B2691" s="464">
        <v>136.05</v>
      </c>
    </row>
    <row r="2692">
      <c r="A2692" s="463">
        <v>43213.0</v>
      </c>
      <c r="B2692" s="464">
        <v>135.02</v>
      </c>
    </row>
    <row r="2693">
      <c r="A2693" s="463">
        <v>43214.0</v>
      </c>
      <c r="B2693" s="464">
        <v>133.96</v>
      </c>
    </row>
    <row r="2694">
      <c r="A2694" s="463">
        <v>43215.0</v>
      </c>
      <c r="B2694" s="464">
        <v>131.62</v>
      </c>
    </row>
    <row r="2695">
      <c r="A2695" s="463">
        <v>43216.0</v>
      </c>
      <c r="B2695" s="464">
        <v>132.41</v>
      </c>
    </row>
    <row r="2696">
      <c r="A2696" s="463">
        <v>43217.0</v>
      </c>
      <c r="B2696" s="464">
        <v>133.05</v>
      </c>
    </row>
    <row r="2697">
      <c r="A2697" s="463">
        <v>43220.0</v>
      </c>
      <c r="B2697" s="464">
        <v>133.26</v>
      </c>
    </row>
    <row r="2698">
      <c r="A2698" s="463">
        <v>43221.0</v>
      </c>
      <c r="B2698" s="464">
        <v>133.22</v>
      </c>
    </row>
    <row r="2699">
      <c r="A2699" s="463">
        <v>43222.0</v>
      </c>
      <c r="B2699" s="464">
        <v>132.49</v>
      </c>
    </row>
    <row r="2700">
      <c r="A2700" s="463">
        <v>43223.0</v>
      </c>
      <c r="B2700" s="464">
        <v>132.87</v>
      </c>
    </row>
    <row r="2701">
      <c r="A2701" s="463">
        <v>43224.0</v>
      </c>
      <c r="B2701" s="464">
        <v>134.35</v>
      </c>
    </row>
    <row r="2702">
      <c r="A2702" s="463">
        <v>43227.0</v>
      </c>
      <c r="B2702" s="464">
        <v>135.82</v>
      </c>
    </row>
    <row r="2703">
      <c r="A2703" s="463">
        <v>43228.0</v>
      </c>
      <c r="B2703" s="464">
        <v>136.5</v>
      </c>
    </row>
    <row r="2704">
      <c r="A2704" s="463">
        <v>43229.0</v>
      </c>
      <c r="B2704" s="464">
        <v>138.57</v>
      </c>
    </row>
    <row r="2705">
      <c r="A2705" s="463">
        <v>43230.0</v>
      </c>
      <c r="B2705" s="464">
        <v>143.9</v>
      </c>
    </row>
    <row r="2706">
      <c r="A2706" s="463">
        <v>43231.0</v>
      </c>
      <c r="B2706" s="464">
        <v>144.04</v>
      </c>
    </row>
    <row r="2707">
      <c r="A2707" s="463">
        <v>43234.0</v>
      </c>
      <c r="B2707" s="464">
        <v>141.25</v>
      </c>
    </row>
    <row r="2708">
      <c r="A2708" s="463">
        <v>43235.0</v>
      </c>
      <c r="B2708" s="464">
        <v>141.1</v>
      </c>
    </row>
    <row r="2709">
      <c r="A2709" s="463">
        <v>43236.0</v>
      </c>
      <c r="B2709" s="464">
        <v>138.58</v>
      </c>
    </row>
    <row r="2710">
      <c r="A2710" s="463">
        <v>43237.0</v>
      </c>
      <c r="B2710" s="464">
        <v>137.51</v>
      </c>
    </row>
    <row r="2711">
      <c r="A2711" s="463">
        <v>43238.0</v>
      </c>
      <c r="B2711" s="464">
        <v>138.99</v>
      </c>
    </row>
    <row r="2712">
      <c r="A2712" s="463">
        <v>43241.0</v>
      </c>
      <c r="B2712" s="464">
        <v>138.69</v>
      </c>
    </row>
    <row r="2713">
      <c r="A2713" s="463">
        <v>43242.0</v>
      </c>
      <c r="B2713" s="464">
        <v>136.8</v>
      </c>
    </row>
    <row r="2714">
      <c r="A2714" s="463">
        <v>43243.0</v>
      </c>
      <c r="B2714" s="464">
        <v>138.23</v>
      </c>
    </row>
    <row r="2715">
      <c r="A2715" s="463">
        <v>43244.0</v>
      </c>
      <c r="B2715" s="464">
        <v>136.77</v>
      </c>
    </row>
    <row r="2716">
      <c r="A2716" s="463">
        <v>43245.0</v>
      </c>
      <c r="B2716" s="464">
        <v>136.45</v>
      </c>
    </row>
    <row r="2717">
      <c r="A2717" s="463">
        <v>43249.0</v>
      </c>
      <c r="B2717" s="464">
        <v>136.4</v>
      </c>
    </row>
    <row r="2718">
      <c r="A2718" s="463">
        <v>43250.0</v>
      </c>
      <c r="B2718" s="464">
        <v>138.02</v>
      </c>
    </row>
    <row r="2719">
      <c r="A2719" s="463">
        <v>43251.0</v>
      </c>
      <c r="B2719" s="464">
        <v>137.48</v>
      </c>
    </row>
    <row r="2720">
      <c r="A2720" s="463">
        <v>43252.0</v>
      </c>
      <c r="B2720" s="464">
        <v>145.93</v>
      </c>
    </row>
    <row r="2721">
      <c r="A2721" s="463">
        <v>43255.0</v>
      </c>
      <c r="B2721" s="464">
        <v>142.59</v>
      </c>
    </row>
    <row r="2722">
      <c r="A2722" s="463">
        <v>43256.0</v>
      </c>
      <c r="B2722" s="464">
        <v>147.52</v>
      </c>
    </row>
    <row r="2723">
      <c r="A2723" s="463">
        <v>43257.0</v>
      </c>
      <c r="B2723" s="464">
        <v>148.98</v>
      </c>
    </row>
    <row r="2724">
      <c r="A2724" s="463">
        <v>43258.0</v>
      </c>
      <c r="B2724" s="464">
        <v>150.27</v>
      </c>
    </row>
    <row r="2725">
      <c r="A2725" s="463">
        <v>43259.0</v>
      </c>
      <c r="B2725" s="464">
        <v>149.64</v>
      </c>
    </row>
    <row r="2726">
      <c r="A2726" s="463">
        <v>43262.0</v>
      </c>
      <c r="B2726" s="464">
        <v>149.3</v>
      </c>
    </row>
    <row r="2727">
      <c r="A2727" s="463">
        <v>43263.0</v>
      </c>
      <c r="B2727" s="464">
        <v>148.27</v>
      </c>
    </row>
    <row r="2728">
      <c r="A2728" s="463">
        <v>43264.0</v>
      </c>
      <c r="B2728" s="464">
        <v>150.79</v>
      </c>
    </row>
    <row r="2729">
      <c r="A2729" s="463">
        <v>43265.0</v>
      </c>
      <c r="B2729" s="464">
        <v>150.25</v>
      </c>
    </row>
    <row r="2730">
      <c r="A2730" s="463">
        <v>43266.0</v>
      </c>
      <c r="B2730" s="464">
        <v>150.46</v>
      </c>
    </row>
    <row r="2731">
      <c r="A2731" s="463">
        <v>43269.0</v>
      </c>
      <c r="B2731" s="464">
        <v>151.44</v>
      </c>
    </row>
    <row r="2732">
      <c r="A2732" s="463">
        <v>43270.0</v>
      </c>
      <c r="B2732" s="464">
        <v>151.25</v>
      </c>
    </row>
    <row r="2733">
      <c r="A2733" s="463">
        <v>43271.0</v>
      </c>
      <c r="B2733" s="464">
        <v>152.18</v>
      </c>
    </row>
    <row r="2734">
      <c r="A2734" s="463">
        <v>43272.0</v>
      </c>
      <c r="B2734" s="464">
        <v>152.03</v>
      </c>
    </row>
    <row r="2735">
      <c r="A2735" s="463">
        <v>43273.0</v>
      </c>
      <c r="B2735" s="464">
        <v>150.01</v>
      </c>
    </row>
    <row r="2736">
      <c r="A2736" s="463">
        <v>43276.0</v>
      </c>
      <c r="B2736" s="464">
        <v>145.08</v>
      </c>
    </row>
    <row r="2737">
      <c r="A2737" s="463">
        <v>43277.0</v>
      </c>
      <c r="B2737" s="464">
        <v>145.89</v>
      </c>
    </row>
    <row r="2738">
      <c r="A2738" s="463">
        <v>43278.0</v>
      </c>
      <c r="B2738" s="464">
        <v>142.3</v>
      </c>
    </row>
    <row r="2739">
      <c r="A2739" s="463">
        <v>43279.0</v>
      </c>
      <c r="B2739" s="464">
        <v>146.12</v>
      </c>
    </row>
    <row r="2740">
      <c r="A2740" s="463">
        <v>43280.0</v>
      </c>
      <c r="B2740" s="464">
        <v>146.97</v>
      </c>
    </row>
    <row r="2741">
      <c r="A2741" s="463">
        <v>43283.0</v>
      </c>
      <c r="B2741" s="464">
        <v>162.02</v>
      </c>
    </row>
    <row r="2742">
      <c r="A2742" s="463">
        <v>43284.0</v>
      </c>
      <c r="B2742" s="464">
        <v>160.37</v>
      </c>
    </row>
    <row r="2743">
      <c r="A2743" s="463">
        <v>43286.0</v>
      </c>
      <c r="B2743" s="464">
        <v>158.05</v>
      </c>
    </row>
    <row r="2744">
      <c r="A2744" s="463">
        <v>43287.0</v>
      </c>
      <c r="B2744" s="464">
        <v>157.68</v>
      </c>
    </row>
    <row r="2745">
      <c r="A2745" s="463">
        <v>43290.0</v>
      </c>
      <c r="B2745" s="464">
        <v>154.83</v>
      </c>
    </row>
    <row r="2746">
      <c r="A2746" s="463">
        <v>43291.0</v>
      </c>
      <c r="B2746" s="464">
        <v>155.5</v>
      </c>
    </row>
    <row r="2747">
      <c r="A2747" s="463">
        <v>43292.0</v>
      </c>
      <c r="B2747" s="464">
        <v>153.59</v>
      </c>
    </row>
    <row r="2748">
      <c r="A2748" s="463">
        <v>43293.0</v>
      </c>
      <c r="B2748" s="464">
        <v>155.27</v>
      </c>
    </row>
    <row r="2749">
      <c r="A2749" s="463">
        <v>43294.0</v>
      </c>
      <c r="B2749" s="464">
        <v>155.05</v>
      </c>
    </row>
    <row r="2750">
      <c r="A2750" s="463">
        <v>43297.0</v>
      </c>
      <c r="B2750" s="464">
        <v>155.24</v>
      </c>
    </row>
    <row r="2751">
      <c r="A2751" s="463">
        <v>43298.0</v>
      </c>
      <c r="B2751" s="464">
        <v>155.11</v>
      </c>
    </row>
    <row r="2752">
      <c r="A2752" s="463">
        <v>43299.0</v>
      </c>
      <c r="B2752" s="464">
        <v>153.95</v>
      </c>
    </row>
    <row r="2753">
      <c r="A2753" s="463">
        <v>43300.0</v>
      </c>
      <c r="B2753" s="464">
        <v>152.0</v>
      </c>
    </row>
    <row r="2754">
      <c r="A2754" s="463">
        <v>43301.0</v>
      </c>
      <c r="B2754" s="464">
        <v>152.25</v>
      </c>
    </row>
    <row r="2755">
      <c r="A2755" s="463">
        <v>43304.0</v>
      </c>
      <c r="B2755" s="464">
        <v>150.94</v>
      </c>
    </row>
    <row r="2756">
      <c r="A2756" s="463">
        <v>43305.0</v>
      </c>
      <c r="B2756" s="464">
        <v>149.2</v>
      </c>
    </row>
    <row r="2757">
      <c r="A2757" s="463">
        <v>43306.0</v>
      </c>
      <c r="B2757" s="464">
        <v>151.15</v>
      </c>
    </row>
    <row r="2758">
      <c r="A2758" s="463">
        <v>43307.0</v>
      </c>
      <c r="B2758" s="464">
        <v>150.78</v>
      </c>
    </row>
    <row r="2759">
      <c r="A2759" s="463">
        <v>43308.0</v>
      </c>
      <c r="B2759" s="464">
        <v>148.8</v>
      </c>
    </row>
    <row r="2760">
      <c r="A2760" s="463">
        <v>43311.0</v>
      </c>
      <c r="B2760" s="464">
        <v>144.42</v>
      </c>
    </row>
    <row r="2761">
      <c r="A2761" s="463">
        <v>43312.0</v>
      </c>
      <c r="B2761" s="464">
        <v>144.59</v>
      </c>
    </row>
    <row r="2762">
      <c r="A2762" s="463">
        <v>43313.0</v>
      </c>
      <c r="B2762" s="464">
        <v>144.58</v>
      </c>
    </row>
    <row r="2763">
      <c r="A2763" s="463">
        <v>43314.0</v>
      </c>
      <c r="B2763" s="464">
        <v>148.07</v>
      </c>
    </row>
    <row r="2764">
      <c r="A2764" s="463">
        <v>43315.0</v>
      </c>
      <c r="B2764" s="464">
        <v>149.45</v>
      </c>
    </row>
    <row r="2765">
      <c r="A2765" s="463">
        <v>43318.0</v>
      </c>
      <c r="B2765" s="464">
        <v>151.38</v>
      </c>
    </row>
    <row r="2766">
      <c r="A2766" s="463">
        <v>43319.0</v>
      </c>
      <c r="B2766" s="464">
        <v>153.06</v>
      </c>
    </row>
    <row r="2767">
      <c r="A2767" s="463">
        <v>43320.0</v>
      </c>
      <c r="B2767" s="464">
        <v>152.84</v>
      </c>
    </row>
    <row r="2768">
      <c r="A2768" s="463">
        <v>43321.0</v>
      </c>
      <c r="B2768" s="464">
        <v>153.76</v>
      </c>
    </row>
    <row r="2769">
      <c r="A2769" s="463">
        <v>43322.0</v>
      </c>
      <c r="B2769" s="464">
        <v>153.21</v>
      </c>
    </row>
    <row r="2770">
      <c r="A2770" s="463">
        <v>43325.0</v>
      </c>
      <c r="B2770" s="464">
        <v>151.94</v>
      </c>
    </row>
    <row r="2771">
      <c r="A2771" s="463">
        <v>43326.0</v>
      </c>
      <c r="B2771" s="464">
        <v>152.25</v>
      </c>
    </row>
    <row r="2772">
      <c r="A2772" s="463">
        <v>43327.0</v>
      </c>
      <c r="B2772" s="464">
        <v>152.04</v>
      </c>
    </row>
    <row r="2773">
      <c r="A2773" s="463">
        <v>43328.0</v>
      </c>
      <c r="B2773" s="464">
        <v>151.93</v>
      </c>
    </row>
    <row r="2774">
      <c r="A2774" s="463">
        <v>43329.0</v>
      </c>
      <c r="B2774" s="464">
        <v>150.88</v>
      </c>
    </row>
    <row r="2775">
      <c r="A2775" s="463">
        <v>43332.0</v>
      </c>
      <c r="B2775" s="464">
        <v>151.62</v>
      </c>
    </row>
    <row r="2776">
      <c r="A2776" s="463">
        <v>43333.0</v>
      </c>
      <c r="B2776" s="464">
        <v>151.68</v>
      </c>
    </row>
    <row r="2777">
      <c r="A2777" s="463">
        <v>43334.0</v>
      </c>
      <c r="B2777" s="464">
        <v>154.28</v>
      </c>
    </row>
    <row r="2778">
      <c r="A2778" s="463">
        <v>43335.0</v>
      </c>
      <c r="B2778" s="464">
        <v>154.77</v>
      </c>
    </row>
    <row r="2779">
      <c r="A2779" s="463">
        <v>43336.0</v>
      </c>
      <c r="B2779" s="464">
        <v>151.37</v>
      </c>
    </row>
    <row r="2780">
      <c r="A2780" s="463">
        <v>43339.0</v>
      </c>
      <c r="B2780" s="464">
        <v>150.03</v>
      </c>
    </row>
    <row r="2781">
      <c r="A2781" s="463">
        <v>43340.0</v>
      </c>
      <c r="B2781" s="464">
        <v>148.5</v>
      </c>
    </row>
    <row r="2782">
      <c r="A2782" s="463">
        <v>43341.0</v>
      </c>
      <c r="B2782" s="464">
        <v>150.43</v>
      </c>
    </row>
    <row r="2783">
      <c r="A2783" s="463">
        <v>43342.0</v>
      </c>
      <c r="B2783" s="464">
        <v>154.66</v>
      </c>
    </row>
    <row r="2784">
      <c r="A2784" s="463">
        <v>43343.0</v>
      </c>
      <c r="B2784" s="464">
        <v>153.26</v>
      </c>
    </row>
    <row r="2785">
      <c r="A2785" s="463">
        <v>43347.0</v>
      </c>
      <c r="B2785" s="464">
        <v>152.77</v>
      </c>
    </row>
    <row r="2786">
      <c r="A2786" s="463">
        <v>43348.0</v>
      </c>
      <c r="B2786" s="464">
        <v>151.12</v>
      </c>
    </row>
    <row r="2787">
      <c r="A2787" s="463">
        <v>43349.0</v>
      </c>
      <c r="B2787" s="464">
        <v>153.83</v>
      </c>
    </row>
    <row r="2788">
      <c r="A2788" s="463">
        <v>43350.0</v>
      </c>
      <c r="B2788" s="464">
        <v>151.93</v>
      </c>
    </row>
    <row r="2789">
      <c r="A2789" s="463">
        <v>43353.0</v>
      </c>
      <c r="B2789" s="464">
        <v>153.79</v>
      </c>
    </row>
    <row r="2790">
      <c r="A2790" s="463">
        <v>43354.0</v>
      </c>
      <c r="B2790" s="464">
        <v>154.04</v>
      </c>
    </row>
    <row r="2791">
      <c r="A2791" s="463">
        <v>43355.0</v>
      </c>
      <c r="B2791" s="464">
        <v>154.32</v>
      </c>
    </row>
    <row r="2792">
      <c r="A2792" s="463">
        <v>43356.0</v>
      </c>
      <c r="B2792" s="464">
        <v>154.6</v>
      </c>
    </row>
    <row r="2793">
      <c r="A2793" s="463">
        <v>43357.0</v>
      </c>
      <c r="B2793" s="464">
        <v>162.65</v>
      </c>
    </row>
    <row r="2794">
      <c r="A2794" s="463">
        <v>43360.0</v>
      </c>
      <c r="B2794" s="464">
        <v>157.01</v>
      </c>
    </row>
    <row r="2795">
      <c r="A2795" s="463">
        <v>43361.0</v>
      </c>
      <c r="B2795" s="464">
        <v>153.4</v>
      </c>
    </row>
    <row r="2796">
      <c r="A2796" s="463">
        <v>43362.0</v>
      </c>
      <c r="B2796" s="464">
        <v>150.75</v>
      </c>
    </row>
    <row r="2797">
      <c r="A2797" s="463">
        <v>43363.0</v>
      </c>
      <c r="B2797" s="464">
        <v>153.0</v>
      </c>
    </row>
    <row r="2798">
      <c r="A2798" s="463">
        <v>43364.0</v>
      </c>
      <c r="B2798" s="464">
        <v>152.09</v>
      </c>
    </row>
    <row r="2799">
      <c r="A2799" s="463">
        <v>43367.0</v>
      </c>
      <c r="B2799" s="464">
        <v>153.48</v>
      </c>
    </row>
    <row r="2800">
      <c r="A2800" s="463">
        <v>43368.0</v>
      </c>
      <c r="B2800" s="464">
        <v>158.06</v>
      </c>
    </row>
    <row r="2801">
      <c r="A2801" s="463">
        <v>43369.0</v>
      </c>
      <c r="B2801" s="464">
        <v>155.84</v>
      </c>
    </row>
    <row r="2802">
      <c r="A2802" s="463">
        <v>43370.0</v>
      </c>
      <c r="B2802" s="464">
        <v>155.83</v>
      </c>
    </row>
    <row r="2803">
      <c r="A2803" s="463">
        <v>43371.0</v>
      </c>
      <c r="B2803" s="464">
        <v>156.06</v>
      </c>
    </row>
    <row r="2804">
      <c r="A2804" s="463">
        <v>43374.0</v>
      </c>
      <c r="B2804" s="464">
        <v>156.17</v>
      </c>
    </row>
    <row r="2805">
      <c r="A2805" s="463">
        <v>43375.0</v>
      </c>
      <c r="B2805" s="464">
        <v>154.53</v>
      </c>
    </row>
    <row r="2806">
      <c r="A2806" s="463">
        <v>43376.0</v>
      </c>
      <c r="B2806" s="464">
        <v>154.58</v>
      </c>
    </row>
    <row r="2807">
      <c r="A2807" s="463">
        <v>43377.0</v>
      </c>
      <c r="B2807" s="464">
        <v>155.53</v>
      </c>
    </row>
    <row r="2808">
      <c r="A2808" s="463">
        <v>43378.0</v>
      </c>
      <c r="B2808" s="464">
        <v>156.54</v>
      </c>
    </row>
    <row r="2809">
      <c r="A2809" s="463">
        <v>43381.0</v>
      </c>
      <c r="B2809" s="464">
        <v>151.01</v>
      </c>
    </row>
    <row r="2810">
      <c r="A2810" s="463">
        <v>43382.0</v>
      </c>
      <c r="B2810" s="464">
        <v>148.86</v>
      </c>
    </row>
    <row r="2811">
      <c r="A2811" s="463">
        <v>43383.0</v>
      </c>
      <c r="B2811" s="464">
        <v>143.32</v>
      </c>
    </row>
    <row r="2812">
      <c r="A2812" s="463">
        <v>43384.0</v>
      </c>
      <c r="B2812" s="464">
        <v>141.49</v>
      </c>
    </row>
    <row r="2813">
      <c r="A2813" s="463">
        <v>43385.0</v>
      </c>
      <c r="B2813" s="464">
        <v>147.74</v>
      </c>
    </row>
    <row r="2814">
      <c r="A2814" s="463">
        <v>43388.0</v>
      </c>
      <c r="B2814" s="464">
        <v>144.04</v>
      </c>
    </row>
    <row r="2815">
      <c r="A2815" s="463">
        <v>43389.0</v>
      </c>
      <c r="B2815" s="464">
        <v>148.36</v>
      </c>
    </row>
    <row r="2816">
      <c r="A2816" s="463">
        <v>43390.0</v>
      </c>
      <c r="B2816" s="464">
        <v>148.16</v>
      </c>
    </row>
    <row r="2817">
      <c r="A2817" s="463">
        <v>43391.0</v>
      </c>
      <c r="B2817" s="464">
        <v>145.61</v>
      </c>
    </row>
    <row r="2818">
      <c r="A2818" s="463">
        <v>43392.0</v>
      </c>
      <c r="B2818" s="464">
        <v>140.46</v>
      </c>
    </row>
    <row r="2819">
      <c r="A2819" s="463">
        <v>43395.0</v>
      </c>
      <c r="B2819" s="464">
        <v>146.14</v>
      </c>
    </row>
    <row r="2820">
      <c r="A2820" s="463">
        <v>43396.0</v>
      </c>
      <c r="B2820" s="464">
        <v>145.41</v>
      </c>
    </row>
    <row r="2821">
      <c r="A2821" s="463">
        <v>43397.0</v>
      </c>
      <c r="B2821" s="464">
        <v>139.51</v>
      </c>
    </row>
    <row r="2822">
      <c r="A2822" s="463">
        <v>43398.0</v>
      </c>
      <c r="B2822" s="464">
        <v>141.61</v>
      </c>
    </row>
    <row r="2823">
      <c r="A2823" s="463">
        <v>43399.0</v>
      </c>
      <c r="B2823" s="464">
        <v>138.76</v>
      </c>
    </row>
    <row r="2824">
      <c r="A2824" s="463">
        <v>43402.0</v>
      </c>
      <c r="B2824" s="464">
        <v>136.26</v>
      </c>
    </row>
    <row r="2825">
      <c r="A2825" s="463">
        <v>43403.0</v>
      </c>
      <c r="B2825" s="464">
        <v>138.64</v>
      </c>
    </row>
    <row r="2826">
      <c r="A2826" s="463">
        <v>43404.0</v>
      </c>
      <c r="B2826" s="464">
        <v>141.39</v>
      </c>
    </row>
    <row r="2827">
      <c r="A2827" s="463">
        <v>43405.0</v>
      </c>
      <c r="B2827" s="464">
        <v>144.64</v>
      </c>
    </row>
    <row r="2828">
      <c r="A2828" s="463">
        <v>43406.0</v>
      </c>
      <c r="B2828" s="464">
        <v>141.35</v>
      </c>
    </row>
    <row r="2829">
      <c r="A2829" s="463">
        <v>43409.0</v>
      </c>
      <c r="B2829" s="464">
        <v>142.94</v>
      </c>
    </row>
    <row r="2830">
      <c r="A2830" s="463">
        <v>43410.0</v>
      </c>
      <c r="B2830" s="464">
        <v>143.02</v>
      </c>
    </row>
    <row r="2831">
      <c r="A2831" s="463">
        <v>43411.0</v>
      </c>
      <c r="B2831" s="464">
        <v>149.45</v>
      </c>
    </row>
    <row r="2832">
      <c r="A2832" s="463">
        <v>43412.0</v>
      </c>
      <c r="B2832" s="464">
        <v>151.65</v>
      </c>
    </row>
    <row r="2833">
      <c r="A2833" s="463">
        <v>43413.0</v>
      </c>
      <c r="B2833" s="464">
        <v>150.82</v>
      </c>
    </row>
    <row r="2834">
      <c r="A2834" s="463">
        <v>43416.0</v>
      </c>
      <c r="B2834" s="464">
        <v>148.13</v>
      </c>
    </row>
    <row r="2835">
      <c r="A2835" s="463">
        <v>43417.0</v>
      </c>
      <c r="B2835" s="464">
        <v>150.51</v>
      </c>
    </row>
    <row r="2836">
      <c r="A2836" s="463">
        <v>43418.0</v>
      </c>
      <c r="B2836" s="464">
        <v>152.3</v>
      </c>
    </row>
    <row r="2837">
      <c r="A2837" s="463">
        <v>43419.0</v>
      </c>
      <c r="B2837" s="464">
        <v>157.73</v>
      </c>
    </row>
    <row r="2838">
      <c r="A2838" s="463">
        <v>43420.0</v>
      </c>
      <c r="B2838" s="464">
        <v>157.01</v>
      </c>
    </row>
    <row r="2839">
      <c r="A2839" s="463">
        <v>43423.0</v>
      </c>
      <c r="B2839" s="464">
        <v>153.4</v>
      </c>
    </row>
    <row r="2840">
      <c r="A2840" s="463">
        <v>43424.0</v>
      </c>
      <c r="B2840" s="464">
        <v>148.4</v>
      </c>
    </row>
    <row r="2841">
      <c r="A2841" s="463">
        <v>43425.0</v>
      </c>
      <c r="B2841" s="464">
        <v>149.59</v>
      </c>
    </row>
    <row r="2842">
      <c r="A2842" s="463">
        <v>43427.0</v>
      </c>
      <c r="B2842" s="464">
        <v>152.99</v>
      </c>
    </row>
    <row r="2843">
      <c r="A2843" s="463">
        <v>43430.0</v>
      </c>
      <c r="B2843" s="464">
        <v>153.91</v>
      </c>
    </row>
    <row r="2844">
      <c r="A2844" s="463">
        <v>43431.0</v>
      </c>
      <c r="B2844" s="464">
        <v>152.2</v>
      </c>
    </row>
    <row r="2845">
      <c r="A2845" s="463">
        <v>43432.0</v>
      </c>
      <c r="B2845" s="464">
        <v>159.76</v>
      </c>
    </row>
    <row r="2846">
      <c r="A2846" s="463">
        <v>43433.0</v>
      </c>
      <c r="B2846" s="464">
        <v>161.48</v>
      </c>
    </row>
    <row r="2847">
      <c r="A2847" s="463">
        <v>43434.0</v>
      </c>
      <c r="B2847" s="464">
        <v>167.34</v>
      </c>
    </row>
    <row r="2848">
      <c r="A2848" s="463">
        <v>43437.0</v>
      </c>
      <c r="B2848" s="464">
        <v>163.63</v>
      </c>
    </row>
    <row r="2849">
      <c r="A2849" s="463">
        <v>43438.0</v>
      </c>
      <c r="B2849" s="464">
        <v>158.52</v>
      </c>
    </row>
    <row r="2850">
      <c r="A2850" s="463">
        <v>43440.0</v>
      </c>
      <c r="B2850" s="464">
        <v>162.5</v>
      </c>
    </row>
    <row r="2851">
      <c r="A2851" s="463">
        <v>43441.0</v>
      </c>
      <c r="B2851" s="464">
        <v>159.21</v>
      </c>
    </row>
    <row r="2852">
      <c r="A2852" s="463">
        <v>43444.0</v>
      </c>
      <c r="B2852" s="464">
        <v>163.36</v>
      </c>
    </row>
    <row r="2853">
      <c r="A2853" s="463">
        <v>43445.0</v>
      </c>
      <c r="B2853" s="464">
        <v>164.5</v>
      </c>
    </row>
    <row r="2854">
      <c r="A2854" s="463">
        <v>43446.0</v>
      </c>
      <c r="B2854" s="464">
        <v>162.62</v>
      </c>
    </row>
    <row r="2855">
      <c r="A2855" s="463">
        <v>43447.0</v>
      </c>
      <c r="B2855" s="464">
        <v>161.41</v>
      </c>
    </row>
    <row r="2856">
      <c r="A2856" s="463">
        <v>43448.0</v>
      </c>
      <c r="B2856" s="464">
        <v>158.58</v>
      </c>
    </row>
    <row r="2857">
      <c r="A2857" s="463">
        <v>43451.0</v>
      </c>
      <c r="B2857" s="464">
        <v>152.93</v>
      </c>
    </row>
    <row r="2858">
      <c r="A2858" s="463">
        <v>43452.0</v>
      </c>
      <c r="B2858" s="464">
        <v>154.4</v>
      </c>
    </row>
    <row r="2859">
      <c r="A2859" s="463">
        <v>43453.0</v>
      </c>
      <c r="B2859" s="464">
        <v>156.76</v>
      </c>
    </row>
    <row r="2860">
      <c r="A2860" s="463">
        <v>43454.0</v>
      </c>
      <c r="B2860" s="464">
        <v>153.07</v>
      </c>
    </row>
    <row r="2861">
      <c r="A2861" s="463">
        <v>43455.0</v>
      </c>
      <c r="B2861" s="464">
        <v>144.99</v>
      </c>
    </row>
    <row r="2862">
      <c r="A2862" s="463">
        <v>43458.0</v>
      </c>
      <c r="B2862" s="464">
        <v>144.56</v>
      </c>
    </row>
    <row r="2863">
      <c r="A2863" s="463">
        <v>43460.0</v>
      </c>
      <c r="B2863" s="464">
        <v>152.87</v>
      </c>
    </row>
    <row r="2864">
      <c r="A2864" s="463">
        <v>43461.0</v>
      </c>
      <c r="B2864" s="464">
        <v>154.3</v>
      </c>
    </row>
    <row r="2865">
      <c r="A2865" s="463">
        <v>43462.0</v>
      </c>
      <c r="B2865" s="464">
        <v>158.38</v>
      </c>
    </row>
    <row r="2866">
      <c r="A2866" s="463">
        <v>43465.0</v>
      </c>
      <c r="B2866" s="464">
        <v>137.13</v>
      </c>
    </row>
    <row r="2867">
      <c r="A2867" s="463">
        <v>43467.0</v>
      </c>
      <c r="B2867" s="464">
        <v>136.16</v>
      </c>
    </row>
    <row r="2868">
      <c r="A2868" s="463">
        <v>43468.0</v>
      </c>
      <c r="B2868" s="464">
        <v>130.67</v>
      </c>
    </row>
    <row r="2869">
      <c r="A2869" s="463">
        <v>43469.0</v>
      </c>
      <c r="B2869" s="464">
        <v>138.91</v>
      </c>
    </row>
    <row r="2870">
      <c r="A2870" s="463">
        <v>43472.0</v>
      </c>
      <c r="B2870" s="464">
        <v>143.74</v>
      </c>
    </row>
    <row r="2871">
      <c r="A2871" s="463">
        <v>43473.0</v>
      </c>
      <c r="B2871" s="464">
        <v>146.8</v>
      </c>
    </row>
    <row r="2872">
      <c r="A2872" s="463">
        <v>43474.0</v>
      </c>
      <c r="B2872" s="464">
        <v>150.34</v>
      </c>
    </row>
    <row r="2873">
      <c r="A2873" s="463">
        <v>43475.0</v>
      </c>
      <c r="B2873" s="464">
        <v>148.88</v>
      </c>
    </row>
    <row r="2874">
      <c r="A2874" s="463">
        <v>43476.0</v>
      </c>
      <c r="B2874" s="464">
        <v>146.7</v>
      </c>
    </row>
    <row r="2875">
      <c r="A2875" s="463">
        <v>43479.0</v>
      </c>
      <c r="B2875" s="464">
        <v>144.19</v>
      </c>
    </row>
    <row r="2876">
      <c r="A2876" s="463">
        <v>43480.0</v>
      </c>
      <c r="B2876" s="464">
        <v>147.12</v>
      </c>
    </row>
    <row r="2877">
      <c r="A2877" s="463">
        <v>43481.0</v>
      </c>
      <c r="B2877" s="464">
        <v>144.2</v>
      </c>
    </row>
    <row r="2878">
      <c r="A2878" s="463">
        <v>43482.0</v>
      </c>
      <c r="B2878" s="464">
        <v>143.9</v>
      </c>
    </row>
    <row r="2879">
      <c r="A2879" s="463">
        <v>43483.0</v>
      </c>
      <c r="B2879" s="464">
        <v>147.66</v>
      </c>
    </row>
    <row r="2880">
      <c r="A2880" s="463">
        <v>43487.0</v>
      </c>
      <c r="B2880" s="464">
        <v>148.03</v>
      </c>
    </row>
    <row r="2881">
      <c r="A2881" s="463">
        <v>43488.0</v>
      </c>
      <c r="B2881" s="464">
        <v>150.78</v>
      </c>
    </row>
    <row r="2882">
      <c r="A2882" s="463">
        <v>43489.0</v>
      </c>
      <c r="B2882" s="464">
        <v>148.15</v>
      </c>
    </row>
    <row r="2883">
      <c r="A2883" s="463">
        <v>43490.0</v>
      </c>
      <c r="B2883" s="464">
        <v>149.43</v>
      </c>
    </row>
    <row r="2884">
      <c r="A2884" s="463">
        <v>43493.0</v>
      </c>
      <c r="B2884" s="464">
        <v>148.11</v>
      </c>
    </row>
    <row r="2885">
      <c r="A2885" s="463">
        <v>43494.0</v>
      </c>
      <c r="B2885" s="464">
        <v>145.22</v>
      </c>
    </row>
    <row r="2886">
      <c r="A2886" s="463">
        <v>43495.0</v>
      </c>
      <c r="B2886" s="464">
        <v>146.38</v>
      </c>
    </row>
    <row r="2887">
      <c r="A2887" s="463">
        <v>43496.0</v>
      </c>
      <c r="B2887" s="464">
        <v>151.07</v>
      </c>
    </row>
    <row r="2888">
      <c r="A2888" s="463">
        <v>43497.0</v>
      </c>
      <c r="B2888" s="464">
        <v>150.51</v>
      </c>
    </row>
    <row r="2889">
      <c r="A2889" s="463">
        <v>43500.0</v>
      </c>
      <c r="B2889" s="464">
        <v>152.91</v>
      </c>
    </row>
    <row r="2890">
      <c r="A2890" s="463">
        <v>43501.0</v>
      </c>
      <c r="B2890" s="464">
        <v>156.2</v>
      </c>
    </row>
    <row r="2891">
      <c r="A2891" s="463">
        <v>43502.0</v>
      </c>
      <c r="B2891" s="464">
        <v>157.02</v>
      </c>
    </row>
    <row r="2892">
      <c r="A2892" s="463">
        <v>43503.0</v>
      </c>
      <c r="B2892" s="464">
        <v>156.3</v>
      </c>
    </row>
    <row r="2893">
      <c r="A2893" s="463">
        <v>43504.0</v>
      </c>
      <c r="B2893" s="464">
        <v>157.71</v>
      </c>
    </row>
    <row r="2894">
      <c r="A2894" s="463">
        <v>43507.0</v>
      </c>
      <c r="B2894" s="464">
        <v>158.97</v>
      </c>
    </row>
    <row r="2895">
      <c r="A2895" s="463">
        <v>43508.0</v>
      </c>
      <c r="B2895" s="464">
        <v>165.34</v>
      </c>
    </row>
    <row r="2896">
      <c r="A2896" s="463">
        <v>43509.0</v>
      </c>
      <c r="B2896" s="464">
        <v>167.03</v>
      </c>
    </row>
    <row r="2897">
      <c r="A2897" s="463">
        <v>43510.0</v>
      </c>
      <c r="B2897" s="464">
        <v>167.98</v>
      </c>
    </row>
    <row r="2898">
      <c r="A2898" s="463">
        <v>43511.0</v>
      </c>
      <c r="B2898" s="464">
        <v>169.68</v>
      </c>
    </row>
    <row r="2899">
      <c r="A2899" s="463">
        <v>43515.0</v>
      </c>
      <c r="B2899" s="464">
        <v>170.04</v>
      </c>
    </row>
    <row r="2900">
      <c r="A2900" s="463">
        <v>43516.0</v>
      </c>
      <c r="B2900" s="464">
        <v>170.76</v>
      </c>
    </row>
    <row r="2901">
      <c r="A2901" s="463">
        <v>43517.0</v>
      </c>
      <c r="B2901" s="464">
        <v>170.79</v>
      </c>
    </row>
    <row r="2902">
      <c r="A2902" s="463">
        <v>43518.0</v>
      </c>
      <c r="B2902" s="464">
        <v>173.38</v>
      </c>
    </row>
    <row r="2903">
      <c r="A2903" s="463">
        <v>43521.0</v>
      </c>
      <c r="B2903" s="464">
        <v>174.15</v>
      </c>
    </row>
    <row r="2904">
      <c r="A2904" s="463">
        <v>43522.0</v>
      </c>
      <c r="B2904" s="464">
        <v>175.12</v>
      </c>
    </row>
    <row r="2905">
      <c r="A2905" s="463">
        <v>43523.0</v>
      </c>
      <c r="B2905" s="464">
        <v>176.01</v>
      </c>
    </row>
    <row r="2906">
      <c r="A2906" s="463">
        <v>43524.0</v>
      </c>
      <c r="B2906" s="464">
        <v>171.81</v>
      </c>
    </row>
    <row r="2907">
      <c r="A2907" s="463">
        <v>43525.0</v>
      </c>
      <c r="B2907" s="464">
        <v>178.2</v>
      </c>
    </row>
    <row r="2908">
      <c r="A2908" s="463">
        <v>43528.0</v>
      </c>
      <c r="B2908" s="464">
        <v>172.32</v>
      </c>
    </row>
    <row r="2909">
      <c r="A2909" s="463">
        <v>43529.0</v>
      </c>
      <c r="B2909" s="464">
        <v>172.69</v>
      </c>
    </row>
    <row r="2910">
      <c r="A2910" s="463">
        <v>43530.0</v>
      </c>
      <c r="B2910" s="464">
        <v>170.12</v>
      </c>
    </row>
    <row r="2911">
      <c r="A2911" s="463">
        <v>43531.0</v>
      </c>
      <c r="B2911" s="464">
        <v>169.05</v>
      </c>
    </row>
    <row r="2912">
      <c r="A2912" s="463">
        <v>43532.0</v>
      </c>
      <c r="B2912" s="464">
        <v>169.13</v>
      </c>
    </row>
    <row r="2913">
      <c r="A2913" s="463">
        <v>43535.0</v>
      </c>
      <c r="B2913" s="464">
        <v>173.37</v>
      </c>
    </row>
    <row r="2914">
      <c r="A2914" s="463">
        <v>43536.0</v>
      </c>
      <c r="B2914" s="464">
        <v>175.13</v>
      </c>
    </row>
    <row r="2915">
      <c r="A2915" s="463">
        <v>43537.0</v>
      </c>
      <c r="B2915" s="464">
        <v>176.8</v>
      </c>
    </row>
    <row r="2916">
      <c r="A2916" s="463">
        <v>43538.0</v>
      </c>
      <c r="B2916" s="464">
        <v>179.26</v>
      </c>
    </row>
    <row r="2917">
      <c r="A2917" s="463">
        <v>43539.0</v>
      </c>
      <c r="B2917" s="464">
        <v>181.56</v>
      </c>
    </row>
    <row r="2918">
      <c r="A2918" s="463">
        <v>43542.0</v>
      </c>
      <c r="B2918" s="464">
        <v>182.67</v>
      </c>
    </row>
    <row r="2919">
      <c r="A2919" s="463">
        <v>43543.0</v>
      </c>
      <c r="B2919" s="464">
        <v>183.55</v>
      </c>
    </row>
    <row r="2920">
      <c r="A2920" s="463">
        <v>43544.0</v>
      </c>
      <c r="B2920" s="464">
        <v>184.85</v>
      </c>
    </row>
    <row r="2921">
      <c r="A2921" s="463">
        <v>43545.0</v>
      </c>
      <c r="B2921" s="464">
        <v>188.24</v>
      </c>
    </row>
    <row r="2922">
      <c r="A2922" s="463">
        <v>43546.0</v>
      </c>
      <c r="B2922" s="464">
        <v>183.7</v>
      </c>
    </row>
    <row r="2923">
      <c r="A2923" s="463">
        <v>43549.0</v>
      </c>
      <c r="B2923" s="464">
        <v>180.34</v>
      </c>
    </row>
    <row r="2924">
      <c r="A2924" s="463">
        <v>43550.0</v>
      </c>
      <c r="B2924" s="464">
        <v>181.44</v>
      </c>
    </row>
    <row r="2925">
      <c r="A2925" s="463">
        <v>43551.0</v>
      </c>
      <c r="B2925" s="464">
        <v>177.0</v>
      </c>
    </row>
    <row r="2926">
      <c r="A2926" s="463">
        <v>43552.0</v>
      </c>
      <c r="B2926" s="464">
        <v>178.0</v>
      </c>
    </row>
    <row r="2927">
      <c r="A2927" s="463">
        <v>43553.0</v>
      </c>
      <c r="B2927" s="464">
        <v>180.51</v>
      </c>
    </row>
    <row r="2928">
      <c r="A2928" s="463">
        <v>43556.0</v>
      </c>
      <c r="B2928" s="464">
        <v>184.29</v>
      </c>
    </row>
    <row r="2929">
      <c r="A2929" s="463">
        <v>43557.0</v>
      </c>
      <c r="B2929" s="464">
        <v>185.05</v>
      </c>
    </row>
    <row r="2930">
      <c r="A2930" s="463">
        <v>43558.0</v>
      </c>
      <c r="B2930" s="464">
        <v>186.23</v>
      </c>
    </row>
    <row r="2931">
      <c r="A2931" s="463">
        <v>43559.0</v>
      </c>
      <c r="B2931" s="464">
        <v>181.39</v>
      </c>
    </row>
    <row r="2932">
      <c r="A2932" s="463">
        <v>43560.0</v>
      </c>
      <c r="B2932" s="464">
        <v>185.79</v>
      </c>
    </row>
    <row r="2933">
      <c r="A2933" s="463">
        <v>43563.0</v>
      </c>
      <c r="B2933" s="464">
        <v>186.52</v>
      </c>
    </row>
    <row r="2934">
      <c r="A2934" s="463">
        <v>43564.0</v>
      </c>
      <c r="B2934" s="464">
        <v>185.7</v>
      </c>
    </row>
    <row r="2935">
      <c r="A2935" s="463">
        <v>43565.0</v>
      </c>
      <c r="B2935" s="464">
        <v>189.31</v>
      </c>
    </row>
    <row r="2936">
      <c r="A2936" s="463">
        <v>43566.0</v>
      </c>
      <c r="B2936" s="464">
        <v>192.44</v>
      </c>
    </row>
    <row r="2937">
      <c r="A2937" s="463">
        <v>43567.0</v>
      </c>
      <c r="B2937" s="464">
        <v>192.81</v>
      </c>
    </row>
    <row r="2938">
      <c r="A2938" s="463">
        <v>43570.0</v>
      </c>
      <c r="B2938" s="464">
        <v>192.14</v>
      </c>
    </row>
    <row r="2939">
      <c r="A2939" s="463">
        <v>43571.0</v>
      </c>
      <c r="B2939" s="464">
        <v>189.84</v>
      </c>
    </row>
    <row r="2940">
      <c r="A2940" s="463">
        <v>43572.0</v>
      </c>
      <c r="B2940" s="464">
        <v>189.07</v>
      </c>
    </row>
    <row r="2941">
      <c r="A2941" s="463">
        <v>43573.0</v>
      </c>
      <c r="B2941" s="464">
        <v>188.09</v>
      </c>
    </row>
    <row r="2942">
      <c r="A2942" s="463">
        <v>43577.0</v>
      </c>
      <c r="B2942" s="464">
        <v>191.56</v>
      </c>
    </row>
    <row r="2943">
      <c r="A2943" s="463">
        <v>43578.0</v>
      </c>
      <c r="B2943" s="464">
        <v>196.11</v>
      </c>
    </row>
    <row r="2944">
      <c r="A2944" s="463">
        <v>43579.0</v>
      </c>
      <c r="B2944" s="464">
        <v>198.49</v>
      </c>
    </row>
    <row r="2945">
      <c r="A2945" s="463">
        <v>43580.0</v>
      </c>
      <c r="B2945" s="464">
        <v>200.16</v>
      </c>
    </row>
    <row r="2946">
      <c r="A2946" s="463">
        <v>43581.0</v>
      </c>
      <c r="B2946" s="464">
        <v>199.71</v>
      </c>
    </row>
    <row r="2947">
      <c r="A2947" s="463">
        <v>43584.0</v>
      </c>
      <c r="B2947" s="464">
        <v>201.38</v>
      </c>
    </row>
    <row r="2948">
      <c r="A2948" s="463">
        <v>43585.0</v>
      </c>
      <c r="B2948" s="464">
        <v>204.13</v>
      </c>
    </row>
    <row r="2949">
      <c r="A2949" s="463">
        <v>43586.0</v>
      </c>
      <c r="B2949" s="464">
        <v>202.46</v>
      </c>
    </row>
    <row r="2950">
      <c r="A2950" s="463">
        <v>43587.0</v>
      </c>
      <c r="B2950" s="464">
        <v>200.0</v>
      </c>
    </row>
    <row r="2951">
      <c r="A2951" s="463">
        <v>43588.0</v>
      </c>
      <c r="B2951" s="464">
        <v>203.28</v>
      </c>
    </row>
    <row r="2952">
      <c r="A2952" s="463">
        <v>43591.0</v>
      </c>
      <c r="B2952" s="464">
        <v>202.59</v>
      </c>
    </row>
    <row r="2953">
      <c r="A2953" s="463">
        <v>43592.0</v>
      </c>
      <c r="B2953" s="464">
        <v>195.13</v>
      </c>
    </row>
    <row r="2954">
      <c r="A2954" s="463">
        <v>43593.0</v>
      </c>
      <c r="B2954" s="464">
        <v>197.67</v>
      </c>
    </row>
    <row r="2955">
      <c r="A2955" s="463">
        <v>43594.0</v>
      </c>
      <c r="B2955" s="464">
        <v>197.69</v>
      </c>
    </row>
    <row r="2956">
      <c r="A2956" s="463">
        <v>43595.0</v>
      </c>
      <c r="B2956" s="464">
        <v>200.07</v>
      </c>
    </row>
    <row r="2957">
      <c r="A2957" s="463">
        <v>43598.0</v>
      </c>
      <c r="B2957" s="464">
        <v>192.04</v>
      </c>
    </row>
    <row r="2958">
      <c r="A2958" s="463">
        <v>43599.0</v>
      </c>
      <c r="B2958" s="464">
        <v>197.93</v>
      </c>
    </row>
    <row r="2959">
      <c r="A2959" s="463">
        <v>43600.0</v>
      </c>
      <c r="B2959" s="464">
        <v>201.26</v>
      </c>
    </row>
    <row r="2960">
      <c r="A2960" s="463">
        <v>43601.0</v>
      </c>
      <c r="B2960" s="464">
        <v>205.52</v>
      </c>
    </row>
    <row r="2961">
      <c r="A2961" s="463">
        <v>43602.0</v>
      </c>
      <c r="B2961" s="464">
        <v>203.64</v>
      </c>
    </row>
    <row r="2962">
      <c r="A2962" s="463">
        <v>43605.0</v>
      </c>
      <c r="B2962" s="464">
        <v>197.32</v>
      </c>
    </row>
    <row r="2963">
      <c r="A2963" s="463">
        <v>43606.0</v>
      </c>
      <c r="B2963" s="464">
        <v>202.24</v>
      </c>
    </row>
    <row r="2964">
      <c r="A2964" s="463">
        <v>43607.0</v>
      </c>
      <c r="B2964" s="464">
        <v>203.72</v>
      </c>
    </row>
    <row r="2965">
      <c r="A2965" s="463">
        <v>43608.0</v>
      </c>
      <c r="B2965" s="464">
        <v>196.7</v>
      </c>
    </row>
    <row r="2966">
      <c r="A2966" s="463">
        <v>43609.0</v>
      </c>
      <c r="B2966" s="464">
        <v>197.99</v>
      </c>
    </row>
    <row r="2967">
      <c r="A2967" s="463">
        <v>43613.0</v>
      </c>
      <c r="B2967" s="464">
        <v>193.59</v>
      </c>
    </row>
    <row r="2968">
      <c r="A2968" s="463">
        <v>43614.0</v>
      </c>
      <c r="B2968" s="464">
        <v>191.27</v>
      </c>
    </row>
    <row r="2969">
      <c r="A2969" s="463">
        <v>43615.0</v>
      </c>
      <c r="B2969" s="464">
        <v>191.09</v>
      </c>
    </row>
    <row r="2970">
      <c r="A2970" s="463">
        <v>43616.0</v>
      </c>
      <c r="B2970" s="464">
        <v>176.98</v>
      </c>
    </row>
    <row r="2971">
      <c r="A2971" s="463">
        <v>43619.0</v>
      </c>
      <c r="B2971" s="464">
        <v>169.07</v>
      </c>
    </row>
    <row r="2972">
      <c r="A2972" s="463">
        <v>43620.0</v>
      </c>
      <c r="B2972" s="464">
        <v>174.4</v>
      </c>
    </row>
    <row r="2973">
      <c r="A2973" s="463">
        <v>43621.0</v>
      </c>
      <c r="B2973" s="464">
        <v>170.35</v>
      </c>
    </row>
    <row r="2974">
      <c r="A2974" s="463">
        <v>43622.0</v>
      </c>
      <c r="B2974" s="464">
        <v>166.92</v>
      </c>
    </row>
    <row r="2975">
      <c r="A2975" s="463">
        <v>43623.0</v>
      </c>
      <c r="B2975" s="464">
        <v>169.23</v>
      </c>
    </row>
    <row r="2976">
      <c r="A2976" s="463">
        <v>43626.0</v>
      </c>
      <c r="B2976" s="464">
        <v>172.01</v>
      </c>
    </row>
    <row r="2977">
      <c r="A2977" s="463">
        <v>43627.0</v>
      </c>
      <c r="B2977" s="464">
        <v>175.07</v>
      </c>
    </row>
    <row r="2978">
      <c r="A2978" s="463">
        <v>43628.0</v>
      </c>
      <c r="B2978" s="464">
        <v>175.89</v>
      </c>
    </row>
    <row r="2979">
      <c r="A2979" s="463">
        <v>43629.0</v>
      </c>
      <c r="B2979" s="464">
        <v>174.49</v>
      </c>
    </row>
    <row r="2980">
      <c r="A2980" s="463">
        <v>43630.0</v>
      </c>
      <c r="B2980" s="464">
        <v>168.29</v>
      </c>
    </row>
    <row r="2981">
      <c r="A2981" s="463">
        <v>43633.0</v>
      </c>
      <c r="B2981" s="464">
        <v>166.87</v>
      </c>
    </row>
    <row r="2982">
      <c r="A2982" s="463">
        <v>43634.0</v>
      </c>
      <c r="B2982" s="464">
        <v>169.68</v>
      </c>
    </row>
    <row r="2983">
      <c r="A2983" s="463">
        <v>43635.0</v>
      </c>
      <c r="B2983" s="464">
        <v>173.42</v>
      </c>
    </row>
    <row r="2984">
      <c r="A2984" s="463">
        <v>43636.0</v>
      </c>
      <c r="B2984" s="464">
        <v>176.92</v>
      </c>
    </row>
    <row r="2985">
      <c r="A2985" s="463">
        <v>43637.0</v>
      </c>
      <c r="B2985" s="464">
        <v>173.39</v>
      </c>
    </row>
    <row r="2986">
      <c r="A2986" s="463">
        <v>43640.0</v>
      </c>
      <c r="B2986" s="464">
        <v>175.52</v>
      </c>
    </row>
    <row r="2987">
      <c r="A2987" s="463">
        <v>43641.0</v>
      </c>
      <c r="B2987" s="464">
        <v>170.87</v>
      </c>
    </row>
    <row r="2988">
      <c r="A2988" s="463">
        <v>43642.0</v>
      </c>
      <c r="B2988" s="464">
        <v>172.26</v>
      </c>
    </row>
    <row r="2989">
      <c r="A2989" s="463">
        <v>43643.0</v>
      </c>
      <c r="B2989" s="464">
        <v>171.66</v>
      </c>
    </row>
    <row r="2990">
      <c r="A2990" s="463">
        <v>43644.0</v>
      </c>
      <c r="B2990" s="464">
        <v>167.21</v>
      </c>
    </row>
    <row r="2991">
      <c r="A2991" s="463">
        <v>43647.0</v>
      </c>
      <c r="B2991" s="464">
        <v>168.77</v>
      </c>
    </row>
    <row r="2992">
      <c r="A2992" s="463">
        <v>43648.0</v>
      </c>
      <c r="B2992" s="464">
        <v>168.99</v>
      </c>
    </row>
    <row r="2993">
      <c r="A2993" s="463">
        <v>43649.0</v>
      </c>
      <c r="B2993" s="464">
        <v>169.46</v>
      </c>
    </row>
    <row r="2994">
      <c r="A2994" s="463">
        <v>43651.0</v>
      </c>
      <c r="B2994" s="464">
        <v>169.18</v>
      </c>
    </row>
    <row r="2995">
      <c r="A2995" s="463">
        <v>43654.0</v>
      </c>
      <c r="B2995" s="464">
        <v>165.14</v>
      </c>
    </row>
    <row r="2996">
      <c r="A2996" s="463">
        <v>43655.0</v>
      </c>
      <c r="B2996" s="464">
        <v>163.24</v>
      </c>
    </row>
    <row r="2997">
      <c r="A2997" s="463">
        <v>43656.0</v>
      </c>
      <c r="B2997" s="464">
        <v>166.57</v>
      </c>
    </row>
    <row r="2998">
      <c r="A2998" s="463">
        <v>43657.0</v>
      </c>
      <c r="B2998" s="464">
        <v>168.49</v>
      </c>
    </row>
    <row r="2999">
      <c r="A2999" s="463">
        <v>43658.0</v>
      </c>
      <c r="B2999" s="464">
        <v>169.7</v>
      </c>
    </row>
    <row r="3000">
      <c r="A3000" s="463">
        <v>43661.0</v>
      </c>
      <c r="B3000" s="464">
        <v>172.21</v>
      </c>
    </row>
    <row r="3001">
      <c r="A3001" s="463">
        <v>43662.0</v>
      </c>
      <c r="B3001" s="464">
        <v>172.29</v>
      </c>
    </row>
    <row r="3002">
      <c r="A3002" s="463">
        <v>43663.0</v>
      </c>
      <c r="B3002" s="464">
        <v>174.05</v>
      </c>
    </row>
    <row r="3003">
      <c r="A3003" s="463">
        <v>43664.0</v>
      </c>
      <c r="B3003" s="464">
        <v>174.33</v>
      </c>
    </row>
    <row r="3004">
      <c r="A3004" s="463">
        <v>43665.0</v>
      </c>
      <c r="B3004" s="464">
        <v>179.5</v>
      </c>
    </row>
    <row r="3005">
      <c r="A3005" s="463">
        <v>43668.0</v>
      </c>
      <c r="B3005" s="464">
        <v>181.87</v>
      </c>
    </row>
    <row r="3006">
      <c r="A3006" s="463">
        <v>43669.0</v>
      </c>
      <c r="B3006" s="464">
        <v>178.78</v>
      </c>
    </row>
    <row r="3007">
      <c r="A3007" s="463">
        <v>43670.0</v>
      </c>
      <c r="B3007" s="464">
        <v>180.57</v>
      </c>
    </row>
    <row r="3008">
      <c r="A3008" s="463">
        <v>43671.0</v>
      </c>
      <c r="B3008" s="464">
        <v>178.28</v>
      </c>
    </row>
    <row r="3009">
      <c r="A3009" s="463">
        <v>43672.0</v>
      </c>
      <c r="B3009" s="464">
        <v>178.31</v>
      </c>
    </row>
    <row r="3010">
      <c r="A3010" s="463">
        <v>43675.0</v>
      </c>
      <c r="B3010" s="464">
        <v>177.66</v>
      </c>
    </row>
    <row r="3011">
      <c r="A3011" s="463">
        <v>43676.0</v>
      </c>
      <c r="B3011" s="464">
        <v>177.23</v>
      </c>
    </row>
    <row r="3012">
      <c r="A3012" s="463">
        <v>43677.0</v>
      </c>
      <c r="B3012" s="464">
        <v>174.49</v>
      </c>
    </row>
    <row r="3013">
      <c r="A3013" s="463">
        <v>43678.0</v>
      </c>
      <c r="B3013" s="464">
        <v>177.4</v>
      </c>
    </row>
    <row r="3014">
      <c r="A3014" s="463">
        <v>43679.0</v>
      </c>
      <c r="B3014" s="464">
        <v>162.68</v>
      </c>
    </row>
    <row r="3015">
      <c r="A3015" s="463">
        <v>43682.0</v>
      </c>
      <c r="B3015" s="464">
        <v>155.76</v>
      </c>
    </row>
    <row r="3016">
      <c r="A3016" s="463">
        <v>43683.0</v>
      </c>
      <c r="B3016" s="464">
        <v>155.0</v>
      </c>
    </row>
    <row r="3017">
      <c r="A3017" s="463">
        <v>43684.0</v>
      </c>
      <c r="B3017" s="464">
        <v>155.7</v>
      </c>
    </row>
    <row r="3018">
      <c r="A3018" s="463">
        <v>43685.0</v>
      </c>
      <c r="B3018" s="464">
        <v>158.67</v>
      </c>
    </row>
    <row r="3019">
      <c r="A3019" s="463">
        <v>43686.0</v>
      </c>
      <c r="B3019" s="464">
        <v>157.5</v>
      </c>
    </row>
    <row r="3020">
      <c r="A3020" s="463">
        <v>43689.0</v>
      </c>
      <c r="B3020" s="464">
        <v>158.28</v>
      </c>
    </row>
    <row r="3021">
      <c r="A3021" s="463">
        <v>43690.0</v>
      </c>
      <c r="B3021" s="464">
        <v>158.0</v>
      </c>
    </row>
    <row r="3022">
      <c r="A3022" s="463">
        <v>43691.0</v>
      </c>
      <c r="B3022" s="464">
        <v>153.09</v>
      </c>
    </row>
    <row r="3023">
      <c r="A3023" s="463">
        <v>43692.0</v>
      </c>
      <c r="B3023" s="464">
        <v>142.35</v>
      </c>
    </row>
    <row r="3024">
      <c r="A3024" s="463">
        <v>43693.0</v>
      </c>
      <c r="B3024" s="464">
        <v>143.72</v>
      </c>
    </row>
    <row r="3025">
      <c r="A3025" s="463">
        <v>43696.0</v>
      </c>
      <c r="B3025" s="464">
        <v>144.18</v>
      </c>
    </row>
    <row r="3026">
      <c r="A3026" s="463">
        <v>43697.0</v>
      </c>
      <c r="B3026" s="464">
        <v>144.42</v>
      </c>
    </row>
    <row r="3027">
      <c r="A3027" s="463">
        <v>43698.0</v>
      </c>
      <c r="B3027" s="464">
        <v>148.09</v>
      </c>
    </row>
    <row r="3028">
      <c r="A3028" s="463">
        <v>43699.0</v>
      </c>
      <c r="B3028" s="464">
        <v>148.15</v>
      </c>
    </row>
    <row r="3029">
      <c r="A3029" s="463">
        <v>43700.0</v>
      </c>
      <c r="B3029" s="464">
        <v>133.42</v>
      </c>
    </row>
    <row r="3030">
      <c r="A3030" s="463">
        <v>43703.0</v>
      </c>
      <c r="B3030" s="464">
        <v>132.8</v>
      </c>
    </row>
    <row r="3031">
      <c r="A3031" s="463">
        <v>43704.0</v>
      </c>
      <c r="B3031" s="464">
        <v>130.56</v>
      </c>
    </row>
    <row r="3032">
      <c r="A3032" s="463">
        <v>43705.0</v>
      </c>
      <c r="B3032" s="464">
        <v>132.45</v>
      </c>
    </row>
    <row r="3033">
      <c r="A3033" s="463">
        <v>43706.0</v>
      </c>
      <c r="B3033" s="464">
        <v>135.73</v>
      </c>
    </row>
    <row r="3034">
      <c r="A3034" s="463">
        <v>43707.0</v>
      </c>
      <c r="B3034" s="464">
        <v>141.44</v>
      </c>
    </row>
    <row r="3035">
      <c r="A3035" s="463">
        <v>43711.0</v>
      </c>
      <c r="B3035" s="464">
        <v>142.34</v>
      </c>
    </row>
    <row r="3036">
      <c r="A3036" s="463">
        <v>43712.0</v>
      </c>
      <c r="B3036" s="464">
        <v>145.43</v>
      </c>
    </row>
    <row r="3037">
      <c r="A3037" s="463">
        <v>43713.0</v>
      </c>
      <c r="B3037" s="464">
        <v>147.9</v>
      </c>
    </row>
    <row r="3038">
      <c r="A3038" s="463">
        <v>43714.0</v>
      </c>
      <c r="B3038" s="464">
        <v>147.17</v>
      </c>
    </row>
    <row r="3039">
      <c r="A3039" s="463">
        <v>43717.0</v>
      </c>
      <c r="B3039" s="464">
        <v>147.44</v>
      </c>
    </row>
    <row r="3040">
      <c r="A3040" s="463">
        <v>43718.0</v>
      </c>
      <c r="B3040" s="464">
        <v>153.31</v>
      </c>
    </row>
    <row r="3041">
      <c r="A3041" s="463">
        <v>43719.0</v>
      </c>
      <c r="B3041" s="464">
        <v>154.43</v>
      </c>
    </row>
    <row r="3042">
      <c r="A3042" s="463">
        <v>43720.0</v>
      </c>
      <c r="B3042" s="464">
        <v>154.04</v>
      </c>
    </row>
    <row r="3043">
      <c r="A3043" s="463">
        <v>43721.0</v>
      </c>
      <c r="B3043" s="464">
        <v>151.11</v>
      </c>
    </row>
    <row r="3044">
      <c r="A3044" s="463">
        <v>43724.0</v>
      </c>
      <c r="B3044" s="464">
        <v>155.87</v>
      </c>
    </row>
    <row r="3045">
      <c r="A3045" s="463">
        <v>43725.0</v>
      </c>
      <c r="B3045" s="464">
        <v>153.79</v>
      </c>
    </row>
    <row r="3046">
      <c r="A3046" s="463">
        <v>43726.0</v>
      </c>
      <c r="B3046" s="464">
        <v>150.35</v>
      </c>
    </row>
    <row r="3047">
      <c r="A3047" s="463">
        <v>43727.0</v>
      </c>
      <c r="B3047" s="464">
        <v>151.69</v>
      </c>
    </row>
    <row r="3048">
      <c r="A3048" s="463">
        <v>43728.0</v>
      </c>
      <c r="B3048" s="464">
        <v>150.78</v>
      </c>
    </row>
    <row r="3049">
      <c r="A3049" s="463">
        <v>43731.0</v>
      </c>
      <c r="B3049" s="464">
        <v>152.05</v>
      </c>
    </row>
    <row r="3050">
      <c r="A3050" s="463">
        <v>43732.0</v>
      </c>
      <c r="B3050" s="464">
        <v>146.15</v>
      </c>
    </row>
    <row r="3051">
      <c r="A3051" s="463">
        <v>43733.0</v>
      </c>
      <c r="B3051" s="464">
        <v>149.06</v>
      </c>
    </row>
    <row r="3052">
      <c r="A3052" s="463">
        <v>43734.0</v>
      </c>
      <c r="B3052" s="464">
        <v>147.36</v>
      </c>
    </row>
    <row r="3053">
      <c r="A3053" s="463">
        <v>43735.0</v>
      </c>
      <c r="B3053" s="464">
        <v>145.88</v>
      </c>
    </row>
    <row r="3054">
      <c r="A3054" s="463">
        <v>43738.0</v>
      </c>
      <c r="B3054" s="464">
        <v>150.06</v>
      </c>
    </row>
    <row r="3055">
      <c r="A3055" s="463">
        <v>43739.0</v>
      </c>
      <c r="B3055" s="464">
        <v>153.8</v>
      </c>
    </row>
    <row r="3056">
      <c r="A3056" s="463">
        <v>43740.0</v>
      </c>
      <c r="B3056" s="464">
        <v>152.57</v>
      </c>
    </row>
    <row r="3057">
      <c r="A3057" s="463">
        <v>43741.0</v>
      </c>
      <c r="B3057" s="464">
        <v>153.49</v>
      </c>
    </row>
    <row r="3058">
      <c r="A3058" s="463">
        <v>43742.0</v>
      </c>
      <c r="B3058" s="464">
        <v>153.95</v>
      </c>
    </row>
    <row r="3059">
      <c r="A3059" s="463">
        <v>43745.0</v>
      </c>
      <c r="B3059" s="464">
        <v>152.62</v>
      </c>
    </row>
    <row r="3060">
      <c r="A3060" s="463">
        <v>43746.0</v>
      </c>
      <c r="B3060" s="464">
        <v>149.4</v>
      </c>
    </row>
    <row r="3061">
      <c r="A3061" s="463">
        <v>43747.0</v>
      </c>
      <c r="B3061" s="464">
        <v>152.11</v>
      </c>
    </row>
    <row r="3062">
      <c r="A3062" s="463">
        <v>43748.0</v>
      </c>
      <c r="B3062" s="464">
        <v>151.67</v>
      </c>
    </row>
    <row r="3063">
      <c r="A3063" s="463">
        <v>43749.0</v>
      </c>
      <c r="B3063" s="464">
        <v>154.95</v>
      </c>
    </row>
    <row r="3064">
      <c r="A3064" s="463">
        <v>43752.0</v>
      </c>
      <c r="B3064" s="464">
        <v>154.37</v>
      </c>
    </row>
    <row r="3065">
      <c r="A3065" s="463">
        <v>43753.0</v>
      </c>
      <c r="B3065" s="464">
        <v>154.53</v>
      </c>
    </row>
    <row r="3066">
      <c r="A3066" s="463">
        <v>43754.0</v>
      </c>
      <c r="B3066" s="464">
        <v>152.39</v>
      </c>
    </row>
    <row r="3067">
      <c r="A3067" s="463">
        <v>43755.0</v>
      </c>
      <c r="B3067" s="464">
        <v>152.08</v>
      </c>
    </row>
    <row r="3068">
      <c r="A3068" s="463">
        <v>43756.0</v>
      </c>
      <c r="B3068" s="464">
        <v>152.14</v>
      </c>
    </row>
    <row r="3069">
      <c r="A3069" s="463">
        <v>43759.0</v>
      </c>
      <c r="B3069" s="464">
        <v>152.36</v>
      </c>
    </row>
    <row r="3070">
      <c r="A3070" s="463">
        <v>43760.0</v>
      </c>
      <c r="B3070" s="464">
        <v>153.02</v>
      </c>
    </row>
    <row r="3071">
      <c r="A3071" s="463">
        <v>43761.0</v>
      </c>
      <c r="B3071" s="464">
        <v>154.05</v>
      </c>
    </row>
    <row r="3072">
      <c r="A3072" s="463">
        <v>43762.0</v>
      </c>
      <c r="B3072" s="464">
        <v>157.78</v>
      </c>
    </row>
    <row r="3073">
      <c r="A3073" s="463">
        <v>43763.0</v>
      </c>
      <c r="B3073" s="464">
        <v>159.19</v>
      </c>
    </row>
    <row r="3074">
      <c r="A3074" s="463">
        <v>43766.0</v>
      </c>
      <c r="B3074" s="464">
        <v>156.51</v>
      </c>
    </row>
    <row r="3075">
      <c r="A3075" s="463">
        <v>43767.0</v>
      </c>
      <c r="B3075" s="464">
        <v>159.52</v>
      </c>
    </row>
    <row r="3076">
      <c r="A3076" s="463">
        <v>43768.0</v>
      </c>
      <c r="B3076" s="464">
        <v>161.22</v>
      </c>
    </row>
    <row r="3077">
      <c r="A3077" s="463">
        <v>43769.0</v>
      </c>
      <c r="B3077" s="464">
        <v>158.27</v>
      </c>
    </row>
    <row r="3078">
      <c r="A3078" s="463">
        <v>43770.0</v>
      </c>
      <c r="B3078" s="464">
        <v>163.06</v>
      </c>
    </row>
    <row r="3079">
      <c r="A3079" s="463">
        <v>43773.0</v>
      </c>
      <c r="B3079" s="464">
        <v>163.55</v>
      </c>
    </row>
    <row r="3080">
      <c r="A3080" s="463">
        <v>43774.0</v>
      </c>
      <c r="B3080" s="464">
        <v>163.25</v>
      </c>
    </row>
    <row r="3081">
      <c r="A3081" s="463">
        <v>43775.0</v>
      </c>
      <c r="B3081" s="464">
        <v>163.91</v>
      </c>
    </row>
    <row r="3082">
      <c r="A3082" s="463">
        <v>43776.0</v>
      </c>
      <c r="B3082" s="464">
        <v>163.64</v>
      </c>
    </row>
    <row r="3083">
      <c r="A3083" s="463">
        <v>43777.0</v>
      </c>
      <c r="B3083" s="464">
        <v>164.95</v>
      </c>
    </row>
    <row r="3084">
      <c r="A3084" s="463">
        <v>43780.0</v>
      </c>
      <c r="B3084" s="464">
        <v>165.73</v>
      </c>
    </row>
    <row r="3085">
      <c r="A3085" s="463">
        <v>43781.0</v>
      </c>
      <c r="B3085" s="464">
        <v>167.97</v>
      </c>
    </row>
    <row r="3086">
      <c r="A3086" s="463">
        <v>43782.0</v>
      </c>
      <c r="B3086" s="464">
        <v>165.83</v>
      </c>
    </row>
    <row r="3087">
      <c r="A3087" s="463">
        <v>43783.0</v>
      </c>
      <c r="B3087" s="464">
        <v>165.95</v>
      </c>
    </row>
    <row r="3088">
      <c r="A3088" s="463">
        <v>43784.0</v>
      </c>
      <c r="B3088" s="464">
        <v>168.37</v>
      </c>
    </row>
    <row r="3089">
      <c r="A3089" s="463">
        <v>43787.0</v>
      </c>
      <c r="B3089" s="464">
        <v>167.36</v>
      </c>
    </row>
    <row r="3090">
      <c r="A3090" s="463">
        <v>43788.0</v>
      </c>
      <c r="B3090" s="464">
        <v>172.82</v>
      </c>
    </row>
    <row r="3091">
      <c r="A3091" s="463">
        <v>43789.0</v>
      </c>
      <c r="B3091" s="464">
        <v>169.62</v>
      </c>
    </row>
    <row r="3092">
      <c r="A3092" s="463">
        <v>43790.0</v>
      </c>
      <c r="B3092" s="464">
        <v>165.7</v>
      </c>
    </row>
    <row r="3093">
      <c r="A3093" s="463">
        <v>43791.0</v>
      </c>
      <c r="B3093" s="464">
        <v>165.86</v>
      </c>
    </row>
    <row r="3094">
      <c r="A3094" s="463">
        <v>43794.0</v>
      </c>
      <c r="B3094" s="464">
        <v>168.73</v>
      </c>
    </row>
    <row r="3095">
      <c r="A3095" s="463">
        <v>43795.0</v>
      </c>
      <c r="B3095" s="464">
        <v>164.9</v>
      </c>
    </row>
    <row r="3096">
      <c r="A3096" s="463">
        <v>43796.0</v>
      </c>
      <c r="B3096" s="464">
        <v>161.15</v>
      </c>
    </row>
    <row r="3097">
      <c r="A3097" s="463">
        <v>43798.0</v>
      </c>
      <c r="B3097" s="464">
        <v>155.62</v>
      </c>
    </row>
    <row r="3098">
      <c r="A3098" s="463">
        <v>43801.0</v>
      </c>
      <c r="B3098" s="464">
        <v>153.85</v>
      </c>
    </row>
    <row r="3099">
      <c r="A3099" s="463">
        <v>43802.0</v>
      </c>
      <c r="B3099" s="464">
        <v>149.41</v>
      </c>
    </row>
    <row r="3100">
      <c r="A3100" s="463">
        <v>43803.0</v>
      </c>
      <c r="B3100" s="464">
        <v>151.09</v>
      </c>
    </row>
    <row r="3101">
      <c r="A3101" s="463">
        <v>43804.0</v>
      </c>
      <c r="B3101" s="464">
        <v>148.32</v>
      </c>
    </row>
    <row r="3102">
      <c r="A3102" s="463">
        <v>43805.0</v>
      </c>
      <c r="B3102" s="464">
        <v>147.08</v>
      </c>
    </row>
    <row r="3103">
      <c r="A3103" s="463">
        <v>43808.0</v>
      </c>
      <c r="B3103" s="464">
        <v>149.43</v>
      </c>
    </row>
    <row r="3104">
      <c r="A3104" s="463">
        <v>43809.0</v>
      </c>
      <c r="B3104" s="464">
        <v>148.73</v>
      </c>
    </row>
    <row r="3105">
      <c r="A3105" s="463">
        <v>43810.0</v>
      </c>
      <c r="B3105" s="464">
        <v>150.91</v>
      </c>
    </row>
    <row r="3106">
      <c r="A3106" s="463">
        <v>43811.0</v>
      </c>
      <c r="B3106" s="464">
        <v>156.14</v>
      </c>
    </row>
    <row r="3107">
      <c r="A3107" s="463">
        <v>43812.0</v>
      </c>
      <c r="B3107" s="464">
        <v>151.3</v>
      </c>
    </row>
    <row r="3108">
      <c r="A3108" s="463">
        <v>43815.0</v>
      </c>
      <c r="B3108" s="464">
        <v>150.89</v>
      </c>
    </row>
    <row r="3109">
      <c r="A3109" s="463">
        <v>43816.0</v>
      </c>
      <c r="B3109" s="464">
        <v>148.94</v>
      </c>
    </row>
    <row r="3110">
      <c r="A3110" s="463">
        <v>43817.0</v>
      </c>
      <c r="B3110" s="464">
        <v>149.0</v>
      </c>
    </row>
    <row r="3111">
      <c r="A3111" s="463">
        <v>43818.0</v>
      </c>
      <c r="B3111" s="464">
        <v>148.68</v>
      </c>
    </row>
    <row r="3112">
      <c r="A3112" s="463">
        <v>43819.0</v>
      </c>
      <c r="B3112" s="464">
        <v>151.04</v>
      </c>
    </row>
    <row r="3113">
      <c r="A3113" s="463">
        <v>43822.0</v>
      </c>
      <c r="B3113" s="464">
        <v>152.68</v>
      </c>
    </row>
    <row r="3114">
      <c r="A3114" s="463">
        <v>43823.0</v>
      </c>
      <c r="B3114" s="464">
        <v>151.02</v>
      </c>
    </row>
    <row r="3115">
      <c r="A3115" s="463">
        <v>43825.0</v>
      </c>
      <c r="B3115" s="464">
        <v>153.46</v>
      </c>
    </row>
    <row r="3116">
      <c r="A3116" s="463">
        <v>43826.0</v>
      </c>
      <c r="B3116" s="464">
        <v>154.16</v>
      </c>
    </row>
    <row r="3117">
      <c r="A3117" s="463">
        <v>43829.0</v>
      </c>
      <c r="B3117" s="464">
        <v>152.43</v>
      </c>
    </row>
    <row r="3118">
      <c r="A3118" s="463">
        <v>43830.0</v>
      </c>
      <c r="B3118" s="464">
        <v>151.79</v>
      </c>
    </row>
    <row r="3119">
      <c r="A3119" s="463">
        <v>43832.0</v>
      </c>
      <c r="B3119" s="464">
        <v>155.64</v>
      </c>
    </row>
    <row r="3120">
      <c r="A3120" s="463">
        <v>43833.0</v>
      </c>
      <c r="B3120" s="464">
        <v>154.02</v>
      </c>
    </row>
    <row r="3121">
      <c r="A3121" s="463">
        <v>43836.0</v>
      </c>
      <c r="B3121" s="464">
        <v>154.06</v>
      </c>
    </row>
    <row r="3122">
      <c r="A3122" s="463">
        <v>43837.0</v>
      </c>
      <c r="B3122" s="464">
        <v>150.34</v>
      </c>
    </row>
    <row r="3123">
      <c r="A3123" s="463">
        <v>43838.0</v>
      </c>
      <c r="B3123" s="464">
        <v>151.55</v>
      </c>
    </row>
    <row r="3124">
      <c r="A3124" s="463">
        <v>43839.0</v>
      </c>
      <c r="B3124" s="464">
        <v>151.8</v>
      </c>
    </row>
    <row r="3125">
      <c r="A3125" s="463">
        <v>43840.0</v>
      </c>
      <c r="B3125" s="464">
        <v>149.87</v>
      </c>
    </row>
    <row r="3126">
      <c r="A3126" s="463">
        <v>43843.0</v>
      </c>
      <c r="B3126" s="464">
        <v>152.0</v>
      </c>
    </row>
    <row r="3127">
      <c r="A3127" s="463">
        <v>43844.0</v>
      </c>
      <c r="B3127" s="464">
        <v>152.09</v>
      </c>
    </row>
    <row r="3128">
      <c r="A3128" s="463">
        <v>43845.0</v>
      </c>
      <c r="B3128" s="464">
        <v>149.64</v>
      </c>
    </row>
    <row r="3129">
      <c r="A3129" s="463">
        <v>43846.0</v>
      </c>
      <c r="B3129" s="464">
        <v>152.2</v>
      </c>
    </row>
    <row r="3130">
      <c r="A3130" s="463">
        <v>43847.0</v>
      </c>
      <c r="B3130" s="464">
        <v>151.36</v>
      </c>
    </row>
    <row r="3131">
      <c r="A3131" s="463">
        <v>43851.0</v>
      </c>
      <c r="B3131" s="464">
        <v>148.68</v>
      </c>
    </row>
    <row r="3132">
      <c r="A3132" s="463">
        <v>43852.0</v>
      </c>
      <c r="B3132" s="464">
        <v>149.96</v>
      </c>
    </row>
    <row r="3133">
      <c r="A3133" s="463">
        <v>43853.0</v>
      </c>
      <c r="B3133" s="464">
        <v>153.08</v>
      </c>
    </row>
    <row r="3134">
      <c r="A3134" s="463">
        <v>43854.0</v>
      </c>
      <c r="B3134" s="464">
        <v>150.63</v>
      </c>
    </row>
    <row r="3135">
      <c r="A3135" s="463">
        <v>43857.0</v>
      </c>
      <c r="B3135" s="464">
        <v>145.24</v>
      </c>
    </row>
    <row r="3136">
      <c r="A3136" s="463">
        <v>43858.0</v>
      </c>
      <c r="B3136" s="464">
        <v>148.81</v>
      </c>
    </row>
    <row r="3137">
      <c r="A3137" s="463">
        <v>43859.0</v>
      </c>
      <c r="B3137" s="464">
        <v>148.4</v>
      </c>
    </row>
    <row r="3138">
      <c r="A3138" s="463">
        <v>43860.0</v>
      </c>
      <c r="B3138" s="464">
        <v>151.23</v>
      </c>
    </row>
    <row r="3139">
      <c r="A3139" s="463">
        <v>43861.0</v>
      </c>
      <c r="B3139" s="464">
        <v>148.06</v>
      </c>
    </row>
    <row r="3140">
      <c r="A3140" s="463">
        <v>43864.0</v>
      </c>
      <c r="B3140" s="464">
        <v>149.32</v>
      </c>
    </row>
    <row r="3141">
      <c r="A3141" s="463">
        <v>43865.0</v>
      </c>
      <c r="B3141" s="464">
        <v>153.6</v>
      </c>
    </row>
    <row r="3142">
      <c r="A3142" s="463">
        <v>43866.0</v>
      </c>
      <c r="B3142" s="464">
        <v>151.56</v>
      </c>
    </row>
    <row r="3143">
      <c r="A3143" s="463">
        <v>43867.0</v>
      </c>
      <c r="B3143" s="464">
        <v>157.5</v>
      </c>
    </row>
    <row r="3144">
      <c r="A3144" s="463">
        <v>43868.0</v>
      </c>
      <c r="B3144" s="464">
        <v>156.27</v>
      </c>
    </row>
    <row r="3145">
      <c r="A3145" s="463">
        <v>43871.0</v>
      </c>
      <c r="B3145" s="464">
        <v>157.87</v>
      </c>
    </row>
    <row r="3146">
      <c r="A3146" s="463">
        <v>43872.0</v>
      </c>
      <c r="B3146" s="464">
        <v>156.19</v>
      </c>
    </row>
    <row r="3147">
      <c r="A3147" s="463">
        <v>43873.0</v>
      </c>
      <c r="B3147" s="464">
        <v>158.87</v>
      </c>
    </row>
    <row r="3148">
      <c r="A3148" s="463">
        <v>43874.0</v>
      </c>
      <c r="B3148" s="464">
        <v>159.01</v>
      </c>
    </row>
    <row r="3149">
      <c r="A3149" s="463">
        <v>43875.0</v>
      </c>
      <c r="B3149" s="464">
        <v>161.82</v>
      </c>
    </row>
    <row r="3150">
      <c r="A3150" s="463">
        <v>43879.0</v>
      </c>
      <c r="B3150" s="464">
        <v>160.36</v>
      </c>
    </row>
    <row r="3151">
      <c r="A3151" s="463">
        <v>43880.0</v>
      </c>
      <c r="B3151" s="464">
        <v>162.33</v>
      </c>
    </row>
    <row r="3152">
      <c r="A3152" s="463">
        <v>43881.0</v>
      </c>
      <c r="B3152" s="464">
        <v>162.2</v>
      </c>
    </row>
    <row r="3153">
      <c r="A3153" s="463">
        <v>43882.0</v>
      </c>
      <c r="B3153" s="464">
        <v>159.87</v>
      </c>
    </row>
    <row r="3154">
      <c r="A3154" s="463">
        <v>43885.0</v>
      </c>
      <c r="B3154" s="464">
        <v>151.69</v>
      </c>
    </row>
    <row r="3155">
      <c r="A3155" s="463">
        <v>43886.0</v>
      </c>
      <c r="B3155" s="464">
        <v>147.04</v>
      </c>
    </row>
    <row r="3156">
      <c r="A3156" s="463">
        <v>43887.0</v>
      </c>
      <c r="B3156" s="464">
        <v>144.27</v>
      </c>
    </row>
    <row r="3157">
      <c r="A3157" s="463">
        <v>43888.0</v>
      </c>
      <c r="B3157" s="464">
        <v>135.63</v>
      </c>
    </row>
    <row r="3158">
      <c r="A3158" s="463">
        <v>43889.0</v>
      </c>
      <c r="B3158" s="464">
        <v>120.52</v>
      </c>
    </row>
    <row r="3159">
      <c r="A3159" s="463">
        <v>43892.0</v>
      </c>
      <c r="B3159" s="464">
        <v>121.74</v>
      </c>
    </row>
    <row r="3160">
      <c r="A3160" s="463">
        <v>43893.0</v>
      </c>
      <c r="B3160" s="464">
        <v>120.59</v>
      </c>
    </row>
    <row r="3161">
      <c r="A3161" s="463">
        <v>43894.0</v>
      </c>
      <c r="B3161" s="464">
        <v>125.57</v>
      </c>
    </row>
    <row r="3162">
      <c r="A3162" s="463">
        <v>43895.0</v>
      </c>
      <c r="B3162" s="464">
        <v>121.88</v>
      </c>
    </row>
    <row r="3163">
      <c r="A3163" s="463">
        <v>43896.0</v>
      </c>
      <c r="B3163" s="464">
        <v>117.13</v>
      </c>
    </row>
    <row r="3164">
      <c r="A3164" s="463">
        <v>43899.0</v>
      </c>
      <c r="B3164" s="464">
        <v>109.45</v>
      </c>
    </row>
    <row r="3165">
      <c r="A3165" s="463">
        <v>43900.0</v>
      </c>
      <c r="B3165" s="464">
        <v>113.84</v>
      </c>
    </row>
    <row r="3166">
      <c r="A3166" s="463">
        <v>43901.0</v>
      </c>
      <c r="B3166" s="464">
        <v>106.01</v>
      </c>
    </row>
    <row r="3167">
      <c r="A3167" s="463">
        <v>43902.0</v>
      </c>
      <c r="B3167" s="464">
        <v>97.85</v>
      </c>
    </row>
    <row r="3168">
      <c r="A3168" s="463">
        <v>43903.0</v>
      </c>
      <c r="B3168" s="464">
        <v>107.88</v>
      </c>
    </row>
    <row r="3169">
      <c r="A3169" s="463">
        <v>43906.0</v>
      </c>
      <c r="B3169" s="464">
        <v>95.94</v>
      </c>
    </row>
    <row r="3170">
      <c r="A3170" s="463">
        <v>43907.0</v>
      </c>
      <c r="B3170" s="464">
        <v>95.84</v>
      </c>
    </row>
    <row r="3171">
      <c r="A3171" s="463">
        <v>43908.0</v>
      </c>
      <c r="B3171" s="464">
        <v>93.01</v>
      </c>
    </row>
    <row r="3172">
      <c r="A3172" s="463">
        <v>43909.0</v>
      </c>
      <c r="B3172" s="464">
        <v>100.19</v>
      </c>
    </row>
    <row r="3173">
      <c r="A3173" s="463">
        <v>43910.0</v>
      </c>
      <c r="B3173" s="464">
        <v>105.72</v>
      </c>
    </row>
    <row r="3174">
      <c r="A3174" s="463">
        <v>43913.0</v>
      </c>
      <c r="B3174" s="464">
        <v>105.74</v>
      </c>
    </row>
    <row r="3175">
      <c r="A3175" s="463">
        <v>43914.0</v>
      </c>
      <c r="B3175" s="464">
        <v>112.53</v>
      </c>
    </row>
    <row r="3176">
      <c r="A3176" s="463">
        <v>43915.0</v>
      </c>
      <c r="B3176" s="464">
        <v>116.2</v>
      </c>
    </row>
    <row r="3177">
      <c r="A3177" s="463">
        <v>43916.0</v>
      </c>
      <c r="B3177" s="464">
        <v>124.72</v>
      </c>
    </row>
    <row r="3178">
      <c r="A3178" s="463">
        <v>43917.0</v>
      </c>
      <c r="B3178" s="464">
        <v>115.74</v>
      </c>
    </row>
    <row r="3179">
      <c r="A3179" s="463">
        <v>43920.0</v>
      </c>
      <c r="B3179" s="464">
        <v>120.52</v>
      </c>
    </row>
    <row r="3180">
      <c r="A3180" s="463">
        <v>43921.0</v>
      </c>
      <c r="B3180" s="464">
        <v>121.1</v>
      </c>
    </row>
    <row r="3181">
      <c r="A3181" s="463">
        <v>43922.0</v>
      </c>
      <c r="B3181" s="464">
        <v>116.0</v>
      </c>
    </row>
    <row r="3182">
      <c r="A3182" s="463">
        <v>43923.0</v>
      </c>
      <c r="B3182" s="464">
        <v>118.2</v>
      </c>
    </row>
    <row r="3183">
      <c r="A3183" s="463">
        <v>43924.0</v>
      </c>
      <c r="B3183" s="464">
        <v>116.97</v>
      </c>
    </row>
    <row r="3184">
      <c r="A3184" s="463">
        <v>43927.0</v>
      </c>
      <c r="B3184" s="464">
        <v>122.94</v>
      </c>
    </row>
    <row r="3185">
      <c r="A3185" s="463">
        <v>43928.0</v>
      </c>
      <c r="B3185" s="464">
        <v>123.55</v>
      </c>
    </row>
    <row r="3186">
      <c r="A3186" s="463">
        <v>43929.0</v>
      </c>
      <c r="B3186" s="464">
        <v>130.46</v>
      </c>
    </row>
    <row r="3187">
      <c r="A3187" s="463">
        <v>43930.0</v>
      </c>
      <c r="B3187" s="464">
        <v>131.43</v>
      </c>
    </row>
    <row r="3188">
      <c r="A3188" s="463">
        <v>43934.0</v>
      </c>
      <c r="B3188" s="464">
        <v>129.93</v>
      </c>
    </row>
    <row r="3189">
      <c r="A3189" s="463">
        <v>43935.0</v>
      </c>
      <c r="B3189" s="464">
        <v>136.06</v>
      </c>
    </row>
    <row r="3190">
      <c r="A3190" s="463">
        <v>43936.0</v>
      </c>
      <c r="B3190" s="464">
        <v>133.54</v>
      </c>
    </row>
    <row r="3191">
      <c r="A3191" s="463">
        <v>43937.0</v>
      </c>
      <c r="B3191" s="464">
        <v>135.3</v>
      </c>
    </row>
    <row r="3192">
      <c r="A3192" s="463">
        <v>43938.0</v>
      </c>
      <c r="B3192" s="464">
        <v>136.48</v>
      </c>
    </row>
    <row r="3193">
      <c r="A3193" s="463">
        <v>43941.0</v>
      </c>
      <c r="B3193" s="464">
        <v>132.62</v>
      </c>
    </row>
    <row r="3194">
      <c r="A3194" s="463">
        <v>43942.0</v>
      </c>
      <c r="B3194" s="464">
        <v>124.97</v>
      </c>
    </row>
    <row r="3195">
      <c r="A3195" s="463">
        <v>43943.0</v>
      </c>
      <c r="B3195" s="464">
        <v>128.0</v>
      </c>
    </row>
    <row r="3196">
      <c r="A3196" s="463">
        <v>43944.0</v>
      </c>
      <c r="B3196" s="464">
        <v>126.42</v>
      </c>
    </row>
    <row r="3197">
      <c r="A3197" s="463">
        <v>43945.0</v>
      </c>
      <c r="B3197" s="464">
        <v>128.17</v>
      </c>
    </row>
    <row r="3198">
      <c r="A3198" s="463">
        <v>43948.0</v>
      </c>
      <c r="B3198" s="464">
        <v>129.95</v>
      </c>
    </row>
    <row r="3199">
      <c r="A3199" s="463">
        <v>43949.0</v>
      </c>
      <c r="B3199" s="464">
        <v>129.63</v>
      </c>
    </row>
    <row r="3200">
      <c r="A3200" s="463">
        <v>43950.0</v>
      </c>
      <c r="B3200" s="464">
        <v>134.97</v>
      </c>
    </row>
    <row r="3201">
      <c r="A3201" s="463">
        <v>43951.0</v>
      </c>
      <c r="B3201" s="464">
        <v>131.52</v>
      </c>
    </row>
    <row r="3202">
      <c r="A3202" s="463">
        <v>43952.0</v>
      </c>
      <c r="B3202" s="464">
        <v>125.34</v>
      </c>
    </row>
    <row r="3203">
      <c r="A3203" s="463">
        <v>43955.0</v>
      </c>
      <c r="B3203" s="464">
        <v>126.34</v>
      </c>
    </row>
    <row r="3204">
      <c r="A3204" s="463">
        <v>43956.0</v>
      </c>
      <c r="B3204" s="464">
        <v>126.78</v>
      </c>
    </row>
    <row r="3205">
      <c r="A3205" s="463">
        <v>43957.0</v>
      </c>
      <c r="B3205" s="464">
        <v>126.87</v>
      </c>
    </row>
    <row r="3206">
      <c r="A3206" s="463">
        <v>43958.0</v>
      </c>
      <c r="B3206" s="464">
        <v>133.3</v>
      </c>
    </row>
    <row r="3207">
      <c r="A3207" s="463">
        <v>43959.0</v>
      </c>
      <c r="B3207" s="464">
        <v>140.31</v>
      </c>
    </row>
    <row r="3208">
      <c r="A3208" s="463">
        <v>43962.0</v>
      </c>
      <c r="B3208" s="464">
        <v>141.12</v>
      </c>
    </row>
    <row r="3209">
      <c r="A3209" s="463">
        <v>43963.0</v>
      </c>
      <c r="B3209" s="464">
        <v>138.05</v>
      </c>
    </row>
    <row r="3210">
      <c r="A3210" s="463">
        <v>43964.0</v>
      </c>
      <c r="B3210" s="464">
        <v>134.86</v>
      </c>
    </row>
    <row r="3211">
      <c r="A3211" s="463">
        <v>43965.0</v>
      </c>
      <c r="B3211" s="464">
        <v>133.82</v>
      </c>
    </row>
    <row r="3212">
      <c r="A3212" s="463">
        <v>43966.0</v>
      </c>
      <c r="B3212" s="464">
        <v>134.48</v>
      </c>
    </row>
    <row r="3213">
      <c r="A3213" s="463">
        <v>43969.0</v>
      </c>
      <c r="B3213" s="464">
        <v>139.03</v>
      </c>
    </row>
    <row r="3214">
      <c r="A3214" s="463">
        <v>43970.0</v>
      </c>
      <c r="B3214" s="464">
        <v>139.31</v>
      </c>
    </row>
    <row r="3215">
      <c r="A3215" s="463">
        <v>43971.0</v>
      </c>
      <c r="B3215" s="464">
        <v>140.07</v>
      </c>
    </row>
    <row r="3216">
      <c r="A3216" s="463">
        <v>43972.0</v>
      </c>
      <c r="B3216" s="464">
        <v>136.56</v>
      </c>
    </row>
    <row r="3217">
      <c r="A3217" s="463">
        <v>43973.0</v>
      </c>
      <c r="B3217" s="464">
        <v>134.6</v>
      </c>
    </row>
    <row r="3218">
      <c r="A3218" s="463">
        <v>43977.0</v>
      </c>
      <c r="B3218" s="464">
        <v>137.93</v>
      </c>
    </row>
    <row r="3219">
      <c r="A3219" s="463">
        <v>43978.0</v>
      </c>
      <c r="B3219" s="464">
        <v>139.66</v>
      </c>
    </row>
    <row r="3220">
      <c r="A3220" s="463">
        <v>43979.0</v>
      </c>
      <c r="B3220" s="464">
        <v>142.44</v>
      </c>
    </row>
    <row r="3221">
      <c r="A3221" s="463">
        <v>43980.0</v>
      </c>
      <c r="B3221" s="464">
        <v>156.27</v>
      </c>
    </row>
    <row r="3222">
      <c r="A3222" s="463">
        <v>43983.0</v>
      </c>
      <c r="B3222" s="464">
        <v>154.14</v>
      </c>
    </row>
    <row r="3223">
      <c r="A3223" s="463">
        <v>43984.0</v>
      </c>
      <c r="B3223" s="464">
        <v>152.94</v>
      </c>
    </row>
    <row r="3224">
      <c r="A3224" s="463">
        <v>43985.0</v>
      </c>
      <c r="B3224" s="464">
        <v>149.39</v>
      </c>
    </row>
    <row r="3225">
      <c r="A3225" s="463">
        <v>43986.0</v>
      </c>
      <c r="B3225" s="464">
        <v>148.08</v>
      </c>
    </row>
    <row r="3226">
      <c r="A3226" s="463">
        <v>43987.0</v>
      </c>
      <c r="B3226" s="464">
        <v>149.77</v>
      </c>
    </row>
    <row r="3227">
      <c r="A3227" s="463">
        <v>43990.0</v>
      </c>
      <c r="B3227" s="464">
        <v>151.85</v>
      </c>
    </row>
    <row r="3228">
      <c r="A3228" s="463">
        <v>43991.0</v>
      </c>
      <c r="B3228" s="464">
        <v>146.41</v>
      </c>
    </row>
    <row r="3229">
      <c r="A3229" s="463">
        <v>43992.0</v>
      </c>
      <c r="B3229" s="464">
        <v>144.79</v>
      </c>
    </row>
    <row r="3230">
      <c r="A3230" s="463">
        <v>43993.0</v>
      </c>
      <c r="B3230" s="464">
        <v>136.29</v>
      </c>
    </row>
    <row r="3231">
      <c r="A3231" s="463">
        <v>43994.0</v>
      </c>
      <c r="B3231" s="464">
        <v>135.85</v>
      </c>
    </row>
    <row r="3232">
      <c r="A3232" s="463">
        <v>43997.0</v>
      </c>
      <c r="B3232" s="464">
        <v>136.89</v>
      </c>
    </row>
    <row r="3233">
      <c r="A3233" s="463">
        <v>43998.0</v>
      </c>
      <c r="B3233" s="464">
        <v>139.49</v>
      </c>
    </row>
    <row r="3234">
      <c r="A3234" s="463">
        <v>43999.0</v>
      </c>
      <c r="B3234" s="464">
        <v>141.24</v>
      </c>
    </row>
    <row r="3235">
      <c r="A3235" s="463">
        <v>44000.0</v>
      </c>
      <c r="B3235" s="464">
        <v>143.43</v>
      </c>
    </row>
    <row r="3236">
      <c r="A3236" s="463">
        <v>44001.0</v>
      </c>
      <c r="B3236" s="464">
        <v>150.69</v>
      </c>
    </row>
    <row r="3237">
      <c r="A3237" s="463">
        <v>44004.0</v>
      </c>
      <c r="B3237" s="464">
        <v>148.0</v>
      </c>
    </row>
    <row r="3238">
      <c r="A3238" s="463">
        <v>44005.0</v>
      </c>
      <c r="B3238" s="464">
        <v>149.23</v>
      </c>
    </row>
    <row r="3239">
      <c r="A3239" s="463">
        <v>44006.0</v>
      </c>
      <c r="B3239" s="464">
        <v>152.73</v>
      </c>
    </row>
    <row r="3240">
      <c r="A3240" s="463">
        <v>44007.0</v>
      </c>
      <c r="B3240" s="464">
        <v>149.45</v>
      </c>
    </row>
    <row r="3241">
      <c r="A3241" s="463">
        <v>44008.0</v>
      </c>
      <c r="B3241" s="464">
        <v>146.5</v>
      </c>
    </row>
    <row r="3242">
      <c r="A3242" s="463">
        <v>44011.0</v>
      </c>
      <c r="B3242" s="464">
        <v>150.99</v>
      </c>
    </row>
    <row r="3243">
      <c r="A3243" s="463">
        <v>44012.0</v>
      </c>
      <c r="B3243" s="464">
        <v>154.86</v>
      </c>
    </row>
    <row r="3244">
      <c r="A3244" s="463">
        <v>44013.0</v>
      </c>
      <c r="B3244" s="464">
        <v>153.1</v>
      </c>
    </row>
    <row r="3245">
      <c r="A3245" s="463">
        <v>44014.0</v>
      </c>
      <c r="B3245" s="464">
        <v>149.88</v>
      </c>
    </row>
    <row r="3246">
      <c r="A3246" s="463">
        <v>44018.0</v>
      </c>
      <c r="B3246" s="464">
        <v>149.15</v>
      </c>
    </row>
    <row r="3247">
      <c r="A3247" s="463">
        <v>44019.0</v>
      </c>
      <c r="B3247" s="464">
        <v>145.53</v>
      </c>
    </row>
    <row r="3248">
      <c r="A3248" s="463">
        <v>44020.0</v>
      </c>
      <c r="B3248" s="464">
        <v>147.0</v>
      </c>
    </row>
    <row r="3249">
      <c r="A3249" s="463">
        <v>44021.0</v>
      </c>
      <c r="B3249" s="464">
        <v>147.99</v>
      </c>
    </row>
    <row r="3250">
      <c r="A3250" s="463">
        <v>44022.0</v>
      </c>
      <c r="B3250" s="464">
        <v>146.09</v>
      </c>
    </row>
    <row r="3251">
      <c r="A3251" s="463">
        <v>44025.0</v>
      </c>
      <c r="B3251" s="464">
        <v>138.4</v>
      </c>
    </row>
    <row r="3252">
      <c r="A3252" s="463">
        <v>44026.0</v>
      </c>
      <c r="B3252" s="464">
        <v>138.25</v>
      </c>
    </row>
    <row r="3253">
      <c r="A3253" s="463">
        <v>44027.0</v>
      </c>
      <c r="B3253" s="464">
        <v>139.7</v>
      </c>
    </row>
    <row r="3254">
      <c r="A3254" s="463">
        <v>44028.0</v>
      </c>
      <c r="B3254" s="464">
        <v>139.87</v>
      </c>
    </row>
    <row r="3255">
      <c r="A3255" s="463">
        <v>44029.0</v>
      </c>
      <c r="B3255" s="464">
        <v>139.93</v>
      </c>
    </row>
    <row r="3256">
      <c r="A3256" s="463">
        <v>44032.0</v>
      </c>
      <c r="B3256" s="464">
        <v>145.01</v>
      </c>
    </row>
    <row r="3257">
      <c r="A3257" s="463">
        <v>44033.0</v>
      </c>
      <c r="B3257" s="464">
        <v>143.42</v>
      </c>
    </row>
    <row r="3258">
      <c r="A3258" s="463">
        <v>44034.0</v>
      </c>
      <c r="B3258" s="464">
        <v>144.23</v>
      </c>
    </row>
    <row r="3259">
      <c r="A3259" s="463">
        <v>44035.0</v>
      </c>
      <c r="B3259" s="464">
        <v>142.12</v>
      </c>
    </row>
    <row r="3260">
      <c r="A3260" s="463">
        <v>44036.0</v>
      </c>
      <c r="B3260" s="464">
        <v>140.82</v>
      </c>
    </row>
    <row r="3261">
      <c r="A3261" s="463">
        <v>44039.0</v>
      </c>
      <c r="B3261" s="464">
        <v>141.14</v>
      </c>
    </row>
    <row r="3262">
      <c r="A3262" s="463">
        <v>44040.0</v>
      </c>
      <c r="B3262" s="464">
        <v>138.48</v>
      </c>
    </row>
    <row r="3263">
      <c r="A3263" s="463">
        <v>44041.0</v>
      </c>
      <c r="B3263" s="464">
        <v>139.83</v>
      </c>
    </row>
    <row r="3264">
      <c r="A3264" s="463">
        <v>44042.0</v>
      </c>
      <c r="B3264" s="464">
        <v>138.88</v>
      </c>
    </row>
    <row r="3265">
      <c r="A3265" s="463">
        <v>44043.0</v>
      </c>
      <c r="B3265" s="464">
        <v>140.21</v>
      </c>
    </row>
    <row r="3266">
      <c r="A3266" s="463">
        <v>44046.0</v>
      </c>
      <c r="B3266" s="464">
        <v>143.17</v>
      </c>
    </row>
    <row r="3267">
      <c r="A3267" s="463">
        <v>44047.0</v>
      </c>
      <c r="B3267" s="464">
        <v>143.28</v>
      </c>
    </row>
    <row r="3268">
      <c r="A3268" s="463">
        <v>44048.0</v>
      </c>
      <c r="B3268" s="464">
        <v>145.9</v>
      </c>
    </row>
    <row r="3269">
      <c r="A3269" s="463">
        <v>44049.0</v>
      </c>
      <c r="B3269" s="464">
        <v>144.34</v>
      </c>
    </row>
    <row r="3270">
      <c r="A3270" s="463">
        <v>44050.0</v>
      </c>
      <c r="B3270" s="464">
        <v>142.31</v>
      </c>
    </row>
    <row r="3271">
      <c r="A3271" s="463">
        <v>44053.0</v>
      </c>
      <c r="B3271" s="464">
        <v>141.46</v>
      </c>
    </row>
    <row r="3272">
      <c r="A3272" s="463">
        <v>44054.0</v>
      </c>
      <c r="B3272" s="464">
        <v>140.87</v>
      </c>
    </row>
    <row r="3273">
      <c r="A3273" s="463">
        <v>44055.0</v>
      </c>
      <c r="B3273" s="464">
        <v>140.72</v>
      </c>
    </row>
    <row r="3274">
      <c r="A3274" s="463">
        <v>44056.0</v>
      </c>
      <c r="B3274" s="464">
        <v>137.18</v>
      </c>
    </row>
    <row r="3275">
      <c r="A3275" s="463">
        <v>44057.0</v>
      </c>
      <c r="B3275" s="464">
        <v>135.85</v>
      </c>
    </row>
    <row r="3276">
      <c r="A3276" s="463">
        <v>44060.0</v>
      </c>
      <c r="B3276" s="464">
        <v>136.42</v>
      </c>
    </row>
    <row r="3277">
      <c r="A3277" s="463">
        <v>44061.0</v>
      </c>
      <c r="B3277" s="464">
        <v>138.78</v>
      </c>
    </row>
    <row r="3278">
      <c r="A3278" s="463">
        <v>44062.0</v>
      </c>
      <c r="B3278" s="464">
        <v>139.26</v>
      </c>
    </row>
    <row r="3279">
      <c r="A3279" s="463">
        <v>44063.0</v>
      </c>
      <c r="B3279" s="464">
        <v>138.92</v>
      </c>
    </row>
    <row r="3280">
      <c r="A3280" s="463">
        <v>44064.0</v>
      </c>
      <c r="B3280" s="464">
        <v>138.85</v>
      </c>
    </row>
    <row r="3281">
      <c r="A3281" s="463">
        <v>44067.0</v>
      </c>
      <c r="B3281" s="464">
        <v>142.25</v>
      </c>
    </row>
    <row r="3282">
      <c r="A3282" s="463">
        <v>44068.0</v>
      </c>
      <c r="B3282" s="464">
        <v>140.69</v>
      </c>
    </row>
    <row r="3283">
      <c r="A3283" s="463">
        <v>44069.0</v>
      </c>
      <c r="B3283" s="464">
        <v>143.59</v>
      </c>
    </row>
    <row r="3284">
      <c r="A3284" s="463">
        <v>44070.0</v>
      </c>
      <c r="B3284" s="464">
        <v>142.9</v>
      </c>
    </row>
    <row r="3285">
      <c r="A3285" s="463">
        <v>44071.0</v>
      </c>
      <c r="B3285" s="464">
        <v>146.09</v>
      </c>
    </row>
    <row r="3286">
      <c r="A3286" s="463">
        <v>44074.0</v>
      </c>
      <c r="B3286" s="464">
        <v>144.44</v>
      </c>
    </row>
    <row r="3287">
      <c r="A3287" s="463">
        <v>44075.0</v>
      </c>
      <c r="B3287" s="464">
        <v>141.28</v>
      </c>
    </row>
    <row r="3288">
      <c r="A3288" s="463">
        <v>44076.0</v>
      </c>
      <c r="B3288" s="464">
        <v>147.03</v>
      </c>
    </row>
    <row r="3289">
      <c r="A3289" s="463">
        <v>44077.0</v>
      </c>
      <c r="B3289" s="464">
        <v>144.02</v>
      </c>
    </row>
    <row r="3290">
      <c r="A3290" s="463">
        <v>44078.0</v>
      </c>
      <c r="B3290" s="464">
        <v>137.47</v>
      </c>
    </row>
    <row r="3291">
      <c r="A3291" s="463">
        <v>44082.0</v>
      </c>
      <c r="B3291" s="464">
        <v>134.48</v>
      </c>
    </row>
    <row r="3292">
      <c r="A3292" s="463">
        <v>44083.0</v>
      </c>
      <c r="B3292" s="464">
        <v>140.13</v>
      </c>
    </row>
    <row r="3293">
      <c r="A3293" s="463">
        <v>44084.0</v>
      </c>
      <c r="B3293" s="464">
        <v>139.82</v>
      </c>
    </row>
    <row r="3294">
      <c r="A3294" s="463">
        <v>44085.0</v>
      </c>
      <c r="B3294" s="464">
        <v>142.01</v>
      </c>
    </row>
    <row r="3295">
      <c r="A3295" s="463">
        <v>44088.0</v>
      </c>
      <c r="B3295" s="464">
        <v>140.82</v>
      </c>
    </row>
    <row r="3296">
      <c r="A3296" s="463">
        <v>44089.0</v>
      </c>
      <c r="B3296" s="464">
        <v>143.15</v>
      </c>
    </row>
    <row r="3297">
      <c r="A3297" s="463">
        <v>44090.0</v>
      </c>
      <c r="B3297" s="464">
        <v>144.87</v>
      </c>
    </row>
    <row r="3298">
      <c r="A3298" s="463">
        <v>44091.0</v>
      </c>
      <c r="B3298" s="464">
        <v>141.39</v>
      </c>
    </row>
    <row r="3299">
      <c r="A3299" s="463">
        <v>44092.0</v>
      </c>
      <c r="B3299" s="464">
        <v>141.19</v>
      </c>
    </row>
    <row r="3300">
      <c r="A3300" s="463">
        <v>44095.0</v>
      </c>
      <c r="B3300" s="464">
        <v>140.27</v>
      </c>
    </row>
    <row r="3301">
      <c r="A3301" s="463">
        <v>44096.0</v>
      </c>
      <c r="B3301" s="464">
        <v>142.61</v>
      </c>
    </row>
    <row r="3302">
      <c r="A3302" s="463">
        <v>44097.0</v>
      </c>
      <c r="B3302" s="464">
        <v>139.02</v>
      </c>
    </row>
    <row r="3303">
      <c r="A3303" s="463">
        <v>44098.0</v>
      </c>
      <c r="B3303" s="464">
        <v>140.38</v>
      </c>
    </row>
    <row r="3304">
      <c r="A3304" s="463">
        <v>44099.0</v>
      </c>
      <c r="B3304" s="464">
        <v>141.65</v>
      </c>
    </row>
    <row r="3305">
      <c r="A3305" s="463">
        <v>44102.0</v>
      </c>
      <c r="B3305" s="464">
        <v>142.99</v>
      </c>
    </row>
    <row r="3306">
      <c r="A3306" s="463">
        <v>44103.0</v>
      </c>
      <c r="B3306" s="464">
        <v>145.74</v>
      </c>
    </row>
    <row r="3307">
      <c r="A3307" s="463">
        <v>44104.0</v>
      </c>
      <c r="B3307" s="464">
        <v>143.67</v>
      </c>
    </row>
    <row r="3308">
      <c r="A3308" s="463">
        <v>44105.0</v>
      </c>
      <c r="B3308" s="464">
        <v>144.7</v>
      </c>
    </row>
    <row r="3309">
      <c r="A3309" s="463">
        <v>44106.0</v>
      </c>
      <c r="B3309" s="464">
        <v>142.95</v>
      </c>
    </row>
    <row r="3310">
      <c r="A3310" s="463">
        <v>44109.0</v>
      </c>
      <c r="B3310" s="464">
        <v>145.06</v>
      </c>
    </row>
    <row r="3311">
      <c r="A3311" s="463">
        <v>44110.0</v>
      </c>
      <c r="B3311" s="464">
        <v>147.0</v>
      </c>
    </row>
    <row r="3312">
      <c r="A3312" s="463">
        <v>44111.0</v>
      </c>
      <c r="B3312" s="464">
        <v>147.75</v>
      </c>
    </row>
    <row r="3313">
      <c r="A3313" s="463">
        <v>44112.0</v>
      </c>
      <c r="B3313" s="464">
        <v>150.25</v>
      </c>
    </row>
    <row r="3314">
      <c r="A3314" s="463">
        <v>44113.0</v>
      </c>
      <c r="B3314" s="464">
        <v>151.48</v>
      </c>
    </row>
    <row r="3315">
      <c r="A3315" s="463">
        <v>44116.0</v>
      </c>
      <c r="B3315" s="464">
        <v>152.22</v>
      </c>
    </row>
    <row r="3316">
      <c r="A3316" s="463">
        <v>44117.0</v>
      </c>
      <c r="B3316" s="464">
        <v>155.04</v>
      </c>
    </row>
    <row r="3317">
      <c r="A3317" s="463">
        <v>44118.0</v>
      </c>
      <c r="B3317" s="464">
        <v>155.66</v>
      </c>
    </row>
    <row r="3318">
      <c r="A3318" s="463">
        <v>44119.0</v>
      </c>
      <c r="B3318" s="464">
        <v>153.18</v>
      </c>
    </row>
    <row r="3319">
      <c r="A3319" s="463">
        <v>44120.0</v>
      </c>
      <c r="B3319" s="464">
        <v>152.61</v>
      </c>
    </row>
    <row r="3320">
      <c r="A3320" s="463">
        <v>44123.0</v>
      </c>
      <c r="B3320" s="464">
        <v>149.92</v>
      </c>
    </row>
    <row r="3321">
      <c r="A3321" s="463">
        <v>44124.0</v>
      </c>
      <c r="B3321" s="464">
        <v>149.56</v>
      </c>
    </row>
    <row r="3322">
      <c r="A3322" s="463">
        <v>44125.0</v>
      </c>
      <c r="B3322" s="464">
        <v>149.69</v>
      </c>
    </row>
    <row r="3323">
      <c r="A3323" s="463">
        <v>44126.0</v>
      </c>
      <c r="B3323" s="464">
        <v>147.72</v>
      </c>
    </row>
    <row r="3324">
      <c r="A3324" s="463">
        <v>44127.0</v>
      </c>
      <c r="B3324" s="464">
        <v>149.2</v>
      </c>
    </row>
    <row r="3325">
      <c r="A3325" s="463">
        <v>44130.0</v>
      </c>
      <c r="B3325" s="464">
        <v>142.62</v>
      </c>
    </row>
    <row r="3326">
      <c r="A3326" s="463">
        <v>44131.0</v>
      </c>
      <c r="B3326" s="464">
        <v>139.1</v>
      </c>
    </row>
    <row r="3327">
      <c r="A3327" s="463">
        <v>44132.0</v>
      </c>
      <c r="B3327" s="464">
        <v>129.89</v>
      </c>
    </row>
    <row r="3328">
      <c r="A3328" s="463">
        <v>44133.0</v>
      </c>
      <c r="B3328" s="464">
        <v>129.76</v>
      </c>
    </row>
    <row r="3329">
      <c r="A3329" s="463">
        <v>44134.0</v>
      </c>
      <c r="B3329" s="464">
        <v>128.73</v>
      </c>
    </row>
    <row r="3330">
      <c r="A3330" s="463">
        <v>44137.0</v>
      </c>
      <c r="B3330" s="464">
        <v>127.0</v>
      </c>
    </row>
    <row r="3331">
      <c r="A3331" s="463">
        <v>44138.0</v>
      </c>
      <c r="B3331" s="464">
        <v>131.93</v>
      </c>
    </row>
    <row r="3332">
      <c r="A3332" s="463">
        <v>44139.0</v>
      </c>
      <c r="B3332" s="464">
        <v>133.74</v>
      </c>
    </row>
    <row r="3333">
      <c r="A3333" s="463">
        <v>44140.0</v>
      </c>
      <c r="B3333" s="464">
        <v>140.74</v>
      </c>
    </row>
    <row r="3334">
      <c r="A3334" s="463">
        <v>44141.0</v>
      </c>
      <c r="B3334" s="464">
        <v>140.29</v>
      </c>
    </row>
    <row r="3335">
      <c r="A3335" s="463">
        <v>44144.0</v>
      </c>
      <c r="B3335" s="464">
        <v>140.86</v>
      </c>
    </row>
    <row r="3336">
      <c r="A3336" s="463">
        <v>44145.0</v>
      </c>
      <c r="B3336" s="464">
        <v>139.95</v>
      </c>
    </row>
    <row r="3337">
      <c r="A3337" s="463">
        <v>44146.0</v>
      </c>
      <c r="B3337" s="464">
        <v>140.56</v>
      </c>
    </row>
    <row r="3338">
      <c r="A3338" s="463">
        <v>44147.0</v>
      </c>
      <c r="B3338" s="464">
        <v>138.46</v>
      </c>
    </row>
    <row r="3339">
      <c r="A3339" s="463">
        <v>44148.0</v>
      </c>
      <c r="B3339" s="464">
        <v>141.86</v>
      </c>
    </row>
    <row r="3340">
      <c r="A3340" s="463">
        <v>44151.0</v>
      </c>
      <c r="B3340" s="464">
        <v>144.6</v>
      </c>
    </row>
    <row r="3341">
      <c r="A3341" s="463">
        <v>44152.0</v>
      </c>
      <c r="B3341" s="464">
        <v>146.09</v>
      </c>
    </row>
    <row r="3342">
      <c r="A3342" s="463">
        <v>44153.0</v>
      </c>
      <c r="B3342" s="464">
        <v>147.24</v>
      </c>
    </row>
    <row r="3343">
      <c r="A3343" s="463">
        <v>44154.0</v>
      </c>
      <c r="B3343" s="464">
        <v>148.68</v>
      </c>
    </row>
    <row r="3344">
      <c r="A3344" s="463">
        <v>44155.0</v>
      </c>
      <c r="B3344" s="464">
        <v>147.8</v>
      </c>
    </row>
    <row r="3345">
      <c r="A3345" s="463">
        <v>44158.0</v>
      </c>
      <c r="B3345" s="464">
        <v>148.94</v>
      </c>
    </row>
    <row r="3346">
      <c r="A3346" s="463">
        <v>44159.0</v>
      </c>
      <c r="B3346" s="464">
        <v>150.51</v>
      </c>
    </row>
    <row r="3347">
      <c r="A3347" s="463">
        <v>44160.0</v>
      </c>
      <c r="B3347" s="464">
        <v>141.69</v>
      </c>
    </row>
    <row r="3348">
      <c r="A3348" s="463">
        <v>44162.0</v>
      </c>
      <c r="B3348" s="464">
        <v>142.08</v>
      </c>
    </row>
    <row r="3349">
      <c r="A3349" s="463">
        <v>44165.0</v>
      </c>
      <c r="B3349" s="464">
        <v>139.89</v>
      </c>
    </row>
    <row r="3350">
      <c r="A3350" s="463">
        <v>44166.0</v>
      </c>
      <c r="B3350" s="464">
        <v>140.75</v>
      </c>
    </row>
    <row r="3351">
      <c r="A3351" s="463">
        <v>44167.0</v>
      </c>
      <c r="B3351" s="464">
        <v>141.32</v>
      </c>
    </row>
    <row r="3352">
      <c r="A3352" s="463">
        <v>44168.0</v>
      </c>
      <c r="B3352" s="464">
        <v>140.5</v>
      </c>
    </row>
    <row r="3353">
      <c r="A3353" s="463">
        <v>44169.0</v>
      </c>
      <c r="B3353" s="464">
        <v>140.23</v>
      </c>
    </row>
    <row r="3354">
      <c r="A3354" s="463">
        <v>44172.0</v>
      </c>
      <c r="B3354" s="464">
        <v>139.74</v>
      </c>
    </row>
    <row r="3355">
      <c r="A3355" s="463">
        <v>44173.0</v>
      </c>
      <c r="B3355" s="464">
        <v>142.18</v>
      </c>
    </row>
    <row r="3356">
      <c r="A3356" s="463">
        <v>44174.0</v>
      </c>
      <c r="B3356" s="464">
        <v>141.16</v>
      </c>
    </row>
    <row r="3357">
      <c r="A3357" s="463">
        <v>44175.0</v>
      </c>
      <c r="B3357" s="464">
        <v>141.84</v>
      </c>
    </row>
    <row r="3358">
      <c r="A3358" s="463">
        <v>44176.0</v>
      </c>
      <c r="B3358" s="464">
        <v>141.85</v>
      </c>
    </row>
    <row r="3359">
      <c r="A3359" s="463">
        <v>44179.0</v>
      </c>
      <c r="B3359" s="464">
        <v>143.66</v>
      </c>
    </row>
    <row r="3360">
      <c r="A3360" s="463">
        <v>44180.0</v>
      </c>
      <c r="B3360" s="464">
        <v>144.71</v>
      </c>
    </row>
    <row r="3361">
      <c r="A3361" s="463">
        <v>44181.0</v>
      </c>
      <c r="B3361" s="464">
        <v>144.39</v>
      </c>
    </row>
    <row r="3362">
      <c r="A3362" s="463">
        <v>44182.0</v>
      </c>
      <c r="B3362" s="464">
        <v>148.1</v>
      </c>
    </row>
    <row r="3363">
      <c r="A3363" s="463">
        <v>44183.0</v>
      </c>
      <c r="B3363" s="464">
        <v>140.14</v>
      </c>
    </row>
    <row r="3364">
      <c r="A3364" s="463">
        <v>44186.0</v>
      </c>
      <c r="B3364" s="464">
        <v>142.23</v>
      </c>
    </row>
    <row r="3365">
      <c r="A3365" s="463">
        <v>44187.0</v>
      </c>
      <c r="B3365" s="464">
        <v>140.54</v>
      </c>
    </row>
    <row r="3366">
      <c r="A3366" s="463">
        <v>44188.0</v>
      </c>
      <c r="B3366" s="464">
        <v>142.08</v>
      </c>
    </row>
    <row r="3367">
      <c r="A3367" s="463">
        <v>44189.0</v>
      </c>
      <c r="B3367" s="464">
        <v>142.9</v>
      </c>
    </row>
    <row r="3368">
      <c r="A3368" s="463">
        <v>44193.0</v>
      </c>
      <c r="B3368" s="464">
        <v>141.91</v>
      </c>
    </row>
    <row r="3369">
      <c r="A3369" s="463">
        <v>44194.0</v>
      </c>
      <c r="B3369" s="464">
        <v>139.42</v>
      </c>
    </row>
    <row r="3370">
      <c r="A3370" s="463">
        <v>44195.0</v>
      </c>
      <c r="B3370" s="464">
        <v>138.05</v>
      </c>
    </row>
    <row r="3371">
      <c r="A3371" s="463">
        <v>44196.0</v>
      </c>
      <c r="B3371" s="464">
        <v>140.26</v>
      </c>
    </row>
    <row r="3372">
      <c r="A3372" s="463">
        <v>44200.0</v>
      </c>
      <c r="B3372" s="464">
        <v>138.68</v>
      </c>
    </row>
    <row r="3373">
      <c r="A3373" s="463">
        <v>44201.0</v>
      </c>
      <c r="B3373" s="464">
        <v>139.79</v>
      </c>
    </row>
    <row r="3374">
      <c r="A3374" s="463">
        <v>44202.0</v>
      </c>
      <c r="B3374" s="464">
        <v>139.39</v>
      </c>
    </row>
    <row r="3375">
      <c r="A3375" s="463">
        <v>44203.0</v>
      </c>
      <c r="B3375" s="464">
        <v>144.05</v>
      </c>
    </row>
    <row r="3376">
      <c r="A3376" s="463">
        <v>44204.0</v>
      </c>
      <c r="B3376" s="464">
        <v>142.86</v>
      </c>
    </row>
    <row r="3377">
      <c r="A3377" s="463">
        <v>44207.0</v>
      </c>
      <c r="B3377" s="464">
        <v>141.5</v>
      </c>
    </row>
    <row r="3378">
      <c r="A3378" s="463">
        <v>44208.0</v>
      </c>
      <c r="B3378" s="464">
        <v>142.91</v>
      </c>
    </row>
    <row r="3379">
      <c r="A3379" s="463">
        <v>44209.0</v>
      </c>
      <c r="B3379" s="464">
        <v>133.2</v>
      </c>
    </row>
    <row r="3380">
      <c r="A3380" s="463">
        <v>44210.0</v>
      </c>
      <c r="B3380" s="464">
        <v>135.55</v>
      </c>
    </row>
    <row r="3381">
      <c r="A3381" s="463">
        <v>44211.0</v>
      </c>
      <c r="B3381" s="464">
        <v>134.81</v>
      </c>
    </row>
    <row r="3382">
      <c r="A3382" s="463">
        <v>44215.0</v>
      </c>
      <c r="B3382" s="464">
        <v>132.3</v>
      </c>
    </row>
    <row r="3383">
      <c r="A3383" s="463">
        <v>44216.0</v>
      </c>
      <c r="B3383" s="464">
        <v>132.67</v>
      </c>
    </row>
    <row r="3384">
      <c r="A3384" s="463">
        <v>44217.0</v>
      </c>
      <c r="B3384" s="464">
        <v>134.09</v>
      </c>
    </row>
    <row r="3385">
      <c r="A3385" s="463">
        <v>44218.0</v>
      </c>
      <c r="B3385" s="464">
        <v>134.5</v>
      </c>
    </row>
    <row r="3386">
      <c r="A3386" s="463">
        <v>44221.0</v>
      </c>
      <c r="B3386" s="464">
        <v>136.28</v>
      </c>
    </row>
    <row r="3387">
      <c r="A3387" s="463">
        <v>44222.0</v>
      </c>
      <c r="B3387" s="464">
        <v>140.58</v>
      </c>
    </row>
    <row r="3388">
      <c r="A3388" s="463">
        <v>44223.0</v>
      </c>
      <c r="B3388" s="464">
        <v>145.46</v>
      </c>
    </row>
    <row r="3389">
      <c r="A3389" s="463">
        <v>44224.0</v>
      </c>
      <c r="B3389" s="464">
        <v>140.29</v>
      </c>
    </row>
    <row r="3390">
      <c r="A3390" s="463">
        <v>44225.0</v>
      </c>
      <c r="B3390" s="464">
        <v>137.85</v>
      </c>
    </row>
    <row r="3391">
      <c r="A3391" s="463">
        <v>44228.0</v>
      </c>
      <c r="B3391" s="464">
        <v>137.67</v>
      </c>
    </row>
    <row r="3392">
      <c r="A3392" s="463">
        <v>44229.0</v>
      </c>
      <c r="B3392" s="464">
        <v>142.72</v>
      </c>
    </row>
    <row r="3393">
      <c r="A3393" s="463">
        <v>44230.0</v>
      </c>
      <c r="B3393" s="464">
        <v>142.34</v>
      </c>
    </row>
    <row r="3394">
      <c r="A3394" s="463">
        <v>44231.0</v>
      </c>
      <c r="B3394" s="464">
        <v>144.68</v>
      </c>
    </row>
    <row r="3395">
      <c r="A3395" s="463">
        <v>44232.0</v>
      </c>
      <c r="B3395" s="464">
        <v>145.72</v>
      </c>
    </row>
    <row r="3396">
      <c r="A3396" s="463">
        <v>44235.0</v>
      </c>
      <c r="B3396" s="464">
        <v>146.8</v>
      </c>
    </row>
    <row r="3397">
      <c r="A3397" s="463">
        <v>44236.0</v>
      </c>
      <c r="B3397" s="464">
        <v>147.66</v>
      </c>
    </row>
    <row r="3398">
      <c r="A3398" s="463">
        <v>44237.0</v>
      </c>
      <c r="B3398" s="464">
        <v>146.51</v>
      </c>
    </row>
    <row r="3399">
      <c r="A3399" s="463">
        <v>44238.0</v>
      </c>
      <c r="B3399" s="464">
        <v>143.0</v>
      </c>
    </row>
    <row r="3400">
      <c r="A3400" s="463">
        <v>44239.0</v>
      </c>
      <c r="B3400" s="464">
        <v>145.13</v>
      </c>
    </row>
    <row r="3401">
      <c r="A3401" s="463">
        <v>44243.0</v>
      </c>
      <c r="B3401" s="464">
        <v>143.19</v>
      </c>
    </row>
    <row r="3402">
      <c r="A3402" s="463">
        <v>44244.0</v>
      </c>
      <c r="B3402" s="464">
        <v>141.31</v>
      </c>
    </row>
    <row r="3403">
      <c r="A3403" s="463">
        <v>44245.0</v>
      </c>
      <c r="B3403" s="464">
        <v>142.49</v>
      </c>
    </row>
    <row r="3404">
      <c r="A3404" s="463">
        <v>44246.0</v>
      </c>
      <c r="B3404" s="464">
        <v>144.68</v>
      </c>
    </row>
    <row r="3405">
      <c r="A3405" s="463">
        <v>44249.0</v>
      </c>
      <c r="B3405" s="464">
        <v>143.87</v>
      </c>
    </row>
    <row r="3406">
      <c r="A3406" s="463">
        <v>44250.0</v>
      </c>
      <c r="B3406" s="464">
        <v>144.18</v>
      </c>
    </row>
    <row r="3407">
      <c r="A3407" s="463">
        <v>44251.0</v>
      </c>
      <c r="B3407" s="464">
        <v>146.76</v>
      </c>
    </row>
    <row r="3408">
      <c r="A3408" s="463">
        <v>44252.0</v>
      </c>
      <c r="B3408" s="464">
        <v>143.53</v>
      </c>
    </row>
    <row r="3409">
      <c r="A3409" s="463">
        <v>44253.0</v>
      </c>
      <c r="B3409" s="464">
        <v>138.21</v>
      </c>
    </row>
    <row r="3410">
      <c r="A3410" s="463">
        <v>44256.0</v>
      </c>
      <c r="B3410" s="464">
        <v>140.41</v>
      </c>
    </row>
    <row r="3411">
      <c r="A3411" s="463">
        <v>44257.0</v>
      </c>
      <c r="B3411" s="464">
        <v>139.24</v>
      </c>
    </row>
    <row r="3412">
      <c r="A3412" s="463">
        <v>44258.0</v>
      </c>
      <c r="B3412" s="464">
        <v>139.07</v>
      </c>
    </row>
    <row r="3413">
      <c r="A3413" s="463">
        <v>44259.0</v>
      </c>
      <c r="B3413" s="464">
        <v>139.07</v>
      </c>
    </row>
    <row r="3414">
      <c r="A3414" s="463">
        <v>44260.0</v>
      </c>
      <c r="B3414" s="464">
        <v>143.89</v>
      </c>
    </row>
    <row r="3415">
      <c r="A3415" s="463">
        <v>44263.0</v>
      </c>
      <c r="B3415" s="464">
        <v>143.63</v>
      </c>
    </row>
    <row r="3416">
      <c r="A3416" s="463">
        <v>44264.0</v>
      </c>
      <c r="B3416" s="464">
        <v>144.38</v>
      </c>
    </row>
    <row r="3417">
      <c r="A3417" s="463">
        <v>44265.0</v>
      </c>
      <c r="B3417" s="464">
        <v>145.84</v>
      </c>
    </row>
    <row r="3418">
      <c r="A3418" s="463">
        <v>44266.0</v>
      </c>
      <c r="B3418" s="464">
        <v>147.54</v>
      </c>
    </row>
    <row r="3419">
      <c r="A3419" s="463">
        <v>44267.0</v>
      </c>
      <c r="B3419" s="464">
        <v>148.16</v>
      </c>
    </row>
    <row r="3420">
      <c r="A3420" s="463">
        <v>44270.0</v>
      </c>
      <c r="B3420" s="464">
        <v>149.43</v>
      </c>
    </row>
    <row r="3421">
      <c r="A3421" s="463">
        <v>44271.0</v>
      </c>
      <c r="B3421" s="464">
        <v>147.85</v>
      </c>
    </row>
    <row r="3422">
      <c r="A3422" s="463">
        <v>44272.0</v>
      </c>
      <c r="B3422" s="464">
        <v>149.85</v>
      </c>
    </row>
    <row r="3423">
      <c r="A3423" s="463">
        <v>44273.0</v>
      </c>
      <c r="B3423" s="464">
        <v>146.92</v>
      </c>
    </row>
    <row r="3424">
      <c r="A3424" s="463">
        <v>44274.0</v>
      </c>
      <c r="B3424" s="464">
        <v>145.98</v>
      </c>
    </row>
    <row r="3425">
      <c r="A3425" s="463">
        <v>44277.0</v>
      </c>
      <c r="B3425" s="464">
        <v>146.0</v>
      </c>
    </row>
    <row r="3426">
      <c r="A3426" s="463">
        <v>44278.0</v>
      </c>
      <c r="B3426" s="464">
        <v>144.71</v>
      </c>
    </row>
    <row r="3427">
      <c r="A3427" s="463">
        <v>44279.0</v>
      </c>
      <c r="B3427" s="464">
        <v>144.54</v>
      </c>
    </row>
    <row r="3428">
      <c r="A3428" s="463">
        <v>44280.0</v>
      </c>
      <c r="B3428" s="464">
        <v>146.59</v>
      </c>
    </row>
    <row r="3429">
      <c r="A3429" s="463">
        <v>44281.0</v>
      </c>
      <c r="B3429" s="464">
        <v>153.94</v>
      </c>
    </row>
    <row r="3430">
      <c r="A3430" s="463">
        <v>44284.0</v>
      </c>
      <c r="B3430" s="464">
        <v>154.61</v>
      </c>
    </row>
    <row r="3431">
      <c r="A3431" s="463">
        <v>44285.0</v>
      </c>
      <c r="B3431" s="464">
        <v>150.19</v>
      </c>
    </row>
    <row r="3432">
      <c r="A3432" s="463">
        <v>44286.0</v>
      </c>
      <c r="B3432" s="464">
        <v>150.45</v>
      </c>
    </row>
    <row r="3433">
      <c r="A3433" s="463">
        <v>44287.0</v>
      </c>
      <c r="B3433" s="464">
        <v>152.4</v>
      </c>
    </row>
    <row r="3434">
      <c r="A3434" s="463">
        <v>44291.0</v>
      </c>
      <c r="B3434" s="464">
        <v>152.45</v>
      </c>
    </row>
    <row r="3435">
      <c r="A3435" s="463">
        <v>44292.0</v>
      </c>
      <c r="B3435" s="464">
        <v>150.72</v>
      </c>
    </row>
    <row r="3436">
      <c r="A3436" s="463">
        <v>44293.0</v>
      </c>
      <c r="B3436" s="464">
        <v>153.57</v>
      </c>
    </row>
    <row r="3437">
      <c r="A3437" s="463">
        <v>44294.0</v>
      </c>
      <c r="B3437" s="464">
        <v>152.56</v>
      </c>
    </row>
    <row r="3438">
      <c r="A3438" s="463">
        <v>44295.0</v>
      </c>
      <c r="B3438" s="464">
        <v>154.0</v>
      </c>
    </row>
    <row r="3439">
      <c r="A3439" s="463">
        <v>44298.0</v>
      </c>
      <c r="B3439" s="464">
        <v>154.72</v>
      </c>
    </row>
    <row r="3440">
      <c r="A3440" s="463">
        <v>44299.0</v>
      </c>
      <c r="B3440" s="464">
        <v>154.4</v>
      </c>
    </row>
    <row r="3441">
      <c r="A3441" s="463">
        <v>44300.0</v>
      </c>
      <c r="B3441" s="464">
        <v>155.49</v>
      </c>
    </row>
    <row r="3442">
      <c r="A3442" s="463">
        <v>44301.0</v>
      </c>
      <c r="B3442" s="464">
        <v>160.08</v>
      </c>
    </row>
    <row r="3443">
      <c r="A3443" s="463">
        <v>44302.0</v>
      </c>
      <c r="B3443" s="464">
        <v>164.1</v>
      </c>
    </row>
    <row r="3444">
      <c r="A3444" s="463">
        <v>44305.0</v>
      </c>
      <c r="B3444" s="464">
        <v>170.03</v>
      </c>
    </row>
    <row r="3445">
      <c r="A3445" s="463">
        <v>44306.0</v>
      </c>
      <c r="B3445" s="464">
        <v>165.88</v>
      </c>
    </row>
    <row r="3446">
      <c r="A3446" s="463">
        <v>44307.0</v>
      </c>
      <c r="B3446" s="464">
        <v>165.99</v>
      </c>
    </row>
    <row r="3447">
      <c r="A3447" s="463">
        <v>44308.0</v>
      </c>
      <c r="B3447" s="464">
        <v>164.53</v>
      </c>
    </row>
    <row r="3448">
      <c r="A3448" s="463">
        <v>44309.0</v>
      </c>
      <c r="B3448" s="464">
        <v>165.74</v>
      </c>
    </row>
    <row r="3449">
      <c r="A3449" s="463">
        <v>44312.0</v>
      </c>
      <c r="B3449" s="464">
        <v>161.82</v>
      </c>
    </row>
    <row r="3450">
      <c r="A3450" s="463">
        <v>44313.0</v>
      </c>
      <c r="B3450" s="464">
        <v>162.77</v>
      </c>
    </row>
    <row r="3451">
      <c r="A3451" s="463">
        <v>44314.0</v>
      </c>
      <c r="B3451" s="464">
        <v>160.61</v>
      </c>
    </row>
    <row r="3452">
      <c r="A3452" s="463">
        <v>44315.0</v>
      </c>
      <c r="B3452" s="464">
        <v>162.57</v>
      </c>
    </row>
    <row r="3453">
      <c r="A3453" s="463">
        <v>44316.0</v>
      </c>
      <c r="B3453" s="464">
        <v>160.83</v>
      </c>
    </row>
    <row r="3454">
      <c r="A3454" s="463">
        <v>44319.0</v>
      </c>
      <c r="B3454" s="464">
        <v>160.6</v>
      </c>
    </row>
    <row r="3455">
      <c r="A3455" s="463">
        <v>44320.0</v>
      </c>
      <c r="B3455" s="464">
        <v>160.68</v>
      </c>
    </row>
    <row r="3456">
      <c r="A3456" s="463">
        <v>44321.0</v>
      </c>
      <c r="B3456" s="464">
        <v>160.04</v>
      </c>
    </row>
    <row r="3457">
      <c r="A3457" s="463">
        <v>44322.0</v>
      </c>
      <c r="B3457" s="464">
        <v>162.33</v>
      </c>
    </row>
    <row r="3458">
      <c r="A3458" s="463">
        <v>44323.0</v>
      </c>
      <c r="B3458" s="464">
        <v>163.41</v>
      </c>
    </row>
    <row r="3459">
      <c r="A3459" s="463">
        <v>44326.0</v>
      </c>
      <c r="B3459" s="464">
        <v>163.66</v>
      </c>
    </row>
    <row r="3460">
      <c r="A3460" s="463">
        <v>44327.0</v>
      </c>
      <c r="B3460" s="464">
        <v>160.97</v>
      </c>
    </row>
    <row r="3461">
      <c r="A3461" s="463">
        <v>44328.0</v>
      </c>
      <c r="B3461" s="464">
        <v>156.48</v>
      </c>
    </row>
    <row r="3462">
      <c r="A3462" s="463">
        <v>44329.0</v>
      </c>
      <c r="B3462" s="464">
        <v>162.13</v>
      </c>
    </row>
    <row r="3463">
      <c r="A3463" s="463">
        <v>44330.0</v>
      </c>
      <c r="B3463" s="464">
        <v>164.3</v>
      </c>
    </row>
    <row r="3464">
      <c r="A3464" s="463">
        <v>44333.0</v>
      </c>
      <c r="B3464" s="464">
        <v>163.48</v>
      </c>
    </row>
    <row r="3465">
      <c r="A3465" s="463">
        <v>44334.0</v>
      </c>
      <c r="B3465" s="464">
        <v>162.39</v>
      </c>
    </row>
    <row r="3466">
      <c r="A3466" s="463">
        <v>44335.0</v>
      </c>
      <c r="B3466" s="464">
        <v>159.89</v>
      </c>
    </row>
    <row r="3467">
      <c r="A3467" s="463">
        <v>44336.0</v>
      </c>
      <c r="B3467" s="464">
        <v>161.68</v>
      </c>
    </row>
    <row r="3468">
      <c r="A3468" s="463">
        <v>44337.0</v>
      </c>
      <c r="B3468" s="464">
        <v>161.38</v>
      </c>
    </row>
    <row r="3469">
      <c r="A3469" s="463">
        <v>44340.0</v>
      </c>
      <c r="B3469" s="464">
        <v>162.19</v>
      </c>
    </row>
    <row r="3470">
      <c r="A3470" s="463">
        <v>44341.0</v>
      </c>
      <c r="B3470" s="464">
        <v>161.12</v>
      </c>
    </row>
    <row r="3471">
      <c r="A3471" s="463">
        <v>44342.0</v>
      </c>
      <c r="B3471" s="464">
        <v>160.74</v>
      </c>
    </row>
    <row r="3472">
      <c r="A3472" s="463">
        <v>44343.0</v>
      </c>
      <c r="B3472" s="464">
        <v>161.21</v>
      </c>
    </row>
    <row r="3473">
      <c r="A3473" s="463">
        <v>44344.0</v>
      </c>
      <c r="B3473" s="464">
        <v>157.89</v>
      </c>
    </row>
    <row r="3474">
      <c r="A3474" s="463">
        <v>44348.0</v>
      </c>
      <c r="B3474" s="464">
        <v>161.26</v>
      </c>
    </row>
    <row r="3475">
      <c r="A3475" s="463">
        <v>44349.0</v>
      </c>
      <c r="B3475" s="464">
        <v>159.6</v>
      </c>
    </row>
    <row r="3476">
      <c r="A3476" s="463">
        <v>44350.0</v>
      </c>
      <c r="B3476" s="464">
        <v>159.97</v>
      </c>
    </row>
    <row r="3477">
      <c r="A3477" s="463">
        <v>44351.0</v>
      </c>
      <c r="B3477" s="464">
        <v>161.37</v>
      </c>
    </row>
    <row r="3478">
      <c r="A3478" s="463">
        <v>44354.0</v>
      </c>
      <c r="B3478" s="464">
        <v>161.15</v>
      </c>
    </row>
    <row r="3479">
      <c r="A3479" s="463">
        <v>44355.0</v>
      </c>
      <c r="B3479" s="464">
        <v>162.07</v>
      </c>
    </row>
    <row r="3480">
      <c r="A3480" s="463">
        <v>44356.0</v>
      </c>
      <c r="B3480" s="464">
        <v>162.0</v>
      </c>
    </row>
    <row r="3481">
      <c r="A3481" s="463">
        <v>44357.0</v>
      </c>
      <c r="B3481" s="464">
        <v>163.49</v>
      </c>
    </row>
    <row r="3482">
      <c r="A3482" s="463">
        <v>44358.0</v>
      </c>
      <c r="B3482" s="464">
        <v>164.19</v>
      </c>
    </row>
    <row r="3483">
      <c r="A3483" s="463">
        <v>44361.0</v>
      </c>
      <c r="B3483" s="464">
        <v>160.57</v>
      </c>
    </row>
    <row r="3484">
      <c r="A3484" s="463">
        <v>44362.0</v>
      </c>
      <c r="B3484" s="464">
        <v>158.95</v>
      </c>
    </row>
    <row r="3485">
      <c r="A3485" s="463">
        <v>44363.0</v>
      </c>
      <c r="B3485" s="464">
        <v>157.36</v>
      </c>
    </row>
    <row r="3486">
      <c r="A3486" s="463">
        <v>44364.0</v>
      </c>
      <c r="B3486" s="464">
        <v>156.95</v>
      </c>
    </row>
    <row r="3487">
      <c r="A3487" s="463">
        <v>44365.0</v>
      </c>
      <c r="B3487" s="464">
        <v>154.52</v>
      </c>
    </row>
    <row r="3488">
      <c r="A3488" s="463">
        <v>44368.0</v>
      </c>
      <c r="B3488" s="464">
        <v>157.34</v>
      </c>
    </row>
    <row r="3489">
      <c r="A3489" s="463">
        <v>44369.0</v>
      </c>
      <c r="B3489" s="464">
        <v>157.64</v>
      </c>
    </row>
    <row r="3490">
      <c r="A3490" s="463">
        <v>44370.0</v>
      </c>
      <c r="B3490" s="464">
        <v>155.98</v>
      </c>
    </row>
    <row r="3491">
      <c r="A3491" s="463">
        <v>44371.0</v>
      </c>
      <c r="B3491" s="464">
        <v>155.82</v>
      </c>
    </row>
    <row r="3492">
      <c r="A3492" s="463">
        <v>44372.0</v>
      </c>
      <c r="B3492" s="464">
        <v>157.12</v>
      </c>
    </row>
    <row r="3493">
      <c r="A3493" s="463">
        <v>44375.0</v>
      </c>
      <c r="B3493" s="464">
        <v>159.5</v>
      </c>
    </row>
    <row r="3494">
      <c r="A3494" s="463">
        <v>44376.0</v>
      </c>
      <c r="B3494" s="464">
        <v>161.78</v>
      </c>
    </row>
    <row r="3495">
      <c r="A3495" s="463">
        <v>44377.0</v>
      </c>
      <c r="B3495" s="464">
        <v>159.97</v>
      </c>
    </row>
    <row r="3496">
      <c r="A3496" s="463">
        <v>44378.0</v>
      </c>
      <c r="B3496" s="464">
        <v>156.13</v>
      </c>
    </row>
    <row r="3497">
      <c r="A3497" s="463">
        <v>44379.0</v>
      </c>
      <c r="B3497" s="464">
        <v>157.68</v>
      </c>
    </row>
    <row r="3498">
      <c r="A3498" s="463">
        <v>44383.0</v>
      </c>
      <c r="B3498" s="464">
        <v>156.77</v>
      </c>
    </row>
    <row r="3499">
      <c r="A3499" s="463">
        <v>44384.0</v>
      </c>
      <c r="B3499" s="464">
        <v>158.02</v>
      </c>
    </row>
    <row r="3500">
      <c r="A3500" s="463">
        <v>44385.0</v>
      </c>
      <c r="B3500" s="464">
        <v>158.22</v>
      </c>
    </row>
    <row r="3501">
      <c r="A3501" s="463">
        <v>44386.0</v>
      </c>
      <c r="B3501" s="464">
        <v>159.48</v>
      </c>
    </row>
    <row r="3502">
      <c r="A3502" s="463">
        <v>44389.0</v>
      </c>
      <c r="B3502" s="464">
        <v>154.41</v>
      </c>
    </row>
    <row r="3503">
      <c r="A3503" s="463">
        <v>44390.0</v>
      </c>
      <c r="B3503" s="464">
        <v>151.21</v>
      </c>
    </row>
    <row r="3504">
      <c r="A3504" s="463">
        <v>44391.0</v>
      </c>
      <c r="B3504" s="464">
        <v>150.52</v>
      </c>
    </row>
    <row r="3505">
      <c r="A3505" s="463">
        <v>44392.0</v>
      </c>
      <c r="B3505" s="464">
        <v>150.95</v>
      </c>
    </row>
    <row r="3506">
      <c r="A3506" s="463">
        <v>44393.0</v>
      </c>
      <c r="B3506" s="464">
        <v>150.07</v>
      </c>
    </row>
    <row r="3507">
      <c r="A3507" s="463">
        <v>44396.0</v>
      </c>
      <c r="B3507" s="464">
        <v>150.84</v>
      </c>
    </row>
    <row r="3508">
      <c r="A3508" s="463">
        <v>44397.0</v>
      </c>
      <c r="B3508" s="464">
        <v>155.31</v>
      </c>
    </row>
    <row r="3509">
      <c r="A3509" s="463">
        <v>44398.0</v>
      </c>
      <c r="B3509" s="464">
        <v>156.32</v>
      </c>
    </row>
    <row r="3510">
      <c r="A3510" s="463">
        <v>44399.0</v>
      </c>
      <c r="B3510" s="464">
        <v>156.92</v>
      </c>
    </row>
    <row r="3511">
      <c r="A3511" s="463">
        <v>44400.0</v>
      </c>
      <c r="B3511" s="464">
        <v>158.34</v>
      </c>
    </row>
    <row r="3512">
      <c r="A3512" s="463">
        <v>44403.0</v>
      </c>
      <c r="B3512" s="464">
        <v>157.4</v>
      </c>
    </row>
    <row r="3513">
      <c r="A3513" s="463">
        <v>44404.0</v>
      </c>
      <c r="B3513" s="464">
        <v>156.99</v>
      </c>
    </row>
    <row r="3514">
      <c r="A3514" s="463">
        <v>44405.0</v>
      </c>
      <c r="B3514" s="464">
        <v>155.51</v>
      </c>
    </row>
    <row r="3515">
      <c r="A3515" s="463">
        <v>44406.0</v>
      </c>
      <c r="B3515" s="464">
        <v>154.67</v>
      </c>
    </row>
    <row r="3516">
      <c r="A3516" s="463">
        <v>44407.0</v>
      </c>
      <c r="B3516" s="464">
        <v>153.74</v>
      </c>
    </row>
    <row r="3517">
      <c r="A3517" s="463">
        <v>44410.0</v>
      </c>
      <c r="B3517" s="464">
        <v>154.17</v>
      </c>
    </row>
    <row r="3518">
      <c r="A3518" s="463">
        <v>44411.0</v>
      </c>
      <c r="B3518" s="464">
        <v>157.31</v>
      </c>
    </row>
    <row r="3519">
      <c r="A3519" s="463">
        <v>44412.0</v>
      </c>
      <c r="B3519" s="464">
        <v>156.77</v>
      </c>
    </row>
    <row r="3520">
      <c r="A3520" s="463">
        <v>44413.0</v>
      </c>
      <c r="B3520" s="464">
        <v>158.62</v>
      </c>
    </row>
    <row r="3521">
      <c r="A3521" s="463">
        <v>44414.0</v>
      </c>
      <c r="B3521" s="464">
        <v>157.38</v>
      </c>
    </row>
    <row r="3522">
      <c r="A3522" s="463">
        <v>44417.0</v>
      </c>
      <c r="B3522" s="464">
        <v>157.24</v>
      </c>
    </row>
    <row r="3523">
      <c r="A3523" s="463">
        <v>44418.0</v>
      </c>
      <c r="B3523" s="464">
        <v>156.84</v>
      </c>
    </row>
    <row r="3524">
      <c r="A3524" s="463">
        <v>44419.0</v>
      </c>
      <c r="B3524" s="464">
        <v>157.36</v>
      </c>
    </row>
    <row r="3525">
      <c r="A3525" s="463">
        <v>44420.0</v>
      </c>
      <c r="B3525" s="464">
        <v>156.61</v>
      </c>
    </row>
    <row r="3526">
      <c r="A3526" s="463">
        <v>44421.0</v>
      </c>
      <c r="B3526" s="464">
        <v>157.66</v>
      </c>
    </row>
    <row r="3527">
      <c r="A3527" s="463">
        <v>44424.0</v>
      </c>
      <c r="B3527" s="464">
        <v>157.34</v>
      </c>
    </row>
    <row r="3528">
      <c r="A3528" s="463">
        <v>44425.0</v>
      </c>
      <c r="B3528" s="464">
        <v>155.51</v>
      </c>
    </row>
    <row r="3529">
      <c r="A3529" s="463">
        <v>44426.0</v>
      </c>
      <c r="B3529" s="464">
        <v>154.47</v>
      </c>
    </row>
    <row r="3530">
      <c r="A3530" s="463">
        <v>44427.0</v>
      </c>
      <c r="B3530" s="464">
        <v>153.07</v>
      </c>
    </row>
    <row r="3531">
      <c r="A3531" s="463">
        <v>44428.0</v>
      </c>
      <c r="B3531" s="464">
        <v>155.38</v>
      </c>
    </row>
    <row r="3532">
      <c r="A3532" s="463">
        <v>44431.0</v>
      </c>
      <c r="B3532" s="464">
        <v>157.79</v>
      </c>
    </row>
    <row r="3533">
      <c r="A3533" s="463">
        <v>44432.0</v>
      </c>
      <c r="B3533" s="464">
        <v>156.9</v>
      </c>
    </row>
    <row r="3534">
      <c r="A3534" s="463">
        <v>44433.0</v>
      </c>
      <c r="B3534" s="464">
        <v>158.49</v>
      </c>
    </row>
    <row r="3535">
      <c r="A3535" s="463">
        <v>44434.0</v>
      </c>
      <c r="B3535" s="464">
        <v>158.8</v>
      </c>
    </row>
    <row r="3536">
      <c r="A3536" s="463">
        <v>44435.0</v>
      </c>
      <c r="B3536" s="464">
        <v>148.18</v>
      </c>
    </row>
    <row r="3537">
      <c r="A3537" s="463">
        <v>44438.0</v>
      </c>
      <c r="B3537" s="464">
        <v>149.59</v>
      </c>
    </row>
    <row r="3538">
      <c r="A3538" s="463">
        <v>44439.0</v>
      </c>
      <c r="B3538" s="464">
        <v>148.87</v>
      </c>
    </row>
    <row r="3539">
      <c r="A3539" s="463">
        <v>44440.0</v>
      </c>
      <c r="B3539" s="464">
        <v>146.86</v>
      </c>
    </row>
    <row r="3540">
      <c r="A3540" s="463">
        <v>44441.0</v>
      </c>
      <c r="B3540" s="464">
        <v>146.17</v>
      </c>
    </row>
    <row r="3541">
      <c r="A3541" s="463">
        <v>44442.0</v>
      </c>
      <c r="B3541" s="464">
        <v>145.11</v>
      </c>
    </row>
    <row r="3542">
      <c r="A3542" s="463">
        <v>44446.0</v>
      </c>
      <c r="B3542" s="464">
        <v>145.63</v>
      </c>
    </row>
    <row r="3543">
      <c r="A3543" s="463">
        <v>44447.0</v>
      </c>
      <c r="B3543" s="464">
        <v>145.73</v>
      </c>
    </row>
    <row r="3544">
      <c r="A3544" s="463">
        <v>44448.0</v>
      </c>
      <c r="B3544" s="464">
        <v>145.55</v>
      </c>
    </row>
    <row r="3545">
      <c r="A3545" s="463">
        <v>44449.0</v>
      </c>
      <c r="B3545" s="464">
        <v>141.32</v>
      </c>
    </row>
    <row r="3546">
      <c r="A3546" s="463">
        <v>44452.0</v>
      </c>
      <c r="B3546" s="464">
        <v>142.02</v>
      </c>
    </row>
    <row r="3547">
      <c r="A3547" s="463">
        <v>44453.0</v>
      </c>
      <c r="B3547" s="464">
        <v>139.96</v>
      </c>
    </row>
    <row r="3548">
      <c r="A3548" s="463">
        <v>44454.0</v>
      </c>
      <c r="B3548" s="464">
        <v>141.9</v>
      </c>
    </row>
    <row r="3549">
      <c r="A3549" s="463">
        <v>44455.0</v>
      </c>
      <c r="B3549" s="464">
        <v>139.89</v>
      </c>
    </row>
    <row r="3550">
      <c r="A3550" s="463">
        <v>44456.0</v>
      </c>
      <c r="B3550" s="464">
        <v>139.67</v>
      </c>
    </row>
    <row r="3551">
      <c r="A3551" s="463">
        <v>44459.0</v>
      </c>
      <c r="B3551" s="464">
        <v>138.92</v>
      </c>
    </row>
    <row r="3552">
      <c r="A3552" s="463">
        <v>44460.0</v>
      </c>
      <c r="B3552" s="464">
        <v>138.03</v>
      </c>
    </row>
    <row r="3553">
      <c r="A3553" s="463">
        <v>44461.0</v>
      </c>
      <c r="B3553" s="464">
        <v>138.37</v>
      </c>
    </row>
    <row r="3554">
      <c r="A3554" s="463">
        <v>44462.0</v>
      </c>
      <c r="B3554" s="464">
        <v>142.16</v>
      </c>
    </row>
    <row r="3555">
      <c r="A3555" s="463">
        <v>44463.0</v>
      </c>
      <c r="B3555" s="464">
        <v>145.56</v>
      </c>
    </row>
    <row r="3556">
      <c r="A3556" s="463">
        <v>44466.0</v>
      </c>
      <c r="B3556" s="464">
        <v>149.15</v>
      </c>
    </row>
    <row r="3557">
      <c r="A3557" s="463">
        <v>44467.0</v>
      </c>
      <c r="B3557" s="464">
        <v>149.4</v>
      </c>
    </row>
    <row r="3558">
      <c r="A3558" s="463">
        <v>44468.0</v>
      </c>
      <c r="B3558" s="464">
        <v>150.52</v>
      </c>
    </row>
    <row r="3559">
      <c r="A3559" s="463">
        <v>44469.0</v>
      </c>
      <c r="B3559" s="464">
        <v>148.7</v>
      </c>
    </row>
    <row r="3560">
      <c r="A3560" s="463">
        <v>44470.0</v>
      </c>
      <c r="B3560" s="464">
        <v>151.91</v>
      </c>
    </row>
    <row r="3561">
      <c r="A3561" s="463">
        <v>44473.0</v>
      </c>
      <c r="B3561" s="464">
        <v>148.52</v>
      </c>
    </row>
    <row r="3562">
      <c r="A3562" s="463">
        <v>44474.0</v>
      </c>
      <c r="B3562" s="464">
        <v>150.12</v>
      </c>
    </row>
    <row r="3563">
      <c r="A3563" s="463">
        <v>44475.0</v>
      </c>
      <c r="B3563" s="464">
        <v>151.4</v>
      </c>
    </row>
    <row r="3564">
      <c r="A3564" s="463">
        <v>44476.0</v>
      </c>
      <c r="B3564" s="464">
        <v>153.68</v>
      </c>
    </row>
    <row r="3565">
      <c r="A3565" s="463">
        <v>44477.0</v>
      </c>
      <c r="B3565" s="464">
        <v>147.83</v>
      </c>
    </row>
    <row r="3566">
      <c r="A3566" s="463">
        <v>44480.0</v>
      </c>
      <c r="B3566" s="464">
        <v>147.59</v>
      </c>
    </row>
    <row r="3567">
      <c r="A3567" s="463">
        <v>44481.0</v>
      </c>
      <c r="B3567" s="464">
        <v>146.56</v>
      </c>
    </row>
    <row r="3568">
      <c r="A3568" s="463">
        <v>44482.0</v>
      </c>
      <c r="B3568" s="464">
        <v>148.86</v>
      </c>
    </row>
    <row r="3569">
      <c r="A3569" s="463">
        <v>44483.0</v>
      </c>
      <c r="B3569" s="464">
        <v>152.36</v>
      </c>
    </row>
    <row r="3570">
      <c r="A3570" s="463">
        <v>44484.0</v>
      </c>
      <c r="B3570" s="464">
        <v>156.39</v>
      </c>
    </row>
    <row r="3571">
      <c r="A3571" s="463">
        <v>44487.0</v>
      </c>
      <c r="B3571" s="464">
        <v>157.38</v>
      </c>
    </row>
    <row r="3572">
      <c r="A3572" s="463">
        <v>44488.0</v>
      </c>
      <c r="B3572" s="464">
        <v>161.81</v>
      </c>
    </row>
    <row r="3573">
      <c r="A3573" s="463">
        <v>44489.0</v>
      </c>
      <c r="B3573" s="464">
        <v>163.24</v>
      </c>
    </row>
    <row r="3574">
      <c r="A3574" s="463">
        <v>44490.0</v>
      </c>
      <c r="B3574" s="464">
        <v>164.7</v>
      </c>
    </row>
    <row r="3575">
      <c r="A3575" s="463">
        <v>44491.0</v>
      </c>
      <c r="B3575" s="464">
        <v>167.06</v>
      </c>
    </row>
    <row r="3576">
      <c r="A3576" s="463">
        <v>44494.0</v>
      </c>
      <c r="B3576" s="464">
        <v>163.25</v>
      </c>
    </row>
    <row r="3577">
      <c r="A3577" s="463">
        <v>44495.0</v>
      </c>
      <c r="B3577" s="464">
        <v>158.08</v>
      </c>
    </row>
    <row r="3578">
      <c r="A3578" s="463">
        <v>44496.0</v>
      </c>
      <c r="B3578" s="464">
        <v>153.79</v>
      </c>
    </row>
    <row r="3579">
      <c r="A3579" s="463">
        <v>44497.0</v>
      </c>
      <c r="B3579" s="464">
        <v>152.31</v>
      </c>
    </row>
    <row r="3580">
      <c r="A3580" s="463">
        <v>44498.0</v>
      </c>
      <c r="B3580" s="464">
        <v>151.7</v>
      </c>
    </row>
    <row r="3581">
      <c r="A3581" s="463">
        <v>44501.0</v>
      </c>
      <c r="B3581" s="464">
        <v>152.45</v>
      </c>
    </row>
    <row r="3582">
      <c r="A3582" s="463">
        <v>44502.0</v>
      </c>
      <c r="B3582" s="464">
        <v>134.87</v>
      </c>
    </row>
    <row r="3583">
      <c r="A3583" s="463">
        <v>44503.0</v>
      </c>
      <c r="B3583" s="464">
        <v>131.68</v>
      </c>
    </row>
    <row r="3584">
      <c r="A3584" s="463">
        <v>44504.0</v>
      </c>
      <c r="B3584" s="464">
        <v>128.27</v>
      </c>
    </row>
    <row r="3585">
      <c r="A3585" s="463">
        <v>44505.0</v>
      </c>
      <c r="B3585" s="464">
        <v>124.55</v>
      </c>
    </row>
    <row r="3586">
      <c r="A3586" s="463">
        <v>44508.0</v>
      </c>
      <c r="B3586" s="464">
        <v>128.41</v>
      </c>
    </row>
    <row r="3587">
      <c r="A3587" s="463">
        <v>44509.0</v>
      </c>
      <c r="B3587" s="464">
        <v>128.95</v>
      </c>
    </row>
    <row r="3588">
      <c r="A3588" s="463">
        <v>44510.0</v>
      </c>
      <c r="B3588" s="464">
        <v>124.95</v>
      </c>
    </row>
    <row r="3589">
      <c r="A3589" s="463">
        <v>44511.0</v>
      </c>
      <c r="B3589" s="464">
        <v>124.18</v>
      </c>
    </row>
    <row r="3590">
      <c r="A3590" s="463">
        <v>44512.0</v>
      </c>
      <c r="B3590" s="464">
        <v>125.54</v>
      </c>
    </row>
    <row r="3591">
      <c r="A3591" s="463">
        <v>44515.0</v>
      </c>
      <c r="B3591" s="464">
        <v>124.66</v>
      </c>
    </row>
    <row r="3592">
      <c r="A3592" s="463">
        <v>44516.0</v>
      </c>
      <c r="B3592" s="464">
        <v>124.94</v>
      </c>
    </row>
    <row r="3593">
      <c r="A3593" s="463">
        <v>44517.0</v>
      </c>
      <c r="B3593" s="464">
        <v>123.3</v>
      </c>
    </row>
    <row r="3594">
      <c r="A3594" s="463">
        <v>44518.0</v>
      </c>
      <c r="B3594" s="464">
        <v>120.31</v>
      </c>
    </row>
    <row r="3595">
      <c r="A3595" s="463">
        <v>44519.0</v>
      </c>
      <c r="B3595" s="464">
        <v>120.55</v>
      </c>
    </row>
    <row r="3596">
      <c r="A3596" s="463">
        <v>44522.0</v>
      </c>
      <c r="B3596" s="464">
        <v>118.69</v>
      </c>
    </row>
    <row r="3597">
      <c r="A3597" s="463">
        <v>44523.0</v>
      </c>
      <c r="B3597" s="464">
        <v>116.48</v>
      </c>
    </row>
    <row r="3598">
      <c r="A3598" s="463">
        <v>44524.0</v>
      </c>
      <c r="B3598" s="464">
        <v>118.7</v>
      </c>
    </row>
    <row r="3599">
      <c r="A3599" s="463">
        <v>44526.0</v>
      </c>
      <c r="B3599" s="464">
        <v>121.9</v>
      </c>
    </row>
    <row r="3600">
      <c r="A3600" s="463">
        <v>44529.0</v>
      </c>
      <c r="B3600" s="464">
        <v>120.38</v>
      </c>
    </row>
    <row r="3601">
      <c r="A3601" s="463">
        <v>44530.0</v>
      </c>
      <c r="B3601" s="464">
        <v>116.74</v>
      </c>
    </row>
    <row r="3602">
      <c r="A3602" s="463">
        <v>44531.0</v>
      </c>
      <c r="B3602" s="464">
        <v>114.0</v>
      </c>
    </row>
    <row r="3603">
      <c r="A3603" s="463">
        <v>44532.0</v>
      </c>
      <c r="B3603" s="464">
        <v>117.34</v>
      </c>
    </row>
    <row r="3604">
      <c r="A3604" s="463">
        <v>44533.0</v>
      </c>
      <c r="B3604" s="464">
        <v>118.86</v>
      </c>
    </row>
    <row r="3605">
      <c r="A3605" s="463">
        <v>44536.0</v>
      </c>
      <c r="B3605" s="464">
        <v>115.58</v>
      </c>
    </row>
    <row r="3606">
      <c r="A3606" s="463">
        <v>44537.0</v>
      </c>
      <c r="B3606" s="464">
        <v>116.65</v>
      </c>
    </row>
    <row r="3607">
      <c r="A3607" s="463">
        <v>44538.0</v>
      </c>
      <c r="B3607" s="464">
        <v>114.78</v>
      </c>
    </row>
    <row r="3608">
      <c r="A3608" s="463">
        <v>44539.0</v>
      </c>
      <c r="B3608" s="464">
        <v>112.78</v>
      </c>
    </row>
    <row r="3609">
      <c r="A3609" s="463">
        <v>44540.0</v>
      </c>
      <c r="B3609" s="464">
        <v>113.1</v>
      </c>
    </row>
    <row r="3610">
      <c r="A3610" s="463">
        <v>44543.0</v>
      </c>
      <c r="B3610" s="464">
        <v>111.88</v>
      </c>
    </row>
    <row r="3611">
      <c r="A3611" s="463">
        <v>44544.0</v>
      </c>
      <c r="B3611" s="464">
        <v>110.44</v>
      </c>
    </row>
    <row r="3612">
      <c r="A3612" s="463">
        <v>44545.0</v>
      </c>
      <c r="B3612" s="464">
        <v>113.29</v>
      </c>
    </row>
    <row r="3613">
      <c r="A3613" s="463">
        <v>44546.0</v>
      </c>
      <c r="B3613" s="464">
        <v>114.42</v>
      </c>
    </row>
    <row r="3614">
      <c r="A3614" s="463">
        <v>44547.0</v>
      </c>
      <c r="B3614" s="464">
        <v>114.79</v>
      </c>
    </row>
    <row r="3615">
      <c r="A3615" s="463">
        <v>44550.0</v>
      </c>
      <c r="B3615" s="464">
        <v>114.99</v>
      </c>
    </row>
    <row r="3616">
      <c r="A3616" s="463">
        <v>44551.0</v>
      </c>
      <c r="B3616" s="464">
        <v>115.88</v>
      </c>
    </row>
    <row r="3617">
      <c r="A3617" s="463">
        <v>44552.0</v>
      </c>
      <c r="B3617" s="464">
        <v>115.4</v>
      </c>
    </row>
    <row r="3618">
      <c r="A3618" s="463">
        <v>44553.0</v>
      </c>
      <c r="B3618" s="464">
        <v>116.89</v>
      </c>
    </row>
    <row r="3619">
      <c r="A3619" s="463">
        <v>44557.0</v>
      </c>
      <c r="B3619" s="464">
        <v>116.28</v>
      </c>
    </row>
    <row r="3620">
      <c r="A3620" s="463">
        <v>44558.0</v>
      </c>
      <c r="B3620" s="464">
        <v>117.48</v>
      </c>
    </row>
    <row r="3621">
      <c r="A3621" s="463">
        <v>44559.0</v>
      </c>
      <c r="B3621" s="464">
        <v>117.88</v>
      </c>
    </row>
    <row r="3622">
      <c r="A3622" s="463">
        <v>44560.0</v>
      </c>
      <c r="B3622" s="464">
        <v>117.26</v>
      </c>
    </row>
    <row r="3623">
      <c r="A3623" s="463">
        <v>44561.0</v>
      </c>
      <c r="B3623" s="464">
        <v>115.88</v>
      </c>
    </row>
    <row r="3624">
      <c r="A3624" s="463">
        <v>44564.0</v>
      </c>
      <c r="B3624" s="464">
        <v>118.2</v>
      </c>
    </row>
    <row r="3625">
      <c r="A3625" s="463">
        <v>44565.0</v>
      </c>
      <c r="B3625" s="464">
        <v>120.5</v>
      </c>
    </row>
    <row r="3626">
      <c r="A3626" s="463">
        <v>44566.0</v>
      </c>
      <c r="B3626" s="464">
        <v>120.98</v>
      </c>
    </row>
    <row r="3627">
      <c r="A3627" s="463">
        <v>44567.0</v>
      </c>
      <c r="B3627" s="464">
        <v>120.12</v>
      </c>
    </row>
    <row r="3628">
      <c r="A3628" s="463">
        <v>44568.0</v>
      </c>
      <c r="B3628" s="464">
        <v>120.46</v>
      </c>
    </row>
    <row r="3629">
      <c r="A3629" s="463">
        <v>44571.0</v>
      </c>
      <c r="B3629" s="464">
        <v>122.54</v>
      </c>
    </row>
    <row r="3630">
      <c r="A3630" s="463">
        <v>44572.0</v>
      </c>
      <c r="B3630" s="464">
        <v>124.26</v>
      </c>
    </row>
    <row r="3631">
      <c r="A3631" s="463">
        <v>44573.0</v>
      </c>
      <c r="B3631" s="464">
        <v>122.9</v>
      </c>
    </row>
    <row r="3632">
      <c r="A3632" s="463">
        <v>44574.0</v>
      </c>
      <c r="B3632" s="464">
        <v>123.4</v>
      </c>
    </row>
    <row r="3633">
      <c r="A3633" s="463">
        <v>44575.0</v>
      </c>
      <c r="B3633" s="464">
        <v>125.18</v>
      </c>
    </row>
    <row r="3634">
      <c r="A3634" s="463">
        <v>44579.0</v>
      </c>
      <c r="B3634" s="464">
        <v>124.71</v>
      </c>
    </row>
    <row r="3635">
      <c r="A3635" s="463">
        <v>44580.0</v>
      </c>
      <c r="B3635" s="464">
        <v>124.21</v>
      </c>
    </row>
    <row r="3636">
      <c r="A3636" s="463">
        <v>44581.0</v>
      </c>
      <c r="B3636" s="464">
        <v>124.96</v>
      </c>
    </row>
    <row r="3637">
      <c r="A3637" s="463">
        <v>44582.0</v>
      </c>
      <c r="B3637" s="464">
        <v>123.74</v>
      </c>
    </row>
    <row r="3638">
      <c r="A3638" s="463">
        <v>44585.0</v>
      </c>
      <c r="B3638" s="464">
        <v>125.19</v>
      </c>
    </row>
    <row r="3639">
      <c r="A3639" s="463">
        <v>44586.0</v>
      </c>
      <c r="B3639" s="464">
        <v>122.65</v>
      </c>
    </row>
    <row r="3640">
      <c r="A3640" s="463">
        <v>44587.0</v>
      </c>
      <c r="B3640" s="464">
        <v>122.36</v>
      </c>
    </row>
    <row r="3641">
      <c r="A3641" s="463">
        <v>44588.0</v>
      </c>
      <c r="B3641" s="464">
        <v>124.76</v>
      </c>
    </row>
    <row r="3642">
      <c r="A3642" s="463">
        <v>44589.0</v>
      </c>
      <c r="B3642" s="464">
        <v>129.14</v>
      </c>
    </row>
    <row r="3643">
      <c r="A3643" s="463">
        <v>44592.0</v>
      </c>
      <c r="B3643" s="464">
        <v>128.48</v>
      </c>
    </row>
    <row r="3644">
      <c r="A3644" s="463">
        <v>44593.0</v>
      </c>
      <c r="B3644" s="464">
        <v>128.47</v>
      </c>
    </row>
    <row r="3645">
      <c r="A3645" s="463">
        <v>44594.0</v>
      </c>
      <c r="B3645" s="464">
        <v>130.8</v>
      </c>
    </row>
    <row r="3646">
      <c r="A3646" s="463">
        <v>44595.0</v>
      </c>
      <c r="B3646" s="464">
        <v>129.97</v>
      </c>
    </row>
    <row r="3647">
      <c r="A3647" s="463">
        <v>44596.0</v>
      </c>
      <c r="B3647" s="464">
        <v>131.07</v>
      </c>
    </row>
    <row r="3648">
      <c r="A3648" s="463">
        <v>44599.0</v>
      </c>
      <c r="B3648" s="464">
        <v>131.72</v>
      </c>
    </row>
    <row r="3649">
      <c r="A3649" s="463">
        <v>44600.0</v>
      </c>
      <c r="B3649" s="464">
        <v>132.5</v>
      </c>
    </row>
    <row r="3650">
      <c r="A3650" s="463">
        <v>44601.0</v>
      </c>
      <c r="B3650" s="464">
        <v>135.87</v>
      </c>
    </row>
    <row r="3651">
      <c r="A3651" s="463">
        <v>44602.0</v>
      </c>
      <c r="B3651" s="464">
        <v>133.77</v>
      </c>
    </row>
    <row r="3652">
      <c r="A3652" s="463">
        <v>44603.0</v>
      </c>
      <c r="B3652" s="464">
        <v>125.09</v>
      </c>
    </row>
    <row r="3653">
      <c r="A3653" s="463">
        <v>44606.0</v>
      </c>
      <c r="B3653" s="464">
        <v>123.58</v>
      </c>
    </row>
    <row r="3654">
      <c r="A3654" s="463">
        <v>44607.0</v>
      </c>
      <c r="B3654" s="464">
        <v>126.79</v>
      </c>
    </row>
    <row r="3655">
      <c r="A3655" s="463">
        <v>44608.0</v>
      </c>
      <c r="B3655" s="464">
        <v>125.9</v>
      </c>
    </row>
    <row r="3656">
      <c r="A3656" s="463">
        <v>44609.0</v>
      </c>
      <c r="B3656" s="464">
        <v>124.4</v>
      </c>
    </row>
    <row r="3657">
      <c r="A3657" s="463">
        <v>44610.0</v>
      </c>
      <c r="B3657" s="464">
        <v>122.67</v>
      </c>
    </row>
    <row r="3658">
      <c r="A3658" s="463">
        <v>44614.0</v>
      </c>
      <c r="B3658" s="464">
        <v>120.38</v>
      </c>
    </row>
    <row r="3659">
      <c r="A3659" s="463">
        <v>44615.0</v>
      </c>
      <c r="B3659" s="464">
        <v>118.08</v>
      </c>
    </row>
    <row r="3660">
      <c r="A3660" s="463">
        <v>44616.0</v>
      </c>
      <c r="B3660" s="464">
        <v>118.12</v>
      </c>
    </row>
    <row r="3661">
      <c r="A3661" s="463">
        <v>44617.0</v>
      </c>
      <c r="B3661" s="464">
        <v>118.14</v>
      </c>
    </row>
    <row r="3662">
      <c r="A3662" s="463">
        <v>44620.0</v>
      </c>
      <c r="B3662" s="464">
        <v>117.32</v>
      </c>
    </row>
    <row r="3663">
      <c r="A3663" s="463">
        <v>44621.0</v>
      </c>
      <c r="B3663" s="464">
        <v>115.91</v>
      </c>
    </row>
    <row r="3664">
      <c r="A3664" s="463">
        <v>44622.0</v>
      </c>
      <c r="B3664" s="464">
        <v>119.6</v>
      </c>
    </row>
    <row r="3665">
      <c r="A3665" s="463">
        <v>44623.0</v>
      </c>
      <c r="B3665" s="464">
        <v>120.1</v>
      </c>
    </row>
    <row r="3666">
      <c r="A3666" s="463">
        <v>44624.0</v>
      </c>
      <c r="B3666" s="464">
        <v>119.26</v>
      </c>
    </row>
    <row r="3667">
      <c r="A3667" s="463">
        <v>44627.0</v>
      </c>
      <c r="B3667" s="464">
        <v>112.38</v>
      </c>
    </row>
    <row r="3668">
      <c r="A3668" s="463">
        <v>44628.0</v>
      </c>
      <c r="B3668" s="464">
        <v>109.89</v>
      </c>
    </row>
    <row r="3669">
      <c r="A3669" s="463">
        <v>44629.0</v>
      </c>
      <c r="B3669" s="464">
        <v>114.83</v>
      </c>
    </row>
    <row r="3670">
      <c r="A3670" s="463">
        <v>44630.0</v>
      </c>
      <c r="B3670" s="464">
        <v>114.01</v>
      </c>
    </row>
    <row r="3671">
      <c r="A3671" s="463">
        <v>44631.0</v>
      </c>
      <c r="B3671" s="464">
        <v>110.6</v>
      </c>
    </row>
    <row r="3672">
      <c r="A3672" s="463">
        <v>44634.0</v>
      </c>
      <c r="B3672" s="464">
        <v>108.69</v>
      </c>
    </row>
    <row r="3673">
      <c r="A3673" s="463">
        <v>44635.0</v>
      </c>
      <c r="B3673" s="464">
        <v>111.16</v>
      </c>
    </row>
    <row r="3674">
      <c r="A3674" s="463">
        <v>44636.0</v>
      </c>
      <c r="B3674" s="464">
        <v>113.0</v>
      </c>
    </row>
    <row r="3675">
      <c r="A3675" s="463">
        <v>44637.0</v>
      </c>
      <c r="B3675" s="464">
        <v>113.78</v>
      </c>
    </row>
    <row r="3676">
      <c r="A3676" s="463">
        <v>44638.0</v>
      </c>
      <c r="B3676" s="464">
        <v>115.31</v>
      </c>
    </row>
    <row r="3677">
      <c r="A3677" s="463">
        <v>44641.0</v>
      </c>
      <c r="B3677" s="464">
        <v>115.21</v>
      </c>
    </row>
    <row r="3678">
      <c r="A3678" s="463">
        <v>44642.0</v>
      </c>
      <c r="B3678" s="464">
        <v>116.8</v>
      </c>
    </row>
    <row r="3679">
      <c r="A3679" s="463">
        <v>44643.0</v>
      </c>
      <c r="B3679" s="464">
        <v>116.32</v>
      </c>
    </row>
    <row r="3680">
      <c r="A3680" s="463">
        <v>44644.0</v>
      </c>
      <c r="B3680" s="464">
        <v>117.37</v>
      </c>
    </row>
    <row r="3681">
      <c r="A3681" s="463">
        <v>44645.0</v>
      </c>
      <c r="B3681" s="464">
        <v>118.37</v>
      </c>
    </row>
    <row r="3682">
      <c r="A3682" s="463">
        <v>44648.0</v>
      </c>
      <c r="B3682" s="464">
        <v>118.76</v>
      </c>
    </row>
    <row r="3683">
      <c r="A3683" s="463">
        <v>44649.0</v>
      </c>
      <c r="B3683" s="464">
        <v>119.23</v>
      </c>
    </row>
    <row r="3684">
      <c r="A3684" s="463">
        <v>44650.0</v>
      </c>
      <c r="B3684" s="464">
        <v>116.19</v>
      </c>
    </row>
    <row r="3685">
      <c r="A3685" s="463">
        <v>44651.0</v>
      </c>
      <c r="B3685" s="464">
        <v>113.87</v>
      </c>
    </row>
    <row r="3686">
      <c r="A3686" s="463">
        <v>44652.0</v>
      </c>
      <c r="B3686" s="464">
        <v>114.21</v>
      </c>
    </row>
    <row r="3687">
      <c r="A3687" s="463">
        <v>44655.0</v>
      </c>
      <c r="B3687" s="464">
        <v>115.84</v>
      </c>
    </row>
    <row r="3688">
      <c r="A3688" s="463">
        <v>44656.0</v>
      </c>
      <c r="B3688" s="464">
        <v>115.53</v>
      </c>
    </row>
    <row r="3689">
      <c r="A3689" s="463">
        <v>44657.0</v>
      </c>
      <c r="B3689" s="464">
        <v>111.01</v>
      </c>
    </row>
    <row r="3690">
      <c r="A3690" s="463">
        <v>44658.0</v>
      </c>
      <c r="B3690" s="464">
        <v>111.25</v>
      </c>
    </row>
    <row r="3691">
      <c r="A3691" s="463">
        <v>44659.0</v>
      </c>
      <c r="B3691" s="464">
        <v>111.05</v>
      </c>
    </row>
    <row r="3692">
      <c r="A3692" s="463">
        <v>44662.0</v>
      </c>
      <c r="B3692" s="464">
        <v>111.11</v>
      </c>
    </row>
    <row r="3693">
      <c r="A3693" s="463">
        <v>44663.0</v>
      </c>
      <c r="B3693" s="464">
        <v>111.79</v>
      </c>
    </row>
    <row r="3694">
      <c r="A3694" s="463">
        <v>44664.0</v>
      </c>
      <c r="B3694" s="464">
        <v>114.25</v>
      </c>
    </row>
    <row r="3695">
      <c r="A3695" s="463">
        <v>44665.0</v>
      </c>
      <c r="B3695" s="464">
        <v>113.73</v>
      </c>
    </row>
    <row r="3696">
      <c r="A3696" s="463">
        <v>44669.0</v>
      </c>
      <c r="B3696" s="464">
        <v>109.47</v>
      </c>
    </row>
    <row r="3697">
      <c r="A3697" s="463">
        <v>44670.0</v>
      </c>
      <c r="B3697" s="464">
        <v>111.67</v>
      </c>
    </row>
    <row r="3698">
      <c r="A3698" s="463">
        <v>44671.0</v>
      </c>
      <c r="B3698" s="464">
        <v>111.2</v>
      </c>
    </row>
    <row r="3699">
      <c r="A3699" s="463">
        <v>44672.0</v>
      </c>
      <c r="B3699" s="464">
        <v>110.32</v>
      </c>
    </row>
    <row r="3700">
      <c r="A3700" s="463">
        <v>44673.0</v>
      </c>
      <c r="B3700" s="464">
        <v>108.18</v>
      </c>
    </row>
    <row r="3701">
      <c r="A3701" s="463">
        <v>44676.0</v>
      </c>
      <c r="B3701" s="464">
        <v>110.17</v>
      </c>
    </row>
    <row r="3702">
      <c r="A3702" s="463">
        <v>44677.0</v>
      </c>
      <c r="B3702" s="464">
        <v>107.03</v>
      </c>
    </row>
    <row r="3703">
      <c r="A3703" s="463">
        <v>44678.0</v>
      </c>
      <c r="B3703" s="464">
        <v>107.94</v>
      </c>
    </row>
    <row r="3704">
      <c r="A3704" s="463">
        <v>44679.0</v>
      </c>
      <c r="B3704" s="464">
        <v>110.88</v>
      </c>
    </row>
    <row r="3705">
      <c r="A3705" s="463">
        <v>44680.0</v>
      </c>
      <c r="B3705" s="464">
        <v>108.04</v>
      </c>
    </row>
    <row r="3706">
      <c r="A3706" s="463">
        <v>44683.0</v>
      </c>
      <c r="B3706" s="464">
        <v>109.74</v>
      </c>
    </row>
    <row r="3707">
      <c r="A3707" s="463">
        <v>44684.0</v>
      </c>
      <c r="B3707" s="464">
        <v>109.0</v>
      </c>
    </row>
    <row r="3708">
      <c r="A3708" s="463">
        <v>44685.0</v>
      </c>
      <c r="B3708" s="464">
        <v>109.85</v>
      </c>
    </row>
    <row r="3709">
      <c r="A3709" s="463">
        <v>44686.0</v>
      </c>
      <c r="B3709" s="464">
        <v>104.52</v>
      </c>
    </row>
    <row r="3710">
      <c r="A3710" s="463">
        <v>44687.0</v>
      </c>
      <c r="B3710" s="464">
        <v>100.63</v>
      </c>
    </row>
    <row r="3711">
      <c r="A3711" s="463">
        <v>44690.0</v>
      </c>
      <c r="B3711" s="464">
        <v>99.19</v>
      </c>
    </row>
    <row r="3712">
      <c r="A3712" s="463">
        <v>44691.0</v>
      </c>
      <c r="B3712" s="464">
        <v>97.57</v>
      </c>
    </row>
    <row r="3713">
      <c r="A3713" s="463">
        <v>44692.0</v>
      </c>
      <c r="B3713" s="464">
        <v>98.16</v>
      </c>
    </row>
    <row r="3714">
      <c r="A3714" s="463">
        <v>44693.0</v>
      </c>
      <c r="B3714" s="464">
        <v>99.61</v>
      </c>
    </row>
    <row r="3715">
      <c r="A3715" s="463">
        <v>44694.0</v>
      </c>
      <c r="B3715" s="464">
        <v>100.18</v>
      </c>
    </row>
    <row r="3716">
      <c r="A3716" s="463">
        <v>44697.0</v>
      </c>
      <c r="B3716" s="464">
        <v>100.6</v>
      </c>
    </row>
    <row r="3717">
      <c r="A3717" s="463">
        <v>44698.0</v>
      </c>
      <c r="B3717" s="464">
        <v>101.5</v>
      </c>
    </row>
    <row r="3718">
      <c r="A3718" s="463">
        <v>44699.0</v>
      </c>
      <c r="B3718" s="464">
        <v>93.63</v>
      </c>
    </row>
    <row r="3719">
      <c r="A3719" s="463">
        <v>44700.0</v>
      </c>
      <c r="B3719" s="464">
        <v>94.95</v>
      </c>
    </row>
    <row r="3720">
      <c r="A3720" s="463">
        <v>44701.0</v>
      </c>
      <c r="B3720" s="464">
        <v>95.71</v>
      </c>
    </row>
    <row r="3721">
      <c r="A3721" s="463">
        <v>44704.0</v>
      </c>
      <c r="B3721" s="464">
        <v>119.43</v>
      </c>
    </row>
    <row r="3722">
      <c r="A3722" s="463">
        <v>44705.0</v>
      </c>
      <c r="B3722" s="464">
        <v>115.94</v>
      </c>
    </row>
    <row r="3723">
      <c r="A3723" s="463">
        <v>44706.0</v>
      </c>
      <c r="B3723" s="464">
        <v>120.54</v>
      </c>
    </row>
    <row r="3724">
      <c r="A3724" s="463">
        <v>44707.0</v>
      </c>
      <c r="B3724" s="464">
        <v>124.36</v>
      </c>
    </row>
    <row r="3725">
      <c r="A3725" s="463">
        <v>44708.0</v>
      </c>
      <c r="B3725" s="464">
        <v>129.26</v>
      </c>
    </row>
    <row r="3726">
      <c r="A3726" s="463">
        <v>44712.0</v>
      </c>
      <c r="B3726" s="464">
        <v>128.1</v>
      </c>
    </row>
    <row r="3727">
      <c r="A3727" s="463">
        <v>44713.0</v>
      </c>
      <c r="B3727" s="464">
        <v>129.41</v>
      </c>
    </row>
    <row r="3728">
      <c r="A3728" s="463">
        <v>44714.0</v>
      </c>
      <c r="B3728" s="464">
        <v>131.69</v>
      </c>
    </row>
    <row r="3729">
      <c r="A3729" s="463">
        <v>44715.0</v>
      </c>
      <c r="B3729" s="464">
        <v>131.99</v>
      </c>
    </row>
    <row r="3730">
      <c r="A3730" s="463">
        <v>44718.0</v>
      </c>
      <c r="B3730" s="464">
        <v>130.8</v>
      </c>
    </row>
    <row r="3731">
      <c r="A3731" s="463">
        <v>44719.0</v>
      </c>
      <c r="B3731" s="464">
        <v>130.68</v>
      </c>
    </row>
    <row r="3732">
      <c r="A3732" s="463">
        <v>44720.0</v>
      </c>
      <c r="B3732" s="464">
        <v>128.89</v>
      </c>
    </row>
    <row r="3733">
      <c r="A3733" s="463">
        <v>44721.0</v>
      </c>
      <c r="B3733" s="464">
        <v>127.06</v>
      </c>
    </row>
    <row r="3734">
      <c r="A3734" s="463">
        <v>44722.0</v>
      </c>
      <c r="B3734" s="464">
        <v>125.41</v>
      </c>
    </row>
    <row r="3735">
      <c r="A3735" s="463">
        <v>44725.0</v>
      </c>
      <c r="B3735" s="464">
        <v>122.51</v>
      </c>
    </row>
    <row r="3736">
      <c r="A3736" s="463">
        <v>44726.0</v>
      </c>
      <c r="B3736" s="464">
        <v>121.32</v>
      </c>
    </row>
    <row r="3737">
      <c r="A3737" s="463">
        <v>44727.0</v>
      </c>
      <c r="B3737" s="464">
        <v>120.87</v>
      </c>
    </row>
    <row r="3738">
      <c r="A3738" s="463">
        <v>44728.0</v>
      </c>
      <c r="B3738" s="464">
        <v>116.17</v>
      </c>
    </row>
    <row r="3739">
      <c r="A3739" s="463">
        <v>44729.0</v>
      </c>
      <c r="B3739" s="464">
        <v>116.22</v>
      </c>
    </row>
    <row r="3740">
      <c r="A3740" s="463">
        <v>44733.0</v>
      </c>
      <c r="B3740" s="464">
        <v>117.19</v>
      </c>
    </row>
    <row r="3741">
      <c r="A3741" s="463">
        <v>44734.0</v>
      </c>
      <c r="B3741" s="464">
        <v>117.21</v>
      </c>
    </row>
    <row r="3742">
      <c r="A3742" s="463">
        <v>44735.0</v>
      </c>
      <c r="B3742" s="464">
        <v>114.7</v>
      </c>
    </row>
    <row r="3743">
      <c r="A3743" s="463">
        <v>44736.0</v>
      </c>
      <c r="B3743" s="464">
        <v>117.96</v>
      </c>
    </row>
    <row r="3744">
      <c r="A3744" s="463">
        <v>44739.0</v>
      </c>
      <c r="B3744" s="464">
        <v>117.66</v>
      </c>
    </row>
    <row r="3745">
      <c r="A3745" s="463">
        <v>44740.0</v>
      </c>
      <c r="B3745" s="464">
        <v>116.25</v>
      </c>
    </row>
    <row r="3746">
      <c r="A3746" s="463">
        <v>44741.0</v>
      </c>
      <c r="B3746" s="464">
        <v>114.99</v>
      </c>
    </row>
    <row r="3747">
      <c r="A3747" s="463">
        <v>44742.0</v>
      </c>
      <c r="B3747" s="464">
        <v>113.98</v>
      </c>
    </row>
    <row r="3748">
      <c r="A3748" s="463">
        <v>44743.0</v>
      </c>
      <c r="B3748" s="464">
        <v>114.06</v>
      </c>
    </row>
    <row r="3749">
      <c r="A3749" s="463">
        <v>44747.0</v>
      </c>
      <c r="B3749" s="464">
        <v>114.03</v>
      </c>
    </row>
    <row r="3750">
      <c r="A3750" s="463">
        <v>44748.0</v>
      </c>
      <c r="B3750" s="464">
        <v>112.96</v>
      </c>
    </row>
    <row r="3751">
      <c r="A3751" s="463">
        <v>44749.0</v>
      </c>
      <c r="B3751" s="464">
        <v>115.47</v>
      </c>
    </row>
    <row r="3752">
      <c r="A3752" s="463">
        <v>44750.0</v>
      </c>
      <c r="B3752" s="464">
        <v>113.6</v>
      </c>
    </row>
    <row r="3753">
      <c r="A3753" s="463">
        <v>44753.0</v>
      </c>
      <c r="B3753" s="464">
        <v>112.3</v>
      </c>
    </row>
    <row r="3754">
      <c r="A3754" s="463">
        <v>44754.0</v>
      </c>
      <c r="B3754" s="464">
        <v>110.66</v>
      </c>
    </row>
    <row r="3755">
      <c r="A3755" s="463">
        <v>44755.0</v>
      </c>
      <c r="B3755" s="464">
        <v>109.95</v>
      </c>
    </row>
    <row r="3756">
      <c r="A3756" s="463">
        <v>44756.0</v>
      </c>
      <c r="B3756" s="464">
        <v>108.89</v>
      </c>
    </row>
    <row r="3757">
      <c r="A3757" s="463">
        <v>44757.0</v>
      </c>
      <c r="B3757" s="464">
        <v>110.62</v>
      </c>
    </row>
    <row r="3758">
      <c r="A3758" s="463">
        <v>44760.0</v>
      </c>
      <c r="B3758" s="464">
        <v>110.9</v>
      </c>
    </row>
    <row r="3759">
      <c r="A3759" s="463">
        <v>44761.0</v>
      </c>
      <c r="B3759" s="464">
        <v>114.14</v>
      </c>
    </row>
    <row r="3760">
      <c r="A3760" s="463">
        <v>44762.0</v>
      </c>
      <c r="B3760" s="464">
        <v>115.49</v>
      </c>
    </row>
    <row r="3761">
      <c r="A3761" s="463">
        <v>44763.0</v>
      </c>
      <c r="B3761" s="464">
        <v>115.27</v>
      </c>
    </row>
    <row r="3762">
      <c r="A3762" s="463">
        <v>44764.0</v>
      </c>
      <c r="B3762" s="464">
        <v>113.6</v>
      </c>
    </row>
    <row r="3763">
      <c r="A3763" s="463">
        <v>44767.0</v>
      </c>
      <c r="B3763" s="464">
        <v>113.47</v>
      </c>
    </row>
    <row r="3764">
      <c r="A3764" s="463">
        <v>44768.0</v>
      </c>
      <c r="B3764" s="464">
        <v>113.45</v>
      </c>
    </row>
    <row r="3765">
      <c r="A3765" s="463">
        <v>44769.0</v>
      </c>
      <c r="B3765" s="464">
        <v>115.73</v>
      </c>
    </row>
    <row r="3766">
      <c r="A3766" s="463">
        <v>44770.0</v>
      </c>
      <c r="B3766" s="464">
        <v>116.36</v>
      </c>
    </row>
    <row r="3767">
      <c r="A3767" s="463">
        <v>44771.0</v>
      </c>
      <c r="B3767" s="464">
        <v>116.2</v>
      </c>
    </row>
    <row r="3768">
      <c r="A3768" s="463">
        <v>44774.0</v>
      </c>
      <c r="B3768" s="464">
        <v>116.17</v>
      </c>
    </row>
    <row r="3769">
      <c r="A3769" s="463">
        <v>44775.0</v>
      </c>
      <c r="B3769" s="464">
        <v>115.74</v>
      </c>
    </row>
    <row r="3770">
      <c r="A3770" s="463">
        <v>44776.0</v>
      </c>
      <c r="B3770" s="464">
        <v>116.88</v>
      </c>
    </row>
    <row r="3771">
      <c r="A3771" s="463">
        <v>44777.0</v>
      </c>
      <c r="B3771" s="464">
        <v>117.0</v>
      </c>
    </row>
    <row r="3772">
      <c r="A3772" s="463">
        <v>44778.0</v>
      </c>
      <c r="B3772" s="464">
        <v>117.25</v>
      </c>
    </row>
    <row r="3773">
      <c r="A3773" s="463">
        <v>44781.0</v>
      </c>
      <c r="B3773" s="464">
        <v>117.21</v>
      </c>
    </row>
    <row r="3774">
      <c r="A3774" s="463">
        <v>44782.0</v>
      </c>
      <c r="B3774" s="464">
        <v>116.56</v>
      </c>
    </row>
    <row r="3775">
      <c r="A3775" s="463">
        <v>44783.0</v>
      </c>
      <c r="B3775" s="464">
        <v>120.03</v>
      </c>
    </row>
    <row r="3776">
      <c r="A3776" s="463">
        <v>44784.0</v>
      </c>
      <c r="B3776" s="464">
        <v>120.11</v>
      </c>
    </row>
    <row r="3777">
      <c r="A3777" s="463">
        <v>44785.0</v>
      </c>
      <c r="B3777" s="464">
        <v>121.96</v>
      </c>
    </row>
    <row r="3778">
      <c r="A3778" s="463">
        <v>44788.0</v>
      </c>
      <c r="B3778" s="464">
        <v>122.42</v>
      </c>
    </row>
    <row r="3779">
      <c r="A3779" s="463">
        <v>44789.0</v>
      </c>
      <c r="B3779" s="464">
        <v>122.64</v>
      </c>
    </row>
    <row r="3780">
      <c r="A3780" s="463">
        <v>44790.0</v>
      </c>
      <c r="B3780" s="464">
        <v>120.98</v>
      </c>
    </row>
    <row r="3781">
      <c r="A3781" s="463">
        <v>44791.0</v>
      </c>
      <c r="B3781" s="464">
        <v>122.44</v>
      </c>
    </row>
    <row r="3782">
      <c r="A3782" s="463">
        <v>44792.0</v>
      </c>
      <c r="B3782" s="464">
        <v>121.58</v>
      </c>
    </row>
    <row r="3783">
      <c r="A3783" s="463">
        <v>44795.0</v>
      </c>
      <c r="B3783" s="464">
        <v>118.05</v>
      </c>
    </row>
    <row r="3784">
      <c r="A3784" s="463">
        <v>44796.0</v>
      </c>
      <c r="B3784" s="464">
        <v>118.26</v>
      </c>
    </row>
    <row r="3785">
      <c r="A3785" s="463">
        <v>44797.0</v>
      </c>
      <c r="B3785" s="464">
        <v>118.95</v>
      </c>
    </row>
    <row r="3786">
      <c r="A3786" s="463">
        <v>44798.0</v>
      </c>
      <c r="B3786" s="464">
        <v>121.7</v>
      </c>
    </row>
    <row r="3787">
      <c r="A3787" s="463">
        <v>44799.0</v>
      </c>
      <c r="B3787" s="464">
        <v>118.71</v>
      </c>
    </row>
    <row r="3788">
      <c r="A3788" s="463">
        <v>44802.0</v>
      </c>
      <c r="B3788" s="464">
        <v>118.28</v>
      </c>
    </row>
    <row r="3789">
      <c r="A3789" s="463">
        <v>44803.0</v>
      </c>
      <c r="B3789" s="464">
        <v>117.55</v>
      </c>
    </row>
    <row r="3790">
      <c r="A3790" s="463">
        <v>44804.0</v>
      </c>
      <c r="B3790" s="464">
        <v>116.03</v>
      </c>
    </row>
    <row r="3791">
      <c r="A3791" s="463">
        <v>44805.0</v>
      </c>
      <c r="B3791" s="464">
        <v>114.82</v>
      </c>
    </row>
    <row r="3792">
      <c r="A3792" s="463">
        <v>44806.0</v>
      </c>
      <c r="B3792" s="464">
        <v>115.66</v>
      </c>
    </row>
    <row r="3793">
      <c r="A3793" s="463">
        <v>44810.0</v>
      </c>
      <c r="B3793" s="464">
        <v>114.51</v>
      </c>
    </row>
    <row r="3794">
      <c r="A3794" s="463">
        <v>44811.0</v>
      </c>
      <c r="B3794" s="464">
        <v>115.62</v>
      </c>
    </row>
    <row r="3795">
      <c r="A3795" s="463">
        <v>44812.0</v>
      </c>
      <c r="B3795" s="464">
        <v>116.97</v>
      </c>
    </row>
    <row r="3796">
      <c r="A3796" s="463">
        <v>44813.0</v>
      </c>
      <c r="B3796" s="464">
        <v>118.12</v>
      </c>
    </row>
    <row r="3797">
      <c r="A3797" s="463">
        <v>44816.0</v>
      </c>
      <c r="B3797" s="464">
        <v>118.68</v>
      </c>
    </row>
    <row r="3798">
      <c r="A3798" s="463">
        <v>44817.0</v>
      </c>
      <c r="B3798" s="464">
        <v>115.11</v>
      </c>
    </row>
    <row r="3799">
      <c r="A3799" s="463">
        <v>44818.0</v>
      </c>
      <c r="B3799" s="464">
        <v>116.12</v>
      </c>
    </row>
    <row r="3800">
      <c r="A3800" s="463">
        <v>44819.0</v>
      </c>
      <c r="B3800" s="464">
        <v>113.67</v>
      </c>
    </row>
    <row r="3801">
      <c r="A3801" s="463">
        <v>44820.0</v>
      </c>
      <c r="B3801" s="464">
        <v>112.44</v>
      </c>
    </row>
    <row r="3802">
      <c r="A3802" s="463">
        <v>44823.0</v>
      </c>
      <c r="B3802" s="464">
        <v>112.47</v>
      </c>
    </row>
    <row r="3803">
      <c r="A3803" s="463">
        <v>44824.0</v>
      </c>
      <c r="B3803" s="464">
        <v>111.0</v>
      </c>
    </row>
    <row r="3804">
      <c r="A3804" s="463">
        <v>44825.0</v>
      </c>
      <c r="B3804" s="464">
        <v>111.0</v>
      </c>
    </row>
    <row r="3805">
      <c r="A3805" s="463">
        <v>44826.0</v>
      </c>
      <c r="B3805" s="464">
        <v>110.81</v>
      </c>
    </row>
    <row r="3806">
      <c r="A3806" s="463">
        <v>44827.0</v>
      </c>
      <c r="B3806" s="464">
        <v>109.6</v>
      </c>
    </row>
    <row r="3807">
      <c r="A3807" s="463">
        <v>44830.0</v>
      </c>
      <c r="B3807" s="464">
        <v>107.71</v>
      </c>
    </row>
    <row r="3808">
      <c r="A3808" s="463">
        <v>44831.0</v>
      </c>
      <c r="B3808" s="464">
        <v>108.2</v>
      </c>
    </row>
    <row r="3809">
      <c r="A3809" s="463">
        <v>44832.0</v>
      </c>
      <c r="B3809" s="464">
        <v>109.21</v>
      </c>
    </row>
    <row r="3810">
      <c r="A3810" s="463">
        <v>44833.0</v>
      </c>
      <c r="B3810" s="464">
        <v>107.48</v>
      </c>
    </row>
    <row r="3811">
      <c r="A3811" s="463">
        <v>44834.0</v>
      </c>
      <c r="B3811" s="464">
        <v>106.46</v>
      </c>
    </row>
    <row r="3812">
      <c r="A3812" s="463">
        <v>44837.0</v>
      </c>
      <c r="B3812" s="464">
        <v>108.56</v>
      </c>
    </row>
    <row r="3813">
      <c r="A3813" s="463">
        <v>44838.0</v>
      </c>
      <c r="B3813" s="464">
        <v>112.9</v>
      </c>
    </row>
    <row r="3814">
      <c r="A3814" s="463">
        <v>44839.0</v>
      </c>
      <c r="B3814" s="464">
        <v>112.97</v>
      </c>
    </row>
    <row r="3815">
      <c r="A3815" s="463">
        <v>44840.0</v>
      </c>
      <c r="B3815" s="464">
        <v>112.05</v>
      </c>
    </row>
    <row r="3816">
      <c r="A3816" s="463">
        <v>44841.0</v>
      </c>
      <c r="B3816" s="464">
        <v>109.81</v>
      </c>
    </row>
    <row r="3817">
      <c r="A3817" s="463">
        <v>44844.0</v>
      </c>
      <c r="B3817" s="464">
        <v>107.06</v>
      </c>
    </row>
    <row r="3818">
      <c r="A3818" s="463">
        <v>44845.0</v>
      </c>
      <c r="B3818" s="464">
        <v>105.77</v>
      </c>
    </row>
    <row r="3819">
      <c r="A3819" s="463">
        <v>44846.0</v>
      </c>
      <c r="B3819" s="464">
        <v>105.95</v>
      </c>
    </row>
    <row r="3820">
      <c r="A3820" s="463">
        <v>44847.0</v>
      </c>
      <c r="B3820" s="464">
        <v>106.6</v>
      </c>
    </row>
    <row r="3821">
      <c r="A3821" s="463">
        <v>44848.0</v>
      </c>
      <c r="B3821" s="464">
        <v>106.17</v>
      </c>
    </row>
    <row r="3822">
      <c r="A3822" s="463">
        <v>44851.0</v>
      </c>
      <c r="B3822" s="464">
        <v>107.82</v>
      </c>
    </row>
    <row r="3823">
      <c r="A3823" s="463">
        <v>44852.0</v>
      </c>
      <c r="B3823" s="464">
        <v>108.07</v>
      </c>
    </row>
    <row r="3824">
      <c r="A3824" s="463">
        <v>44853.0</v>
      </c>
      <c r="B3824" s="464">
        <v>107.73</v>
      </c>
    </row>
    <row r="3825">
      <c r="A3825" s="463">
        <v>44854.0</v>
      </c>
      <c r="B3825" s="464">
        <v>107.61</v>
      </c>
    </row>
    <row r="3826">
      <c r="A3826" s="463">
        <v>44855.0</v>
      </c>
      <c r="B3826" s="464">
        <v>109.64</v>
      </c>
    </row>
    <row r="3827">
      <c r="A3827" s="463">
        <v>44858.0</v>
      </c>
      <c r="B3827" s="464">
        <v>110.61</v>
      </c>
    </row>
    <row r="3828">
      <c r="A3828" s="463">
        <v>44859.0</v>
      </c>
      <c r="B3828" s="464">
        <v>111.42</v>
      </c>
    </row>
    <row r="3829">
      <c r="A3829" s="463">
        <v>44860.0</v>
      </c>
      <c r="B3829" s="464">
        <v>111.3</v>
      </c>
    </row>
    <row r="3830">
      <c r="A3830" s="463">
        <v>44861.0</v>
      </c>
      <c r="B3830" s="464">
        <v>110.72</v>
      </c>
    </row>
    <row r="3831">
      <c r="A3831" s="463">
        <v>44862.0</v>
      </c>
      <c r="B3831" s="464">
        <v>113.15</v>
      </c>
    </row>
    <row r="3832">
      <c r="A3832" s="463">
        <v>44865.0</v>
      </c>
      <c r="B3832" s="464">
        <v>112.53</v>
      </c>
    </row>
    <row r="3833">
      <c r="A3833" s="463">
        <v>44866.0</v>
      </c>
      <c r="B3833" s="464">
        <v>112.62</v>
      </c>
    </row>
    <row r="3834">
      <c r="A3834" s="463">
        <v>44867.0</v>
      </c>
      <c r="B3834" s="464">
        <v>111.95</v>
      </c>
    </row>
    <row r="3835">
      <c r="A3835" s="463">
        <v>44868.0</v>
      </c>
      <c r="B3835" s="464">
        <v>109.17</v>
      </c>
    </row>
    <row r="3836">
      <c r="A3836" s="463">
        <v>44869.0</v>
      </c>
      <c r="B3836" s="464">
        <v>110.73</v>
      </c>
    </row>
    <row r="3837">
      <c r="A3837" s="463">
        <v>44872.0</v>
      </c>
      <c r="B3837" s="464">
        <v>111.31</v>
      </c>
    </row>
    <row r="3838">
      <c r="A3838" s="463">
        <v>44873.0</v>
      </c>
      <c r="B3838" s="464">
        <v>111.93</v>
      </c>
    </row>
    <row r="3839">
      <c r="A3839" s="463">
        <v>44874.0</v>
      </c>
      <c r="B3839" s="464">
        <v>110.53</v>
      </c>
    </row>
    <row r="3840">
      <c r="A3840" s="463">
        <v>44875.0</v>
      </c>
      <c r="B3840" s="464">
        <v>114.61</v>
      </c>
    </row>
    <row r="3841">
      <c r="A3841" s="463">
        <v>44876.0</v>
      </c>
      <c r="B3841" s="464">
        <v>115.97</v>
      </c>
    </row>
    <row r="3842">
      <c r="A3842" s="463">
        <v>44879.0</v>
      </c>
      <c r="B3842" s="464">
        <v>115.57</v>
      </c>
    </row>
    <row r="3843">
      <c r="A3843" s="463">
        <v>44880.0</v>
      </c>
      <c r="B3843" s="464">
        <v>116.29</v>
      </c>
    </row>
    <row r="3844">
      <c r="A3844" s="463">
        <v>44881.0</v>
      </c>
      <c r="B3844" s="464">
        <v>115.32</v>
      </c>
    </row>
    <row r="3845">
      <c r="A3845" s="463">
        <v>44882.0</v>
      </c>
      <c r="B3845" s="464">
        <v>115.43</v>
      </c>
    </row>
    <row r="3846">
      <c r="A3846" s="463">
        <v>44883.0</v>
      </c>
      <c r="B3846" s="464">
        <v>116.56</v>
      </c>
    </row>
    <row r="3847">
      <c r="A3847" s="463">
        <v>44886.0</v>
      </c>
      <c r="B3847" s="464">
        <v>116.77</v>
      </c>
    </row>
    <row r="3848">
      <c r="A3848" s="463">
        <v>44887.0</v>
      </c>
      <c r="B3848" s="464">
        <v>118.39</v>
      </c>
    </row>
    <row r="3849">
      <c r="A3849" s="463">
        <v>44888.0</v>
      </c>
      <c r="B3849" s="464">
        <v>119.35</v>
      </c>
    </row>
    <row r="3850">
      <c r="A3850" s="463">
        <v>44890.0</v>
      </c>
      <c r="B3850" s="464">
        <v>119.26</v>
      </c>
    </row>
    <row r="3851">
      <c r="A3851" s="463">
        <v>44893.0</v>
      </c>
      <c r="B3851" s="464">
        <v>117.52</v>
      </c>
    </row>
    <row r="3852">
      <c r="A3852" s="463">
        <v>44894.0</v>
      </c>
      <c r="B3852" s="464">
        <v>118.03</v>
      </c>
    </row>
    <row r="3853">
      <c r="A3853" s="463">
        <v>44895.0</v>
      </c>
      <c r="B3853" s="464">
        <v>121.49</v>
      </c>
    </row>
    <row r="3854">
      <c r="A3854" s="463">
        <v>44896.0</v>
      </c>
      <c r="B3854" s="464">
        <v>121.68</v>
      </c>
    </row>
    <row r="3855">
      <c r="A3855" s="463">
        <v>44897.0</v>
      </c>
      <c r="B3855" s="464">
        <v>120.84</v>
      </c>
    </row>
    <row r="3856">
      <c r="A3856" s="463">
        <v>44900.0</v>
      </c>
      <c r="B3856" s="464">
        <v>119.65</v>
      </c>
    </row>
    <row r="3857">
      <c r="A3857" s="463">
        <v>44901.0</v>
      </c>
      <c r="B3857" s="464">
        <v>118.62</v>
      </c>
    </row>
    <row r="3858">
      <c r="A3858" s="463">
        <v>44902.0</v>
      </c>
      <c r="B3858" s="464">
        <v>118.16</v>
      </c>
    </row>
    <row r="3859">
      <c r="A3859" s="463">
        <v>44903.0</v>
      </c>
      <c r="B3859" s="464">
        <v>119.31</v>
      </c>
    </row>
    <row r="3860">
      <c r="A3860" s="463">
        <v>44904.0</v>
      </c>
      <c r="B3860" s="464">
        <v>120.94</v>
      </c>
    </row>
    <row r="3861">
      <c r="A3861" s="463">
        <v>44907.0</v>
      </c>
      <c r="B3861" s="464">
        <v>122.61</v>
      </c>
    </row>
    <row r="3862">
      <c r="A3862" s="463">
        <v>44908.0</v>
      </c>
      <c r="B3862" s="464">
        <v>123.7</v>
      </c>
    </row>
    <row r="3863">
      <c r="A3863" s="463">
        <v>44909.0</v>
      </c>
      <c r="B3863" s="464">
        <v>124.55</v>
      </c>
    </row>
    <row r="3864">
      <c r="A3864" s="463">
        <v>44910.0</v>
      </c>
      <c r="B3864" s="464">
        <v>122.99</v>
      </c>
    </row>
    <row r="3865">
      <c r="A3865" s="463">
        <v>44911.0</v>
      </c>
      <c r="B3865" s="464">
        <v>121.76</v>
      </c>
    </row>
    <row r="3866">
      <c r="A3866" s="463">
        <v>44914.0</v>
      </c>
      <c r="B3866" s="464">
        <v>120.82</v>
      </c>
    </row>
    <row r="3867">
      <c r="A3867" s="463">
        <v>44915.0</v>
      </c>
      <c r="B3867" s="464">
        <v>120.6</v>
      </c>
    </row>
    <row r="3868">
      <c r="A3868" s="463">
        <v>44916.0</v>
      </c>
      <c r="B3868" s="464">
        <v>121.92</v>
      </c>
    </row>
    <row r="3869">
      <c r="A3869" s="463">
        <v>44917.0</v>
      </c>
      <c r="B3869" s="464">
        <v>121.49</v>
      </c>
    </row>
    <row r="3870">
      <c r="A3870" s="463">
        <v>44918.0</v>
      </c>
      <c r="B3870" s="464">
        <v>121.42</v>
      </c>
    </row>
    <row r="3871">
      <c r="A3871" s="463">
        <v>44922.0</v>
      </c>
      <c r="B3871" s="464">
        <v>121.33</v>
      </c>
    </row>
    <row r="3872">
      <c r="A3872" s="463">
        <v>44923.0</v>
      </c>
      <c r="B3872" s="464">
        <v>120.19</v>
      </c>
    </row>
    <row r="3873">
      <c r="A3873" s="463">
        <v>44924.0</v>
      </c>
      <c r="B3873" s="464">
        <v>122.01</v>
      </c>
    </row>
    <row r="3874">
      <c r="A3874" s="463">
        <v>44925.0</v>
      </c>
      <c r="B3874" s="464">
        <v>122.76</v>
      </c>
    </row>
    <row r="3875">
      <c r="A3875" s="463">
        <v>44929.0</v>
      </c>
      <c r="B3875" s="464">
        <v>122.32</v>
      </c>
    </row>
    <row r="3876">
      <c r="A3876" s="463">
        <v>44930.0</v>
      </c>
      <c r="B3876" s="464">
        <v>122.92</v>
      </c>
    </row>
    <row r="3877">
      <c r="A3877" s="463">
        <v>44931.0</v>
      </c>
      <c r="B3877" s="464">
        <v>121.73</v>
      </c>
    </row>
    <row r="3878">
      <c r="A3878" s="463">
        <v>44932.0</v>
      </c>
      <c r="B3878" s="464">
        <v>126.14</v>
      </c>
    </row>
    <row r="3879">
      <c r="A3879" s="463">
        <v>44935.0</v>
      </c>
      <c r="B3879" s="464">
        <v>124.27</v>
      </c>
    </row>
    <row r="3880">
      <c r="A3880" s="463">
        <v>44936.0</v>
      </c>
      <c r="B3880" s="464">
        <v>124.26</v>
      </c>
    </row>
    <row r="3881">
      <c r="A3881" s="463">
        <v>44937.0</v>
      </c>
      <c r="B3881" s="464">
        <v>124.86</v>
      </c>
    </row>
    <row r="3882">
      <c r="A3882" s="463">
        <v>44938.0</v>
      </c>
      <c r="B3882" s="464">
        <v>125.56</v>
      </c>
    </row>
    <row r="3883">
      <c r="A3883" s="463">
        <v>44939.0</v>
      </c>
      <c r="B3883" s="464">
        <v>124.93</v>
      </c>
    </row>
    <row r="3884">
      <c r="A3884" s="463">
        <v>44943.0</v>
      </c>
      <c r="B3884" s="464">
        <v>124.98</v>
      </c>
    </row>
    <row r="3885">
      <c r="A3885" s="463">
        <v>44944.0</v>
      </c>
      <c r="B3885" s="464">
        <v>124.46</v>
      </c>
    </row>
    <row r="3886">
      <c r="A3886" s="463">
        <v>44945.0</v>
      </c>
      <c r="B3886" s="464">
        <v>122.94</v>
      </c>
    </row>
    <row r="3887">
      <c r="A3887" s="463">
        <v>44946.0</v>
      </c>
      <c r="B3887" s="464">
        <v>124.02</v>
      </c>
    </row>
    <row r="3888">
      <c r="A3888" s="463">
        <v>44949.0</v>
      </c>
      <c r="B3888" s="464">
        <v>125.08</v>
      </c>
    </row>
    <row r="3889">
      <c r="A3889" s="463">
        <v>44950.0</v>
      </c>
      <c r="B3889" s="464">
        <v>125.74</v>
      </c>
    </row>
    <row r="3890">
      <c r="A3890" s="463">
        <v>44951.0</v>
      </c>
      <c r="B3890" s="464">
        <v>125.04</v>
      </c>
    </row>
    <row r="3891">
      <c r="A3891" s="463">
        <v>44952.0</v>
      </c>
      <c r="B3891" s="464">
        <v>126.37</v>
      </c>
    </row>
    <row r="3892">
      <c r="A3892" s="463">
        <v>44953.0</v>
      </c>
      <c r="B3892" s="464">
        <v>124.4</v>
      </c>
    </row>
    <row r="3893">
      <c r="A3893" s="463">
        <v>44956.0</v>
      </c>
      <c r="B3893" s="464">
        <v>121.8</v>
      </c>
    </row>
    <row r="3894">
      <c r="A3894" s="463">
        <v>44957.0</v>
      </c>
      <c r="B3894" s="464">
        <v>122.47</v>
      </c>
    </row>
    <row r="3895">
      <c r="A3895" s="463">
        <v>44958.0</v>
      </c>
      <c r="B3895" s="464">
        <v>123.34</v>
      </c>
    </row>
    <row r="3896">
      <c r="A3896" s="463">
        <v>44959.0</v>
      </c>
      <c r="B3896" s="464">
        <v>124.02</v>
      </c>
    </row>
    <row r="3897">
      <c r="A3897" s="463">
        <v>44960.0</v>
      </c>
      <c r="B3897" s="464">
        <v>121.77</v>
      </c>
    </row>
    <row r="3898">
      <c r="A3898" s="463">
        <v>44963.0</v>
      </c>
      <c r="B3898" s="464">
        <v>119.34</v>
      </c>
    </row>
    <row r="3899">
      <c r="A3899" s="463">
        <v>44964.0</v>
      </c>
      <c r="B3899" s="464">
        <v>121.0</v>
      </c>
    </row>
    <row r="3900">
      <c r="A3900" s="463">
        <v>44965.0</v>
      </c>
      <c r="B3900" s="464">
        <v>118.63</v>
      </c>
    </row>
    <row r="3901">
      <c r="A3901" s="463">
        <v>44966.0</v>
      </c>
      <c r="B3901" s="464">
        <v>118.76</v>
      </c>
    </row>
    <row r="3902">
      <c r="A3902" s="463">
        <v>44967.0</v>
      </c>
      <c r="B3902" s="464">
        <v>116.34</v>
      </c>
    </row>
    <row r="3903">
      <c r="A3903" s="463">
        <v>44970.0</v>
      </c>
      <c r="B3903" s="464">
        <v>117.74</v>
      </c>
    </row>
    <row r="3904">
      <c r="A3904" s="463">
        <v>44971.0</v>
      </c>
      <c r="B3904" s="464">
        <v>117.23</v>
      </c>
    </row>
    <row r="3905">
      <c r="A3905" s="463">
        <v>44972.0</v>
      </c>
      <c r="B3905" s="464">
        <v>117.85</v>
      </c>
    </row>
    <row r="3906">
      <c r="A3906" s="463">
        <v>44973.0</v>
      </c>
      <c r="B3906" s="464">
        <v>116.26</v>
      </c>
    </row>
    <row r="3907">
      <c r="A3907" s="463">
        <v>44974.0</v>
      </c>
      <c r="B3907" s="464">
        <v>116.15</v>
      </c>
    </row>
    <row r="3908">
      <c r="A3908" s="463">
        <v>44978.0</v>
      </c>
      <c r="B3908" s="464">
        <v>114.49</v>
      </c>
    </row>
    <row r="3909">
      <c r="A3909" s="463">
        <v>44979.0</v>
      </c>
      <c r="B3909" s="464">
        <v>112.77</v>
      </c>
    </row>
    <row r="3910">
      <c r="A3910" s="463">
        <v>44980.0</v>
      </c>
      <c r="B3910" s="464">
        <v>113.71</v>
      </c>
    </row>
    <row r="3911">
      <c r="A3911" s="463">
        <v>44981.0</v>
      </c>
      <c r="B3911" s="464">
        <v>112.69</v>
      </c>
    </row>
    <row r="3912">
      <c r="A3912" s="463">
        <v>44984.0</v>
      </c>
      <c r="B3912" s="464">
        <v>110.96</v>
      </c>
    </row>
    <row r="3913">
      <c r="A3913" s="463">
        <v>44985.0</v>
      </c>
      <c r="B3913" s="464">
        <v>110.13</v>
      </c>
    </row>
    <row r="3914">
      <c r="A3914" s="463">
        <v>44986.0</v>
      </c>
      <c r="B3914" s="464">
        <v>110.09</v>
      </c>
    </row>
    <row r="3915">
      <c r="A3915" s="463">
        <v>44987.0</v>
      </c>
      <c r="B3915" s="464">
        <v>111.25</v>
      </c>
    </row>
    <row r="3916">
      <c r="A3916" s="463">
        <v>44988.0</v>
      </c>
      <c r="B3916" s="464">
        <v>118.88</v>
      </c>
    </row>
    <row r="3917">
      <c r="A3917" s="463">
        <v>44991.0</v>
      </c>
      <c r="B3917" s="464">
        <v>119.39</v>
      </c>
    </row>
    <row r="3918">
      <c r="A3918" s="463">
        <v>44992.0</v>
      </c>
      <c r="B3918" s="464">
        <v>120.05</v>
      </c>
    </row>
    <row r="3919">
      <c r="A3919" s="463">
        <v>44993.0</v>
      </c>
      <c r="B3919" s="464">
        <v>120.2</v>
      </c>
    </row>
    <row r="3920">
      <c r="A3920" s="463">
        <v>44994.0</v>
      </c>
      <c r="B3920" s="464">
        <v>118.33</v>
      </c>
    </row>
    <row r="3921">
      <c r="A3921" s="463">
        <v>44995.0</v>
      </c>
      <c r="B3921" s="464">
        <v>117.64</v>
      </c>
    </row>
    <row r="3922">
      <c r="A3922" s="463">
        <v>44998.0</v>
      </c>
      <c r="B3922" s="464">
        <v>116.0</v>
      </c>
    </row>
    <row r="3923">
      <c r="A3923" s="463">
        <v>44999.0</v>
      </c>
      <c r="B3923" s="464">
        <v>118.57</v>
      </c>
    </row>
    <row r="3924">
      <c r="A3924" s="463">
        <v>45000.0</v>
      </c>
      <c r="B3924" s="464">
        <v>119.4</v>
      </c>
    </row>
    <row r="3925">
      <c r="A3925" s="463">
        <v>45001.0</v>
      </c>
      <c r="B3925" s="464">
        <v>120.55</v>
      </c>
    </row>
    <row r="3926">
      <c r="A3926" s="463">
        <v>45002.0</v>
      </c>
      <c r="B3926" s="464">
        <v>118.27</v>
      </c>
    </row>
    <row r="3927">
      <c r="A3927" s="463">
        <v>45005.0</v>
      </c>
      <c r="B3927" s="464">
        <v>117.78</v>
      </c>
    </row>
    <row r="3928">
      <c r="A3928" s="463">
        <v>45006.0</v>
      </c>
      <c r="B3928" s="464">
        <v>118.57</v>
      </c>
    </row>
    <row r="3929">
      <c r="A3929" s="463">
        <v>45007.0</v>
      </c>
      <c r="B3929" s="464">
        <v>118.27</v>
      </c>
    </row>
    <row r="3930">
      <c r="A3930" s="463">
        <v>45008.0</v>
      </c>
      <c r="B3930" s="464">
        <v>119.06</v>
      </c>
    </row>
    <row r="3931">
      <c r="A3931" s="463">
        <v>45009.0</v>
      </c>
      <c r="B3931" s="464">
        <v>122.28</v>
      </c>
    </row>
    <row r="3932">
      <c r="A3932" s="463">
        <v>45012.0</v>
      </c>
      <c r="B3932" s="464">
        <v>122.34</v>
      </c>
    </row>
    <row r="3933">
      <c r="A3933" s="463">
        <v>45013.0</v>
      </c>
      <c r="B3933" s="464">
        <v>122.61</v>
      </c>
    </row>
    <row r="3934">
      <c r="A3934" s="463">
        <v>45014.0</v>
      </c>
      <c r="B3934" s="464">
        <v>122.98</v>
      </c>
    </row>
    <row r="3935">
      <c r="A3935" s="463">
        <v>45015.0</v>
      </c>
      <c r="B3935" s="464">
        <v>124.0</v>
      </c>
    </row>
    <row r="3936">
      <c r="A3936" s="463">
        <v>45016.0</v>
      </c>
      <c r="B3936" s="464">
        <v>124.85</v>
      </c>
    </row>
    <row r="3937">
      <c r="A3937" s="463">
        <v>45019.0</v>
      </c>
      <c r="B3937" s="464">
        <v>124.8</v>
      </c>
    </row>
    <row r="3938">
      <c r="A3938" s="463">
        <v>45020.0</v>
      </c>
      <c r="B3938" s="464">
        <v>121.9</v>
      </c>
    </row>
    <row r="3939">
      <c r="A3939" s="463">
        <v>45021.0</v>
      </c>
      <c r="B3939" s="464">
        <v>122.81</v>
      </c>
    </row>
    <row r="3940">
      <c r="A3940" s="463">
        <v>45022.0</v>
      </c>
      <c r="B3940" s="464">
        <v>122.17</v>
      </c>
    </row>
    <row r="3941">
      <c r="A3941" s="463">
        <v>45026.0</v>
      </c>
      <c r="B3941" s="464">
        <v>124.23</v>
      </c>
    </row>
    <row r="3942">
      <c r="A3942" s="463">
        <v>45027.0</v>
      </c>
      <c r="B3942" s="464">
        <v>124.11</v>
      </c>
    </row>
    <row r="3943">
      <c r="A3943" s="463">
        <v>45028.0</v>
      </c>
      <c r="B3943" s="464">
        <v>124.02</v>
      </c>
    </row>
    <row r="3944">
      <c r="A3944" s="463">
        <v>45029.0</v>
      </c>
      <c r="B3944" s="464">
        <v>126.43</v>
      </c>
    </row>
    <row r="3945">
      <c r="A3945" s="463">
        <v>45030.0</v>
      </c>
      <c r="B3945" s="464">
        <v>125.9</v>
      </c>
    </row>
    <row r="3946">
      <c r="A3946" s="463">
        <v>45033.0</v>
      </c>
      <c r="B3946" s="464">
        <v>126.06</v>
      </c>
    </row>
    <row r="3947">
      <c r="A3947" s="463">
        <v>45034.0</v>
      </c>
      <c r="B3947" s="464">
        <v>126.4</v>
      </c>
    </row>
    <row r="3948">
      <c r="A3948" s="463">
        <v>45035.0</v>
      </c>
      <c r="B3948" s="464">
        <v>127.94</v>
      </c>
    </row>
    <row r="3949">
      <c r="A3949" s="463">
        <v>45036.0</v>
      </c>
      <c r="B3949" s="464">
        <v>128.25</v>
      </c>
    </row>
    <row r="3950">
      <c r="A3950" s="463">
        <v>45037.0</v>
      </c>
      <c r="B3950" s="464">
        <v>126.12</v>
      </c>
    </row>
    <row r="3951">
      <c r="A3951" s="463">
        <v>45040.0</v>
      </c>
      <c r="B3951" s="464">
        <v>126.24</v>
      </c>
    </row>
    <row r="3952">
      <c r="A3952" s="463">
        <v>45041.0</v>
      </c>
      <c r="B3952" s="464">
        <v>126.13</v>
      </c>
    </row>
    <row r="3953">
      <c r="A3953" s="463">
        <v>45042.0</v>
      </c>
      <c r="B3953" s="464">
        <v>123.38</v>
      </c>
    </row>
    <row r="3954">
      <c r="A3954" s="463">
        <v>45043.0</v>
      </c>
      <c r="B3954" s="464">
        <v>124.41</v>
      </c>
    </row>
    <row r="3955">
      <c r="A3955" s="463">
        <v>45044.0</v>
      </c>
      <c r="B3955" s="464">
        <v>125.03</v>
      </c>
    </row>
    <row r="3956">
      <c r="A3956" s="463">
        <v>45047.0</v>
      </c>
      <c r="B3956" s="464">
        <v>126.98</v>
      </c>
    </row>
    <row r="3957">
      <c r="A3957" s="463">
        <v>45048.0</v>
      </c>
      <c r="B3957" s="464">
        <v>123.88</v>
      </c>
    </row>
    <row r="3958">
      <c r="A3958" s="463">
        <v>45049.0</v>
      </c>
      <c r="B3958" s="464">
        <v>123.49</v>
      </c>
    </row>
    <row r="3959">
      <c r="A3959" s="463">
        <v>45050.0</v>
      </c>
      <c r="B3959" s="464">
        <v>121.81</v>
      </c>
    </row>
    <row r="3960">
      <c r="A3960" s="463">
        <v>45051.0</v>
      </c>
      <c r="B3960" s="464">
        <v>124.12</v>
      </c>
    </row>
    <row r="3961">
      <c r="A3961" s="463">
        <v>45054.0</v>
      </c>
      <c r="B3961" s="464">
        <v>122.76</v>
      </c>
    </row>
    <row r="3962">
      <c r="A3962" s="463">
        <v>45055.0</v>
      </c>
      <c r="B3962" s="464">
        <v>121.82</v>
      </c>
    </row>
    <row r="3963">
      <c r="A3963" s="463">
        <v>45056.0</v>
      </c>
      <c r="B3963" s="464">
        <v>123.09</v>
      </c>
    </row>
    <row r="3964">
      <c r="A3964" s="463">
        <v>45057.0</v>
      </c>
      <c r="B3964" s="464">
        <v>123.06</v>
      </c>
    </row>
    <row r="3965">
      <c r="A3965" s="463">
        <v>45058.0</v>
      </c>
      <c r="B3965" s="464">
        <v>123.44</v>
      </c>
    </row>
    <row r="3966">
      <c r="A3966" s="463">
        <v>45061.0</v>
      </c>
      <c r="B3966" s="464">
        <v>124.17</v>
      </c>
    </row>
    <row r="3967">
      <c r="A3967" s="463">
        <v>45062.0</v>
      </c>
      <c r="B3967" s="464">
        <v>123.27</v>
      </c>
    </row>
    <row r="3968">
      <c r="A3968" s="463">
        <v>45063.0</v>
      </c>
      <c r="B3968" s="464">
        <v>125.05</v>
      </c>
    </row>
    <row r="3969">
      <c r="A3969" s="463">
        <v>45064.0</v>
      </c>
      <c r="B3969" s="464">
        <v>125.41</v>
      </c>
    </row>
    <row r="3970">
      <c r="A3970" s="463">
        <v>45065.0</v>
      </c>
      <c r="B3970" s="464">
        <v>125.74</v>
      </c>
    </row>
    <row r="3971">
      <c r="A3971" s="463">
        <v>45068.0</v>
      </c>
      <c r="B3971" s="464">
        <v>124.72</v>
      </c>
    </row>
    <row r="3972">
      <c r="A3972" s="463">
        <v>45069.0</v>
      </c>
      <c r="B3972" s="464">
        <v>124.43</v>
      </c>
    </row>
    <row r="3973">
      <c r="A3973" s="463">
        <v>45070.0</v>
      </c>
      <c r="B3973" s="464">
        <v>124.05</v>
      </c>
    </row>
    <row r="3974">
      <c r="A3974" s="463">
        <v>45071.0</v>
      </c>
      <c r="B3974" s="464">
        <v>127.86</v>
      </c>
    </row>
    <row r="3975">
      <c r="A3975" s="463">
        <v>45072.0</v>
      </c>
      <c r="B3975" s="464">
        <v>133.24</v>
      </c>
    </row>
    <row r="3976">
      <c r="A3976" s="463">
        <v>45076.0</v>
      </c>
      <c r="B3976" s="464">
        <v>133.8</v>
      </c>
    </row>
    <row r="3977">
      <c r="A3977" s="463">
        <v>45077.0</v>
      </c>
      <c r="B3977" s="464">
        <v>136.29</v>
      </c>
    </row>
    <row r="3978">
      <c r="A3978" s="463">
        <v>45078.0</v>
      </c>
      <c r="B3978" s="464">
        <v>133.94</v>
      </c>
    </row>
    <row r="3979">
      <c r="A3979" s="463">
        <v>45079.0</v>
      </c>
      <c r="B3979" s="464">
        <v>137.91</v>
      </c>
    </row>
    <row r="3980">
      <c r="A3980" s="463">
        <v>45082.0</v>
      </c>
      <c r="B3980" s="464">
        <v>134.41</v>
      </c>
    </row>
    <row r="3981">
      <c r="A3981" s="463">
        <v>45083.0</v>
      </c>
      <c r="B3981" s="464">
        <v>132.26</v>
      </c>
    </row>
    <row r="3982">
      <c r="A3982" s="463">
        <v>45084.0</v>
      </c>
      <c r="B3982" s="464">
        <v>132.31</v>
      </c>
    </row>
    <row r="3983">
      <c r="A3983" s="463">
        <v>45085.0</v>
      </c>
      <c r="B3983" s="464">
        <v>133.15</v>
      </c>
    </row>
    <row r="3984">
      <c r="A3984" s="463">
        <v>45086.0</v>
      </c>
      <c r="B3984" s="464">
        <v>135.38</v>
      </c>
    </row>
    <row r="3985">
      <c r="A3985" s="463">
        <v>45089.0</v>
      </c>
      <c r="B3985" s="464">
        <v>140.85</v>
      </c>
    </row>
    <row r="3986">
      <c r="A3986" s="463">
        <v>45090.0</v>
      </c>
      <c r="B3986" s="464">
        <v>140.7</v>
      </c>
    </row>
    <row r="3987">
      <c r="A3987" s="463">
        <v>45091.0</v>
      </c>
      <c r="B3987" s="464">
        <v>140.83</v>
      </c>
    </row>
    <row r="3988">
      <c r="A3988" s="463">
        <v>45092.0</v>
      </c>
      <c r="B3988" s="464">
        <v>142.38</v>
      </c>
    </row>
    <row r="3989">
      <c r="A3989" s="463">
        <v>45093.0</v>
      </c>
      <c r="B3989" s="464">
        <v>141.36</v>
      </c>
    </row>
    <row r="3990">
      <c r="A3990" s="463">
        <v>45097.0</v>
      </c>
      <c r="B3990" s="464">
        <v>141.28</v>
      </c>
    </row>
    <row r="3991">
      <c r="A3991" s="463">
        <v>45098.0</v>
      </c>
      <c r="B3991" s="464">
        <v>137.75</v>
      </c>
    </row>
    <row r="3992">
      <c r="A3992" s="463">
        <v>45099.0</v>
      </c>
      <c r="B3992" s="464">
        <v>137.23</v>
      </c>
    </row>
    <row r="3993">
      <c r="A3993" s="463">
        <v>45100.0</v>
      </c>
      <c r="B3993" s="464">
        <v>137.83</v>
      </c>
    </row>
    <row r="3994">
      <c r="A3994" s="463">
        <v>45103.0</v>
      </c>
      <c r="B3994" s="464">
        <v>137.82</v>
      </c>
    </row>
    <row r="3995">
      <c r="A3995" s="463">
        <v>45104.0</v>
      </c>
      <c r="B3995" s="464">
        <v>140.98</v>
      </c>
    </row>
    <row r="3996">
      <c r="A3996" s="463">
        <v>45105.0</v>
      </c>
      <c r="B3996" s="464">
        <v>140.69</v>
      </c>
    </row>
    <row r="3997">
      <c r="A3997" s="463">
        <v>45106.0</v>
      </c>
      <c r="B3997" s="464">
        <v>143.92</v>
      </c>
    </row>
    <row r="3998">
      <c r="A3998" s="463">
        <v>45107.0</v>
      </c>
      <c r="B3998" s="464">
        <v>143.69</v>
      </c>
    </row>
    <row r="3999">
      <c r="A3999" s="463">
        <v>45110.0</v>
      </c>
      <c r="B3999" s="464">
        <v>144.04</v>
      </c>
    </row>
    <row r="4000">
      <c r="A4000" s="463">
        <v>45112.0</v>
      </c>
      <c r="B4000" s="464">
        <v>143.72</v>
      </c>
    </row>
    <row r="4001">
      <c r="A4001" s="463">
        <v>45113.0</v>
      </c>
      <c r="B4001" s="464">
        <v>142.06</v>
      </c>
    </row>
    <row r="4002">
      <c r="A4002" s="463">
        <v>45114.0</v>
      </c>
      <c r="B4002" s="464">
        <v>141.4</v>
      </c>
    </row>
    <row r="4003">
      <c r="A4003" s="463">
        <v>45117.0</v>
      </c>
      <c r="B4003" s="464">
        <v>144.06</v>
      </c>
    </row>
    <row r="4004">
      <c r="A4004" s="463">
        <v>45118.0</v>
      </c>
      <c r="B4004" s="464">
        <v>151.53</v>
      </c>
    </row>
    <row r="4005">
      <c r="A4005" s="463">
        <v>45119.0</v>
      </c>
      <c r="B4005" s="464">
        <v>155.74</v>
      </c>
    </row>
    <row r="4006">
      <c r="A4006" s="463">
        <v>45120.0</v>
      </c>
      <c r="B4006" s="464">
        <v>157.17</v>
      </c>
    </row>
    <row r="4007">
      <c r="A4007" s="463">
        <v>45121.0</v>
      </c>
      <c r="B4007" s="464">
        <v>156.23</v>
      </c>
    </row>
    <row r="4008">
      <c r="A4008" s="463">
        <v>45124.0</v>
      </c>
      <c r="B4008" s="464">
        <v>159.22</v>
      </c>
    </row>
    <row r="4009">
      <c r="A4009" s="463">
        <v>45125.0</v>
      </c>
      <c r="B4009" s="464">
        <v>158.48</v>
      </c>
    </row>
    <row r="4010">
      <c r="A4010" s="463">
        <v>45126.0</v>
      </c>
      <c r="B4010" s="464">
        <v>166.69</v>
      </c>
    </row>
    <row r="4011">
      <c r="A4011" s="463">
        <v>45127.0</v>
      </c>
      <c r="B4011" s="464">
        <v>163.77</v>
      </c>
    </row>
    <row r="4012">
      <c r="A4012" s="463">
        <v>45128.0</v>
      </c>
      <c r="B4012" s="464">
        <v>160.38</v>
      </c>
    </row>
    <row r="4013">
      <c r="A4013" s="463">
        <v>45131.0</v>
      </c>
      <c r="B4013" s="464">
        <v>160.43</v>
      </c>
    </row>
    <row r="4014">
      <c r="A4014" s="463">
        <v>45132.0</v>
      </c>
      <c r="B4014" s="464">
        <v>161.45</v>
      </c>
    </row>
    <row r="4015">
      <c r="A4015" s="463">
        <v>45133.0</v>
      </c>
      <c r="B4015" s="464">
        <v>158.8</v>
      </c>
    </row>
    <row r="4016">
      <c r="A4016" s="463">
        <v>45134.0</v>
      </c>
      <c r="B4016" s="464">
        <v>158.14</v>
      </c>
    </row>
    <row r="4017">
      <c r="A4017" s="463">
        <v>45135.0</v>
      </c>
      <c r="B4017" s="464">
        <v>157.65</v>
      </c>
    </row>
    <row r="4018">
      <c r="A4018" s="463">
        <v>45138.0</v>
      </c>
      <c r="B4018" s="464">
        <v>157.63</v>
      </c>
    </row>
    <row r="4019">
      <c r="A4019" s="463">
        <v>45139.0</v>
      </c>
      <c r="B4019" s="464">
        <v>158.96</v>
      </c>
    </row>
    <row r="4020">
      <c r="A4020" s="463">
        <v>45140.0</v>
      </c>
      <c r="B4020" s="464">
        <v>157.88</v>
      </c>
    </row>
    <row r="4021">
      <c r="A4021" s="463">
        <v>45141.0</v>
      </c>
      <c r="B4021" s="464">
        <v>158.45</v>
      </c>
    </row>
    <row r="4022">
      <c r="A4022" s="463">
        <v>45142.0</v>
      </c>
      <c r="B4022" s="464">
        <v>158.25</v>
      </c>
    </row>
    <row r="4023">
      <c r="A4023" s="463">
        <v>45145.0</v>
      </c>
      <c r="B4023" s="464">
        <v>159.23</v>
      </c>
    </row>
    <row r="4024">
      <c r="A4024" s="463">
        <v>45146.0</v>
      </c>
      <c r="B4024" s="464">
        <v>158.38</v>
      </c>
    </row>
    <row r="4025">
      <c r="A4025" s="463">
        <v>45147.0</v>
      </c>
      <c r="B4025" s="464">
        <v>156.48</v>
      </c>
    </row>
    <row r="4026">
      <c r="A4026" s="463">
        <v>45148.0</v>
      </c>
      <c r="B4026" s="464">
        <v>156.44</v>
      </c>
    </row>
    <row r="4027">
      <c r="A4027" s="463">
        <v>45149.0</v>
      </c>
      <c r="B4027" s="464">
        <v>155.26</v>
      </c>
    </row>
    <row r="4028">
      <c r="A4028" s="463">
        <v>45152.0</v>
      </c>
      <c r="B4028" s="464">
        <v>156.45</v>
      </c>
    </row>
    <row r="4029">
      <c r="A4029" s="463">
        <v>45153.0</v>
      </c>
      <c r="B4029" s="464">
        <v>156.03</v>
      </c>
    </row>
    <row r="4030">
      <c r="A4030" s="463">
        <v>45154.0</v>
      </c>
      <c r="B4030" s="464">
        <v>155.78</v>
      </c>
    </row>
    <row r="4031">
      <c r="A4031" s="463">
        <v>45155.0</v>
      </c>
      <c r="B4031" s="464">
        <v>155.45</v>
      </c>
    </row>
    <row r="4032">
      <c r="A4032" s="463">
        <v>45156.0</v>
      </c>
      <c r="B4032" s="464">
        <v>154.87</v>
      </c>
    </row>
    <row r="4033">
      <c r="A4033" s="463">
        <v>45159.0</v>
      </c>
      <c r="B4033" s="464">
        <v>162.48</v>
      </c>
    </row>
    <row r="4034">
      <c r="A4034" s="463">
        <v>45160.0</v>
      </c>
      <c r="B4034" s="464">
        <v>162.0</v>
      </c>
    </row>
    <row r="4035">
      <c r="A4035" s="463">
        <v>45161.0</v>
      </c>
      <c r="B4035" s="464">
        <v>163.99</v>
      </c>
    </row>
    <row r="4036">
      <c r="A4036" s="463">
        <v>45162.0</v>
      </c>
      <c r="B4036" s="464">
        <v>162.0</v>
      </c>
    </row>
    <row r="4037">
      <c r="A4037" s="463">
        <v>45163.0</v>
      </c>
      <c r="B4037" s="464">
        <v>162.55</v>
      </c>
    </row>
    <row r="4038">
      <c r="A4038" s="463">
        <v>45166.0</v>
      </c>
      <c r="B4038" s="464">
        <v>164.19</v>
      </c>
    </row>
    <row r="4039">
      <c r="A4039" s="463">
        <v>45167.0</v>
      </c>
      <c r="B4039" s="464">
        <v>167.49</v>
      </c>
    </row>
    <row r="4040">
      <c r="A4040" s="463">
        <v>45168.0</v>
      </c>
      <c r="B4040" s="464">
        <v>166.69</v>
      </c>
    </row>
    <row r="4041">
      <c r="A4041" s="463">
        <v>45169.0</v>
      </c>
      <c r="B4041" s="464">
        <v>168.78</v>
      </c>
    </row>
    <row r="4042">
      <c r="A4042" s="463">
        <v>45170.0</v>
      </c>
      <c r="B4042" s="464">
        <v>164.1</v>
      </c>
    </row>
    <row r="4043">
      <c r="A4043" s="463">
        <v>45174.0</v>
      </c>
      <c r="B4043" s="464">
        <v>163.91</v>
      </c>
    </row>
    <row r="4044">
      <c r="A4044" s="463">
        <v>45175.0</v>
      </c>
      <c r="B4044" s="464">
        <v>166.16</v>
      </c>
    </row>
    <row r="4045">
      <c r="A4045" s="463">
        <v>45176.0</v>
      </c>
      <c r="B4045" s="464">
        <v>164.52</v>
      </c>
    </row>
    <row r="4046">
      <c r="A4046" s="463">
        <v>45177.0</v>
      </c>
      <c r="B4046" s="464">
        <v>165.99</v>
      </c>
    </row>
    <row r="4047">
      <c r="A4047" s="463">
        <v>45180.0</v>
      </c>
      <c r="B4047" s="464">
        <v>165.51</v>
      </c>
    </row>
    <row r="4048">
      <c r="A4048" s="463">
        <v>45181.0</v>
      </c>
      <c r="B4048" s="464">
        <v>164.35</v>
      </c>
    </row>
    <row r="4049">
      <c r="A4049" s="463">
        <v>45182.0</v>
      </c>
      <c r="B4049" s="464">
        <v>165.47</v>
      </c>
    </row>
    <row r="4050">
      <c r="A4050" s="463">
        <v>45183.0</v>
      </c>
      <c r="B4050" s="464">
        <v>168.2</v>
      </c>
    </row>
    <row r="4051">
      <c r="A4051" s="463">
        <v>45184.0</v>
      </c>
      <c r="B4051" s="464">
        <v>166.96</v>
      </c>
    </row>
    <row r="4052">
      <c r="A4052" s="463">
        <v>45187.0</v>
      </c>
      <c r="B4052" s="464">
        <v>166.15</v>
      </c>
    </row>
    <row r="4053">
      <c r="A4053" s="463">
        <v>45188.0</v>
      </c>
      <c r="B4053" s="464">
        <v>166.37</v>
      </c>
    </row>
    <row r="4054">
      <c r="A4054" s="463">
        <v>45189.0</v>
      </c>
      <c r="B4054" s="464">
        <v>165.71</v>
      </c>
    </row>
    <row r="4055">
      <c r="A4055" s="463">
        <v>45190.0</v>
      </c>
      <c r="B4055" s="464">
        <v>163.01</v>
      </c>
    </row>
    <row r="4056">
      <c r="A4056" s="463">
        <v>45191.0</v>
      </c>
      <c r="B4056" s="464">
        <v>167.23</v>
      </c>
    </row>
    <row r="4057">
      <c r="A4057" s="463">
        <v>45194.0</v>
      </c>
      <c r="B4057" s="464">
        <v>166.76</v>
      </c>
    </row>
    <row r="4058">
      <c r="A4058" s="463">
        <v>45195.0</v>
      </c>
      <c r="B4058" s="464">
        <v>164.94</v>
      </c>
    </row>
    <row r="4059">
      <c r="A4059" s="463">
        <v>45196.0</v>
      </c>
      <c r="B4059" s="464">
        <v>165.03</v>
      </c>
    </row>
    <row r="4060">
      <c r="A4060" s="463">
        <v>45197.0</v>
      </c>
      <c r="B4060" s="464">
        <v>166.98</v>
      </c>
    </row>
    <row r="4061">
      <c r="A4061" s="463">
        <v>45198.0</v>
      </c>
      <c r="B4061" s="464">
        <v>166.48</v>
      </c>
    </row>
    <row r="4062">
      <c r="A4062" s="463">
        <v>45201.0</v>
      </c>
      <c r="B4062" s="464">
        <v>166.36</v>
      </c>
    </row>
    <row r="4063">
      <c r="A4063" s="463">
        <v>45202.0</v>
      </c>
      <c r="B4063" s="464">
        <v>164.38</v>
      </c>
    </row>
    <row r="4064">
      <c r="A4064" s="463">
        <v>45203.0</v>
      </c>
      <c r="B4064" s="464">
        <v>166.07</v>
      </c>
    </row>
    <row r="4065">
      <c r="A4065" s="463">
        <v>45204.0</v>
      </c>
      <c r="B4065" s="464">
        <v>165.66</v>
      </c>
    </row>
    <row r="4066">
      <c r="A4066" s="463">
        <v>45205.0</v>
      </c>
      <c r="B4066" s="464">
        <v>167.73</v>
      </c>
    </row>
    <row r="4067">
      <c r="A4067" s="463">
        <v>45208.0</v>
      </c>
      <c r="B4067" s="464">
        <v>169.1</v>
      </c>
    </row>
    <row r="4068">
      <c r="A4068" s="463">
        <v>45209.0</v>
      </c>
      <c r="B4068" s="464">
        <v>169.8</v>
      </c>
    </row>
    <row r="4069">
      <c r="A4069" s="463">
        <v>45210.0</v>
      </c>
      <c r="B4069" s="464">
        <v>171.48</v>
      </c>
    </row>
    <row r="4070">
      <c r="A4070" s="463">
        <v>45211.0</v>
      </c>
      <c r="B4070" s="464">
        <v>178.71</v>
      </c>
    </row>
    <row r="4071">
      <c r="A4071" s="463">
        <v>45212.0</v>
      </c>
      <c r="B4071" s="464">
        <v>177.76</v>
      </c>
    </row>
    <row r="4072">
      <c r="A4072" s="463">
        <v>45215.0</v>
      </c>
      <c r="B4072" s="464">
        <v>178.88</v>
      </c>
    </row>
    <row r="4073">
      <c r="A4073" s="463">
        <v>45216.0</v>
      </c>
      <c r="B4073" s="464">
        <v>165.1</v>
      </c>
    </row>
    <row r="4074">
      <c r="A4074" s="463">
        <v>45217.0</v>
      </c>
      <c r="B4074" s="464">
        <v>166.25</v>
      </c>
    </row>
    <row r="4075">
      <c r="A4075" s="463">
        <v>45218.0</v>
      </c>
      <c r="B4075" s="464">
        <v>150.31</v>
      </c>
    </row>
    <row r="4076">
      <c r="A4076" s="463">
        <v>45219.0</v>
      </c>
      <c r="B4076" s="464">
        <v>150.91</v>
      </c>
    </row>
    <row r="4077">
      <c r="A4077" s="463">
        <v>45222.0</v>
      </c>
      <c r="B4077" s="464">
        <v>155.87</v>
      </c>
    </row>
    <row r="4078">
      <c r="A4078" s="463">
        <v>45223.0</v>
      </c>
      <c r="B4078" s="464">
        <v>150.69</v>
      </c>
    </row>
    <row r="4079">
      <c r="A4079" s="463">
        <v>45224.0</v>
      </c>
      <c r="B4079" s="464">
        <v>148.26</v>
      </c>
    </row>
    <row r="4080">
      <c r="A4080" s="463">
        <v>45225.0</v>
      </c>
      <c r="B4080" s="464">
        <v>146.47</v>
      </c>
    </row>
    <row r="4081">
      <c r="A4081" s="463">
        <v>45226.0</v>
      </c>
      <c r="B4081" s="464">
        <v>142.2</v>
      </c>
    </row>
    <row r="4082">
      <c r="A4082" s="463">
        <v>45229.0</v>
      </c>
      <c r="B4082" s="464">
        <v>146.62</v>
      </c>
    </row>
    <row r="4083">
      <c r="A4083" s="463">
        <v>45230.0</v>
      </c>
      <c r="B4083" s="464">
        <v>145.65</v>
      </c>
    </row>
    <row r="4084">
      <c r="A4084" s="463">
        <v>45231.0</v>
      </c>
      <c r="B4084" s="464">
        <v>146.14</v>
      </c>
    </row>
    <row r="4085">
      <c r="A4085" s="463">
        <v>45232.0</v>
      </c>
      <c r="B4085" s="464">
        <v>144.76</v>
      </c>
    </row>
    <row r="4086">
      <c r="A4086" s="463">
        <v>45233.0</v>
      </c>
      <c r="B4086" s="464">
        <v>146.79</v>
      </c>
    </row>
    <row r="4087">
      <c r="A4087" s="463">
        <v>45236.0</v>
      </c>
      <c r="B4087" s="464">
        <v>149.62</v>
      </c>
    </row>
    <row r="4088">
      <c r="A4088" s="463">
        <v>45237.0</v>
      </c>
      <c r="B4088" s="464">
        <v>148.77</v>
      </c>
    </row>
    <row r="4089">
      <c r="A4089" s="463">
        <v>45238.0</v>
      </c>
      <c r="B4089" s="464">
        <v>148.55</v>
      </c>
    </row>
    <row r="4090">
      <c r="A4090" s="463">
        <v>45239.0</v>
      </c>
      <c r="B4090" s="464">
        <v>149.1</v>
      </c>
    </row>
    <row r="4091">
      <c r="A4091" s="463">
        <v>45240.0</v>
      </c>
      <c r="B4091" s="464">
        <v>149.66</v>
      </c>
    </row>
    <row r="4092">
      <c r="A4092" s="463">
        <v>45243.0</v>
      </c>
      <c r="B4092" s="464">
        <v>149.23</v>
      </c>
    </row>
    <row r="4093">
      <c r="A4093" s="463">
        <v>45244.0</v>
      </c>
      <c r="B4093" s="464">
        <v>148.6</v>
      </c>
    </row>
    <row r="4094">
      <c r="A4094" s="463">
        <v>45245.0</v>
      </c>
      <c r="B4094" s="464">
        <v>149.21</v>
      </c>
    </row>
    <row r="4095">
      <c r="A4095" s="463">
        <v>45246.0</v>
      </c>
      <c r="B4095" s="464">
        <v>149.65</v>
      </c>
    </row>
    <row r="4096">
      <c r="A4096" s="463">
        <v>45247.0</v>
      </c>
      <c r="B4096" s="464">
        <v>149.62</v>
      </c>
    </row>
    <row r="4097">
      <c r="A4097" s="463">
        <v>45250.0</v>
      </c>
      <c r="B4097" s="464">
        <v>149.91</v>
      </c>
    </row>
    <row r="4098">
      <c r="A4098" s="463">
        <v>45251.0</v>
      </c>
      <c r="B4098" s="464">
        <v>142.48</v>
      </c>
    </row>
    <row r="4099">
      <c r="A4099" s="463">
        <v>45252.0</v>
      </c>
      <c r="B4099" s="464">
        <v>142.48</v>
      </c>
    </row>
  </sheetData>
  <autoFilter ref="$A$1:$B$4099">
    <sortState ref="A1:B4099">
      <sortCondition ref="A1:A4099"/>
    </sortState>
  </autoFilter>
  <drawing r:id="rId2"/>
  <legacyDrawing r:id="rId3"/>
</worksheet>
</file>